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IS OPT CALC" sheetId="1" state="visible" r:id="rId3"/>
    <sheet name="STRADDLES" sheetId="2" state="visible" r:id="rId4"/>
    <sheet name="GD OPT CALC" sheetId="3" state="visible" r:id="rId5"/>
    <sheet name="index est" sheetId="4" state="visible" r:id="rId6"/>
    <sheet name="opt calc" sheetId="5" state="visible" r:id="rId7"/>
    <sheet name="NEW SKEW TABLE" sheetId="6" state="visible" r:id="rId8"/>
    <sheet name="EXTENDABLE" sheetId="7" state="visible" r:id="rId9"/>
    <sheet name="Sheet7" sheetId="8" state="visible" r:id="rId10"/>
    <sheet name="curves" sheetId="9" state="visible" r:id="rId11"/>
    <sheet name="VOLS" sheetId="10" state="visible" r:id="rId12"/>
    <sheet name="GAS DAILY VOL DOWNLOAD" sheetId="11" state="visible" r:id="rId13"/>
    <sheet name="GAS DAILY VOLS" sheetId="12" state="visible" r:id="rId14"/>
    <sheet name="CORRELATION" sheetId="13" state="visible" r:id="rId15"/>
    <sheet name="expiry" sheetId="14" state="visible" r:id="rId16"/>
  </sheets>
  <externalReferences>
    <externalReference r:id="rId17"/>
    <externalReference r:id="rId18"/>
  </externalReferences>
  <definedNames>
    <definedName function="false" hidden="false" localSheetId="1" name="_xlnm.Print_Area" vbProcedure="false">STRADDLES!$A$1:$M$33</definedName>
    <definedName function="false" hidden="false" name="accuracy" vbProcedure="false">#REF!</definedName>
    <definedName function="false" hidden="false" name="aproct" vbProcedure="false">STRADDLES!$B$23</definedName>
    <definedName function="false" hidden="false" name="b" vbProcedure="false">'NEW SKEW TABLE'!$A$1:$U$39</definedName>
    <definedName function="false" hidden="false" name="Basis" vbProcedure="false">#REF!</definedName>
    <definedName function="false" hidden="false" name="basisyn" vbProcedure="false">#REF!</definedName>
    <definedName function="false" hidden="false" name="BeginDate" vbProcedure="false">#REF!</definedName>
    <definedName function="false" hidden="false" name="BLAHBLAH" vbProcedure="false">#REF!</definedName>
    <definedName function="false" hidden="false" name="CAL7VOL" vbProcedure="false">STRADDLES!$B$115</definedName>
    <definedName function="false" hidden="false" name="CAL8VOL" vbProcedure="false">STRADDLES!$B$116</definedName>
    <definedName function="false" hidden="false" name="CAL9VOL" vbProcedure="false">STRADDLES!$B$117</definedName>
    <definedName function="false" hidden="false" name="CalcMode" vbProcedure="false">#REF!</definedName>
    <definedName function="false" hidden="false" name="CALL1" vbProcedure="false">#REF!</definedName>
    <definedName function="false" hidden="false" name="CALL2" vbProcedure="false">#REF!</definedName>
    <definedName function="false" hidden="false" name="CALL3" vbProcedure="false">#REF!</definedName>
    <definedName function="false" hidden="false" name="CALL4" vbProcedure="false">#REF!</definedName>
    <definedName function="false" hidden="false" name="calldelta1" vbProcedure="false">#REF!</definedName>
    <definedName function="false" hidden="false" name="calldelta2" vbProcedure="false">#REF!</definedName>
    <definedName function="false" hidden="false" name="callgamma1" vbProcedure="false">#REF!</definedName>
    <definedName function="false" hidden="false" name="callgamma2" vbProcedure="false">#REF!</definedName>
    <definedName function="false" hidden="false" name="callprem1" vbProcedure="false">#REF!</definedName>
    <definedName function="false" hidden="false" name="callprem2" vbProcedure="false">#REF!</definedName>
    <definedName function="false" hidden="false" name="CallPut" vbProcedure="false">#REF!</definedName>
    <definedName function="false" hidden="false" name="callvega1" vbProcedure="false">#REF!</definedName>
    <definedName function="false" hidden="false" name="callvega2" vbProcedure="false">#REF!</definedName>
    <definedName function="false" hidden="false" name="CORETABLE" vbProcedure="false">CORRELATION!$A$1:$AA$202</definedName>
    <definedName function="false" hidden="false" name="CurveDate" vbProcedure="false">#REF!</definedName>
    <definedName function="false" hidden="false" name="CurveRange" vbProcedure="false">#REF!</definedName>
    <definedName function="false" hidden="false" name="CurveRange2" vbProcedure="false">#REF!</definedName>
    <definedName function="false" hidden="false" name="Curves" vbProcedure="false">#REF!</definedName>
    <definedName function="false" hidden="false" name="curvesettle" vbProcedure="false">curves!$C$1:$BX$312</definedName>
    <definedName function="false" hidden="false" name="CurveTable" vbProcedure="false">VOLS!$B$4:$AI$11</definedName>
    <definedName function="false" hidden="false" name="CUSTOMVOLUME" vbProcedure="false">#REF!</definedName>
    <definedName function="false" hidden="false" name="DATE" vbProcedure="false">#REF!</definedName>
    <definedName function="false" hidden="false" name="datelook" vbProcedure="false">STRADDLES!$A$31:$B$150</definedName>
    <definedName function="false" hidden="false" name="Dates" vbProcedure="false">#REF!</definedName>
    <definedName function="false" hidden="false" name="DBase" vbProcedure="false">#REF!</definedName>
    <definedName function="false" hidden="false" name="EffDt" vbProcedure="false">#REF!</definedName>
    <definedName function="false" hidden="false" name="EndDate" vbProcedure="false">#REF!</definedName>
    <definedName function="false" hidden="false" name="EXMONTH" vbProcedure="false">[3]STRADDLES!$A$5:$B$41</definedName>
    <definedName function="false" hidden="false" name="ExpDates" vbProcedure="false">expiry!$K$7:$M$414</definedName>
    <definedName function="false" hidden="false" name="expiration" vbProcedure="false">expiry!$G$7:$I$414</definedName>
    <definedName function="false" hidden="false" name="exptype" vbProcedure="false">#REF!</definedName>
    <definedName function="false" hidden="false" name="FPToggle" vbProcedure="false">#REF!</definedName>
    <definedName function="false" hidden="false" name="FwdStFlag" vbProcedure="false">#REF!</definedName>
    <definedName function="false" hidden="false" name="GasDaily" vbProcedure="false">#REF!</definedName>
    <definedName function="false" hidden="false" name="GASDVOLCURVE" vbProcedure="false">'GAS DAILY VOLS'!$A$4:$Z$325</definedName>
    <definedName function="false" hidden="false" name="GASDVOLCURVES" vbProcedure="false">'GAS DAILY VOLS'!$A$4:$BZ$325</definedName>
    <definedName function="false" hidden="false" name="gdvols" vbProcedure="false">[5]Curves!$B$13:$DQ$348</definedName>
    <definedName function="false" hidden="false" name="GDVolSpread" vbProcedure="false">#REF!</definedName>
    <definedName function="false" hidden="false" name="GDVolTable" vbProcedure="false">#REF!</definedName>
    <definedName function="false" hidden="false" name="impldputcall" vbProcedure="false">#REF!</definedName>
    <definedName function="false" hidden="false" name="impldvolstrike" vbProcedure="false">#REF!</definedName>
    <definedName function="false" hidden="false" name="interest_y_n" vbProcedure="false">#REF!</definedName>
    <definedName function="false" hidden="false" name="maxvol" vbProcedure="false">#REF!</definedName>
    <definedName function="false" hidden="false" name="mktprem" vbProcedure="false">#REF!</definedName>
    <definedName function="false" hidden="false" name="monthlook" vbProcedure="false">#REF!</definedName>
    <definedName function="false" hidden="false" name="MONTHS" vbProcedure="false">#REF!</definedName>
    <definedName function="false" hidden="false" name="notionalvolumes" vbProcedure="false">#REF!</definedName>
    <definedName function="false" hidden="false" name="NYMEXPrices" vbProcedure="false">#REF!</definedName>
    <definedName function="false" hidden="false" name="omicron" vbProcedure="false">[5]Curves!$B$10:$DQ$10</definedName>
    <definedName function="false" hidden="false" name="PARAMS" vbProcedure="false">STRADDLES!$B$159:$J$294</definedName>
    <definedName function="false" hidden="false" name="Password" vbProcedure="false">#REF!</definedName>
    <definedName function="false" hidden="false" name="PEAKERDAYS" vbProcedure="false">#REF!</definedName>
    <definedName function="false" hidden="false" name="PEAKERONOFF" vbProcedure="false">#REF!</definedName>
    <definedName function="false" hidden="false" name="Physical" vbProcedure="false">#REF!</definedName>
    <definedName function="false" hidden="false" name="prompt" vbProcedure="false">#REF!</definedName>
    <definedName function="false" hidden="false" name="Put1" vbProcedure="false">#REF!</definedName>
    <definedName function="false" hidden="false" name="Put2" vbProcedure="false">#REF!</definedName>
    <definedName function="false" hidden="false" name="putdelta1" vbProcedure="false">#REF!</definedName>
    <definedName function="false" hidden="false" name="putdelta2" vbProcedure="false">#REF!</definedName>
    <definedName function="false" hidden="false" name="putgamma1" vbProcedure="false">#REF!</definedName>
    <definedName function="false" hidden="false" name="putgamma2" vbProcedure="false">#REF!</definedName>
    <definedName function="false" hidden="false" name="putprem1" vbProcedure="false">#REF!</definedName>
    <definedName function="false" hidden="false" name="putprem2" vbProcedure="false">#REF!</definedName>
    <definedName function="false" hidden="false" name="putvega1" vbProcedure="false">#REF!</definedName>
    <definedName function="false" hidden="false" name="putvega2" vbProcedure="false">#REF!</definedName>
    <definedName function="false" hidden="false" name="pvvolumes" vbProcedure="false">#REF!</definedName>
    <definedName function="false" hidden="false" name="RATES" vbProcedure="false">STRADDLES!$Y$173:$AA$184</definedName>
    <definedName function="false" hidden="false" name="simvol" vbProcedure="false">#REF!</definedName>
    <definedName function="false" hidden="false" name="skewlook" vbProcedure="false">#REF!</definedName>
    <definedName function="false" hidden="false" name="skewmonthlook" vbProcedure="false">#REF!</definedName>
    <definedName function="false" hidden="false" name="skewtable" vbProcedure="false">#REF!</definedName>
    <definedName function="false" hidden="false" name="SKEWYN" vbProcedure="false">#REF!</definedName>
    <definedName function="false" hidden="false" name="StartDate" vbProcedure="false">#REF!</definedName>
    <definedName function="false" hidden="false" name="STRADDLE" vbProcedure="false">STRADDLES!$B$30:$Y$151</definedName>
    <definedName function="false" hidden="false" name="STRADDLEYN" vbProcedure="false">#REF!</definedName>
    <definedName function="false" hidden="false" name="strike" vbProcedure="false">#REF!</definedName>
    <definedName function="false" hidden="false" name="Strike1" vbProcedure="false">#REF!</definedName>
    <definedName function="false" hidden="false" name="summerstrip" vbProcedure="false">STRADDLES!$B$19</definedName>
    <definedName function="false" hidden="false" name="SWAPTIONBASIS1" vbProcedure="false">#REF!</definedName>
    <definedName function="false" hidden="false" name="SWAPTIONBASIS2" vbProcedure="false">#REF!</definedName>
    <definedName function="false" hidden="false" name="SWAPTIONBASIS3" vbProcedure="false">#REF!</definedName>
    <definedName function="false" hidden="false" name="SWAPTIONSWAP1" vbProcedure="false">#REF!</definedName>
    <definedName function="false" hidden="false" name="SWAPTIONSWAP2" vbProcedure="false">#REF!</definedName>
    <definedName function="false" hidden="false" name="SWAPTIONSWAP3" vbProcedure="false">#REF!</definedName>
    <definedName function="false" hidden="false" name="SWAPTIONVOL1" vbProcedure="false">#REF!</definedName>
    <definedName function="false" hidden="false" name="SWAPTIONVOL2" vbProcedure="false">#REF!</definedName>
    <definedName function="false" hidden="false" name="SWAPTIONVOL3" vbProcedure="false">#REF!</definedName>
    <definedName function="false" hidden="false" name="Today" vbProcedure="false">#REF!</definedName>
    <definedName function="false" hidden="false" name="TOTALVOLUME" vbProcedure="false">#REF!</definedName>
    <definedName function="false" hidden="false" name="TSETTLE" vbProcedure="false">STRADDLES!$C$18</definedName>
    <definedName function="false" hidden="false" name="UpperLeftOfCurveTable" vbProcedure="false">#REF!</definedName>
    <definedName function="false" hidden="false" name="UserName" vbProcedure="false">#REF!</definedName>
    <definedName function="false" hidden="false" name="VolAdder" vbProcedure="false">#REF!</definedName>
    <definedName function="false" hidden="false" name="VOLBA" vbProcedure="false">#REF!</definedName>
    <definedName function="false" hidden="false" name="VOLCURVES" vbProcedure="false">VOLS!$A$1:$CA$211</definedName>
    <definedName function="false" hidden="false" name="VolLookup" vbProcedure="false">#REF!</definedName>
    <definedName function="false" hidden="false" name="VOLS" vbProcedure="false">[3]STRADDLES!$B$5:$K$50</definedName>
    <definedName function="false" hidden="false" name="voltable" vbProcedure="false">VOLS!$A$1:$AJ$209</definedName>
    <definedName function="false" hidden="false" name="Volume" vbProcedure="false">#REF!</definedName>
    <definedName function="false" hidden="false" name="winterstrip" vbProcedure="false">STRADDLES!$B$20</definedName>
    <definedName function="true" hidden="false" name="SPRDOPT" vbProcedure="true"/>
    <definedName function="true" hidden="false" name="OSTRIP" vbProcedure="true"/>
    <definedName function="true" hidden="false" name="xCalcSkew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2" authorId="0">
      <text>
        <r>
          <rPr>
            <b val="true"/>
            <sz val="8"/>
            <color rgb="FF000000"/>
            <rFont val="Tahoma"/>
            <family val="0"/>
          </rPr>
          <t xml:space="preserve">Larry May: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</xdr:colOff>
                <xdr:row>20</xdr:row>
                <xdr:rowOff>7</xdr:rowOff>
              </xdr:from>
              <xdr:to>
                <xdr:col>5</xdr:col>
                <xdr:colOff>66</xdr:colOff>
                <xdr:row>24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<sst xmlns="http://schemas.openxmlformats.org/spreadsheetml/2006/main" count="1145" uniqueCount="296">
  <si>
    <t xml:space="preserve">summer</t>
  </si>
  <si>
    <t xml:space="preserve">VEGA</t>
  </si>
  <si>
    <t xml:space="preserve">combos</t>
  </si>
  <si>
    <t xml:space="preserve">DATE</t>
  </si>
  <si>
    <t xml:space="preserve">winter</t>
  </si>
  <si>
    <t xml:space="preserve">premium</t>
  </si>
  <si>
    <t xml:space="preserve">delta</t>
  </si>
  <si>
    <t xml:space="preserve">BASIS POINT</t>
  </si>
  <si>
    <t xml:space="preserve">OPT 1</t>
  </si>
  <si>
    <t xml:space="preserve">OPT 2</t>
  </si>
  <si>
    <t xml:space="preserve">OPT 3</t>
  </si>
  <si>
    <t xml:space="preserve">OPT 4</t>
  </si>
  <si>
    <t xml:space="preserve">FIRST MONTH</t>
  </si>
  <si>
    <t xml:space="preserve">LAST MONTH</t>
  </si>
  <si>
    <t xml:space="preserve">BASIS</t>
  </si>
  <si>
    <t xml:space="preserve">SWAP B(NYMEX)</t>
  </si>
  <si>
    <t xml:space="preserve">IF-HPL/SHPCHAN</t>
  </si>
  <si>
    <t xml:space="preserve">BASIS ADJ</t>
  </si>
  <si>
    <t xml:space="preserve">IF-FGT/Z2</t>
  </si>
  <si>
    <t xml:space="preserve">SWAP B ADJ(NYMEX)</t>
  </si>
  <si>
    <t xml:space="preserve">VOL A ADJ</t>
  </si>
  <si>
    <t xml:space="preserve">IF-CGT/APPALAC</t>
  </si>
  <si>
    <t xml:space="preserve">VOL B ADJ</t>
  </si>
  <si>
    <t xml:space="preserve">CORE ADJ</t>
  </si>
  <si>
    <t xml:space="preserve">IF-ELPO/SJ</t>
  </si>
  <si>
    <t xml:space="preserve">CORE </t>
  </si>
  <si>
    <t xml:space="preserve">IF-PAN/TX/OK</t>
  </si>
  <si>
    <t xml:space="preserve">SKEW ON/OFF</t>
  </si>
  <si>
    <t xml:space="preserve">IF-NWPL_ROCKY_M</t>
  </si>
  <si>
    <t xml:space="preserve">STRIKE</t>
  </si>
  <si>
    <t xml:space="preserve">NGI/CHI. GATE</t>
  </si>
  <si>
    <t xml:space="preserve">OPT TYPE</t>
  </si>
  <si>
    <t xml:space="preserve">NGI-SOCAL</t>
  </si>
  <si>
    <t xml:space="preserve">MICH_CG-GD</t>
  </si>
  <si>
    <t xml:space="preserve">PREMIUM</t>
  </si>
  <si>
    <t xml:space="preserve">IF-TRANSCO/Z6</t>
  </si>
  <si>
    <t xml:space="preserve">DELTA A</t>
  </si>
  <si>
    <t xml:space="preserve">IF-CNG/APPALACH</t>
  </si>
  <si>
    <t xml:space="preserve">DELTA B</t>
  </si>
  <si>
    <t xml:space="preserve">IF-NTHWST/CANBR</t>
  </si>
  <si>
    <t xml:space="preserve">GAMMA A</t>
  </si>
  <si>
    <t xml:space="preserve">IF-NNG/VENT</t>
  </si>
  <si>
    <t xml:space="preserve">GAMMA B</t>
  </si>
  <si>
    <t xml:space="preserve">VEGA A</t>
  </si>
  <si>
    <t xml:space="preserve">VEGA B</t>
  </si>
  <si>
    <t xml:space="preserve">ETA</t>
  </si>
  <si>
    <t xml:space="preserve">THETA</t>
  </si>
  <si>
    <t xml:space="preserve">NG DELTA</t>
  </si>
  <si>
    <t xml:space="preserve">NG GAMMA</t>
  </si>
  <si>
    <t xml:space="preserve">NG VEGA</t>
  </si>
  <si>
    <t xml:space="preserve">OPT1</t>
  </si>
  <si>
    <t xml:space="preserve">OPT2</t>
  </si>
  <si>
    <t xml:space="preserve">OPT3</t>
  </si>
  <si>
    <t xml:space="preserve">OPT4</t>
  </si>
  <si>
    <t xml:space="preserve">      SWAP PRICE:</t>
  </si>
  <si>
    <t xml:space="preserve">      ADJ SWAP PRICE:</t>
  </si>
  <si>
    <t xml:space="preserve">VOL1</t>
  </si>
  <si>
    <t xml:space="preserve">VOL2</t>
  </si>
  <si>
    <t xml:space="preserve">CORRE</t>
  </si>
  <si>
    <t xml:space="preserve">MONTH</t>
  </si>
  <si>
    <t xml:space="preserve">NYMEX</t>
  </si>
  <si>
    <t xml:space="preserve">IMPVOL</t>
  </si>
  <si>
    <t xml:space="preserve">days</t>
  </si>
  <si>
    <t xml:space="preserve">DELTA</t>
  </si>
  <si>
    <t xml:space="preserve">VOL ADJ</t>
  </si>
  <si>
    <t xml:space="preserve">CORRELATION</t>
  </si>
  <si>
    <t xml:space="preserve">SKEW</t>
  </si>
  <si>
    <t xml:space="preserve">int rate</t>
  </si>
  <si>
    <t xml:space="preserve">VOLUME</t>
  </si>
  <si>
    <t xml:space="preserve">SWAP1</t>
  </si>
  <si>
    <t xml:space="preserve">SWAP2</t>
  </si>
  <si>
    <t xml:space="preserve">settle, last or eol?</t>
  </si>
  <si>
    <t xml:space="preserve">SETTLE</t>
  </si>
  <si>
    <t xml:space="preserve">GAS D OPT</t>
  </si>
  <si>
    <t xml:space="preserve">FWD ST FLAG</t>
  </si>
  <si>
    <t xml:space="preserve">STRIKE SET</t>
  </si>
  <si>
    <t xml:space="preserve">nymex</t>
  </si>
  <si>
    <t xml:space="preserve">Today</t>
  </si>
  <si>
    <t xml:space="preserve">PIPE OPT</t>
  </si>
  <si>
    <t xml:space="preserve">BASIS OPT</t>
  </si>
  <si>
    <t xml:space="preserve">IF-NGPL/MIDCON</t>
  </si>
  <si>
    <t xml:space="preserve">IF-TETCO/M3</t>
  </si>
  <si>
    <t xml:space="preserve">PIPE</t>
  </si>
  <si>
    <t xml:space="preserve">IF-TENN/LA</t>
  </si>
  <si>
    <t xml:space="preserve">IF-HEHUB</t>
  </si>
  <si>
    <t xml:space="preserve">MONTH1</t>
  </si>
  <si>
    <t xml:space="preserve">nv</t>
  </si>
  <si>
    <t xml:space="preserve">MONTH2</t>
  </si>
  <si>
    <t xml:space="preserve">xh</t>
  </si>
  <si>
    <t xml:space="preserve">NUMBER OF DAYS IN STRIP</t>
  </si>
  <si>
    <t xml:space="preserve">GD VOL</t>
  </si>
  <si>
    <t xml:space="preserve">jv02</t>
  </si>
  <si>
    <t xml:space="preserve">PEAKER DAYS</t>
  </si>
  <si>
    <t xml:space="preserve">x2h3</t>
  </si>
  <si>
    <t xml:space="preserve">PRICE FOR REGULAR</t>
  </si>
  <si>
    <t xml:space="preserve">price adj</t>
  </si>
  <si>
    <t xml:space="preserve">jv03</t>
  </si>
  <si>
    <t xml:space="preserve">FULL PREMIUM</t>
  </si>
  <si>
    <t xml:space="preserve">SWAP ADJ</t>
  </si>
  <si>
    <t xml:space="preserve">x3h4</t>
  </si>
  <si>
    <t xml:space="preserve">PERCENTAGE DAYS</t>
  </si>
  <si>
    <t xml:space="preserve">INDEX</t>
  </si>
  <si>
    <t xml:space="preserve">jv04</t>
  </si>
  <si>
    <t xml:space="preserve">PERCENTAGE CHARGED</t>
  </si>
  <si>
    <t xml:space="preserve">NG VOL ADJ</t>
  </si>
  <si>
    <t xml:space="preserve">PEAKER PREMIUM</t>
  </si>
  <si>
    <t xml:space="preserve">GD VOL ADJ</t>
  </si>
  <si>
    <t xml:space="preserve">FIXED STRIKE</t>
  </si>
  <si>
    <t xml:space="preserve">INDEX STRIKE</t>
  </si>
  <si>
    <t xml:space="preserve">BASIS DELTA</t>
  </si>
  <si>
    <t xml:space="preserve">1=call, 2=put, 3=straddle</t>
  </si>
  <si>
    <t xml:space="preserve">IF-ANR/LA</t>
  </si>
  <si>
    <t xml:space="preserve">ADJ</t>
  </si>
  <si>
    <t xml:space="preserve">EOL PRICE</t>
  </si>
  <si>
    <t xml:space="preserve">settle</t>
  </si>
  <si>
    <t xml:space="preserve">settles</t>
  </si>
  <si>
    <t xml:space="preserve">IF-ELPO/PERMIAN</t>
  </si>
  <si>
    <t xml:space="preserve">IF-CIG/RKYMTN</t>
  </si>
  <si>
    <t xml:space="preserve">Price</t>
  </si>
  <si>
    <t xml:space="preserve">Vol</t>
  </si>
  <si>
    <t xml:space="preserve">NGI-PGE/CG</t>
  </si>
  <si>
    <t xml:space="preserve">f</t>
  </si>
  <si>
    <t xml:space="preserve">XH</t>
  </si>
  <si>
    <t xml:space="preserve">IF-SONAT/LA</t>
  </si>
  <si>
    <t xml:space="preserve">IF-TENN/TX</t>
  </si>
  <si>
    <t xml:space="preserve">g</t>
  </si>
  <si>
    <t xml:space="preserve">JV</t>
  </si>
  <si>
    <t xml:space="preserve">IF-TRANSCO/Z3</t>
  </si>
  <si>
    <t xml:space="preserve">IF-NORAM/EAST</t>
  </si>
  <si>
    <t xml:space="preserve">h</t>
  </si>
  <si>
    <t xml:space="preserve">CAL2</t>
  </si>
  <si>
    <t xml:space="preserve">IF-NGPLTXOK</t>
  </si>
  <si>
    <t xml:space="preserve">IF-NNG/DEMARCAT</t>
  </si>
  <si>
    <t xml:space="preserve">APR-OCT</t>
  </si>
  <si>
    <t xml:space="preserve">jv</t>
  </si>
  <si>
    <t xml:space="preserve">CAL 3</t>
  </si>
  <si>
    <t xml:space="preserve">IF-TETCO/STX</t>
  </si>
  <si>
    <t xml:space="preserve">IF-WAHA-TX</t>
  </si>
  <si>
    <t xml:space="preserve">xz02 (current arb)</t>
  </si>
  <si>
    <t xml:space="preserve">xz02</t>
  </si>
  <si>
    <t xml:space="preserve">CAL 4</t>
  </si>
  <si>
    <t xml:space="preserve">IF-WNG/TOK</t>
  </si>
  <si>
    <t xml:space="preserve">NGI-MALIN</t>
  </si>
  <si>
    <t xml:space="preserve">CAL3</t>
  </si>
  <si>
    <t xml:space="preserve">cal3</t>
  </si>
  <si>
    <t xml:space="preserve">IF-ANR/ok</t>
  </si>
  <si>
    <t xml:space="preserve">CAL4</t>
  </si>
  <si>
    <t xml:space="preserve">cal4</t>
  </si>
  <si>
    <t xml:space="preserve">CAL5</t>
  </si>
  <si>
    <t xml:space="preserve">cal5</t>
  </si>
  <si>
    <t xml:space="preserve">MARKET</t>
  </si>
  <si>
    <t xml:space="preserve">ADJ. </t>
  </si>
  <si>
    <t xml:space="preserve">PRICES</t>
  </si>
  <si>
    <t xml:space="preserve">VOL</t>
  </si>
  <si>
    <t xml:space="preserve">VOL CHANGE</t>
  </si>
  <si>
    <t xml:space="preserve">STRADDLE</t>
  </si>
  <si>
    <t xml:space="preserve">GD VOL DEL</t>
  </si>
  <si>
    <t xml:space="preserve">GAS DAILY VOL</t>
  </si>
  <si>
    <t xml:space="preserve">EXPIRATION</t>
  </si>
  <si>
    <t xml:space="preserve">RATE</t>
  </si>
  <si>
    <t xml:space="preserve">gas daily premiums</t>
  </si>
  <si>
    <t xml:space="preserve">GAS DAILY VOL CURVE</t>
  </si>
  <si>
    <t xml:space="preserve">FWD START FLAG</t>
  </si>
  <si>
    <t xml:space="preserve">NYMEX SWAP</t>
  </si>
  <si>
    <t xml:space="preserve">SWAP</t>
  </si>
  <si>
    <t xml:space="preserve">index premium</t>
  </si>
  <si>
    <t xml:space="preserve">NYMEX ADJ</t>
  </si>
  <si>
    <t xml:space="preserve">GAS D. VOL ADJ.</t>
  </si>
  <si>
    <t xml:space="preserve">GAS D VOL</t>
  </si>
  <si>
    <t xml:space="preserve">PCT INDEX</t>
  </si>
  <si>
    <t xml:space="preserve">1=call,2=put,3=straddle</t>
  </si>
  <si>
    <t xml:space="preserve">IF-TGT/Z1</t>
  </si>
  <si>
    <t xml:space="preserve">GREEK</t>
  </si>
  <si>
    <t xml:space="preserve">ADJ SWAP</t>
  </si>
  <si>
    <t xml:space="preserve">ADJ VOL1</t>
  </si>
  <si>
    <t xml:space="preserve">FWD VOL</t>
  </si>
  <si>
    <t xml:space="preserve">SKEW 1</t>
  </si>
  <si>
    <t xml:space="preserve">STRIKE1</t>
  </si>
  <si>
    <t xml:space="preserve">FWD STRIKE</t>
  </si>
  <si>
    <t xml:space="preserve">BEG DAYS</t>
  </si>
  <si>
    <t xml:space="preserve">END DAYS</t>
  </si>
  <si>
    <t xml:space="preserve">\</t>
  </si>
  <si>
    <t xml:space="preserve">est</t>
  </si>
  <si>
    <t xml:space="preserve">current</t>
  </si>
  <si>
    <t xml:space="preserve">prior</t>
  </si>
  <si>
    <t xml:space="preserve">pecent</t>
  </si>
  <si>
    <t xml:space="preserve">fixed/float</t>
  </si>
  <si>
    <t xml:space="preserve">index</t>
  </si>
  <si>
    <t xml:space="preserve">physical</t>
  </si>
  <si>
    <t xml:space="preserve">phy</t>
  </si>
  <si>
    <t xml:space="preserve">set</t>
  </si>
  <si>
    <t xml:space="preserve">nwpl</t>
  </si>
  <si>
    <t xml:space="preserve">sj</t>
  </si>
  <si>
    <t xml:space="preserve">socal</t>
  </si>
  <si>
    <t xml:space="preserve">ep perm</t>
  </si>
  <si>
    <t xml:space="preserve">CUSTOM</t>
  </si>
  <si>
    <t xml:space="preserve">ADJ VOL2</t>
  </si>
  <si>
    <t xml:space="preserve">SKEW 2</t>
  </si>
  <si>
    <t xml:space="preserve">STRIKE2</t>
  </si>
  <si>
    <t xml:space="preserve">ADJ VOL3</t>
  </si>
  <si>
    <t xml:space="preserve">SKEW 3</t>
  </si>
  <si>
    <t xml:space="preserve">STRIKE3</t>
  </si>
  <si>
    <t xml:space="preserve">ADJ VOL4</t>
  </si>
  <si>
    <t xml:space="preserve">SKEW 4</t>
  </si>
  <si>
    <t xml:space="preserve">STRIKE4</t>
  </si>
  <si>
    <t xml:space="preserve">PIPE EXP</t>
  </si>
  <si>
    <t xml:space="preserve">OPT EXP</t>
  </si>
  <si>
    <t xml:space="preserve">Skew</t>
  </si>
  <si>
    <t xml:space="preserve">+</t>
  </si>
  <si>
    <t xml:space="preserve">-</t>
  </si>
  <si>
    <t xml:space="preserve">EXT</t>
  </si>
  <si>
    <t xml:space="preserve">Swap  1</t>
  </si>
  <si>
    <t xml:space="preserve">Swap  2</t>
  </si>
  <si>
    <t xml:space="preserve">ero</t>
  </si>
  <si>
    <t xml:space="preserve">swap vol</t>
  </si>
  <si>
    <t xml:space="preserve">disc1</t>
  </si>
  <si>
    <t xml:space="preserve">disc2</t>
  </si>
  <si>
    <t xml:space="preserve">EXP</t>
  </si>
  <si>
    <t xml:space="preserve">Months x</t>
  </si>
  <si>
    <t xml:space="preserve">Months </t>
  </si>
  <si>
    <t xml:space="preserve">rate</t>
  </si>
  <si>
    <t xml:space="preserve">x1h2</t>
  </si>
  <si>
    <t xml:space="preserve">Strike</t>
  </si>
  <si>
    <t xml:space="preserve">x1yr</t>
  </si>
  <si>
    <t xml:space="preserve">PC</t>
  </si>
  <si>
    <t xml:space="preserve">x01 1yr</t>
  </si>
  <si>
    <t xml:space="preserve">VALUE</t>
  </si>
  <si>
    <t xml:space="preserve">crude</t>
  </si>
  <si>
    <t xml:space="preserve">ho</t>
  </si>
  <si>
    <t xml:space="preserve">LOW SULFUR RESID</t>
  </si>
  <si>
    <t xml:space="preserve">PUT/CALL</t>
  </si>
  <si>
    <t xml:space="preserve">UNDERLYING</t>
  </si>
  <si>
    <t xml:space="preserve">Curve Code</t>
  </si>
  <si>
    <t xml:space="preserve">NG</t>
  </si>
  <si>
    <t xml:space="preserve">INTNS</t>
  </si>
  <si>
    <t xml:space="preserve">IF-ANR/OK</t>
  </si>
  <si>
    <t xml:space="preserve">IF-NNG/TOK</t>
  </si>
  <si>
    <t xml:space="preserve">IF-NGPL/LA</t>
  </si>
  <si>
    <t xml:space="preserve">IF-ONG/OKLAHOMA</t>
  </si>
  <si>
    <t xml:space="preserve">IF-TRUNKL/FLDZN</t>
  </si>
  <si>
    <t xml:space="preserve">IF-TRUNKL/LA</t>
  </si>
  <si>
    <t xml:space="preserve">ML7/CG</t>
  </si>
  <si>
    <t xml:space="preserve">IF-COLGULF/LA</t>
  </si>
  <si>
    <t xml:space="preserve">IF-FGT/Z1</t>
  </si>
  <si>
    <t xml:space="preserve">IF-FGT/Z3</t>
  </si>
  <si>
    <t xml:space="preserve">IF-TETCO/ELA</t>
  </si>
  <si>
    <t xml:space="preserve">IF-TETCO/WLA</t>
  </si>
  <si>
    <t xml:space="preserve">IF-TRANSCO/Z1</t>
  </si>
  <si>
    <t xml:space="preserve">IF-TRUNKL/TX</t>
  </si>
  <si>
    <t xml:space="preserve">IF-TRANSCO/Z2</t>
  </si>
  <si>
    <t xml:space="preserve">IF-QUESTAR</t>
  </si>
  <si>
    <t xml:space="preserve">DJ/BASIN/CIG</t>
  </si>
  <si>
    <t xml:space="preserve">IF-VALERO/TX</t>
  </si>
  <si>
    <t xml:space="preserve">IF-TGT/ZSL</t>
  </si>
  <si>
    <t xml:space="preserve">IF-KATY</t>
  </si>
  <si>
    <t xml:space="preserve">IF-TENN/LA_OFF</t>
  </si>
  <si>
    <t xml:space="preserve">GDM-DAWN</t>
  </si>
  <si>
    <t xml:space="preserve">ANR/ML7-GDM</t>
  </si>
  <si>
    <t xml:space="preserve">MICH/CONS</t>
  </si>
  <si>
    <t xml:space="preserve">Curve Type</t>
  </si>
  <si>
    <t xml:space="preserve">PR</t>
  </si>
  <si>
    <t xml:space="preserve">VO</t>
  </si>
  <si>
    <t xml:space="preserve">AA</t>
  </si>
  <si>
    <t xml:space="preserve">Book Code 1</t>
  </si>
  <si>
    <t xml:space="preserve">P</t>
  </si>
  <si>
    <t xml:space="preserve">R</t>
  </si>
  <si>
    <t xml:space="preserve">D</t>
  </si>
  <si>
    <t xml:space="preserve">I</t>
  </si>
  <si>
    <t xml:space="preserve">Risk Type</t>
  </si>
  <si>
    <t xml:space="preserve">NGI/CHI.GATE</t>
  </si>
  <si>
    <t xml:space="preserve">CGPR-DAWN</t>
  </si>
  <si>
    <t xml:space="preserve">MRT-GDM</t>
  </si>
  <si>
    <t xml:space="preserve">IF-TETCO/ETX</t>
  </si>
  <si>
    <t xml:space="preserve">IF-HPL/HSC</t>
  </si>
  <si>
    <t xml:space="preserve">DJ/BASIN/WEST</t>
  </si>
  <si>
    <t xml:space="preserve">LA - Onshore South</t>
  </si>
  <si>
    <t xml:space="preserve">HSC/East TX/Katy</t>
  </si>
  <si>
    <t xml:space="preserve">Ok - Mid Con</t>
  </si>
  <si>
    <t xml:space="preserve">Permian - SJ</t>
  </si>
  <si>
    <t xml:space="preserve">Vent - Demarc</t>
  </si>
  <si>
    <t xml:space="preserve">Market Area:  NE</t>
  </si>
  <si>
    <t xml:space="preserve">Appalachia</t>
  </si>
  <si>
    <t xml:space="preserve">Rockies</t>
  </si>
  <si>
    <t xml:space="preserve">Alberta - Sumas</t>
  </si>
  <si>
    <t xml:space="preserve">Sithe Curve </t>
  </si>
  <si>
    <t xml:space="preserve">Market Area:  Chicago</t>
  </si>
  <si>
    <t xml:space="preserve">FGT</t>
  </si>
  <si>
    <t xml:space="preserve">Transco/Z6</t>
  </si>
  <si>
    <t xml:space="preserve">Date</t>
  </si>
  <si>
    <t xml:space="preserve">Expiration Dates</t>
  </si>
  <si>
    <t xml:space="preserve">Updated on 6/26/97</t>
  </si>
  <si>
    <t xml:space="preserve">NG Futures</t>
  </si>
  <si>
    <t xml:space="preserve">NG Option</t>
  </si>
  <si>
    <t xml:space="preserve">Delivery</t>
  </si>
  <si>
    <t xml:space="preserve">Expiration</t>
  </si>
  <si>
    <t xml:space="preserve">Month</t>
  </si>
</sst>
</file>

<file path=xl/styles.xml><?xml version="1.0" encoding="utf-8"?>
<styleSheet xmlns="http://schemas.openxmlformats.org/spreadsheetml/2006/main">
  <numFmts count="36">
    <numFmt numFmtId="164" formatCode="General"/>
    <numFmt numFmtId="165" formatCode="0.00%"/>
    <numFmt numFmtId="166" formatCode="[$-409]m/d/yyyy"/>
    <numFmt numFmtId="167" formatCode="\$#,##0"/>
    <numFmt numFmtId="168" formatCode="0.0000_);[RED]\(0.0000\)"/>
    <numFmt numFmtId="169" formatCode="[$-409]mmm\-yy"/>
    <numFmt numFmtId="170" formatCode="0.000_);[RED]\(0.000\)"/>
    <numFmt numFmtId="171" formatCode="0.000"/>
    <numFmt numFmtId="172" formatCode="0.00"/>
    <numFmt numFmtId="173" formatCode="0.00000_);[RED]\(0.00000\)"/>
    <numFmt numFmtId="174" formatCode="0.00000"/>
    <numFmt numFmtId="175" formatCode="#,##0.000_);[RED]\(#,##0.000\)"/>
    <numFmt numFmtId="176" formatCode="0.0000"/>
    <numFmt numFmtId="177" formatCode="0"/>
    <numFmt numFmtId="178" formatCode="0.000%"/>
    <numFmt numFmtId="179" formatCode="[$-409]d\-mmm\-yy"/>
    <numFmt numFmtId="180" formatCode="0%"/>
    <numFmt numFmtId="181" formatCode="0_);[RED]\(0\)"/>
    <numFmt numFmtId="182" formatCode="#,##0.00"/>
    <numFmt numFmtId="183" formatCode="0.00_);[RED]\(0.00\)"/>
    <numFmt numFmtId="184" formatCode="#,##0.0000"/>
    <numFmt numFmtId="185" formatCode="0.0000%"/>
    <numFmt numFmtId="186" formatCode="\$#,##0.000"/>
    <numFmt numFmtId="187" formatCode="\$#,##0.000_);[RED]&quot;($&quot;#,##0.000\)"/>
    <numFmt numFmtId="188" formatCode="#,##0"/>
    <numFmt numFmtId="189" formatCode="dd\-mmm\-yy"/>
    <numFmt numFmtId="190" formatCode="mmmm\ d&quot;, &quot;yyyy"/>
    <numFmt numFmtId="191" formatCode="\$#,##0.00_);[RED]&quot;($&quot;#,##0.00\)"/>
    <numFmt numFmtId="192" formatCode="0.0"/>
    <numFmt numFmtId="193" formatCode="[$-409]#,##0_);[RED]\(#,##0\)"/>
    <numFmt numFmtId="194" formatCode="\$#,##0_);[RED]&quot;($&quot;#,##0\)"/>
    <numFmt numFmtId="195" formatCode="mmm\-yyyy"/>
    <numFmt numFmtId="196" formatCode="0.00E+00"/>
    <numFmt numFmtId="197" formatCode="dd\-mmm\-yyyy"/>
    <numFmt numFmtId="198" formatCode="0.0%"/>
    <numFmt numFmtId="199" formatCode="[$-409]#,##0_);\(#,##0\)"/>
  </numFmts>
  <fonts count="5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urier New"/>
      <family val="0"/>
    </font>
    <font>
      <b val="true"/>
      <sz val="6"/>
      <name val="Arial"/>
      <family val="0"/>
    </font>
    <font>
      <b val="true"/>
      <sz val="8"/>
      <name val="MS Sans Serif"/>
      <family val="0"/>
    </font>
    <font>
      <b val="true"/>
      <sz val="8"/>
      <color rgb="FFFF0000"/>
      <name val="MS Sans Serif"/>
      <family val="0"/>
    </font>
    <font>
      <b val="true"/>
      <sz val="6"/>
      <name val="MS Sans Serif"/>
      <family val="0"/>
    </font>
    <font>
      <b val="true"/>
      <sz val="8"/>
      <name val="Arial"/>
      <family val="0"/>
    </font>
    <font>
      <b val="true"/>
      <sz val="6"/>
      <color rgb="FFFF0000"/>
      <name val="Arial"/>
      <family val="2"/>
    </font>
    <font>
      <b val="true"/>
      <sz val="8"/>
      <name val="MS Sans Serif"/>
      <family val="2"/>
    </font>
    <font>
      <b val="true"/>
      <sz val="8"/>
      <color rgb="FFFF0000"/>
      <name val="Arial"/>
      <family val="0"/>
    </font>
    <font>
      <b val="true"/>
      <sz val="8"/>
      <color rgb="FF000080"/>
      <name val="Arial"/>
      <family val="2"/>
    </font>
    <font>
      <b val="true"/>
      <sz val="6"/>
      <color rgb="FF000080"/>
      <name val="Arial"/>
      <family val="2"/>
    </font>
    <font>
      <b val="true"/>
      <sz val="10"/>
      <color rgb="FFFF0000"/>
      <name val="Arial"/>
      <family val="2"/>
    </font>
    <font>
      <b val="true"/>
      <sz val="8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MS Sans Serif"/>
      <family val="2"/>
    </font>
    <font>
      <b val="true"/>
      <sz val="10"/>
      <color rgb="FF000080"/>
      <name val="Arial"/>
      <family val="2"/>
    </font>
    <font>
      <b val="true"/>
      <sz val="10"/>
      <color rgb="FFFF0000"/>
      <name val="MS Sans Serif"/>
      <family val="0"/>
    </font>
    <font>
      <b val="true"/>
      <sz val="10"/>
      <name val="Arial"/>
      <family val="0"/>
    </font>
    <font>
      <b val="true"/>
      <sz val="10"/>
      <color rgb="FF000080"/>
      <name val="MS Sans Serif"/>
      <family val="0"/>
    </font>
    <font>
      <b val="true"/>
      <sz val="10"/>
      <color rgb="FF000080"/>
      <name val="Arial"/>
      <family val="0"/>
    </font>
    <font>
      <b val="true"/>
      <sz val="10"/>
      <color rgb="FF000080"/>
      <name val="MS Sans Serif"/>
      <family val="2"/>
    </font>
    <font>
      <b val="true"/>
      <sz val="6"/>
      <color rgb="FF000000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6"/>
      <color rgb="FFFF0000"/>
      <name val="Arial"/>
      <family val="2"/>
    </font>
    <font>
      <b val="true"/>
      <i val="true"/>
      <sz val="18"/>
      <color rgb="FF000080"/>
      <name val="Arial"/>
      <family val="2"/>
    </font>
    <font>
      <b val="true"/>
      <i val="true"/>
      <sz val="14"/>
      <color rgb="FF000080"/>
      <name val="Arial"/>
      <family val="2"/>
    </font>
    <font>
      <b val="true"/>
      <i val="true"/>
      <sz val="12"/>
      <color rgb="FF000080"/>
      <name val="Arial"/>
      <family val="2"/>
    </font>
    <font>
      <b val="true"/>
      <sz val="8"/>
      <color rgb="FF000080"/>
      <name val="MS Sans Serif"/>
      <family val="0"/>
    </font>
    <font>
      <b val="true"/>
      <sz val="6"/>
      <color rgb="FFFF0000"/>
      <name val="Arial"/>
      <family val="0"/>
    </font>
    <font>
      <b val="true"/>
      <sz val="6"/>
      <color rgb="FFFF0000"/>
      <name val="MS Sans Serif"/>
      <family val="0"/>
    </font>
    <font>
      <sz val="10"/>
      <name val="MS Sans Serif"/>
      <family val="2"/>
    </font>
    <font>
      <b val="true"/>
      <sz val="10"/>
      <name val="MS Sans Serif"/>
      <family val="2"/>
    </font>
    <font>
      <b val="true"/>
      <sz val="12"/>
      <name val="Arial"/>
      <family val="2"/>
    </font>
    <font>
      <b val="true"/>
      <sz val="6"/>
      <name val="MS Sans Serif"/>
      <family val="2"/>
    </font>
    <font>
      <b val="true"/>
      <sz val="6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color rgb="FF000080"/>
      <name val="Times New Roman"/>
      <family val="1"/>
    </font>
    <font>
      <b val="true"/>
      <sz val="10"/>
      <name val="Times New Roman"/>
      <family val="1"/>
    </font>
    <font>
      <b val="true"/>
      <sz val="10"/>
      <color rgb="FF800000"/>
      <name val="Times New Roman"/>
      <family val="1"/>
    </font>
    <font>
      <sz val="8"/>
      <name val="Arial"/>
      <family val="0"/>
    </font>
    <font>
      <sz val="8"/>
      <color rgb="FF0000FF"/>
      <name val="Times New Roman"/>
      <family val="1"/>
    </font>
    <font>
      <b val="true"/>
      <sz val="8"/>
      <color rgb="FF800000"/>
      <name val="Times New Roman"/>
      <family val="1"/>
    </font>
    <font>
      <sz val="8"/>
      <color rgb="FF000080"/>
      <name val="Times New Roman"/>
      <family val="1"/>
    </font>
    <font>
      <b val="true"/>
      <sz val="8"/>
      <name val="Times New Roman"/>
      <family val="1"/>
    </font>
    <font>
      <sz val="8"/>
      <name val="Courier New"/>
      <family val="0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0"/>
      </patternFill>
    </fill>
    <fill>
      <patternFill patternType="solid">
        <fgColor rgb="FFFFFF00"/>
        <bgColor rgb="FFFFFF00"/>
      </patternFill>
    </fill>
    <fill>
      <patternFill patternType="solid">
        <fgColor rgb="FF00CCFF"/>
        <bgColor rgb="FF33CCCC"/>
      </patternFill>
    </fill>
    <fill>
      <patternFill patternType="solid">
        <fgColor rgb="FFA6CAF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0"/>
      </patternFill>
    </fill>
    <fill>
      <patternFill patternType="solid">
        <fgColor rgb="FFFFFFC0"/>
        <bgColor rgb="FFFFFF99"/>
      </patternFill>
    </fill>
    <fill>
      <patternFill patternType="solid">
        <fgColor rgb="FF00FFFF"/>
        <bgColor rgb="FF00FFFF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/>
      <top style="thick"/>
      <bottom style="thick"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/>
      <top style="thin"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/>
      <right style="thick"/>
      <top/>
      <bottom style="thick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medium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2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8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25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2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8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8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8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8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8" fillId="2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2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8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2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3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32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0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5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6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6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0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3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36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36" fillId="3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2" fontId="36" fillId="3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36" fillId="3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36" fillId="3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6" fillId="3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36" fillId="4" borderId="3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36" fillId="4" borderId="3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36" fillId="5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36" fillId="5" borderId="3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36" fillId="4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36" fillId="4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36" fillId="4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36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36" fillId="5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36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36" fillId="4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36" fillId="4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6" fillId="6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36" fillId="6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36" fillId="6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36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36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36" fillId="6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7" fillId="3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6" fillId="6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36" fillId="6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36" fillId="6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36" fillId="6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6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36" fillId="6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36" fillId="6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38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38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38" fillId="3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2" fontId="38" fillId="3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38" fillId="3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38" fillId="3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8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38" fillId="4" borderId="4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38" fillId="4" borderId="4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39" fillId="5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38" fillId="5" borderId="4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39" fillId="5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38" fillId="5" borderId="4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38" fillId="4" borderId="4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8" fillId="3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38" fillId="4" borderId="3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38" fillId="4" borderId="3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39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38" fillId="5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39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38" fillId="5" borderId="3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38" fillId="4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38" fillId="4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38" fillId="4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38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38" fillId="5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38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38" fillId="4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38" fillId="4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8" fillId="6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38" fillId="6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38" fillId="6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39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38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39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38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38" fillId="6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8" fillId="6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38" fillId="6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38" fillId="6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39" fillId="6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38" fillId="6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39" fillId="6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38" fillId="6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38" fillId="6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2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42" fillId="0" borderId="5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2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6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3" fillId="7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3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3" fillId="8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9" fontId="47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8" fillId="0" borderId="29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1" fillId="0" borderId="1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9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1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0" fillId="0" borderId="3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5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3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0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5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5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0" fillId="0" borderId="5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5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5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1" fillId="0" borderId="3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1" fillId="0" borderId="5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1" fillId="0" borderId="2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1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1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1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1" fillId="0" borderId="5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1" fillId="0" borderId="1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1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1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1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1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1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1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1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1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1" fillId="0" borderId="3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1" fillId="0" borderId="4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1" fillId="0" borderId="5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1" fillId="0" borderId="1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urves" xfId="20"/>
    <cellStyle name="Normal_June Options 97" xfId="21"/>
    <cellStyle name="Normal_modelmark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externalLink" Target="externalLinks/externalLink1.xml"/><Relationship Id="rId18" Type="http://schemas.openxmlformats.org/officeDocument/2006/relationships/externalLink" Target="externalLinks/externalLink2.xml"/><Relationship Id="rId1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H:/OPTIONMO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enehou/houston/Global_Trading/Gasdaily/GD%20Vol%20Curves/New%20Vol%20Load%20Fil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PREAD OPTION"/>
      <sheetName val="PIPE OPTION"/>
      <sheetName val="SPREAD STRIPS"/>
      <sheetName val="BS STRIPS"/>
      <sheetName val="STRADDLE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OLS"/>
      <sheetName val="Curves"/>
      <sheetName val="Curve Load"/>
      <sheetName val="Prior VOLS"/>
      <sheetName val="Difference"/>
      <sheetName val="CHANGE"/>
      <sheetName val="Data"/>
      <sheetName val="Copy Pipe Vo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J2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7"/>
    <col collapsed="false" customWidth="true" hidden="false" outlineLevel="0" max="2" min="2" style="1" width="10.99"/>
    <col collapsed="false" customWidth="true" hidden="false" outlineLevel="0" max="4" min="3" style="1" width="9.14"/>
    <col collapsed="false" customWidth="true" hidden="false" outlineLevel="0" max="5" min="5" style="1" width="10.13"/>
    <col collapsed="false" customWidth="true" hidden="false" outlineLevel="0" max="42" min="6" style="1" width="9.14"/>
    <col collapsed="false" customWidth="true" hidden="false" outlineLevel="0" max="78" min="78" style="1" width="9.14"/>
    <col collapsed="false" customWidth="true" hidden="false" outlineLevel="0" max="113" min="113" style="1" width="9.14"/>
    <col collapsed="false" customWidth="true" hidden="false" outlineLevel="0" max="148" min="148" style="1" width="9.14"/>
  </cols>
  <sheetData>
    <row r="1" customFormat="false" ht="12.75" hidden="false" customHeight="false" outlineLevel="0" collapsed="false">
      <c r="A1" s="2"/>
      <c r="B1" s="3"/>
      <c r="C1" s="4"/>
      <c r="D1" s="5" t="s">
        <v>0</v>
      </c>
      <c r="E1" s="5" t="n">
        <f aca="false">summerstrip</f>
        <v>0</v>
      </c>
      <c r="F1" s="5"/>
      <c r="G1" s="6" t="s">
        <v>1</v>
      </c>
      <c r="I1" s="0"/>
      <c r="J1" s="0" t="s">
        <v>2</v>
      </c>
      <c r="K1" s="0"/>
      <c r="L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</row>
    <row r="2" customFormat="false" ht="12.75" hidden="false" customHeight="false" outlineLevel="0" collapsed="false">
      <c r="A2" s="2" t="s">
        <v>3</v>
      </c>
      <c r="B2" s="7" t="n">
        <f aca="true">TODAY()</f>
        <v>45927</v>
      </c>
      <c r="C2" s="4"/>
      <c r="D2" s="5" t="s">
        <v>4</v>
      </c>
      <c r="E2" s="5" t="n">
        <f aca="false">winterstrip</f>
        <v>0</v>
      </c>
      <c r="F2" s="5"/>
      <c r="G2" s="5"/>
      <c r="I2" s="0"/>
      <c r="K2" s="0" t="s">
        <v>5</v>
      </c>
      <c r="L2" s="0" t="s">
        <v>6</v>
      </c>
      <c r="O2" s="0"/>
      <c r="P2" s="0"/>
      <c r="Q2" s="0"/>
      <c r="S2" s="0"/>
      <c r="T2" s="0"/>
      <c r="U2" s="0"/>
      <c r="V2" s="0"/>
      <c r="W2" s="0"/>
      <c r="X2" s="0"/>
      <c r="Z2" s="0"/>
      <c r="AA2" s="0"/>
      <c r="AB2" s="0"/>
      <c r="AC2" s="0"/>
      <c r="AD2" s="0"/>
      <c r="AE2" s="0"/>
      <c r="AG2" s="0"/>
      <c r="AH2" s="0"/>
      <c r="AI2" s="0"/>
      <c r="AJ2" s="0"/>
      <c r="AK2" s="0"/>
      <c r="AL2" s="0"/>
      <c r="AP2" s="8"/>
      <c r="BZ2" s="8"/>
      <c r="DI2" s="8"/>
      <c r="ER2" s="8"/>
    </row>
    <row r="3" customFormat="false" ht="12.75" hidden="false" customHeight="false" outlineLevel="0" collapsed="false">
      <c r="A3" s="5" t="s">
        <v>7</v>
      </c>
      <c r="B3" s="9" t="str">
        <f aca="false">STRADDLES!G2</f>
        <v>IF-NGPL/MIDCON</v>
      </c>
      <c r="D3" s="9" t="str">
        <f aca="false">STRADDLES!H2</f>
        <v>NGI-SOCAL</v>
      </c>
      <c r="E3" s="10"/>
      <c r="F3" s="9" t="str">
        <f aca="false">STRADDLES!I2</f>
        <v>IF-NWPL_ROCKY_M</v>
      </c>
      <c r="H3" s="9" t="str">
        <f aca="false">STRADDLES!J2</f>
        <v>IF-NWPL_ROCKY_M</v>
      </c>
      <c r="I3" s="10"/>
      <c r="J3" s="1" t="n">
        <v>-1</v>
      </c>
      <c r="K3" s="11" t="e">
        <f aca="false">#REF!</f>
        <v>#REF!</v>
      </c>
      <c r="L3" s="11" t="e">
        <f aca="false">#REF!</f>
        <v>#REF!</v>
      </c>
      <c r="O3" s="10"/>
      <c r="P3" s="10"/>
      <c r="Q3" s="10"/>
      <c r="S3" s="10"/>
      <c r="T3" s="10"/>
      <c r="U3" s="10"/>
      <c r="V3" s="10"/>
      <c r="W3" s="10"/>
      <c r="X3" s="10"/>
      <c r="Z3" s="10"/>
      <c r="AA3" s="10"/>
      <c r="AB3" s="10"/>
      <c r="AC3" s="10"/>
      <c r="AD3" s="10"/>
      <c r="AE3" s="10"/>
      <c r="AG3" s="10"/>
      <c r="AH3" s="10"/>
      <c r="AI3" s="10"/>
      <c r="AJ3" s="10"/>
      <c r="AK3" s="10"/>
      <c r="AL3" s="10"/>
      <c r="AP3" s="8"/>
      <c r="BZ3" s="8"/>
      <c r="DI3" s="8"/>
      <c r="ER3" s="8"/>
    </row>
    <row r="4" customFormat="false" ht="12.75" hidden="false" customHeight="false" outlineLevel="0" collapsed="false">
      <c r="A4" s="5"/>
      <c r="B4" s="9" t="str">
        <f aca="false">STRADDLES!G3</f>
        <v>nymex</v>
      </c>
      <c r="D4" s="9" t="str">
        <f aca="false">STRADDLES!H3</f>
        <v>nymex</v>
      </c>
      <c r="E4" s="5"/>
      <c r="F4" s="9" t="str">
        <f aca="false">STRADDLES!I3</f>
        <v>nymex</v>
      </c>
      <c r="H4" s="9" t="str">
        <f aca="false">STRADDLES!J3</f>
        <v>nymex</v>
      </c>
      <c r="I4" s="10"/>
      <c r="K4" s="11"/>
      <c r="L4" s="11"/>
      <c r="O4" s="10"/>
      <c r="P4" s="10"/>
      <c r="Q4" s="10"/>
      <c r="S4" s="10"/>
      <c r="T4" s="10"/>
      <c r="U4" s="10"/>
      <c r="V4" s="10"/>
      <c r="W4" s="10"/>
      <c r="X4" s="10"/>
      <c r="Z4" s="10"/>
      <c r="AA4" s="10"/>
      <c r="AB4" s="10"/>
      <c r="AC4" s="10"/>
      <c r="AD4" s="10"/>
      <c r="AE4" s="10"/>
      <c r="AG4" s="10"/>
      <c r="AH4" s="10"/>
      <c r="AI4" s="10"/>
      <c r="AJ4" s="10"/>
      <c r="AK4" s="10"/>
      <c r="AL4" s="10"/>
      <c r="AP4" s="8"/>
      <c r="BZ4" s="8"/>
      <c r="DI4" s="8"/>
      <c r="ER4" s="8"/>
    </row>
    <row r="5" customFormat="false" ht="12.75" hidden="false" customHeight="false" outlineLevel="0" collapsed="false">
      <c r="A5" s="5"/>
      <c r="B5" s="5" t="s">
        <v>8</v>
      </c>
      <c r="D5" s="5" t="s">
        <v>9</v>
      </c>
      <c r="F5" s="5" t="s">
        <v>10</v>
      </c>
      <c r="H5" s="5" t="s">
        <v>11</v>
      </c>
      <c r="K5" s="11" t="e">
        <f aca="false">#REF!</f>
        <v>#REF!</v>
      </c>
      <c r="L5" s="11" t="e">
        <f aca="false">#REF!</f>
        <v>#REF!</v>
      </c>
      <c r="AP5" s="8"/>
      <c r="BZ5" s="8"/>
      <c r="DI5" s="8"/>
      <c r="ER5" s="8"/>
    </row>
    <row r="6" customFormat="false" ht="12.75" hidden="false" customHeight="false" outlineLevel="0" collapsed="false">
      <c r="A6" s="5" t="s">
        <v>12</v>
      </c>
      <c r="B6" s="12" t="n">
        <f aca="false">STRADDLES!G4</f>
        <v>37257</v>
      </c>
      <c r="C6" s="13"/>
      <c r="D6" s="12" t="n">
        <f aca="false">STRADDLES!H4</f>
        <v>37347</v>
      </c>
      <c r="E6" s="13"/>
      <c r="F6" s="12" t="n">
        <f aca="false">STRADDLES!I4</f>
        <v>37347</v>
      </c>
      <c r="G6" s="13"/>
      <c r="H6" s="12" t="n">
        <f aca="false">STRADDLES!J4</f>
        <v>37226</v>
      </c>
      <c r="K6" s="11" t="e">
        <f aca="false">#REF!</f>
        <v>#REF!</v>
      </c>
      <c r="L6" s="11" t="e">
        <f aca="false">#REF!</f>
        <v>#REF!</v>
      </c>
      <c r="M6" s="5"/>
      <c r="N6" s="14"/>
      <c r="AP6" s="8"/>
      <c r="BZ6" s="8"/>
      <c r="DI6" s="8"/>
      <c r="ER6" s="8"/>
    </row>
    <row r="7" customFormat="false" ht="12.75" hidden="false" customHeight="false" outlineLevel="0" collapsed="false">
      <c r="A7" s="2" t="s">
        <v>13</v>
      </c>
      <c r="B7" s="12" t="n">
        <f aca="false">STRADDLES!G5</f>
        <v>38261</v>
      </c>
      <c r="C7" s="13"/>
      <c r="D7" s="12" t="n">
        <f aca="false">STRADDLES!H5</f>
        <v>37530</v>
      </c>
      <c r="E7" s="13"/>
      <c r="F7" s="12" t="n">
        <f aca="false">STRADDLES!I5</f>
        <v>37530</v>
      </c>
      <c r="G7" s="13"/>
      <c r="H7" s="12" t="n">
        <f aca="false">STRADDLES!J5</f>
        <v>37316</v>
      </c>
      <c r="K7" s="15"/>
      <c r="L7" s="16"/>
      <c r="M7" s="2"/>
      <c r="N7" s="14"/>
      <c r="AP7" s="8"/>
      <c r="BZ7" s="8"/>
      <c r="DI7" s="8"/>
      <c r="ER7" s="8"/>
    </row>
    <row r="8" customFormat="false" ht="12.75" hidden="false" customHeight="false" outlineLevel="0" collapsed="false">
      <c r="A8" s="17"/>
      <c r="B8" s="18"/>
      <c r="C8" s="19"/>
      <c r="D8" s="18"/>
      <c r="E8" s="19"/>
      <c r="F8" s="18"/>
      <c r="G8" s="19"/>
      <c r="H8" s="18"/>
      <c r="I8" s="19"/>
      <c r="M8" s="17"/>
      <c r="N8" s="20"/>
      <c r="O8" s="19"/>
      <c r="P8" s="19"/>
      <c r="Q8" s="19"/>
      <c r="S8" s="19"/>
      <c r="T8" s="19"/>
      <c r="U8" s="19"/>
      <c r="V8" s="19"/>
      <c r="W8" s="19"/>
      <c r="X8" s="19"/>
      <c r="Z8" s="19"/>
      <c r="AA8" s="19"/>
      <c r="AB8" s="19"/>
      <c r="AC8" s="19"/>
      <c r="AD8" s="19"/>
      <c r="AE8" s="19"/>
      <c r="AG8" s="19"/>
      <c r="AH8" s="19"/>
      <c r="AI8" s="19"/>
      <c r="AJ8" s="19"/>
      <c r="AK8" s="19"/>
      <c r="AP8" s="8"/>
      <c r="BZ8" s="8"/>
      <c r="DI8" s="8"/>
      <c r="ER8" s="8"/>
    </row>
    <row r="9" customFormat="false" ht="12.75" hidden="false" customHeight="false" outlineLevel="0" collapsed="false">
      <c r="A9" s="17" t="s">
        <v>14</v>
      </c>
      <c r="B9" s="18" t="n">
        <f aca="false">AS31-AT31</f>
        <v>-0.148857487922705</v>
      </c>
      <c r="C9" s="19"/>
      <c r="D9" s="18" t="n">
        <f aca="false">CC31-CD31</f>
        <v>0.0254672897196269</v>
      </c>
      <c r="E9" s="19"/>
      <c r="F9" s="18" t="n">
        <f aca="false">DL31-DM31</f>
        <v>-0.541542056074766</v>
      </c>
      <c r="G9" s="19"/>
      <c r="H9" s="18" t="n">
        <f aca="false">EU31-EV31</f>
        <v>-0.300666666666666</v>
      </c>
      <c r="I9" s="19"/>
      <c r="J9" s="9"/>
      <c r="L9" s="9"/>
      <c r="M9" s="17"/>
      <c r="N9" s="20"/>
      <c r="O9" s="19"/>
      <c r="P9" s="19"/>
      <c r="Q9" s="19"/>
      <c r="S9" s="19"/>
      <c r="T9" s="19"/>
      <c r="U9" s="19"/>
      <c r="V9" s="19"/>
      <c r="W9" s="19"/>
      <c r="X9" s="19"/>
      <c r="Z9" s="19"/>
      <c r="AA9" s="19"/>
      <c r="AB9" s="19"/>
      <c r="AC9" s="19"/>
      <c r="AD9" s="19"/>
      <c r="AE9" s="19"/>
      <c r="AG9" s="19"/>
      <c r="AH9" s="19"/>
      <c r="AI9" s="19"/>
      <c r="AJ9" s="19"/>
      <c r="AK9" s="19"/>
      <c r="AP9" s="8"/>
      <c r="BZ9" s="8"/>
      <c r="DI9" s="8"/>
      <c r="ER9" s="8"/>
    </row>
    <row r="10" customFormat="false" ht="12.75" hidden="false" customHeight="false" outlineLevel="0" collapsed="false">
      <c r="A10" s="17" t="s">
        <v>15</v>
      </c>
      <c r="B10" s="18" t="n">
        <f aca="false">AT31</f>
        <v>3.15226859903382</v>
      </c>
      <c r="C10" s="19"/>
      <c r="D10" s="18" t="n">
        <f aca="false">CD31</f>
        <v>2.8959953271028</v>
      </c>
      <c r="E10" s="19"/>
      <c r="F10" s="18" t="n">
        <f aca="false">DM31</f>
        <v>2.8959953271028</v>
      </c>
      <c r="G10" s="19"/>
      <c r="H10" s="18" t="n">
        <f aca="false">EV31</f>
        <v>2.7682</v>
      </c>
      <c r="I10" s="0"/>
      <c r="M10" s="21"/>
      <c r="N10" s="22"/>
      <c r="O10" s="19"/>
      <c r="P10" s="19"/>
      <c r="Q10" s="19"/>
      <c r="S10" s="19"/>
      <c r="T10" s="19"/>
      <c r="U10" s="19"/>
      <c r="V10" s="19"/>
      <c r="W10" s="19"/>
      <c r="X10" s="19"/>
      <c r="Z10" s="19"/>
      <c r="AA10" s="19"/>
      <c r="AB10" s="19"/>
      <c r="AC10" s="19"/>
      <c r="AD10" s="19"/>
      <c r="AE10" s="19"/>
      <c r="AG10" s="19"/>
      <c r="AH10" s="19"/>
      <c r="AI10" s="19"/>
      <c r="AJ10" s="19"/>
      <c r="AK10" s="19"/>
      <c r="AP10" s="8"/>
      <c r="BZ10" s="8"/>
      <c r="DI10" s="8"/>
      <c r="ER10" s="8"/>
    </row>
    <row r="11" customFormat="false" ht="12.75" hidden="false" customHeight="false" outlineLevel="0" collapsed="false">
      <c r="I11" s="0"/>
      <c r="J11" s="9"/>
      <c r="K11" s="9" t="s">
        <v>16</v>
      </c>
      <c r="L11" s="9"/>
      <c r="M11" s="21"/>
      <c r="N11" s="22"/>
      <c r="O11" s="19"/>
      <c r="P11" s="19"/>
      <c r="Q11" s="19"/>
      <c r="S11" s="19"/>
      <c r="T11" s="19"/>
      <c r="U11" s="19"/>
      <c r="V11" s="19"/>
      <c r="W11" s="19"/>
      <c r="X11" s="19"/>
      <c r="Z11" s="19"/>
      <c r="AA11" s="19"/>
      <c r="AB11" s="19"/>
      <c r="AC11" s="19"/>
      <c r="AD11" s="19"/>
      <c r="AE11" s="19"/>
      <c r="AG11" s="19"/>
      <c r="AH11" s="19"/>
      <c r="AI11" s="19"/>
      <c r="AJ11" s="19"/>
      <c r="AK11" s="19"/>
      <c r="AP11" s="8"/>
      <c r="BZ11" s="8"/>
      <c r="DI11" s="8"/>
      <c r="ER11" s="8"/>
    </row>
    <row r="12" customFormat="false" ht="12.75" hidden="false" customHeight="false" outlineLevel="0" collapsed="false">
      <c r="A12" s="17" t="s">
        <v>17</v>
      </c>
      <c r="B12" s="23" t="n">
        <f aca="false">STRADDLES!G8</f>
        <v>0</v>
      </c>
      <c r="C12" s="24"/>
      <c r="D12" s="23" t="n">
        <f aca="false">STRADDLES!H8</f>
        <v>0</v>
      </c>
      <c r="E12" s="24"/>
      <c r="F12" s="23" t="n">
        <f aca="false">STRADDLES!I8</f>
        <v>0</v>
      </c>
      <c r="G12" s="24"/>
      <c r="H12" s="23" t="n">
        <f aca="false">STRADDLES!J8</f>
        <v>0.06</v>
      </c>
      <c r="I12" s="0"/>
      <c r="J12" s="9"/>
      <c r="K12" s="9" t="s">
        <v>18</v>
      </c>
      <c r="L12" s="9"/>
      <c r="M12" s="21"/>
      <c r="N12" s="25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P12" s="8"/>
      <c r="BZ12" s="8"/>
      <c r="DI12" s="8"/>
      <c r="ER12" s="8"/>
    </row>
    <row r="13" customFormat="false" ht="12.75" hidden="false" customHeight="false" outlineLevel="0" collapsed="false">
      <c r="A13" s="17" t="s">
        <v>19</v>
      </c>
      <c r="B13" s="23" t="n">
        <v>0</v>
      </c>
      <c r="C13" s="24"/>
      <c r="D13" s="23" t="n">
        <v>0</v>
      </c>
      <c r="E13" s="24"/>
      <c r="F13" s="23" t="n">
        <v>0</v>
      </c>
      <c r="G13" s="24"/>
      <c r="H13" s="23" t="n">
        <v>0</v>
      </c>
      <c r="I13" s="0"/>
      <c r="J13" s="9"/>
      <c r="K13" s="9" t="s">
        <v>16</v>
      </c>
      <c r="L13" s="9"/>
      <c r="M13" s="21"/>
      <c r="N13" s="25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O13" s="10"/>
      <c r="AP13" s="8"/>
      <c r="BZ13" s="8"/>
      <c r="DI13" s="8"/>
      <c r="ER13" s="8"/>
    </row>
    <row r="14" customFormat="false" ht="12.75" hidden="false" customHeight="false" outlineLevel="0" collapsed="false">
      <c r="A14" s="21" t="s">
        <v>20</v>
      </c>
      <c r="B14" s="27" t="n">
        <f aca="false">STRADDLES!G9</f>
        <v>0</v>
      </c>
      <c r="C14" s="27" t="n">
        <v>0</v>
      </c>
      <c r="D14" s="27" t="n">
        <f aca="false">STRADDLES!H9</f>
        <v>0</v>
      </c>
      <c r="E14" s="27"/>
      <c r="F14" s="27" t="n">
        <f aca="false">STRADDLES!I9</f>
        <v>0</v>
      </c>
      <c r="G14" s="27"/>
      <c r="H14" s="27" t="n">
        <f aca="false">STRADDLES!J9</f>
        <v>0</v>
      </c>
      <c r="I14" s="0"/>
      <c r="J14" s="8"/>
      <c r="K14" s="9" t="s">
        <v>21</v>
      </c>
      <c r="L14" s="9"/>
      <c r="M14" s="21"/>
      <c r="N14" s="25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O14" s="10"/>
      <c r="AP14" s="8"/>
      <c r="BZ14" s="8"/>
      <c r="DI14" s="8"/>
      <c r="ER14" s="8"/>
    </row>
    <row r="15" customFormat="false" ht="12.75" hidden="false" customHeight="false" outlineLevel="0" collapsed="false">
      <c r="A15" s="21" t="s">
        <v>22</v>
      </c>
      <c r="B15" s="27" t="n">
        <v>0</v>
      </c>
      <c r="C15" s="27"/>
      <c r="D15" s="27" t="n">
        <v>0</v>
      </c>
      <c r="E15" s="27"/>
      <c r="F15" s="27" t="n">
        <v>0</v>
      </c>
      <c r="G15" s="27"/>
      <c r="H15" s="27" t="n">
        <v>0</v>
      </c>
      <c r="I15" s="0"/>
      <c r="J15" s="8"/>
      <c r="K15" s="9"/>
      <c r="L15" s="9"/>
      <c r="M15" s="21"/>
      <c r="N15" s="25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O15" s="10"/>
      <c r="AP15" s="8"/>
      <c r="BZ15" s="8"/>
      <c r="DI15" s="8"/>
      <c r="ER15" s="8"/>
    </row>
    <row r="16" customFormat="false" ht="12.75" hidden="false" customHeight="false" outlineLevel="0" collapsed="false">
      <c r="A16" s="21" t="s">
        <v>23</v>
      </c>
      <c r="B16" s="27" t="n">
        <f aca="false">STRADDLES!G10</f>
        <v>0.0045</v>
      </c>
      <c r="C16" s="29"/>
      <c r="D16" s="27" t="n">
        <f aca="false">STRADDLES!H10</f>
        <v>0</v>
      </c>
      <c r="E16" s="30"/>
      <c r="F16" s="27" t="n">
        <f aca="false">STRADDLES!I10</f>
        <v>0</v>
      </c>
      <c r="G16" s="30" t="n">
        <v>0</v>
      </c>
      <c r="H16" s="27" t="n">
        <f aca="false">STRADDLES!J10</f>
        <v>0</v>
      </c>
      <c r="I16" s="0"/>
      <c r="K16" s="9" t="s">
        <v>24</v>
      </c>
      <c r="M16" s="31"/>
      <c r="N16" s="32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P16" s="8"/>
      <c r="BZ16" s="8"/>
      <c r="DI16" s="8"/>
      <c r="ER16" s="8"/>
    </row>
    <row r="17" customFormat="false" ht="12.75" hidden="false" customHeight="false" outlineLevel="0" collapsed="false">
      <c r="A17" s="17" t="s">
        <v>25</v>
      </c>
      <c r="B17" s="27" t="n">
        <f aca="false">BJ31</f>
        <v>0.999</v>
      </c>
      <c r="C17" s="24"/>
      <c r="D17" s="27" t="n">
        <f aca="false">CT31</f>
        <v>0.87</v>
      </c>
      <c r="E17" s="24"/>
      <c r="F17" s="27" t="n">
        <f aca="false">EC31</f>
        <v>0.92</v>
      </c>
      <c r="G17" s="24"/>
      <c r="H17" s="27" t="n">
        <f aca="false">FL31</f>
        <v>0.88</v>
      </c>
      <c r="I17" s="0"/>
      <c r="K17" s="9" t="s">
        <v>26</v>
      </c>
      <c r="L17" s="9"/>
      <c r="M17" s="21"/>
      <c r="N17" s="33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P17" s="8"/>
      <c r="BZ17" s="8"/>
      <c r="DI17" s="8"/>
      <c r="ER17" s="8"/>
    </row>
    <row r="18" customFormat="false" ht="12.75" hidden="false" customHeight="false" outlineLevel="0" collapsed="false">
      <c r="A18" s="1" t="s">
        <v>27</v>
      </c>
      <c r="B18" s="1" t="n">
        <f aca="false">STRADDLES!G12</f>
        <v>0</v>
      </c>
      <c r="D18" s="1" t="n">
        <f aca="false">STRADDLES!H12</f>
        <v>0</v>
      </c>
      <c r="F18" s="1" t="n">
        <f aca="false">STRADDLES!I12</f>
        <v>0</v>
      </c>
      <c r="H18" s="1" t="n">
        <f aca="false">STRADDLES!J12</f>
        <v>0</v>
      </c>
      <c r="I18" s="0"/>
      <c r="J18" s="9"/>
      <c r="K18" s="9" t="s">
        <v>28</v>
      </c>
      <c r="L18" s="9"/>
      <c r="M18" s="21"/>
      <c r="N18" s="33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P18" s="8"/>
      <c r="BZ18" s="8"/>
      <c r="DI18" s="8"/>
      <c r="ER18" s="8"/>
    </row>
    <row r="19" customFormat="false" ht="12.75" hidden="false" customHeight="false" outlineLevel="0" collapsed="false">
      <c r="A19" s="21" t="s">
        <v>29</v>
      </c>
      <c r="B19" s="34" t="n">
        <f aca="false">STRADDLES!G14</f>
        <v>-0.2</v>
      </c>
      <c r="C19" s="30"/>
      <c r="D19" s="34" t="n">
        <f aca="false">STRADDLES!H14</f>
        <v>0</v>
      </c>
      <c r="E19" s="30"/>
      <c r="F19" s="34" t="n">
        <f aca="false">STRADDLES!I14</f>
        <v>-0.6</v>
      </c>
      <c r="G19" s="30"/>
      <c r="H19" s="34" t="n">
        <f aca="false">STRADDLES!J14</f>
        <v>-0.45</v>
      </c>
      <c r="I19" s="0"/>
      <c r="K19" s="9" t="s">
        <v>30</v>
      </c>
      <c r="N19" s="33"/>
    </row>
    <row r="20" customFormat="false" ht="12.75" hidden="false" customHeight="false" outlineLevel="0" collapsed="false">
      <c r="A20" s="21" t="s">
        <v>31</v>
      </c>
      <c r="B20" s="35" t="n">
        <f aca="false">STRADDLES!G13</f>
        <v>0</v>
      </c>
      <c r="C20" s="30"/>
      <c r="D20" s="35" t="n">
        <f aca="false">STRADDLES!H13</f>
        <v>0</v>
      </c>
      <c r="E20" s="30"/>
      <c r="F20" s="35" t="n">
        <f aca="false">STRADDLES!I13</f>
        <v>0</v>
      </c>
      <c r="G20" s="30"/>
      <c r="H20" s="35" t="n">
        <f aca="false">STRADDLES!J13</f>
        <v>1</v>
      </c>
      <c r="I20" s="0"/>
      <c r="K20" s="9" t="s">
        <v>32</v>
      </c>
      <c r="N20" s="33"/>
    </row>
    <row r="21" customFormat="false" ht="12.75" hidden="false" customHeight="false" outlineLevel="0" collapsed="false">
      <c r="I21" s="0"/>
      <c r="K21" s="9" t="s">
        <v>33</v>
      </c>
      <c r="N21" s="33"/>
      <c r="AM21" s="33" t="n">
        <f aca="false">FL$31</f>
        <v>0.88</v>
      </c>
    </row>
    <row r="22" customFormat="false" ht="12.75" hidden="false" customHeight="false" outlineLevel="0" collapsed="false">
      <c r="A22" s="21" t="s">
        <v>34</v>
      </c>
      <c r="B22" s="33" t="e">
        <f aca="false">BL$31</f>
        <v>#NAME?</v>
      </c>
      <c r="C22" s="26"/>
      <c r="D22" s="33" t="e">
        <f aca="false">CV$31</f>
        <v>#NAME?</v>
      </c>
      <c r="E22" s="26"/>
      <c r="F22" s="33" t="e">
        <f aca="false">EE$31</f>
        <v>#NAME?</v>
      </c>
      <c r="G22" s="26"/>
      <c r="H22" s="33" t="e">
        <f aca="false">FN$31</f>
        <v>#NAME?</v>
      </c>
      <c r="K22" s="9" t="s">
        <v>35</v>
      </c>
      <c r="AM22" s="33" t="e">
        <f aca="false">FN$31</f>
        <v>#NAME?</v>
      </c>
    </row>
    <row r="23" customFormat="false" ht="12.75" hidden="false" customHeight="false" outlineLevel="0" collapsed="false">
      <c r="A23" s="21" t="s">
        <v>36</v>
      </c>
      <c r="B23" s="33" t="e">
        <f aca="false">BM$31</f>
        <v>#NAME?</v>
      </c>
      <c r="C23" s="26"/>
      <c r="D23" s="33" t="e">
        <f aca="false">CW$31</f>
        <v>#NAME?</v>
      </c>
      <c r="E23" s="26"/>
      <c r="F23" s="33" t="e">
        <f aca="false">EF$31</f>
        <v>#NAME?</v>
      </c>
      <c r="G23" s="26"/>
      <c r="H23" s="33" t="e">
        <f aca="false">FO$31</f>
        <v>#NAME?</v>
      </c>
      <c r="K23" s="9" t="s">
        <v>37</v>
      </c>
      <c r="AM23" s="33" t="e">
        <f aca="false">FO$31</f>
        <v>#NAME?</v>
      </c>
    </row>
    <row r="24" customFormat="false" ht="12.75" hidden="false" customHeight="false" outlineLevel="0" collapsed="false">
      <c r="A24" s="21" t="s">
        <v>38</v>
      </c>
      <c r="B24" s="33" t="e">
        <f aca="false">BN$31</f>
        <v>#NAME?</v>
      </c>
      <c r="C24" s="36" t="e">
        <f aca="false">B24+B23</f>
        <v>#NAME?</v>
      </c>
      <c r="D24" s="33" t="e">
        <f aca="false">CX$31</f>
        <v>#NAME?</v>
      </c>
      <c r="E24" s="36" t="e">
        <f aca="false">D24+D23</f>
        <v>#NAME?</v>
      </c>
      <c r="F24" s="33" t="e">
        <f aca="false">EG$31</f>
        <v>#NAME?</v>
      </c>
      <c r="G24" s="26"/>
      <c r="H24" s="33" t="e">
        <f aca="false">FP$31</f>
        <v>#NAME?</v>
      </c>
      <c r="K24" s="9" t="s">
        <v>39</v>
      </c>
      <c r="AM24" s="33" t="e">
        <f aca="false">FP$31</f>
        <v>#NAME?</v>
      </c>
    </row>
    <row r="25" customFormat="false" ht="12.75" hidden="false" customHeight="false" outlineLevel="0" collapsed="false">
      <c r="A25" s="21" t="s">
        <v>40</v>
      </c>
      <c r="B25" s="33" t="e">
        <f aca="false">BO$31</f>
        <v>#NAME?</v>
      </c>
      <c r="C25" s="26" t="e">
        <f aca="false">C24*900000</f>
        <v>#NAME?</v>
      </c>
      <c r="D25" s="33" t="e">
        <f aca="false">CY$31</f>
        <v>#NAME?</v>
      </c>
      <c r="E25" s="26" t="e">
        <f aca="false">E24*900000</f>
        <v>#NAME?</v>
      </c>
      <c r="F25" s="33" t="e">
        <f aca="false">EH$31</f>
        <v>#NAME?</v>
      </c>
      <c r="G25" s="26"/>
      <c r="H25" s="33" t="e">
        <f aca="false">FQ$31</f>
        <v>#NAME?</v>
      </c>
      <c r="K25" s="9" t="s">
        <v>41</v>
      </c>
      <c r="AM25" s="33" t="e">
        <f aca="false">FQ$31</f>
        <v>#NAME?</v>
      </c>
    </row>
    <row r="26" customFormat="false" ht="12.75" hidden="false" customHeight="false" outlineLevel="0" collapsed="false">
      <c r="A26" s="21" t="s">
        <v>42</v>
      </c>
      <c r="B26" s="33" t="e">
        <f aca="false">BP$31</f>
        <v>#NAME?</v>
      </c>
      <c r="C26" s="26"/>
      <c r="D26" s="33" t="e">
        <f aca="false">CZ$31</f>
        <v>#NAME?</v>
      </c>
      <c r="E26" s="26"/>
      <c r="F26" s="33" t="e">
        <f aca="false">EI$31</f>
        <v>#NAME?</v>
      </c>
      <c r="G26" s="26"/>
      <c r="H26" s="33" t="e">
        <f aca="false">FR$31</f>
        <v>#NAME?</v>
      </c>
      <c r="K26" s="9"/>
      <c r="AM26" s="33" t="e">
        <f aca="false">FR$31</f>
        <v>#NAME?</v>
      </c>
    </row>
    <row r="27" customFormat="false" ht="12.75" hidden="false" customHeight="false" outlineLevel="0" collapsed="false">
      <c r="A27" s="21" t="s">
        <v>43</v>
      </c>
      <c r="B27" s="33" t="e">
        <f aca="false">BQ$31</f>
        <v>#NAME?</v>
      </c>
      <c r="C27" s="36" t="e">
        <f aca="false">B28+B27</f>
        <v>#NAME?</v>
      </c>
      <c r="D27" s="33" t="e">
        <f aca="false">DA$31</f>
        <v>#NAME?</v>
      </c>
      <c r="E27" s="36" t="e">
        <f aca="false">D28+D27</f>
        <v>#NAME?</v>
      </c>
      <c r="F27" s="33" t="e">
        <f aca="false">EJ$31</f>
        <v>#NAME?</v>
      </c>
      <c r="G27" s="26"/>
      <c r="H27" s="33" t="e">
        <f aca="false">FS$31</f>
        <v>#NAME?</v>
      </c>
      <c r="K27" s="9"/>
      <c r="AM27" s="33" t="e">
        <f aca="false">FS$31</f>
        <v>#NAME?</v>
      </c>
    </row>
    <row r="28" customFormat="false" ht="12.75" hidden="false" customHeight="false" outlineLevel="0" collapsed="false">
      <c r="A28" s="21" t="s">
        <v>44</v>
      </c>
      <c r="B28" s="33" t="e">
        <f aca="false">BR$31</f>
        <v>#NAME?</v>
      </c>
      <c r="C28" s="26" t="e">
        <f aca="false">C27*900000</f>
        <v>#NAME?</v>
      </c>
      <c r="D28" s="33" t="e">
        <f aca="false">DB$31</f>
        <v>#NAME?</v>
      </c>
      <c r="E28" s="26" t="e">
        <f aca="false">E27*900000</f>
        <v>#NAME?</v>
      </c>
      <c r="F28" s="33" t="e">
        <f aca="false">EK$31</f>
        <v>#NAME?</v>
      </c>
      <c r="G28" s="26"/>
      <c r="H28" s="33" t="e">
        <f aca="false">FT$31</f>
        <v>#NAME?</v>
      </c>
      <c r="K28" s="9" t="n">
        <v>0.7</v>
      </c>
      <c r="AM28" s="33" t="e">
        <f aca="false">FT$31</f>
        <v>#NAME?</v>
      </c>
    </row>
    <row r="29" customFormat="false" ht="12.75" hidden="false" customHeight="false" outlineLevel="0" collapsed="false">
      <c r="A29" s="21" t="s">
        <v>45</v>
      </c>
      <c r="B29" s="33" t="e">
        <f aca="false">BS$31</f>
        <v>#NAME?</v>
      </c>
      <c r="C29" s="26"/>
      <c r="D29" s="33" t="e">
        <f aca="false">DC$31</f>
        <v>#NAME?</v>
      </c>
      <c r="E29" s="26"/>
      <c r="F29" s="33" t="e">
        <f aca="false">EL$31</f>
        <v>#NAME?</v>
      </c>
      <c r="G29" s="26"/>
      <c r="H29" s="33" t="e">
        <f aca="false">FU$31</f>
        <v>#NAME?</v>
      </c>
      <c r="K29" s="9" t="n">
        <v>1.65</v>
      </c>
      <c r="AM29" s="33" t="e">
        <f aca="false">FU$31</f>
        <v>#NAME?</v>
      </c>
    </row>
    <row r="30" customFormat="false" ht="12.75" hidden="false" customHeight="false" outlineLevel="0" collapsed="false">
      <c r="A30" s="21" t="s">
        <v>46</v>
      </c>
      <c r="B30" s="33" t="e">
        <f aca="false">BT$31</f>
        <v>#NAME?</v>
      </c>
      <c r="C30" s="26"/>
      <c r="D30" s="33" t="e">
        <f aca="false">DD$31</f>
        <v>#NAME?</v>
      </c>
      <c r="E30" s="26"/>
      <c r="F30" s="33" t="e">
        <f aca="false">EM$31</f>
        <v>#NAME?</v>
      </c>
      <c r="G30" s="26"/>
      <c r="H30" s="33" t="e">
        <f aca="false">FV$31</f>
        <v>#NAME?</v>
      </c>
      <c r="AM30" s="33" t="e">
        <f aca="false">FV$31</f>
        <v>#NAME?</v>
      </c>
    </row>
    <row r="31" customFormat="false" ht="12.75" hidden="false" customHeight="false" outlineLevel="0" collapsed="false">
      <c r="A31" s="21" t="s">
        <v>47</v>
      </c>
      <c r="B31" s="33" t="e">
        <f aca="false">BU$31</f>
        <v>#NAME?</v>
      </c>
      <c r="C31" s="26"/>
      <c r="D31" s="33" t="e">
        <f aca="false">DE$31</f>
        <v>#NAME?</v>
      </c>
      <c r="E31" s="26"/>
      <c r="F31" s="33" t="e">
        <f aca="false">EN$31</f>
        <v>#NAME?</v>
      </c>
      <c r="G31" s="26"/>
      <c r="H31" s="33" t="e">
        <f aca="false">FW$31</f>
        <v>#NAME?</v>
      </c>
      <c r="I31" s="8"/>
      <c r="J31" s="8"/>
      <c r="K31" s="8" t="n">
        <f aca="false">((K29*4)+K28)/5</f>
        <v>1.46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K31" s="8"/>
      <c r="AM31" s="33" t="e">
        <f aca="false">FW$31</f>
        <v>#NAME?</v>
      </c>
      <c r="AP31" s="8"/>
      <c r="AQ31" s="37"/>
      <c r="AR31" s="1"/>
      <c r="AS31" s="1" t="n">
        <f aca="false">AS33/AP35</f>
        <v>3.00341111111111</v>
      </c>
      <c r="AT31" s="1" t="n">
        <f aca="false">AT33/AP35</f>
        <v>3.15226859903382</v>
      </c>
      <c r="AU31" s="8"/>
      <c r="AV31" s="38"/>
      <c r="AW31" s="39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40" t="n">
        <f aca="false">SUM(BJ38:BJ85)/AP35</f>
        <v>0.999</v>
      </c>
      <c r="BK31" s="1"/>
      <c r="BL31" s="41" t="e">
        <f aca="false">BL33/AP35</f>
        <v>#NAME?</v>
      </c>
      <c r="BM31" s="41" t="e">
        <f aca="false">BM33/AP35</f>
        <v>#NAME?</v>
      </c>
      <c r="BN31" s="41" t="e">
        <f aca="false">BN33/AP35</f>
        <v>#NAME?</v>
      </c>
      <c r="BO31" s="41" t="e">
        <f aca="false">BO33/AP35</f>
        <v>#NAME?</v>
      </c>
      <c r="BP31" s="41" t="e">
        <f aca="false">BP33/AP35</f>
        <v>#NAME?</v>
      </c>
      <c r="BQ31" s="41" t="e">
        <f aca="false">BQ33/AP35</f>
        <v>#NAME?</v>
      </c>
      <c r="BR31" s="41" t="e">
        <f aca="false">BR33/AP35</f>
        <v>#NAME?</v>
      </c>
      <c r="BS31" s="41" t="e">
        <f aca="false">BS33/AP35</f>
        <v>#NAME?</v>
      </c>
      <c r="BT31" s="41" t="e">
        <f aca="false">BT33/AP35</f>
        <v>#NAME?</v>
      </c>
      <c r="BU31" s="41" t="e">
        <f aca="false">BU33/AP35</f>
        <v>#NAME?</v>
      </c>
      <c r="BV31" s="41" t="e">
        <f aca="false">BV33/AP35</f>
        <v>#NAME?</v>
      </c>
      <c r="BW31" s="41" t="e">
        <f aca="false">BW33/AP35</f>
        <v>#NAME?</v>
      </c>
      <c r="BX31" s="41"/>
      <c r="BZ31" s="8"/>
      <c r="CA31" s="37"/>
      <c r="CB31" s="1"/>
      <c r="CC31" s="1" t="n">
        <f aca="false">CC33/BZ35</f>
        <v>2.92146261682243</v>
      </c>
      <c r="CD31" s="1" t="n">
        <f aca="false">CD33/BZ35</f>
        <v>2.8959953271028</v>
      </c>
      <c r="CE31" s="8"/>
      <c r="CF31" s="38"/>
      <c r="CG31" s="39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40" t="n">
        <f aca="false">SUM(CT38:CT85)/BZ35</f>
        <v>0.87</v>
      </c>
      <c r="CU31" s="1"/>
      <c r="CV31" s="41" t="e">
        <f aca="false">CV33/BZ35</f>
        <v>#NAME?</v>
      </c>
      <c r="CW31" s="41" t="e">
        <f aca="false">CW33/BZ35</f>
        <v>#NAME?</v>
      </c>
      <c r="CX31" s="41" t="e">
        <f aca="false">CX33/BZ35</f>
        <v>#NAME?</v>
      </c>
      <c r="CY31" s="41" t="e">
        <f aca="false">CY33/BZ35</f>
        <v>#NAME?</v>
      </c>
      <c r="CZ31" s="41" t="e">
        <f aca="false">CZ33/BZ35</f>
        <v>#NAME?</v>
      </c>
      <c r="DA31" s="41" t="e">
        <f aca="false">DA33/BZ35</f>
        <v>#NAME?</v>
      </c>
      <c r="DB31" s="41" t="e">
        <f aca="false">DB33/BZ35</f>
        <v>#NAME?</v>
      </c>
      <c r="DC31" s="41" t="e">
        <f aca="false">DC33/BZ35</f>
        <v>#NAME?</v>
      </c>
      <c r="DD31" s="41" t="e">
        <f aca="false">DD33/BZ35</f>
        <v>#NAME?</v>
      </c>
      <c r="DE31" s="41" t="e">
        <f aca="false">DE33/BZ35</f>
        <v>#NAME?</v>
      </c>
      <c r="DF31" s="41" t="e">
        <f aca="false">DF33/BZ35</f>
        <v>#NAME?</v>
      </c>
      <c r="DG31" s="41" t="e">
        <f aca="false">DG33/BZ35</f>
        <v>#NAME?</v>
      </c>
      <c r="DI31" s="8"/>
      <c r="DJ31" s="37"/>
      <c r="DK31" s="1"/>
      <c r="DL31" s="1" t="n">
        <f aca="false">DL33/DI35</f>
        <v>2.35445327102804</v>
      </c>
      <c r="DM31" s="1" t="n">
        <f aca="false">DM33/DI35</f>
        <v>2.8959953271028</v>
      </c>
      <c r="DN31" s="8"/>
      <c r="DO31" s="38"/>
      <c r="DP31" s="39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40" t="n">
        <f aca="false">SUM(EC38:EC85)/DI35</f>
        <v>0.92</v>
      </c>
      <c r="ED31" s="40"/>
      <c r="EE31" s="41" t="e">
        <f aca="false">EE33/DI35</f>
        <v>#NAME?</v>
      </c>
      <c r="EF31" s="41" t="e">
        <f aca="false">EF33/DI35</f>
        <v>#NAME?</v>
      </c>
      <c r="EG31" s="41" t="e">
        <f aca="false">EG33/DI35</f>
        <v>#NAME?</v>
      </c>
      <c r="EH31" s="41" t="e">
        <f aca="false">EH33/DI35</f>
        <v>#NAME?</v>
      </c>
      <c r="EI31" s="41" t="e">
        <f aca="false">EI33/DI35</f>
        <v>#NAME?</v>
      </c>
      <c r="EJ31" s="41" t="e">
        <f aca="false">EJ33/DI35</f>
        <v>#NAME?</v>
      </c>
      <c r="EK31" s="41" t="e">
        <f aca="false">EK33/DI35</f>
        <v>#NAME?</v>
      </c>
      <c r="EL31" s="41" t="e">
        <f aca="false">EL33/DI35</f>
        <v>#NAME?</v>
      </c>
      <c r="EM31" s="41" t="e">
        <f aca="false">EM33/DI35</f>
        <v>#NAME?</v>
      </c>
      <c r="EN31" s="41" t="e">
        <f aca="false">EN33/DI35</f>
        <v>#NAME?</v>
      </c>
      <c r="EO31" s="41" t="e">
        <f aca="false">EO33/DI35</f>
        <v>#NAME?</v>
      </c>
      <c r="EP31" s="41" t="e">
        <f aca="false">EP33/DI35</f>
        <v>#NAME?</v>
      </c>
      <c r="ER31" s="8"/>
      <c r="ES31" s="37"/>
      <c r="ET31" s="1"/>
      <c r="EU31" s="1" t="n">
        <f aca="false">EU33/ER35</f>
        <v>2.46753333333333</v>
      </c>
      <c r="EV31" s="1" t="n">
        <f aca="false">EV33/ER35</f>
        <v>2.7682</v>
      </c>
      <c r="EW31" s="8"/>
      <c r="EX31" s="38"/>
      <c r="EY31" s="39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40" t="n">
        <f aca="false">SUM(FL38:FL85)/ER35</f>
        <v>0.88</v>
      </c>
      <c r="FM31" s="40"/>
      <c r="FN31" s="41" t="e">
        <f aca="false">FN33/ER35</f>
        <v>#NAME?</v>
      </c>
      <c r="FO31" s="41" t="e">
        <f aca="false">FO33/ER35</f>
        <v>#NAME?</v>
      </c>
      <c r="FP31" s="41" t="e">
        <f aca="false">FP33/ER35</f>
        <v>#NAME?</v>
      </c>
      <c r="FQ31" s="41" t="e">
        <f aca="false">FQ33/ER35</f>
        <v>#NAME?</v>
      </c>
      <c r="FR31" s="41" t="e">
        <f aca="false">FR33/ER35</f>
        <v>#NAME?</v>
      </c>
      <c r="FS31" s="41" t="e">
        <f aca="false">FS33/ER35</f>
        <v>#NAME?</v>
      </c>
      <c r="FT31" s="41" t="e">
        <f aca="false">FT33/ER35</f>
        <v>#NAME?</v>
      </c>
      <c r="FU31" s="41" t="e">
        <f aca="false">FU33/ER35</f>
        <v>#NAME?</v>
      </c>
      <c r="FV31" s="41" t="e">
        <f aca="false">FV33/ER35</f>
        <v>#NAME?</v>
      </c>
      <c r="FW31" s="41" t="e">
        <f aca="false">FW33/ER35</f>
        <v>#NAME?</v>
      </c>
      <c r="FX31" s="41" t="e">
        <f aca="false">FX33/ER35</f>
        <v>#NAME?</v>
      </c>
      <c r="FY31" s="41" t="e">
        <f aca="false">FY33/ER35</f>
        <v>#NAME?</v>
      </c>
    </row>
    <row r="32" customFormat="false" ht="12.75" hidden="false" customHeight="false" outlineLevel="0" collapsed="false">
      <c r="A32" s="21" t="s">
        <v>48</v>
      </c>
      <c r="B32" s="33" t="e">
        <f aca="false">BV$31</f>
        <v>#NAME?</v>
      </c>
      <c r="C32" s="8"/>
      <c r="D32" s="33" t="e">
        <f aca="false">DF$31</f>
        <v>#NAME?</v>
      </c>
      <c r="E32" s="8"/>
      <c r="F32" s="33" t="e">
        <f aca="false">EO$31</f>
        <v>#NAME?</v>
      </c>
      <c r="G32" s="8"/>
      <c r="H32" s="33" t="e">
        <f aca="false">FX$31</f>
        <v>#NAME?</v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K32" s="8"/>
      <c r="AM32" s="33" t="e">
        <f aca="false">FX$31</f>
        <v>#NAME?</v>
      </c>
      <c r="AP32" s="8"/>
      <c r="AQ32" s="8"/>
      <c r="AR32" s="42" t="n">
        <f aca="false">B6</f>
        <v>37257</v>
      </c>
      <c r="AS32" s="1"/>
      <c r="AT32" s="1"/>
      <c r="AU32" s="8"/>
      <c r="AV32" s="38"/>
      <c r="AW32" s="39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Z32" s="8"/>
      <c r="CA32" s="8"/>
      <c r="CB32" s="42" t="n">
        <f aca="false">D6</f>
        <v>37347</v>
      </c>
      <c r="CC32" s="1"/>
      <c r="CD32" s="1"/>
      <c r="CE32" s="8"/>
      <c r="CF32" s="38"/>
      <c r="CG32" s="39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I32" s="8"/>
      <c r="DJ32" s="8"/>
      <c r="DK32" s="42" t="n">
        <f aca="false">F6</f>
        <v>37347</v>
      </c>
      <c r="DL32" s="1"/>
      <c r="DM32" s="1"/>
      <c r="DN32" s="8"/>
      <c r="DO32" s="38"/>
      <c r="DP32" s="39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R32" s="8"/>
      <c r="ES32" s="8"/>
      <c r="ET32" s="42" t="n">
        <f aca="false">H6</f>
        <v>37226</v>
      </c>
      <c r="EU32" s="1"/>
      <c r="EV32" s="1"/>
      <c r="EW32" s="8"/>
      <c r="EX32" s="38"/>
      <c r="EY32" s="39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</row>
    <row r="33" customFormat="false" ht="12.75" hidden="false" customHeight="false" outlineLevel="0" collapsed="false">
      <c r="A33" s="21" t="s">
        <v>49</v>
      </c>
      <c r="B33" s="33" t="e">
        <f aca="false">BW$31</f>
        <v>#NAME?</v>
      </c>
      <c r="C33" s="8"/>
      <c r="D33" s="33" t="e">
        <f aca="false">DG$31</f>
        <v>#NAME?</v>
      </c>
      <c r="E33" s="8"/>
      <c r="F33" s="33" t="e">
        <f aca="false">EP$31</f>
        <v>#NAME?</v>
      </c>
      <c r="G33" s="8"/>
      <c r="H33" s="33" t="e">
        <f aca="false">FY$31</f>
        <v>#NAME?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43"/>
      <c r="AM33" s="44"/>
      <c r="AN33" s="45"/>
      <c r="AO33" s="46"/>
      <c r="AP33" s="8" t="s">
        <v>50</v>
      </c>
      <c r="AQ33" s="8"/>
      <c r="AR33" s="42" t="n">
        <f aca="false">B7</f>
        <v>38261</v>
      </c>
      <c r="AS33" s="47" t="n">
        <f aca="false">SUM(AS38:AS85)</f>
        <v>3108.5305</v>
      </c>
      <c r="AT33" s="47" t="n">
        <f aca="false">SUM(AT38:AT85)</f>
        <v>3262.598</v>
      </c>
      <c r="AU33" s="8"/>
      <c r="AV33" s="38"/>
      <c r="AW33" s="48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 t="e">
        <f aca="false">SUM(BL38:BL85)</f>
        <v>#NAME?</v>
      </c>
      <c r="BM33" s="47" t="e">
        <f aca="false">SUM(BM38:BM85)</f>
        <v>#NAME?</v>
      </c>
      <c r="BN33" s="47" t="e">
        <f aca="false">SUM(BN38:BN85)</f>
        <v>#NAME?</v>
      </c>
      <c r="BO33" s="47" t="e">
        <f aca="false">SUM(BO38:BO85)</f>
        <v>#NAME?</v>
      </c>
      <c r="BP33" s="47" t="e">
        <f aca="false">SUM(BP38:BP85)</f>
        <v>#NAME?</v>
      </c>
      <c r="BQ33" s="47" t="e">
        <f aca="false">SUM(BQ38:BQ85)</f>
        <v>#NAME?</v>
      </c>
      <c r="BR33" s="47" t="e">
        <f aca="false">SUM(BR38:BR85)</f>
        <v>#NAME?</v>
      </c>
      <c r="BS33" s="47" t="e">
        <f aca="false">SUM(BS38:BS85)</f>
        <v>#NAME?</v>
      </c>
      <c r="BT33" s="47" t="e">
        <f aca="false">SUM(BT38:BT85)</f>
        <v>#NAME?</v>
      </c>
      <c r="BU33" s="47" t="e">
        <f aca="false">SUM(BU38:BU85)</f>
        <v>#NAME?</v>
      </c>
      <c r="BV33" s="47" t="e">
        <f aca="false">SUM(BV38:BV85)</f>
        <v>#NAME?</v>
      </c>
      <c r="BW33" s="47" t="e">
        <f aca="false">SUM(BW38:BW85)</f>
        <v>#NAME?</v>
      </c>
      <c r="BX33" s="47"/>
      <c r="BZ33" s="8" t="s">
        <v>51</v>
      </c>
      <c r="CA33" s="8"/>
      <c r="CB33" s="42" t="n">
        <f aca="false">D7</f>
        <v>37530</v>
      </c>
      <c r="CC33" s="47" t="n">
        <f aca="false">SUM(CC38:CC85)</f>
        <v>625.193</v>
      </c>
      <c r="CD33" s="47" t="n">
        <f aca="false">SUM(CD38:CD85)</f>
        <v>619.743</v>
      </c>
      <c r="CE33" s="8"/>
      <c r="CF33" s="38"/>
      <c r="CG33" s="48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 t="e">
        <f aca="false">SUM(CV38:CV85)</f>
        <v>#NAME?</v>
      </c>
      <c r="CW33" s="47" t="e">
        <f aca="false">SUM(CW38:CW85)</f>
        <v>#NAME?</v>
      </c>
      <c r="CX33" s="47" t="e">
        <f aca="false">SUM(CX38:CX85)</f>
        <v>#NAME?</v>
      </c>
      <c r="CY33" s="47" t="e">
        <f aca="false">SUM(CY38:CY85)</f>
        <v>#NAME?</v>
      </c>
      <c r="CZ33" s="47" t="e">
        <f aca="false">SUM(CZ38:CZ85)</f>
        <v>#NAME?</v>
      </c>
      <c r="DA33" s="47" t="e">
        <f aca="false">SUM(DA38:DA85)</f>
        <v>#NAME?</v>
      </c>
      <c r="DB33" s="47" t="e">
        <f aca="false">SUM(DB38:DB85)</f>
        <v>#NAME?</v>
      </c>
      <c r="DC33" s="47" t="e">
        <f aca="false">SUM(DC38:DC85)</f>
        <v>#NAME?</v>
      </c>
      <c r="DD33" s="47" t="e">
        <f aca="false">SUM(DD38:DD85)</f>
        <v>#NAME?</v>
      </c>
      <c r="DE33" s="47" t="e">
        <f aca="false">SUM(DE38:DE85)</f>
        <v>#NAME?</v>
      </c>
      <c r="DF33" s="47" t="e">
        <f aca="false">SUM(DF38:DF85)</f>
        <v>#NAME?</v>
      </c>
      <c r="DG33" s="47" t="e">
        <f aca="false">SUM(DG38:DG85)</f>
        <v>#NAME?</v>
      </c>
      <c r="DI33" s="8" t="s">
        <v>52</v>
      </c>
      <c r="DJ33" s="8"/>
      <c r="DK33" s="42" t="n">
        <f aca="false">F7</f>
        <v>37530</v>
      </c>
      <c r="DL33" s="47" t="n">
        <f aca="false">SUM(DL38:DL85)</f>
        <v>503.853</v>
      </c>
      <c r="DM33" s="47" t="n">
        <f aca="false">SUM(DM38:DM85)</f>
        <v>619.743</v>
      </c>
      <c r="DN33" s="8"/>
      <c r="DO33" s="38"/>
      <c r="DP33" s="48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 t="e">
        <f aca="false">SUM(EE38:EE85)</f>
        <v>#NAME?</v>
      </c>
      <c r="EF33" s="47" t="e">
        <f aca="false">SUM(EF38:EF85)</f>
        <v>#NAME?</v>
      </c>
      <c r="EG33" s="47" t="e">
        <f aca="false">SUM(EG38:EG85)</f>
        <v>#NAME?</v>
      </c>
      <c r="EH33" s="47" t="e">
        <f aca="false">SUM(EH38:EH85)</f>
        <v>#NAME?</v>
      </c>
      <c r="EI33" s="47" t="e">
        <f aca="false">SUM(EI38:EI85)</f>
        <v>#NAME?</v>
      </c>
      <c r="EJ33" s="47" t="e">
        <f aca="false">SUM(EJ38:EJ85)</f>
        <v>#NAME?</v>
      </c>
      <c r="EK33" s="47" t="e">
        <f aca="false">SUM(EK38:EK85)</f>
        <v>#NAME?</v>
      </c>
      <c r="EL33" s="47" t="e">
        <f aca="false">SUM(EL38:EL85)</f>
        <v>#NAME?</v>
      </c>
      <c r="EM33" s="47" t="e">
        <f aca="false">SUM(EM38:EM85)</f>
        <v>#NAME?</v>
      </c>
      <c r="EN33" s="47" t="e">
        <f aca="false">SUM(EN38:EN85)</f>
        <v>#NAME?</v>
      </c>
      <c r="EO33" s="47" t="e">
        <f aca="false">SUM(EO38:EO85)</f>
        <v>#NAME?</v>
      </c>
      <c r="EP33" s="47" t="e">
        <f aca="false">SUM(EP38:EP85)</f>
        <v>#NAME?</v>
      </c>
      <c r="ER33" s="8" t="s">
        <v>53</v>
      </c>
      <c r="ES33" s="8"/>
      <c r="ET33" s="42" t="n">
        <f aca="false">H7</f>
        <v>37316</v>
      </c>
      <c r="EU33" s="47" t="n">
        <f aca="false">SUM(EU38:EU85)</f>
        <v>222.078</v>
      </c>
      <c r="EV33" s="47" t="n">
        <f aca="false">SUM(EV38:EV85)</f>
        <v>249.138</v>
      </c>
      <c r="EW33" s="8"/>
      <c r="EX33" s="38"/>
      <c r="EY33" s="48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 t="e">
        <f aca="false">SUM(FN38:FN85)</f>
        <v>#NAME?</v>
      </c>
      <c r="FO33" s="47" t="e">
        <f aca="false">SUM(FO38:FO85)</f>
        <v>#NAME?</v>
      </c>
      <c r="FP33" s="47" t="e">
        <f aca="false">SUM(FP38:FP85)</f>
        <v>#NAME?</v>
      </c>
      <c r="FQ33" s="47" t="e">
        <f aca="false">SUM(FQ38:FQ85)</f>
        <v>#NAME?</v>
      </c>
      <c r="FR33" s="47" t="e">
        <f aca="false">SUM(FR38:FR85)</f>
        <v>#NAME?</v>
      </c>
      <c r="FS33" s="47" t="e">
        <f aca="false">SUM(FS38:FS85)</f>
        <v>#NAME?</v>
      </c>
      <c r="FT33" s="47" t="e">
        <f aca="false">SUM(FT38:FT85)</f>
        <v>#NAME?</v>
      </c>
      <c r="FU33" s="47" t="e">
        <f aca="false">SUM(FU38:FU85)</f>
        <v>#NAME?</v>
      </c>
      <c r="FV33" s="47" t="e">
        <f aca="false">SUM(FV38:FV85)</f>
        <v>#NAME?</v>
      </c>
      <c r="FW33" s="47" t="e">
        <f aca="false">SUM(FW38:FW85)</f>
        <v>#NAME?</v>
      </c>
      <c r="FX33" s="47" t="e">
        <f aca="false">SUM(FX38:FX85)</f>
        <v>#NAME?</v>
      </c>
      <c r="FY33" s="47" t="e">
        <f aca="false">SUM(FY38:FY85)</f>
        <v>#NAME?</v>
      </c>
    </row>
    <row r="34" customFormat="false" ht="12.75" hidden="false" customHeight="false" outlineLevel="0" collapsed="false">
      <c r="A34" s="8"/>
      <c r="B34" s="49" t="e">
        <f aca="false">B22-D22</f>
        <v>#NAME?</v>
      </c>
      <c r="C34" s="8"/>
      <c r="D34" s="5"/>
      <c r="E34" s="8"/>
      <c r="F34" s="49" t="e">
        <f aca="false">F22+H22</f>
        <v>#NAME?</v>
      </c>
      <c r="G34" s="8"/>
      <c r="H34" s="49"/>
      <c r="I34" s="8"/>
      <c r="J34" s="8"/>
      <c r="K34" s="5" t="s">
        <v>8</v>
      </c>
      <c r="L34" s="8" t="str">
        <f aca="false">B3</f>
        <v>IF-NGPL/MIDCON</v>
      </c>
      <c r="M34" s="8"/>
      <c r="N34" s="8"/>
      <c r="O34" s="8"/>
      <c r="P34" s="8"/>
      <c r="Q34" s="50"/>
      <c r="R34" s="51" t="s">
        <v>9</v>
      </c>
      <c r="S34" s="8" t="str">
        <f aca="false">D3</f>
        <v>NGI-SOCAL</v>
      </c>
      <c r="T34" s="8"/>
      <c r="U34" s="8"/>
      <c r="V34" s="8"/>
      <c r="W34" s="8"/>
      <c r="X34" s="50"/>
      <c r="Y34" s="5" t="s">
        <v>10</v>
      </c>
      <c r="Z34" s="8" t="str">
        <f aca="false">F3</f>
        <v>IF-NWPL_ROCKY_M</v>
      </c>
      <c r="AA34" s="8"/>
      <c r="AB34" s="8"/>
      <c r="AC34" s="8"/>
      <c r="AD34" s="8"/>
      <c r="AE34" s="50"/>
      <c r="AF34" s="5" t="s">
        <v>11</v>
      </c>
      <c r="AG34" s="8" t="str">
        <f aca="false">H3</f>
        <v>IF-NWPL_ROCKY_M</v>
      </c>
      <c r="AH34" s="8"/>
      <c r="AI34" s="8"/>
      <c r="AJ34" s="8"/>
      <c r="AK34" s="8"/>
      <c r="AL34" s="50"/>
      <c r="AM34" s="4" t="e">
        <f aca="false">VLOOKUP($A34,STRADDLE,14,FALSE())</f>
        <v>#N/A</v>
      </c>
      <c r="AP34" s="8"/>
      <c r="AQ34" s="8"/>
      <c r="AR34" s="1"/>
      <c r="AS34" s="1"/>
      <c r="AT34" s="1"/>
      <c r="AU34" s="8"/>
      <c r="AV34" s="38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Z34" s="8"/>
      <c r="CA34" s="8"/>
      <c r="CB34" s="1"/>
      <c r="CC34" s="1"/>
      <c r="CD34" s="1"/>
      <c r="CE34" s="8"/>
      <c r="CF34" s="38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I34" s="8"/>
      <c r="DJ34" s="8"/>
      <c r="DK34" s="1"/>
      <c r="DL34" s="1"/>
      <c r="DM34" s="1"/>
      <c r="DN34" s="8"/>
      <c r="DO34" s="38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R34" s="8"/>
      <c r="ES34" s="8"/>
      <c r="ET34" s="1"/>
      <c r="EU34" s="1"/>
      <c r="EV34" s="1"/>
      <c r="EW34" s="8"/>
      <c r="EX34" s="38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</row>
    <row r="35" customFormat="false" ht="12.75" hidden="false" customHeight="false" outlineLevel="0" collapsed="false">
      <c r="A35" s="8"/>
      <c r="B35" s="52"/>
      <c r="C35" s="52"/>
      <c r="D35" s="9"/>
      <c r="F35" s="11" t="e">
        <f aca="false">H22-F22</f>
        <v>#NAME?</v>
      </c>
      <c r="Q35" s="50"/>
      <c r="R35" s="53"/>
      <c r="X35" s="50"/>
      <c r="AE35" s="50"/>
      <c r="AL35" s="50"/>
      <c r="AM35" s="54"/>
      <c r="AP35" s="55" t="n">
        <f aca="false">SUM(AP38:AP85)</f>
        <v>1035</v>
      </c>
      <c r="AQ35" s="55"/>
      <c r="AR35" s="1"/>
      <c r="AS35" s="1"/>
      <c r="AT35" s="1"/>
      <c r="AU35" s="1"/>
      <c r="AV35" s="38"/>
      <c r="AW35" s="48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Z35" s="55" t="n">
        <f aca="false">SUM(BZ38:BZ85)</f>
        <v>214</v>
      </c>
      <c r="CA35" s="55"/>
      <c r="CB35" s="1"/>
      <c r="CC35" s="1"/>
      <c r="CD35" s="1"/>
      <c r="CE35" s="1"/>
      <c r="CF35" s="38"/>
      <c r="CG35" s="48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I35" s="55" t="n">
        <f aca="false">SUM(DI38:DI85)</f>
        <v>214</v>
      </c>
      <c r="DJ35" s="55"/>
      <c r="DK35" s="1"/>
      <c r="DL35" s="1"/>
      <c r="DM35" s="1"/>
      <c r="DN35" s="1"/>
      <c r="DO35" s="38"/>
      <c r="DP35" s="48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R35" s="55" t="n">
        <f aca="false">SUM(ER38:ER85)</f>
        <v>90</v>
      </c>
      <c r="ES35" s="55"/>
      <c r="ET35" s="1"/>
      <c r="EU35" s="1"/>
      <c r="EV35" s="1"/>
      <c r="EW35" s="1"/>
      <c r="EX35" s="38"/>
      <c r="EY35" s="48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</row>
    <row r="36" customFormat="false" ht="13.5" hidden="false" customHeight="false" outlineLevel="0" collapsed="false">
      <c r="B36" s="56"/>
      <c r="C36" s="56"/>
      <c r="D36" s="8"/>
      <c r="E36" s="5" t="s">
        <v>8</v>
      </c>
      <c r="F36" s="5" t="s">
        <v>9</v>
      </c>
      <c r="G36" s="5" t="s">
        <v>10</v>
      </c>
      <c r="H36" s="5" t="s">
        <v>11</v>
      </c>
      <c r="I36" s="8"/>
      <c r="J36" s="8"/>
      <c r="K36" s="8"/>
      <c r="L36" s="8"/>
      <c r="M36" s="8"/>
      <c r="N36" s="8"/>
      <c r="O36" s="8"/>
      <c r="P36" s="8"/>
      <c r="Q36" s="50"/>
      <c r="R36" s="53"/>
      <c r="S36" s="8"/>
      <c r="T36" s="8"/>
      <c r="U36" s="8"/>
      <c r="V36" s="8"/>
      <c r="W36" s="8"/>
      <c r="X36" s="50"/>
      <c r="Y36" s="8"/>
      <c r="Z36" s="8"/>
      <c r="AA36" s="8"/>
      <c r="AB36" s="8"/>
      <c r="AC36" s="8"/>
      <c r="AD36" s="8"/>
      <c r="AE36" s="50"/>
      <c r="AF36" s="8"/>
      <c r="AG36" s="8"/>
      <c r="AH36" s="8"/>
      <c r="AI36" s="8"/>
      <c r="AJ36" s="8"/>
      <c r="AK36" s="8"/>
      <c r="AL36" s="50"/>
      <c r="AN36" s="8"/>
      <c r="AO36" s="8"/>
      <c r="AQ36" s="1"/>
      <c r="AR36" s="1"/>
      <c r="AS36" s="57" t="s">
        <v>54</v>
      </c>
      <c r="AT36" s="57" t="s">
        <v>55</v>
      </c>
      <c r="AU36" s="1" t="s">
        <v>56</v>
      </c>
      <c r="AV36" s="1" t="s">
        <v>57</v>
      </c>
      <c r="AW36" s="8" t="s">
        <v>58</v>
      </c>
      <c r="AX36" s="57" t="s">
        <v>34</v>
      </c>
      <c r="AY36" s="57" t="s">
        <v>36</v>
      </c>
      <c r="AZ36" s="57" t="s">
        <v>38</v>
      </c>
      <c r="BA36" s="57" t="s">
        <v>40</v>
      </c>
      <c r="BB36" s="57" t="s">
        <v>42</v>
      </c>
      <c r="BC36" s="57" t="s">
        <v>43</v>
      </c>
      <c r="BD36" s="57" t="s">
        <v>44</v>
      </c>
      <c r="BE36" s="57" t="s">
        <v>45</v>
      </c>
      <c r="BF36" s="57" t="s">
        <v>46</v>
      </c>
      <c r="BG36" s="57" t="s">
        <v>47</v>
      </c>
      <c r="BH36" s="57" t="s">
        <v>48</v>
      </c>
      <c r="BI36" s="57" t="s">
        <v>49</v>
      </c>
      <c r="BJ36" s="57"/>
      <c r="BK36" s="57"/>
      <c r="BL36" s="57" t="s">
        <v>34</v>
      </c>
      <c r="BM36" s="57" t="s">
        <v>36</v>
      </c>
      <c r="BN36" s="57" t="s">
        <v>38</v>
      </c>
      <c r="BO36" s="57" t="s">
        <v>40</v>
      </c>
      <c r="BP36" s="57" t="s">
        <v>42</v>
      </c>
      <c r="BQ36" s="57" t="s">
        <v>43</v>
      </c>
      <c r="BR36" s="57" t="s">
        <v>44</v>
      </c>
      <c r="BS36" s="57" t="s">
        <v>45</v>
      </c>
      <c r="BT36" s="57" t="s">
        <v>46</v>
      </c>
      <c r="BU36" s="57" t="s">
        <v>47</v>
      </c>
      <c r="BV36" s="57" t="s">
        <v>48</v>
      </c>
      <c r="BW36" s="57" t="s">
        <v>49</v>
      </c>
      <c r="BX36" s="58"/>
      <c r="CA36" s="1"/>
      <c r="CB36" s="1"/>
      <c r="CC36" s="57" t="s">
        <v>54</v>
      </c>
      <c r="CD36" s="57" t="s">
        <v>55</v>
      </c>
      <c r="CE36" s="1" t="s">
        <v>56</v>
      </c>
      <c r="CF36" s="1" t="s">
        <v>57</v>
      </c>
      <c r="CG36" s="8" t="s">
        <v>58</v>
      </c>
      <c r="CH36" s="57" t="s">
        <v>34</v>
      </c>
      <c r="CI36" s="57" t="s">
        <v>36</v>
      </c>
      <c r="CJ36" s="57" t="s">
        <v>38</v>
      </c>
      <c r="CK36" s="57" t="s">
        <v>40</v>
      </c>
      <c r="CL36" s="57" t="s">
        <v>42</v>
      </c>
      <c r="CM36" s="57" t="s">
        <v>43</v>
      </c>
      <c r="CN36" s="57" t="s">
        <v>44</v>
      </c>
      <c r="CO36" s="57" t="s">
        <v>45</v>
      </c>
      <c r="CP36" s="57" t="s">
        <v>46</v>
      </c>
      <c r="CQ36" s="57" t="s">
        <v>47</v>
      </c>
      <c r="CR36" s="57" t="s">
        <v>48</v>
      </c>
      <c r="CS36" s="57" t="s">
        <v>49</v>
      </c>
      <c r="CT36" s="57"/>
      <c r="CU36" s="57"/>
      <c r="CV36" s="57" t="s">
        <v>34</v>
      </c>
      <c r="CW36" s="57" t="s">
        <v>36</v>
      </c>
      <c r="CX36" s="57" t="s">
        <v>38</v>
      </c>
      <c r="CY36" s="57" t="s">
        <v>40</v>
      </c>
      <c r="CZ36" s="57" t="s">
        <v>42</v>
      </c>
      <c r="DA36" s="57" t="s">
        <v>43</v>
      </c>
      <c r="DB36" s="57" t="s">
        <v>44</v>
      </c>
      <c r="DC36" s="57" t="s">
        <v>45</v>
      </c>
      <c r="DD36" s="57" t="s">
        <v>46</v>
      </c>
      <c r="DE36" s="57" t="s">
        <v>47</v>
      </c>
      <c r="DF36" s="57" t="s">
        <v>48</v>
      </c>
      <c r="DG36" s="57" t="s">
        <v>49</v>
      </c>
      <c r="DJ36" s="1"/>
      <c r="DK36" s="1"/>
      <c r="DL36" s="57" t="s">
        <v>54</v>
      </c>
      <c r="DM36" s="57" t="s">
        <v>55</v>
      </c>
      <c r="DN36" s="1" t="s">
        <v>56</v>
      </c>
      <c r="DO36" s="1" t="s">
        <v>57</v>
      </c>
      <c r="DP36" s="8" t="s">
        <v>58</v>
      </c>
      <c r="DQ36" s="57" t="s">
        <v>34</v>
      </c>
      <c r="DR36" s="57" t="s">
        <v>36</v>
      </c>
      <c r="DS36" s="57" t="s">
        <v>38</v>
      </c>
      <c r="DT36" s="57" t="s">
        <v>40</v>
      </c>
      <c r="DU36" s="57" t="s">
        <v>42</v>
      </c>
      <c r="DV36" s="57" t="s">
        <v>43</v>
      </c>
      <c r="DW36" s="57" t="s">
        <v>44</v>
      </c>
      <c r="DX36" s="57" t="s">
        <v>45</v>
      </c>
      <c r="DY36" s="57" t="s">
        <v>46</v>
      </c>
      <c r="DZ36" s="57" t="s">
        <v>47</v>
      </c>
      <c r="EA36" s="57" t="s">
        <v>48</v>
      </c>
      <c r="EB36" s="57" t="s">
        <v>49</v>
      </c>
      <c r="EC36" s="57"/>
      <c r="ED36" s="57"/>
      <c r="EE36" s="57" t="s">
        <v>34</v>
      </c>
      <c r="EF36" s="57" t="s">
        <v>36</v>
      </c>
      <c r="EG36" s="57" t="s">
        <v>38</v>
      </c>
      <c r="EH36" s="57" t="s">
        <v>40</v>
      </c>
      <c r="EI36" s="57" t="s">
        <v>42</v>
      </c>
      <c r="EJ36" s="57" t="s">
        <v>43</v>
      </c>
      <c r="EK36" s="57" t="s">
        <v>44</v>
      </c>
      <c r="EL36" s="57" t="s">
        <v>45</v>
      </c>
      <c r="EM36" s="57" t="s">
        <v>46</v>
      </c>
      <c r="EN36" s="57" t="s">
        <v>47</v>
      </c>
      <c r="EO36" s="57" t="s">
        <v>48</v>
      </c>
      <c r="EP36" s="57" t="s">
        <v>49</v>
      </c>
      <c r="ES36" s="1"/>
      <c r="ET36" s="1"/>
      <c r="EU36" s="57" t="s">
        <v>54</v>
      </c>
      <c r="EV36" s="57" t="s">
        <v>55</v>
      </c>
      <c r="EW36" s="1" t="s">
        <v>56</v>
      </c>
      <c r="EX36" s="1" t="s">
        <v>57</v>
      </c>
      <c r="EY36" s="8" t="s">
        <v>58</v>
      </c>
      <c r="EZ36" s="57" t="s">
        <v>34</v>
      </c>
      <c r="FA36" s="57" t="s">
        <v>36</v>
      </c>
      <c r="FB36" s="57" t="s">
        <v>38</v>
      </c>
      <c r="FC36" s="57" t="s">
        <v>40</v>
      </c>
      <c r="FD36" s="57" t="s">
        <v>42</v>
      </c>
      <c r="FE36" s="57" t="s">
        <v>43</v>
      </c>
      <c r="FF36" s="57" t="s">
        <v>44</v>
      </c>
      <c r="FG36" s="57" t="s">
        <v>45</v>
      </c>
      <c r="FH36" s="57" t="s">
        <v>46</v>
      </c>
      <c r="FI36" s="57" t="s">
        <v>47</v>
      </c>
      <c r="FJ36" s="57" t="s">
        <v>48</v>
      </c>
      <c r="FK36" s="57" t="s">
        <v>49</v>
      </c>
      <c r="FL36" s="57"/>
      <c r="FM36" s="57"/>
      <c r="FN36" s="57" t="s">
        <v>34</v>
      </c>
      <c r="FO36" s="57" t="s">
        <v>36</v>
      </c>
      <c r="FP36" s="57" t="s">
        <v>38</v>
      </c>
      <c r="FQ36" s="57" t="s">
        <v>40</v>
      </c>
      <c r="FR36" s="57" t="s">
        <v>42</v>
      </c>
      <c r="FS36" s="57" t="s">
        <v>43</v>
      </c>
      <c r="FT36" s="57" t="s">
        <v>44</v>
      </c>
      <c r="FU36" s="57" t="s">
        <v>45</v>
      </c>
      <c r="FV36" s="57" t="s">
        <v>46</v>
      </c>
      <c r="FW36" s="57" t="s">
        <v>47</v>
      </c>
      <c r="FX36" s="57" t="s">
        <v>48</v>
      </c>
      <c r="FY36" s="57" t="s">
        <v>49</v>
      </c>
    </row>
    <row r="37" customFormat="false" ht="14.25" hidden="false" customHeight="false" outlineLevel="0" collapsed="false">
      <c r="A37" s="59" t="s">
        <v>59</v>
      </c>
      <c r="B37" s="59" t="s">
        <v>60</v>
      </c>
      <c r="C37" s="59" t="s">
        <v>61</v>
      </c>
      <c r="D37" s="59" t="s">
        <v>62</v>
      </c>
      <c r="E37" s="59" t="s">
        <v>63</v>
      </c>
      <c r="G37" s="59"/>
      <c r="H37" s="59"/>
      <c r="I37" s="59"/>
      <c r="J37" s="60"/>
      <c r="K37" s="59" t="s">
        <v>14</v>
      </c>
      <c r="L37" s="59" t="s">
        <v>14</v>
      </c>
      <c r="M37" s="59" t="s">
        <v>64</v>
      </c>
      <c r="N37" s="59" t="s">
        <v>64</v>
      </c>
      <c r="O37" s="59" t="s">
        <v>65</v>
      </c>
      <c r="P37" s="59" t="s">
        <v>29</v>
      </c>
      <c r="Q37" s="59" t="s">
        <v>66</v>
      </c>
      <c r="R37" s="59" t="s">
        <v>14</v>
      </c>
      <c r="S37" s="59" t="s">
        <v>14</v>
      </c>
      <c r="T37" s="59" t="s">
        <v>64</v>
      </c>
      <c r="U37" s="59" t="s">
        <v>64</v>
      </c>
      <c r="V37" s="59" t="s">
        <v>65</v>
      </c>
      <c r="W37" s="59" t="s">
        <v>29</v>
      </c>
      <c r="X37" s="59" t="s">
        <v>66</v>
      </c>
      <c r="Y37" s="61" t="s">
        <v>14</v>
      </c>
      <c r="Z37" s="59" t="s">
        <v>14</v>
      </c>
      <c r="AA37" s="59" t="s">
        <v>64</v>
      </c>
      <c r="AB37" s="59" t="s">
        <v>64</v>
      </c>
      <c r="AC37" s="59" t="s">
        <v>65</v>
      </c>
      <c r="AD37" s="59" t="s">
        <v>29</v>
      </c>
      <c r="AE37" s="59" t="s">
        <v>66</v>
      </c>
      <c r="AF37" s="59" t="s">
        <v>14</v>
      </c>
      <c r="AG37" s="59" t="s">
        <v>14</v>
      </c>
      <c r="AH37" s="59" t="s">
        <v>64</v>
      </c>
      <c r="AI37" s="59" t="s">
        <v>64</v>
      </c>
      <c r="AJ37" s="59" t="s">
        <v>65</v>
      </c>
      <c r="AK37" s="59" t="s">
        <v>29</v>
      </c>
      <c r="AL37" s="59" t="s">
        <v>66</v>
      </c>
      <c r="AM37" s="59" t="s">
        <v>67</v>
      </c>
      <c r="AN37" s="8"/>
      <c r="AP37" s="1" t="s">
        <v>68</v>
      </c>
      <c r="AQ37" s="1" t="s">
        <v>69</v>
      </c>
      <c r="AR37" s="1" t="s">
        <v>70</v>
      </c>
      <c r="AS37" s="1"/>
      <c r="AT37" s="38"/>
      <c r="AU37" s="1"/>
      <c r="AV37" s="1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1"/>
      <c r="BM37" s="1"/>
      <c r="BN37" s="1"/>
      <c r="BO37" s="1"/>
      <c r="BP37" s="1"/>
      <c r="BZ37" s="1" t="s">
        <v>68</v>
      </c>
      <c r="CA37" s="1" t="s">
        <v>69</v>
      </c>
      <c r="CB37" s="1" t="s">
        <v>70</v>
      </c>
      <c r="CC37" s="1"/>
      <c r="CD37" s="38"/>
      <c r="CE37" s="1"/>
      <c r="CF37" s="1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1"/>
      <c r="CW37" s="1"/>
      <c r="CX37" s="1"/>
      <c r="CY37" s="1"/>
      <c r="CZ37" s="1"/>
      <c r="DI37" s="1" t="s">
        <v>68</v>
      </c>
      <c r="DJ37" s="1" t="s">
        <v>69</v>
      </c>
      <c r="DK37" s="1" t="s">
        <v>70</v>
      </c>
      <c r="DL37" s="1"/>
      <c r="DM37" s="38"/>
      <c r="DN37" s="1"/>
      <c r="DO37" s="1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1"/>
      <c r="EF37" s="1"/>
      <c r="EG37" s="1"/>
      <c r="EH37" s="1"/>
      <c r="EI37" s="1"/>
      <c r="ER37" s="1" t="s">
        <v>68</v>
      </c>
      <c r="ES37" s="1" t="s">
        <v>69</v>
      </c>
      <c r="ET37" s="1" t="s">
        <v>70</v>
      </c>
      <c r="EU37" s="1"/>
      <c r="EV37" s="38"/>
      <c r="EW37" s="1"/>
      <c r="EX37" s="1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1"/>
      <c r="FO37" s="1"/>
      <c r="FP37" s="1"/>
      <c r="FQ37" s="1"/>
      <c r="FR37" s="1"/>
    </row>
    <row r="38" customFormat="false" ht="13.5" hidden="false" customHeight="false" outlineLevel="0" collapsed="false">
      <c r="A38" s="62" t="n">
        <v>37257</v>
      </c>
      <c r="B38" s="63" t="n">
        <f aca="false">VLOOKUP(A38,STRADDLE,5,FALSE())</f>
        <v>2.719</v>
      </c>
      <c r="C38" s="4" t="n">
        <f aca="false">VLOOKUP(A38,STRADDLE,8,FALSE())</f>
        <v>0.87</v>
      </c>
      <c r="D38" s="64" t="n">
        <f aca="false">VLOOKUP(A38,expiration,2,FALSE())-$B$2</f>
        <v>-8675</v>
      </c>
      <c r="E38" s="65" t="e">
        <f aca="false">AY38</f>
        <v>#NAME?</v>
      </c>
      <c r="F38" s="65" t="e">
        <f aca="false">CI38</f>
        <v>#NAME?</v>
      </c>
      <c r="G38" s="65" t="e">
        <f aca="false">DR38</f>
        <v>#NAME?</v>
      </c>
      <c r="H38" s="65" t="e">
        <f aca="false">FA38</f>
        <v>#NAME?</v>
      </c>
      <c r="I38" s="66"/>
      <c r="J38" s="67"/>
      <c r="K38" s="63" t="n">
        <f aca="false">IF($B$3="NYMEX",0,VLOOKUP($A38,curvesettle,HLOOKUP($B$3,curvesettle,2,FALSE()),FALSE()))</f>
        <v>-0.14</v>
      </c>
      <c r="L38" s="63" t="n">
        <f aca="false">IF($B$4="NYMEX",0,VLOOKUP($A38,curvesettle,HLOOKUP($B$4,curvesettle,2,FALSE()),FALSE()))</f>
        <v>0</v>
      </c>
      <c r="M38" s="65" t="n">
        <f aca="false">IF(ISNUMBER(VLOOKUP($A38,VOLCURVES,HLOOKUP($B$3,VOLCURVES,2,FALSE()),FALSE())),VLOOKUP($A38,VOLCURVES,HLOOKUP($B$3,VOLCURVES,2,FALSE()),FALSE()),1)</f>
        <v>1</v>
      </c>
      <c r="N38" s="65" t="n">
        <f aca="false">IF(ISNUMBER(VLOOKUP($A38,VOLCURVES,HLOOKUP($B$4,VOLCURVES,2,FALSE()),FALSE())),VLOOKUP($A38,VOLCURVES,HLOOKUP($B$4,VOLCURVES,2,FALSE()),FALSE()),1)</f>
        <v>1</v>
      </c>
      <c r="O38" s="65" t="n">
        <f aca="false">IF(ISNUMBER(VLOOKUP($A38,CORETABLE,HLOOKUP($B$3,CORETABLE,2,FALSE()),FALSE())),VLOOKUP($A38,CORETABLE,HLOOKUP($B$3,CORETABLE,2,FALSE()),FALSE()),0.99)</f>
        <v>0.9945</v>
      </c>
      <c r="P38" s="68" t="n">
        <f aca="false">B$19</f>
        <v>-0.2</v>
      </c>
      <c r="Q38" s="69" t="n">
        <f aca="false">IF($B$18=1,IF(ISNUMBER($GG38),$GG38,0),0)</f>
        <v>0</v>
      </c>
      <c r="R38" s="70" t="n">
        <f aca="false">IF($D$3="NYMEX",0,VLOOKUP($A38,curvesettle,HLOOKUP($D$3,curvesettle,2,FALSE()),FALSE()))</f>
        <v>-0.015</v>
      </c>
      <c r="S38" s="63" t="n">
        <f aca="false">IF($D$4="NYMEX",0,VLOOKUP($A38,curvesettle,HLOOKUP($D$4,curvesettle,2,FALSE()),FALSE()))</f>
        <v>0</v>
      </c>
      <c r="T38" s="65" t="n">
        <f aca="false">IF(ISNUMBER(VLOOKUP($A38,VOLCURVES,HLOOKUP($D$3,VOLCURVES,2,FALSE()),FALSE())),VLOOKUP($A38,VOLCURVES,HLOOKUP($D$3,VOLCURVES,2,FALSE()),FALSE()),1)</f>
        <v>1.08</v>
      </c>
      <c r="U38" s="65" t="n">
        <f aca="false">IF(ISNUMBER(VLOOKUP($A38,VOLCURVES,HLOOKUP($D$4,VOLCURVES,2,FALSE()),FALSE())),VLOOKUP($A38,VOLCURVES,HLOOKUP($D$4,VOLCURVES,2,FALSE()),FALSE()),1)</f>
        <v>1</v>
      </c>
      <c r="V38" s="65" t="n">
        <f aca="false">IF(ISNUMBER(VLOOKUP($A38,CORETABLE,HLOOKUP($D$3,CORETABLE,2,FALSE()),FALSE())),VLOOKUP($A38,CORETABLE,HLOOKUP($D$3,CORETABLE,2,FALSE()),FALSE()),0.99)</f>
        <v>0.88</v>
      </c>
      <c r="W38" s="68" t="n">
        <f aca="false">D$19</f>
        <v>0</v>
      </c>
      <c r="X38" s="69" t="n">
        <f aca="false">IF($D$18=1,IF(ISNUMBER($GH38),$GH38,0),0)</f>
        <v>0</v>
      </c>
      <c r="Y38" s="71" t="n">
        <f aca="false">IF($F$3="NYMEX",0,VLOOKUP($A38,curvesettle,HLOOKUP($F$3,curvesettle,2,FALSE()),FALSE()))</f>
        <v>-0.31</v>
      </c>
      <c r="Z38" s="63" t="n">
        <f aca="false">IF($F$4="NYMEX",0,VLOOKUP($A38,curvesettle,HLOOKUP($F$4,curvesettle,2,FALSE()),FALSE()))</f>
        <v>0</v>
      </c>
      <c r="AA38" s="65" t="n">
        <f aca="false">IF(ISNUMBER(VLOOKUP($A38,VOLCURVES,HLOOKUP($F$3,VOLCURVES,2,FALSE()),FALSE())),VLOOKUP($A38,VOLCURVES,HLOOKUP($F$3,VOLCURVES,2,FALSE()),FALSE()),1)</f>
        <v>1</v>
      </c>
      <c r="AB38" s="65" t="n">
        <f aca="false">IF(ISNUMBER(VLOOKUP($A38,VOLCURVES,HLOOKUP($F$4,VOLCURVES,2,FALSE()),FALSE())),VLOOKUP($A38,VOLCURVES,HLOOKUP($F$4,VOLCURVES,2,FALSE()),FALSE()),1)</f>
        <v>1</v>
      </c>
      <c r="AC38" s="65" t="n">
        <f aca="false">IF(ISNUMBER(VLOOKUP($A38,CORETABLE,HLOOKUP($F$3,CORETABLE,2,FALSE()),FALSE())),VLOOKUP($A38,CORETABLE,HLOOKUP($F$3,CORETABLE,2,FALSE()),FALSE()),0.99)</f>
        <v>0.88</v>
      </c>
      <c r="AD38" s="68" t="n">
        <f aca="false">F$19</f>
        <v>-0.6</v>
      </c>
      <c r="AE38" s="69" t="n">
        <f aca="false">IF($F$18=1,IF(ISNUMBER($GI38),$GI38,0),0)</f>
        <v>0</v>
      </c>
      <c r="AF38" s="63" t="n">
        <f aca="false">IF($H$3="NYMEX",0,VLOOKUP($A38,curvesettle,HLOOKUP($H$3,curvesettle,2,FALSE()),FALSE()))</f>
        <v>-0.31</v>
      </c>
      <c r="AG38" s="63" t="n">
        <f aca="false">IF($H$4="NYMEX",0,VLOOKUP($A38,curvesettle,HLOOKUP($H$4,curvesettle,2,FALSE()),FALSE()))</f>
        <v>0</v>
      </c>
      <c r="AH38" s="65" t="n">
        <f aca="false">IF(ISNUMBER(VLOOKUP($A38,VOLCURVES,HLOOKUP($H$3,VOLCURVES,2,FALSE()),FALSE())),VLOOKUP($A38,VOLCURVES,HLOOKUP($H$3,VOLCURVES,2,FALSE()),FALSE()),1)</f>
        <v>1</v>
      </c>
      <c r="AI38" s="65" t="n">
        <f aca="false">IF(ISNUMBER(VLOOKUP($A38,VOLCURVES,HLOOKUP($H$4,VOLCURVES,2,FALSE()),FALSE())),VLOOKUP($A38,VOLCURVES,HLOOKUP($H$4,VOLCURVES,2,FALSE()),FALSE()),1)</f>
        <v>1</v>
      </c>
      <c r="AJ38" s="65" t="n">
        <f aca="false">IF(ISNUMBER(VLOOKUP($A38,CORETABLE,HLOOKUP($H$3,CORETABLE,2,FALSE()),FALSE())),VLOOKUP($A38,CORETABLE,HLOOKUP($H$3,CORETABLE,2,FALSE()),FALSE()),0.99)</f>
        <v>0.88</v>
      </c>
      <c r="AK38" s="68" t="n">
        <f aca="false">H$19</f>
        <v>-0.45</v>
      </c>
      <c r="AL38" s="69" t="n">
        <f aca="false">IF($H$18=1,IF(ISNUMBER($GJ38),$GJ38,0),0)</f>
        <v>0</v>
      </c>
      <c r="AM38" s="4" t="n">
        <f aca="false">VLOOKUP($A38,STRADDLE,14,FALSE())</f>
        <v>0.018936902743822</v>
      </c>
      <c r="AN38" s="72" t="n">
        <f aca="false">A39-A38</f>
        <v>31</v>
      </c>
      <c r="AO38" s="1" t="n">
        <v>1</v>
      </c>
      <c r="AP38" s="73" t="n">
        <f aca="false">IF($A38&gt;=AR$32,IF($A38&lt;=AR$33,$AN38,0),0)</f>
        <v>31</v>
      </c>
      <c r="AQ38" s="41" t="n">
        <f aca="false">$B38+$K38+$B$12</f>
        <v>2.579</v>
      </c>
      <c r="AR38" s="41" t="n">
        <f aca="false">$B38+$L38+$B$13</f>
        <v>2.719</v>
      </c>
      <c r="AS38" s="41" t="n">
        <f aca="false">AQ38*AP38</f>
        <v>79.949</v>
      </c>
      <c r="AT38" s="41" t="n">
        <f aca="false">AR38*AP38</f>
        <v>84.289</v>
      </c>
      <c r="AU38" s="74" t="n">
        <f aca="false">($C38*$M38)+Q38+$B$14</f>
        <v>0.87</v>
      </c>
      <c r="AV38" s="74" t="n">
        <f aca="false">($C38*$N38)+$B$15</f>
        <v>0.87</v>
      </c>
      <c r="AW38" s="65" t="n">
        <f aca="false">O38+B$16</f>
        <v>0.999</v>
      </c>
      <c r="AX38" s="75" t="e">
        <f aca="false">IF(AP38=0,0,SPRDOPT(AQ38,AR38,$P38,$AM38,AU38,AV38,AW38,$D38,$B$20,0))</f>
        <v>#NAME?</v>
      </c>
      <c r="AY38" s="75" t="e">
        <f aca="false">IF(AQ38=0,0,SPRDOPT(AQ38,AR38,$P38,$AM38,AU38,AV38,AW38,$D38,$B$20,1))</f>
        <v>#NAME?</v>
      </c>
      <c r="AZ38" s="75" t="e">
        <f aca="false">IF(AR38=0,0,SPRDOPT(AQ38,AR38,$P38,$AM38,AU38,AV38,AW38,$D38,$B$20,2))</f>
        <v>#NAME?</v>
      </c>
      <c r="BA38" s="75" t="e">
        <f aca="false">IF(AS38=0,0,SPRDOPT(AQ38,AR38,$P38,$AM38,AU38,AV38,AW38,$D38,$B$20,3)/100)</f>
        <v>#NAME?</v>
      </c>
      <c r="BB38" s="75" t="e">
        <f aca="false">IF(AT38=0,0,SPRDOPT(AQ38,AR38,$P38,$AM38,AU38,AV38,AW38,$D38,$B$20,4)/100)</f>
        <v>#NAME?</v>
      </c>
      <c r="BC38" s="75" t="e">
        <f aca="false">IF(AU38=0,0,SPRDOPT(AQ38,AR38,$P38,$AM38,AU38,AV38,AW38,$D38,$B$20,5)/100)</f>
        <v>#NAME?</v>
      </c>
      <c r="BD38" s="75" t="e">
        <f aca="false">IF(AV38=0,0,SPRDOPT(AQ38,AR38,$P38,$AM38,AU38,AV38,AW38,$D38,$B$20,6)/100)</f>
        <v>#NAME?</v>
      </c>
      <c r="BE38" s="75" t="e">
        <f aca="false">IF(AW38=0,0,SPRDOPT(AQ38,AR38,$P38,$AM38,AU38,AV38,AW38,$D38,$B$20,7)/100)</f>
        <v>#NAME?</v>
      </c>
      <c r="BF38" s="75" t="e">
        <f aca="false">IF(AX38=0,0,SPRDOPT(AQ38,AR38,$P38,$AM38,AU38,AV38,AW38,$D38,$B$20,9)/365)</f>
        <v>#NAME?</v>
      </c>
      <c r="BG38" s="75" t="e">
        <f aca="false">AY38+AZ38</f>
        <v>#NAME?</v>
      </c>
      <c r="BH38" s="75" t="e">
        <f aca="false">BB38-BA38</f>
        <v>#NAME?</v>
      </c>
      <c r="BI38" s="75" t="e">
        <f aca="false">((AU38/AV38)*BC38)+BD38</f>
        <v>#NAME?</v>
      </c>
      <c r="BJ38" s="75" t="n">
        <f aca="false">AW38*AP38</f>
        <v>30.969</v>
      </c>
      <c r="BK38" s="76"/>
      <c r="BL38" s="37" t="e">
        <f aca="false">$AP38*AX38</f>
        <v>#NAME?</v>
      </c>
      <c r="BM38" s="37" t="e">
        <f aca="false">$AP38*AY38</f>
        <v>#NAME?</v>
      </c>
      <c r="BN38" s="37" t="e">
        <f aca="false">$AP38*AZ38</f>
        <v>#NAME?</v>
      </c>
      <c r="BO38" s="37" t="e">
        <f aca="false">$AP38*BA38</f>
        <v>#NAME?</v>
      </c>
      <c r="BP38" s="37" t="e">
        <f aca="false">$AP38*BB38</f>
        <v>#NAME?</v>
      </c>
      <c r="BQ38" s="37" t="e">
        <f aca="false">$AP38*BC38</f>
        <v>#NAME?</v>
      </c>
      <c r="BR38" s="37" t="e">
        <f aca="false">$AP38*BD38</f>
        <v>#NAME?</v>
      </c>
      <c r="BS38" s="37" t="e">
        <f aca="false">$AP38*BE38</f>
        <v>#NAME?</v>
      </c>
      <c r="BT38" s="37" t="e">
        <f aca="false">$AP38*BF38</f>
        <v>#NAME?</v>
      </c>
      <c r="BU38" s="37" t="e">
        <f aca="false">$AP38*BG38</f>
        <v>#NAME?</v>
      </c>
      <c r="BV38" s="37" t="e">
        <f aca="false">$AP38*BH38</f>
        <v>#NAME?</v>
      </c>
      <c r="BW38" s="37" t="e">
        <f aca="false">$AP38*BI38</f>
        <v>#NAME?</v>
      </c>
      <c r="BX38" s="37"/>
      <c r="BZ38" s="73" t="n">
        <f aca="false">IF($A38&gt;=CB$32,IF($A38&lt;=CB$33,$AN38,0),0)</f>
        <v>0</v>
      </c>
      <c r="CA38" s="41" t="n">
        <f aca="false">$B38+$R38+$D$12</f>
        <v>2.704</v>
      </c>
      <c r="CB38" s="41" t="n">
        <f aca="false">$B38+$S38+$D$13</f>
        <v>2.719</v>
      </c>
      <c r="CC38" s="41" t="n">
        <f aca="false">CA38*BZ38</f>
        <v>0</v>
      </c>
      <c r="CD38" s="41" t="n">
        <f aca="false">CB38*BZ38</f>
        <v>0</v>
      </c>
      <c r="CE38" s="74" t="n">
        <f aca="false">($C38*$T38)+X38+$D$14</f>
        <v>0.9396</v>
      </c>
      <c r="CF38" s="74" t="n">
        <f aca="false">($C38*$U38)+$D$15</f>
        <v>0.87</v>
      </c>
      <c r="CG38" s="65" t="n">
        <f aca="false">$V38+D$16</f>
        <v>0.88</v>
      </c>
      <c r="CH38" s="75" t="n">
        <f aca="false">IF(BZ38=0,0,SPRDOPT(CA38,CB38,$W38,$AM38,CE38,CF38,CG38,$D38,$D$20,0))</f>
        <v>0</v>
      </c>
      <c r="CI38" s="75" t="e">
        <f aca="false">IF(CA38=0,0,SPRDOPT(CA38,CB38,$W38,$AM38,CE38,CF38,CG38,$D38,$D$20,1))</f>
        <v>#NAME?</v>
      </c>
      <c r="CJ38" s="75" t="e">
        <f aca="false">IF(CB38=0,0,SPRDOPT(CA38,CB38,$W38,$AM38,CE38,CF38,CG38,$D38,$D$20,2))</f>
        <v>#NAME?</v>
      </c>
      <c r="CK38" s="75" t="n">
        <f aca="false">IF(CC38=0,0,SPRDOPT(CA38,CB38,$W38,$AM38,CE38,CF38,CG38,$D38,$D$20,3)/100)</f>
        <v>0</v>
      </c>
      <c r="CL38" s="75" t="n">
        <f aca="false">IF(CD38=0,0,SPRDOPT(CA38,CB38,$W38,$AM38,CE38,CF38,CG38,$D38,$D$20,4)/100)</f>
        <v>0</v>
      </c>
      <c r="CM38" s="75" t="e">
        <f aca="false">IF(CE38=0,0,SPRDOPT(CA38,CB38,$W38,$AM38,CE38,CF38,CG38,$D38,$D$20,5)/100)</f>
        <v>#NAME?</v>
      </c>
      <c r="CN38" s="75" t="e">
        <f aca="false">IF(CF38=0,0,SPRDOPT(CA38,CB38,$W38,$AM38,CE38,CF38,CG38,$D38,$D$20,6)/100)</f>
        <v>#NAME?</v>
      </c>
      <c r="CO38" s="75" t="e">
        <f aca="false">IF(CG38=0,0,SPRDOPT(CA38,CB38,$W38,$AM38,CE38,CF38,CG38,$D38,$D$20,7)/100)</f>
        <v>#NAME?</v>
      </c>
      <c r="CP38" s="75" t="n">
        <f aca="false">IF(CH38=0,0,SPRDOPT(CA38,CB38,$W38,$AM38,CE38,CF38,CG38,$D38,$D$20,9)/365)</f>
        <v>0</v>
      </c>
      <c r="CQ38" s="75" t="e">
        <f aca="false">CI38+CJ38</f>
        <v>#NAME?</v>
      </c>
      <c r="CR38" s="75" t="n">
        <f aca="false">CL38-CK38</f>
        <v>0</v>
      </c>
      <c r="CS38" s="75" t="e">
        <f aca="false">((CE38/CF38)*CM38)+CN38</f>
        <v>#NAME?</v>
      </c>
      <c r="CT38" s="75" t="n">
        <f aca="false">CG38*BZ38</f>
        <v>0</v>
      </c>
      <c r="CU38" s="76"/>
      <c r="CV38" s="37" t="n">
        <f aca="false">BZ38*CH38</f>
        <v>0</v>
      </c>
      <c r="CW38" s="37" t="e">
        <f aca="false">BZ38*CI38</f>
        <v>#NAME?</v>
      </c>
      <c r="CX38" s="37" t="e">
        <f aca="false">BZ38*CJ38</f>
        <v>#NAME?</v>
      </c>
      <c r="CY38" s="37" t="n">
        <f aca="false">BZ38*CK38</f>
        <v>0</v>
      </c>
      <c r="CZ38" s="37" t="n">
        <f aca="false">BZ38*CL38</f>
        <v>0</v>
      </c>
      <c r="DA38" s="37" t="e">
        <f aca="false">BZ38*CM38</f>
        <v>#NAME?</v>
      </c>
      <c r="DB38" s="37" t="e">
        <f aca="false">BZ38*CN38</f>
        <v>#NAME?</v>
      </c>
      <c r="DC38" s="37" t="e">
        <f aca="false">BZ38*CO38</f>
        <v>#NAME?</v>
      </c>
      <c r="DD38" s="37" t="n">
        <f aca="false">BZ38*CP38</f>
        <v>0</v>
      </c>
      <c r="DE38" s="37" t="e">
        <f aca="false">BZ38*CQ38</f>
        <v>#NAME?</v>
      </c>
      <c r="DF38" s="37" t="n">
        <f aca="false">BZ38*CR38</f>
        <v>0</v>
      </c>
      <c r="DG38" s="37" t="e">
        <f aca="false">BZ38*CS38</f>
        <v>#NAME?</v>
      </c>
      <c r="DI38" s="73" t="n">
        <f aca="false">IF($A38&gt;=DK$32,IF($A38&lt;=DK$33,$AN38,0),0)</f>
        <v>0</v>
      </c>
      <c r="DJ38" s="41" t="n">
        <f aca="false">$B38+$Y38+$F$12</f>
        <v>2.409</v>
      </c>
      <c r="DK38" s="41" t="n">
        <f aca="false">$B38+$Z38+$F$13</f>
        <v>2.719</v>
      </c>
      <c r="DL38" s="41" t="n">
        <f aca="false">DJ38*DI38</f>
        <v>0</v>
      </c>
      <c r="DM38" s="41" t="n">
        <f aca="false">DK38*DI38</f>
        <v>0</v>
      </c>
      <c r="DN38" s="74" t="n">
        <f aca="false">($C38*$AA38)+AE38+$F$14</f>
        <v>0.87</v>
      </c>
      <c r="DO38" s="74" t="n">
        <f aca="false">($C38*$AB38)+$F$15</f>
        <v>0.87</v>
      </c>
      <c r="DP38" s="65" t="n">
        <f aca="false">$AC38+$F$16</f>
        <v>0.88</v>
      </c>
      <c r="DQ38" s="75" t="n">
        <f aca="false">IF(DI38=0,0,SPRDOPT(DJ38,DK38,$AD38,$AM38,DN38,DO38,DP38,$D38,$F$20,0))</f>
        <v>0</v>
      </c>
      <c r="DR38" s="75" t="e">
        <f aca="false">IF(DJ38=0,0,SPRDOPT(DJ38,DK38,$AD38,$AM38,DN38,DO38,DP38,$D38,$F$20,1))</f>
        <v>#NAME?</v>
      </c>
      <c r="DS38" s="75" t="e">
        <f aca="false">IF(DK38=0,0,SPRDOPT(DJ38,DK38,$AD38,$AM38,DN38,DO38,DP38,$D38,$F$20,2))</f>
        <v>#NAME?</v>
      </c>
      <c r="DT38" s="75" t="n">
        <f aca="false">IF(DL38=0,0,SPRDOPT(DJ38,DK38,$AD38,$AM38,DN38,DO38,DP38,$D38,$F$20,3)/100)</f>
        <v>0</v>
      </c>
      <c r="DU38" s="75" t="n">
        <f aca="false">IF(DM38=0,0,SPRDOPT(DJ38,DK38,$AD38,$AM38,DN38,DO38,DP38,$D38,$F$20,4)/100)</f>
        <v>0</v>
      </c>
      <c r="DV38" s="75" t="e">
        <f aca="false">IF(DN38=0,0,SPRDOPT(DJ38,DK38,$AD38,$AM38,DN38,DO38,DP38,$D38,$F$20,5)/100)</f>
        <v>#NAME?</v>
      </c>
      <c r="DW38" s="75" t="e">
        <f aca="false">IF(DO38=0,0,SPRDOPT(DJ38,DK38,$AD38,$AM38,DN38,DO38,DP38,$D38,$F$20,6)/100)</f>
        <v>#NAME?</v>
      </c>
      <c r="DX38" s="75" t="e">
        <f aca="false">IF(DP38=0,0,SPRDOPT(DJ38,DK38,$AD38,$AM38,DN38,DO38,DP38,$D38,$F$20,7)/100)</f>
        <v>#NAME?</v>
      </c>
      <c r="DY38" s="75" t="n">
        <f aca="false">IF(DQ38=0,0,SPRDOPT(DJ38,DK38,$AD38,$AM38,DN38,DO38,DP38,$D38,$F$20,9)/365)</f>
        <v>0</v>
      </c>
      <c r="DZ38" s="75" t="e">
        <f aca="false">DR38+DS38</f>
        <v>#NAME?</v>
      </c>
      <c r="EA38" s="75" t="n">
        <f aca="false">DU38-DT38</f>
        <v>0</v>
      </c>
      <c r="EB38" s="75" t="e">
        <f aca="false">((DN38/DO38)*DV38)+DW38</f>
        <v>#NAME?</v>
      </c>
      <c r="EC38" s="75" t="n">
        <f aca="false">DP38*DI38</f>
        <v>0</v>
      </c>
      <c r="ED38" s="75"/>
      <c r="EE38" s="37" t="n">
        <f aca="false">DI38*DQ38</f>
        <v>0</v>
      </c>
      <c r="EF38" s="37" t="e">
        <f aca="false">DI38*DR38</f>
        <v>#NAME?</v>
      </c>
      <c r="EG38" s="37" t="e">
        <f aca="false">DI38*DS38</f>
        <v>#NAME?</v>
      </c>
      <c r="EH38" s="37" t="n">
        <f aca="false">DI38*DT38</f>
        <v>0</v>
      </c>
      <c r="EI38" s="37" t="n">
        <f aca="false">DI38*DU38</f>
        <v>0</v>
      </c>
      <c r="EJ38" s="37" t="e">
        <f aca="false">DI38*DV38</f>
        <v>#NAME?</v>
      </c>
      <c r="EK38" s="37" t="e">
        <f aca="false">DI38*DW38</f>
        <v>#NAME?</v>
      </c>
      <c r="EL38" s="37" t="e">
        <f aca="false">DI38*DX38</f>
        <v>#NAME?</v>
      </c>
      <c r="EM38" s="37" t="n">
        <f aca="false">DI38*DY38</f>
        <v>0</v>
      </c>
      <c r="EN38" s="37" t="e">
        <f aca="false">DI38*DZ38</f>
        <v>#NAME?</v>
      </c>
      <c r="EO38" s="37" t="n">
        <f aca="false">DI38*EA38</f>
        <v>0</v>
      </c>
      <c r="EP38" s="37" t="e">
        <f aca="false">DI38*EB38</f>
        <v>#NAME?</v>
      </c>
      <c r="ER38" s="73" t="n">
        <f aca="false">IF($A38&gt;=ET$32,IF($A38&lt;=ET$33,$AN38,0),0)</f>
        <v>31</v>
      </c>
      <c r="ES38" s="41" t="n">
        <f aca="false">$B38+$AF38+$H$12</f>
        <v>2.469</v>
      </c>
      <c r="ET38" s="41" t="n">
        <f aca="false">$B38+$AG38+$H$13</f>
        <v>2.719</v>
      </c>
      <c r="EU38" s="41" t="n">
        <f aca="false">ES38*ER38</f>
        <v>76.539</v>
      </c>
      <c r="EV38" s="41" t="n">
        <f aca="false">ET38*ER38</f>
        <v>84.289</v>
      </c>
      <c r="EW38" s="74" t="n">
        <f aca="false">($C38*$AH38)+AL38+$H$14</f>
        <v>0.87</v>
      </c>
      <c r="EX38" s="74" t="n">
        <f aca="false">($C38*$AI38)+$H$15</f>
        <v>0.87</v>
      </c>
      <c r="EY38" s="65" t="n">
        <f aca="false">$AJ38+$H$16</f>
        <v>0.88</v>
      </c>
      <c r="EZ38" s="75" t="e">
        <f aca="false">IF(ER38=0,0,SPRDOPT(ES38,ET38,$AK38,$AM38,EW38,EX38,EY38,$D38,$H$20,0))</f>
        <v>#NAME?</v>
      </c>
      <c r="FA38" s="75" t="e">
        <f aca="false">IF(ES38=0,0,SPRDOPT(ES38,ET38,$AK38,$AM38,EW38,EX38,EY38,$D38,$H$20,1))</f>
        <v>#NAME?</v>
      </c>
      <c r="FB38" s="75" t="e">
        <f aca="false">IF(ET38=0,0,SPRDOPT(ES38,ET38,$AK38,$AM38,EW38,EX38,EY38,$D38,$H$20,2))</f>
        <v>#NAME?</v>
      </c>
      <c r="FC38" s="75" t="e">
        <f aca="false">IF(EU38=0,0,SPRDOPT(ES38,ET38,$AK38,$AM38,EW38,EX38,EY38,$D38,$H$20,3)/100)</f>
        <v>#NAME?</v>
      </c>
      <c r="FD38" s="75" t="e">
        <f aca="false">IF(EV38=0,0,SPRDOPT(ES38,ET38,$AK38,$AM38,EW38,EX38,EY38,$D38,$H$20,4)/100)</f>
        <v>#NAME?</v>
      </c>
      <c r="FE38" s="75" t="e">
        <f aca="false">IF(EW38=0,0,SPRDOPT(ES38,ET38,$AK38,$AM38,EW38,EX38,EY38,$D38,$H$20,5)/100)</f>
        <v>#NAME?</v>
      </c>
      <c r="FF38" s="75" t="e">
        <f aca="false">IF(EX38=0,0,SPRDOPT(ES38,ET38,$AK38,$AM38,EW38,EX38,EY38,$D38,$H$20,6)/100)</f>
        <v>#NAME?</v>
      </c>
      <c r="FG38" s="75" t="e">
        <f aca="false">IF(EY38=0,0,SPRDOPT(ES38,ET38,$AK38,$AM38,EW38,EX38,EY38,$D38,$H$20,7)/100)</f>
        <v>#NAME?</v>
      </c>
      <c r="FH38" s="75" t="e">
        <f aca="false">IF(EZ38=0,0,SPRDOPT(ES38,ET38,$AK38,$AM38,EW38,EX38,EY38,$D38,$H$20,9)/365)</f>
        <v>#NAME?</v>
      </c>
      <c r="FI38" s="75" t="e">
        <f aca="false">FA38+FB38</f>
        <v>#NAME?</v>
      </c>
      <c r="FJ38" s="75" t="e">
        <f aca="false">FD38-FC38</f>
        <v>#NAME?</v>
      </c>
      <c r="FK38" s="75" t="e">
        <f aca="false">((EW38/EX38)*FE38)+FF38</f>
        <v>#NAME?</v>
      </c>
      <c r="FL38" s="75" t="n">
        <f aca="false">EY38*ER38</f>
        <v>27.28</v>
      </c>
      <c r="FM38" s="75"/>
      <c r="FN38" s="37" t="e">
        <f aca="false">$ER38*EZ38</f>
        <v>#NAME?</v>
      </c>
      <c r="FO38" s="37" t="e">
        <f aca="false">$ER38*FA38</f>
        <v>#NAME?</v>
      </c>
      <c r="FP38" s="37" t="e">
        <f aca="false">$ER38*FB38</f>
        <v>#NAME?</v>
      </c>
      <c r="FQ38" s="37" t="e">
        <f aca="false">$ER38*FC38</f>
        <v>#NAME?</v>
      </c>
      <c r="FR38" s="37" t="e">
        <f aca="false">$ER38*FD38</f>
        <v>#NAME?</v>
      </c>
      <c r="FS38" s="37" t="e">
        <f aca="false">$ER38*FE38</f>
        <v>#NAME?</v>
      </c>
      <c r="FT38" s="37" t="e">
        <f aca="false">$ER38*FF38</f>
        <v>#NAME?</v>
      </c>
      <c r="FU38" s="37" t="e">
        <f aca="false">$ER38*FG38</f>
        <v>#NAME?</v>
      </c>
      <c r="FV38" s="37" t="e">
        <f aca="false">$ER38*FH38</f>
        <v>#NAME?</v>
      </c>
      <c r="FW38" s="37" t="e">
        <f aca="false">$ER38*FI38</f>
        <v>#NAME?</v>
      </c>
      <c r="FX38" s="37" t="e">
        <f aca="false">$ER38*FJ38</f>
        <v>#NAME?</v>
      </c>
      <c r="FY38" s="37" t="e">
        <f aca="false">$ER38*FK38</f>
        <v>#NAME?</v>
      </c>
      <c r="GA38" s="77" t="e">
        <f aca="false">VLOOKUP(A38,skewmonthlook,2,FALSE())</f>
        <v>#REF!</v>
      </c>
      <c r="GB38" s="0" t="e">
        <f aca="false">CONCATENATE(B$3,$GA38)</f>
        <v>#REF!</v>
      </c>
      <c r="GC38" s="0" t="e">
        <f aca="false">CONCATENATE(D$3,$GA38)</f>
        <v>#REF!</v>
      </c>
      <c r="GD38" s="0" t="e">
        <f aca="false">CONCATENATE(F$3,$GA38)</f>
        <v>#REF!</v>
      </c>
      <c r="GE38" s="0" t="e">
        <f aca="false">CONCATENATE(H$3,$GA38)</f>
        <v>#REF!</v>
      </c>
      <c r="GG38" s="65" t="e">
        <f aca="false">VLOOKUP(GB38,skewlook,HLOOKUP($P38,skewlook,2),FALSE())</f>
        <v>#REF!</v>
      </c>
      <c r="GH38" s="65" t="e">
        <f aca="false">VLOOKUP(GC38,skewlook,HLOOKUP($W38,skewlook,2),FALSE())</f>
        <v>#REF!</v>
      </c>
      <c r="GI38" s="65" t="e">
        <f aca="false">VLOOKUP(GD38,skewlook,HLOOKUP($AD38,skewlook,2),FALSE())</f>
        <v>#REF!</v>
      </c>
      <c r="GJ38" s="65" t="e">
        <f aca="false">VLOOKUP(GE38,skewlook,HLOOKUP($AK38,skewlook,2),FALSE())</f>
        <v>#REF!</v>
      </c>
    </row>
    <row r="39" customFormat="false" ht="12.75" hidden="false" customHeight="false" outlineLevel="0" collapsed="false">
      <c r="A39" s="62" t="n">
        <f aca="false">DATE(YEAR(A38),MONTH(A38)+1,1)</f>
        <v>37288</v>
      </c>
      <c r="B39" s="63" t="n">
        <f aca="false">VLOOKUP(A39,STRADDLE,5,FALSE())</f>
        <v>2.793</v>
      </c>
      <c r="C39" s="4" t="n">
        <f aca="false">VLOOKUP(A39,STRADDLE,8,FALSE())</f>
        <v>0.865</v>
      </c>
      <c r="D39" s="64" t="n">
        <f aca="false">VLOOKUP(A39,expiration,2,FALSE())-$B$2</f>
        <v>-8642</v>
      </c>
      <c r="E39" s="65" t="e">
        <f aca="false">AY39</f>
        <v>#NAME?</v>
      </c>
      <c r="F39" s="65" t="e">
        <f aca="false">CI39</f>
        <v>#NAME?</v>
      </c>
      <c r="G39" s="65" t="e">
        <f aca="false">DR39</f>
        <v>#NAME?</v>
      </c>
      <c r="H39" s="65" t="e">
        <f aca="false">FA39</f>
        <v>#NAME?</v>
      </c>
      <c r="I39" s="66"/>
      <c r="J39" s="67"/>
      <c r="K39" s="63" t="n">
        <f aca="false">IF($B$3="NYMEX",0,VLOOKUP($A39,curvesettle,HLOOKUP($B$3,curvesettle,2,FALSE()),FALSE()))</f>
        <v>-0.135</v>
      </c>
      <c r="L39" s="63" t="n">
        <f aca="false">IF($B$4="NYMEX",0,VLOOKUP($A39,curvesettle,HLOOKUP($B$4,curvesettle,2,FALSE()),FALSE()))</f>
        <v>0</v>
      </c>
      <c r="M39" s="65" t="n">
        <f aca="false">IF(ISNUMBER(VLOOKUP($A39,VOLCURVES,HLOOKUP($B$3,VOLCURVES,2,FALSE()),FALSE())),VLOOKUP($A39,VOLCURVES,HLOOKUP($B$3,VOLCURVES,2,FALSE()),FALSE()),1)</f>
        <v>1</v>
      </c>
      <c r="N39" s="65" t="n">
        <f aca="false">IF(ISNUMBER(VLOOKUP($A39,VOLCURVES,HLOOKUP($B$4,VOLCURVES,2,FALSE()),FALSE())),VLOOKUP($A39,VOLCURVES,HLOOKUP($B$4,VOLCURVES,2,FALSE()),FALSE()),1)</f>
        <v>1</v>
      </c>
      <c r="O39" s="65" t="n">
        <f aca="false">IF(ISNUMBER(VLOOKUP($A39,CORETABLE,HLOOKUP($B$3,CORETABLE,2,FALSE()),FALSE())),VLOOKUP($A39,CORETABLE,HLOOKUP($B$3,CORETABLE,2,FALSE()),FALSE()),0.99)</f>
        <v>0.9945</v>
      </c>
      <c r="P39" s="68" t="n">
        <f aca="false">B$19</f>
        <v>-0.2</v>
      </c>
      <c r="Q39" s="69" t="n">
        <f aca="false">IF($B$18=1,IF(ISNUMBER($GG39),$GG39,0),0)</f>
        <v>0</v>
      </c>
      <c r="R39" s="70" t="n">
        <f aca="false">IF($D$3="NYMEX",0,VLOOKUP($A39,curvesettle,HLOOKUP($D$3,curvesettle,2,FALSE()),FALSE()))</f>
        <v>-0.09</v>
      </c>
      <c r="S39" s="63" t="n">
        <f aca="false">IF($D$4="NYMEX",0,VLOOKUP($A39,curvesettle,HLOOKUP($D$4,curvesettle,2,FALSE()),FALSE()))</f>
        <v>0</v>
      </c>
      <c r="T39" s="65" t="n">
        <f aca="false">IF(ISNUMBER(VLOOKUP($A39,VOLCURVES,HLOOKUP($D$3,VOLCURVES,2,FALSE()),FALSE())),VLOOKUP($A39,VOLCURVES,HLOOKUP($D$3,VOLCURVES,2,FALSE()),FALSE()),1)</f>
        <v>1.08</v>
      </c>
      <c r="U39" s="65" t="n">
        <f aca="false">IF(ISNUMBER(VLOOKUP($A39,VOLCURVES,HLOOKUP($D$4,VOLCURVES,2,FALSE()),FALSE())),VLOOKUP($A39,VOLCURVES,HLOOKUP($D$4,VOLCURVES,2,FALSE()),FALSE()),1)</f>
        <v>1</v>
      </c>
      <c r="V39" s="65" t="n">
        <f aca="false">IF(ISNUMBER(VLOOKUP($A39,CORETABLE,HLOOKUP($D$3,CORETABLE,2,FALSE()),FALSE())),VLOOKUP($A39,CORETABLE,HLOOKUP($D$3,CORETABLE,2,FALSE()),FALSE()),0.99)</f>
        <v>0.88</v>
      </c>
      <c r="W39" s="68" t="n">
        <f aca="false">D$19</f>
        <v>0</v>
      </c>
      <c r="X39" s="69" t="n">
        <f aca="false">IF($D$18=1,IF(ISNUMBER($GH39),$GH39,0),0)</f>
        <v>0</v>
      </c>
      <c r="Y39" s="71" t="n">
        <f aca="false">IF($F$3="NYMEX",0,VLOOKUP($A39,curvesettle,HLOOKUP($F$3,curvesettle,2,FALSE()),FALSE()))</f>
        <v>-0.34</v>
      </c>
      <c r="Z39" s="63" t="n">
        <f aca="false">IF($F$4="NYMEX",0,VLOOKUP($A39,curvesettle,HLOOKUP($F$4,curvesettle,2,FALSE()),FALSE()))</f>
        <v>0</v>
      </c>
      <c r="AA39" s="65" t="n">
        <f aca="false">IF(ISNUMBER(VLOOKUP($A39,VOLCURVES,HLOOKUP($F$3,VOLCURVES,2,FALSE()),FALSE())),VLOOKUP($A39,VOLCURVES,HLOOKUP($F$3,VOLCURVES,2,FALSE()),FALSE()),1)</f>
        <v>1</v>
      </c>
      <c r="AB39" s="65" t="n">
        <f aca="false">IF(ISNUMBER(VLOOKUP($A39,VOLCURVES,HLOOKUP($F$4,VOLCURVES,2,FALSE()),FALSE())),VLOOKUP($A39,VOLCURVES,HLOOKUP($F$4,VOLCURVES,2,FALSE()),FALSE()),1)</f>
        <v>1</v>
      </c>
      <c r="AC39" s="65" t="n">
        <f aca="false">IF(ISNUMBER(VLOOKUP($A39,CORETABLE,HLOOKUP($F$3,CORETABLE,2,FALSE()),FALSE())),VLOOKUP($A39,CORETABLE,HLOOKUP($F$3,CORETABLE,2,FALSE()),FALSE()),0.99)</f>
        <v>0.88</v>
      </c>
      <c r="AD39" s="68" t="n">
        <f aca="false">F$19</f>
        <v>-0.6</v>
      </c>
      <c r="AE39" s="69" t="n">
        <f aca="false">IF($F$18=1,IF(ISNUMBER($GI39),$GI39,0),0)</f>
        <v>0</v>
      </c>
      <c r="AF39" s="63" t="n">
        <f aca="false">IF($H$3="NYMEX",0,VLOOKUP($A39,curvesettle,HLOOKUP($H$3,curvesettle,2,FALSE()),FALSE()))</f>
        <v>-0.34</v>
      </c>
      <c r="AG39" s="63" t="n">
        <f aca="false">IF($H$4="NYMEX",0,VLOOKUP($A39,curvesettle,HLOOKUP($H$4,curvesettle,2,FALSE()),FALSE()))</f>
        <v>0</v>
      </c>
      <c r="AH39" s="65" t="n">
        <f aca="false">IF(ISNUMBER(VLOOKUP($A39,VOLCURVES,HLOOKUP($H$3,VOLCURVES,2,FALSE()),FALSE())),VLOOKUP($A39,VOLCURVES,HLOOKUP($H$3,VOLCURVES,2,FALSE()),FALSE()),1)</f>
        <v>1</v>
      </c>
      <c r="AI39" s="65" t="n">
        <f aca="false">IF(ISNUMBER(VLOOKUP($A39,VOLCURVES,HLOOKUP($H$4,VOLCURVES,2,FALSE()),FALSE())),VLOOKUP($A39,VOLCURVES,HLOOKUP($H$4,VOLCURVES,2,FALSE()),FALSE()),1)</f>
        <v>1</v>
      </c>
      <c r="AJ39" s="65" t="n">
        <f aca="false">IF(ISNUMBER(VLOOKUP($A39,CORETABLE,HLOOKUP($H$3,CORETABLE,2,FALSE()),FALSE())),VLOOKUP($A39,CORETABLE,HLOOKUP($H$3,CORETABLE,2,FALSE()),FALSE()),0.99)</f>
        <v>0.88</v>
      </c>
      <c r="AK39" s="68" t="n">
        <f aca="false">H$19</f>
        <v>-0.45</v>
      </c>
      <c r="AL39" s="69" t="n">
        <f aca="false">IF($H$18=1,IF(ISNUMBER($GJ39),$GJ39,0),0)</f>
        <v>0</v>
      </c>
      <c r="AM39" s="4" t="n">
        <f aca="false">VLOOKUP($A39,STRADDLE,14,FALSE())</f>
        <v>0.0191878596638237</v>
      </c>
      <c r="AN39" s="72" t="n">
        <f aca="false">A40-A39</f>
        <v>28</v>
      </c>
      <c r="AO39" s="1" t="n">
        <f aca="false">AO38+1</f>
        <v>2</v>
      </c>
      <c r="AP39" s="73" t="n">
        <f aca="false">IF($A39&gt;=AR$32,IF($A39&lt;=AR$33,$AN39,0),0)</f>
        <v>28</v>
      </c>
      <c r="AQ39" s="41" t="n">
        <f aca="false">$B39+$K39+$B$12</f>
        <v>2.658</v>
      </c>
      <c r="AR39" s="41" t="n">
        <f aca="false">$B39+$L39+$B$13</f>
        <v>2.793</v>
      </c>
      <c r="AS39" s="41" t="n">
        <f aca="false">AQ39*AP39</f>
        <v>74.424</v>
      </c>
      <c r="AT39" s="41" t="n">
        <f aca="false">AR39*AP39</f>
        <v>78.204</v>
      </c>
      <c r="AU39" s="74" t="n">
        <f aca="false">($C39*$M39)+Q39+$B$14</f>
        <v>0.865</v>
      </c>
      <c r="AV39" s="74" t="n">
        <f aca="false">($C39*$N39)+$B$15</f>
        <v>0.865</v>
      </c>
      <c r="AW39" s="65" t="n">
        <f aca="false">O39+B$16</f>
        <v>0.999</v>
      </c>
      <c r="AX39" s="75" t="e">
        <f aca="false">IF(AP39=0,0,SPRDOPT(AQ39,AR39,$P39,$AM39,AU39,AV39,AW39,$D39,$B$20,0))</f>
        <v>#NAME?</v>
      </c>
      <c r="AY39" s="75" t="e">
        <f aca="false">IF(AQ39=0,0,SPRDOPT(AQ39,AR39,$P39,$AM39,AU39,AV39,AW39,$D39,$B$20,1))</f>
        <v>#NAME?</v>
      </c>
      <c r="AZ39" s="75" t="e">
        <f aca="false">IF(AR39=0,0,SPRDOPT(AQ39,AR39,$P39,$AM39,AU39,AV39,AW39,$D39,$B$20,2))</f>
        <v>#NAME?</v>
      </c>
      <c r="BA39" s="75" t="e">
        <f aca="false">IF(AS39=0,0,SPRDOPT(AQ39,AR39,$P39,$AM39,AU39,AV39,AW39,$D39,$B$20,3)/100)</f>
        <v>#NAME?</v>
      </c>
      <c r="BB39" s="75" t="e">
        <f aca="false">IF(AT39=0,0,SPRDOPT(AQ39,AR39,$P39,$AM39,AU39,AV39,AW39,$D39,$B$20,4)/100)</f>
        <v>#NAME?</v>
      </c>
      <c r="BC39" s="75" t="e">
        <f aca="false">IF(AU39=0,0,SPRDOPT(AQ39,AR39,$P39,$AM39,AU39,AV39,AW39,$D39,$B$20,5)/100)</f>
        <v>#NAME?</v>
      </c>
      <c r="BD39" s="75" t="e">
        <f aca="false">IF(AV39=0,0,SPRDOPT(AQ39,AR39,$P39,$AM39,AU39,AV39,AW39,$D39,$B$20,6)/100)</f>
        <v>#NAME?</v>
      </c>
      <c r="BE39" s="75" t="e">
        <f aca="false">IF(AW39=0,0,SPRDOPT(AQ39,AR39,$P39,$AM39,AU39,AV39,AW39,$D39,$B$20,7)/100)</f>
        <v>#NAME?</v>
      </c>
      <c r="BF39" s="75" t="e">
        <f aca="false">IF(AX39=0,0,SPRDOPT(AQ39,AR39,$P39,$AM39,AU39,AV39,AW39,$D39,$B$20,9)/365)</f>
        <v>#NAME?</v>
      </c>
      <c r="BG39" s="75" t="e">
        <f aca="false">AY39+AZ39</f>
        <v>#NAME?</v>
      </c>
      <c r="BH39" s="75" t="e">
        <f aca="false">BB39-BA39</f>
        <v>#NAME?</v>
      </c>
      <c r="BI39" s="75" t="e">
        <f aca="false">((AU39/AV39)*BC39)+BD39</f>
        <v>#NAME?</v>
      </c>
      <c r="BJ39" s="75" t="n">
        <f aca="false">AW39*AP39</f>
        <v>27.972</v>
      </c>
      <c r="BK39" s="76"/>
      <c r="BL39" s="37" t="e">
        <f aca="false">$AP39*AX39</f>
        <v>#NAME?</v>
      </c>
      <c r="BM39" s="37" t="e">
        <f aca="false">$AP39*AY39</f>
        <v>#NAME?</v>
      </c>
      <c r="BN39" s="37" t="e">
        <f aca="false">$AP39*AZ39</f>
        <v>#NAME?</v>
      </c>
      <c r="BO39" s="37" t="e">
        <f aca="false">$AP39*BA39</f>
        <v>#NAME?</v>
      </c>
      <c r="BP39" s="37" t="e">
        <f aca="false">$AP39*BB39</f>
        <v>#NAME?</v>
      </c>
      <c r="BQ39" s="37" t="e">
        <f aca="false">$AP39*BC39</f>
        <v>#NAME?</v>
      </c>
      <c r="BR39" s="37" t="e">
        <f aca="false">$AP39*BD39</f>
        <v>#NAME?</v>
      </c>
      <c r="BS39" s="37" t="e">
        <f aca="false">$AP39*BE39</f>
        <v>#NAME?</v>
      </c>
      <c r="BT39" s="37" t="e">
        <f aca="false">$AP39*BF39</f>
        <v>#NAME?</v>
      </c>
      <c r="BU39" s="37" t="e">
        <f aca="false">$AP39*BG39</f>
        <v>#NAME?</v>
      </c>
      <c r="BV39" s="37" t="e">
        <f aca="false">$AP39*BH39</f>
        <v>#NAME?</v>
      </c>
      <c r="BW39" s="37" t="e">
        <f aca="false">$AP39*BI39</f>
        <v>#NAME?</v>
      </c>
      <c r="BX39" s="37"/>
      <c r="BZ39" s="73" t="n">
        <f aca="false">IF($A39&gt;=CB$32,IF($A39&lt;=CB$33,$AN39,0),0)</f>
        <v>0</v>
      </c>
      <c r="CA39" s="41" t="n">
        <f aca="false">$B39+$R39+$D$12</f>
        <v>2.703</v>
      </c>
      <c r="CB39" s="41" t="n">
        <f aca="false">$B39+$S39+$D$13</f>
        <v>2.793</v>
      </c>
      <c r="CC39" s="41" t="n">
        <f aca="false">CA39*BZ39</f>
        <v>0</v>
      </c>
      <c r="CD39" s="41" t="n">
        <f aca="false">CB39*BZ39</f>
        <v>0</v>
      </c>
      <c r="CE39" s="74" t="n">
        <f aca="false">($C39*$T39)+X39+$D$14</f>
        <v>0.9342</v>
      </c>
      <c r="CF39" s="74" t="n">
        <f aca="false">($C39*$U39)+$D$15</f>
        <v>0.865</v>
      </c>
      <c r="CG39" s="65" t="n">
        <f aca="false">$V39+D$16</f>
        <v>0.88</v>
      </c>
      <c r="CH39" s="75" t="n">
        <f aca="false">IF(BZ39=0,0,SPRDOPT(CA39,CB39,$W39,$AM39,CE39,CF39,CG39,$D39,$D$20,0))</f>
        <v>0</v>
      </c>
      <c r="CI39" s="75" t="e">
        <f aca="false">IF(CA39=0,0,SPRDOPT(CA39,CB39,$W39,$AM39,CE39,CF39,CG39,$D39,$D$20,1))</f>
        <v>#NAME?</v>
      </c>
      <c r="CJ39" s="75" t="e">
        <f aca="false">IF(CB39=0,0,SPRDOPT(CA39,CB39,$W39,$AM39,CE39,CF39,CG39,$D39,$D$20,2))</f>
        <v>#NAME?</v>
      </c>
      <c r="CK39" s="75" t="n">
        <f aca="false">IF(CC39=0,0,SPRDOPT(CA39,CB39,$W39,$AM39,CE39,CF39,CG39,$D39,$D$20,3)/100)</f>
        <v>0</v>
      </c>
      <c r="CL39" s="75" t="n">
        <f aca="false">IF(CD39=0,0,SPRDOPT(CA39,CB39,$W39,$AM39,CE39,CF39,CG39,$D39,$D$20,4)/100)</f>
        <v>0</v>
      </c>
      <c r="CM39" s="75" t="e">
        <f aca="false">IF(CE39=0,0,SPRDOPT(CA39,CB39,$W39,$AM39,CE39,CF39,CG39,$D39,$D$20,5)/100)</f>
        <v>#NAME?</v>
      </c>
      <c r="CN39" s="75" t="e">
        <f aca="false">IF(CF39=0,0,SPRDOPT(CA39,CB39,$W39,$AM39,CE39,CF39,CG39,$D39,$D$20,6)/100)</f>
        <v>#NAME?</v>
      </c>
      <c r="CO39" s="75" t="e">
        <f aca="false">IF(CG39=0,0,SPRDOPT(CA39,CB39,$W39,$AM39,CE39,CF39,CG39,$D39,$D$20,7)/100)</f>
        <v>#NAME?</v>
      </c>
      <c r="CP39" s="75" t="n">
        <f aca="false">IF(CH39=0,0,SPRDOPT(CA39,CB39,$W39,$AM39,CE39,CF39,CG39,$D39,$D$20,9)/365)</f>
        <v>0</v>
      </c>
      <c r="CQ39" s="75" t="e">
        <f aca="false">CI39+CJ39</f>
        <v>#NAME?</v>
      </c>
      <c r="CR39" s="75" t="n">
        <f aca="false">CL39-CK39</f>
        <v>0</v>
      </c>
      <c r="CS39" s="75" t="e">
        <f aca="false">((CE39/CF39)*CM39)+CN39</f>
        <v>#NAME?</v>
      </c>
      <c r="CT39" s="75" t="n">
        <f aca="false">CG39*BZ39</f>
        <v>0</v>
      </c>
      <c r="CU39" s="76"/>
      <c r="CV39" s="37" t="n">
        <f aca="false">BZ39*CH39</f>
        <v>0</v>
      </c>
      <c r="CW39" s="37" t="e">
        <f aca="false">BZ39*CI39</f>
        <v>#NAME?</v>
      </c>
      <c r="CX39" s="37" t="e">
        <f aca="false">BZ39*CJ39</f>
        <v>#NAME?</v>
      </c>
      <c r="CY39" s="37" t="n">
        <f aca="false">BZ39*CK39</f>
        <v>0</v>
      </c>
      <c r="CZ39" s="37" t="n">
        <f aca="false">BZ39*CL39</f>
        <v>0</v>
      </c>
      <c r="DA39" s="37" t="e">
        <f aca="false">BZ39*CM39</f>
        <v>#NAME?</v>
      </c>
      <c r="DB39" s="37" t="e">
        <f aca="false">BZ39*CN39</f>
        <v>#NAME?</v>
      </c>
      <c r="DC39" s="37" t="e">
        <f aca="false">BZ39*CO39</f>
        <v>#NAME?</v>
      </c>
      <c r="DD39" s="37" t="n">
        <f aca="false">BZ39*CP39</f>
        <v>0</v>
      </c>
      <c r="DE39" s="37" t="e">
        <f aca="false">BZ39*CQ39</f>
        <v>#NAME?</v>
      </c>
      <c r="DF39" s="37" t="n">
        <f aca="false">BZ39*CR39</f>
        <v>0</v>
      </c>
      <c r="DG39" s="37" t="e">
        <f aca="false">BZ39*CS39</f>
        <v>#NAME?</v>
      </c>
      <c r="DI39" s="73" t="n">
        <f aca="false">IF($A39&gt;=DK$32,IF($A39&lt;=DK$33,$AN39,0),0)</f>
        <v>0</v>
      </c>
      <c r="DJ39" s="41" t="n">
        <f aca="false">$B39+$Y39+$F$12</f>
        <v>2.453</v>
      </c>
      <c r="DK39" s="41" t="n">
        <f aca="false">$B39+$Z39+$F$13</f>
        <v>2.793</v>
      </c>
      <c r="DL39" s="41" t="n">
        <f aca="false">DJ39*DI39</f>
        <v>0</v>
      </c>
      <c r="DM39" s="41" t="n">
        <f aca="false">DK39*DI39</f>
        <v>0</v>
      </c>
      <c r="DN39" s="74" t="n">
        <f aca="false">($C39*$AA39)+AE39+$F$14</f>
        <v>0.865</v>
      </c>
      <c r="DO39" s="74" t="n">
        <f aca="false">($C39*$AB39)+$F$15</f>
        <v>0.865</v>
      </c>
      <c r="DP39" s="65" t="n">
        <f aca="false">$AC39+$F$16</f>
        <v>0.88</v>
      </c>
      <c r="DQ39" s="75" t="n">
        <f aca="false">IF(DI39=0,0,SPRDOPT(DJ39,DK39,$AD39,$AM39,DN39,DO39,DP39,$D39,$F$20,0))</f>
        <v>0</v>
      </c>
      <c r="DR39" s="75" t="e">
        <f aca="false">IF(DJ39=0,0,SPRDOPT(DJ39,DK39,$AD39,$AM39,DN39,DO39,DP39,$D39,$F$20,1))</f>
        <v>#NAME?</v>
      </c>
      <c r="DS39" s="75" t="e">
        <f aca="false">IF(DK39=0,0,SPRDOPT(DJ39,DK39,$AD39,$AM39,DN39,DO39,DP39,$D39,$F$20,2))</f>
        <v>#NAME?</v>
      </c>
      <c r="DT39" s="75" t="n">
        <f aca="false">IF(DL39=0,0,SPRDOPT(DJ39,DK39,$AD39,$AM39,DN39,DO39,DP39,$D39,$F$20,3)/100)</f>
        <v>0</v>
      </c>
      <c r="DU39" s="75" t="n">
        <f aca="false">IF(DM39=0,0,SPRDOPT(DJ39,DK39,$AD39,$AM39,DN39,DO39,DP39,$D39,$F$20,4)/100)</f>
        <v>0</v>
      </c>
      <c r="DV39" s="75" t="e">
        <f aca="false">IF(DN39=0,0,SPRDOPT(DJ39,DK39,$AD39,$AM39,DN39,DO39,DP39,$D39,$F$20,5)/100)</f>
        <v>#NAME?</v>
      </c>
      <c r="DW39" s="75" t="e">
        <f aca="false">IF(DO39=0,0,SPRDOPT(DJ39,DK39,$AD39,$AM39,DN39,DO39,DP39,$D39,$F$20,6)/100)</f>
        <v>#NAME?</v>
      </c>
      <c r="DX39" s="75" t="e">
        <f aca="false">IF(DP39=0,0,SPRDOPT(DJ39,DK39,$AD39,$AM39,DN39,DO39,DP39,$D39,$F$20,7)/100)</f>
        <v>#NAME?</v>
      </c>
      <c r="DY39" s="75" t="n">
        <f aca="false">IF(DQ39=0,0,SPRDOPT(DJ39,DK39,$AD39,$AM39,DN39,DO39,DP39,$D39,$F$20,9)/365)</f>
        <v>0</v>
      </c>
      <c r="DZ39" s="75" t="e">
        <f aca="false">DR39+DS39</f>
        <v>#NAME?</v>
      </c>
      <c r="EA39" s="75" t="n">
        <f aca="false">DU39-DT39</f>
        <v>0</v>
      </c>
      <c r="EB39" s="75" t="e">
        <f aca="false">((DN39/DO39)*DV39)+DW39</f>
        <v>#NAME?</v>
      </c>
      <c r="EC39" s="75" t="n">
        <f aca="false">DP39*DI39</f>
        <v>0</v>
      </c>
      <c r="ED39" s="75"/>
      <c r="EE39" s="37" t="n">
        <f aca="false">DI39*DQ39</f>
        <v>0</v>
      </c>
      <c r="EF39" s="37" t="e">
        <f aca="false">DI39*DR39</f>
        <v>#NAME?</v>
      </c>
      <c r="EG39" s="37" t="e">
        <f aca="false">DI39*DS39</f>
        <v>#NAME?</v>
      </c>
      <c r="EH39" s="37" t="n">
        <f aca="false">DI39*DT39</f>
        <v>0</v>
      </c>
      <c r="EI39" s="37" t="n">
        <f aca="false">DI39*DU39</f>
        <v>0</v>
      </c>
      <c r="EJ39" s="37" t="e">
        <f aca="false">DI39*DV39</f>
        <v>#NAME?</v>
      </c>
      <c r="EK39" s="37" t="e">
        <f aca="false">DI39*DW39</f>
        <v>#NAME?</v>
      </c>
      <c r="EL39" s="37" t="e">
        <f aca="false">DI39*DX39</f>
        <v>#NAME?</v>
      </c>
      <c r="EM39" s="37" t="n">
        <f aca="false">DI39*DY39</f>
        <v>0</v>
      </c>
      <c r="EN39" s="37" t="e">
        <f aca="false">DI39*DZ39</f>
        <v>#NAME?</v>
      </c>
      <c r="EO39" s="37" t="n">
        <f aca="false">DI39*EA39</f>
        <v>0</v>
      </c>
      <c r="EP39" s="37" t="e">
        <f aca="false">DI39*EB39</f>
        <v>#NAME?</v>
      </c>
      <c r="ER39" s="73" t="n">
        <f aca="false">IF($A39&gt;=ET$32,IF($A39&lt;=ET$33,$AN39,0),0)</f>
        <v>28</v>
      </c>
      <c r="ES39" s="41" t="n">
        <f aca="false">$B39+$AF39+$H$12</f>
        <v>2.513</v>
      </c>
      <c r="ET39" s="41" t="n">
        <f aca="false">$B39+$AG39+$H$13</f>
        <v>2.793</v>
      </c>
      <c r="EU39" s="41" t="n">
        <f aca="false">ES39*ER39</f>
        <v>70.364</v>
      </c>
      <c r="EV39" s="41" t="n">
        <f aca="false">ET39*ER39</f>
        <v>78.204</v>
      </c>
      <c r="EW39" s="74" t="n">
        <f aca="false">($C39*$AH39)+AL39+$H$14</f>
        <v>0.865</v>
      </c>
      <c r="EX39" s="74" t="n">
        <f aca="false">($C39*$AI39)+$H$15</f>
        <v>0.865</v>
      </c>
      <c r="EY39" s="65" t="n">
        <f aca="false">$AJ39+$H$16</f>
        <v>0.88</v>
      </c>
      <c r="EZ39" s="75" t="e">
        <f aca="false">IF(ER39=0,0,SPRDOPT(ES39,ET39,$AK39,$AM39,EW39,EX39,EY39,$D39,$H$20,0))</f>
        <v>#NAME?</v>
      </c>
      <c r="FA39" s="75" t="e">
        <f aca="false">IF(ES39=0,0,SPRDOPT(ES39,ET39,$AK39,$AM39,EW39,EX39,EY39,$D39,$H$20,1))</f>
        <v>#NAME?</v>
      </c>
      <c r="FB39" s="75" t="e">
        <f aca="false">IF(ET39=0,0,SPRDOPT(ES39,ET39,$AK39,$AM39,EW39,EX39,EY39,$D39,$H$20,2))</f>
        <v>#NAME?</v>
      </c>
      <c r="FC39" s="75" t="e">
        <f aca="false">IF(EU39=0,0,SPRDOPT(ES39,ET39,$AK39,$AM39,EW39,EX39,EY39,$D39,$H$20,3)/100)</f>
        <v>#NAME?</v>
      </c>
      <c r="FD39" s="75" t="e">
        <f aca="false">IF(EV39=0,0,SPRDOPT(ES39,ET39,$AK39,$AM39,EW39,EX39,EY39,$D39,$H$20,4)/100)</f>
        <v>#NAME?</v>
      </c>
      <c r="FE39" s="75" t="e">
        <f aca="false">IF(EW39=0,0,SPRDOPT(ES39,ET39,$AK39,$AM39,EW39,EX39,EY39,$D39,$H$20,5)/100)</f>
        <v>#NAME?</v>
      </c>
      <c r="FF39" s="75" t="e">
        <f aca="false">IF(EX39=0,0,SPRDOPT(ES39,ET39,$AK39,$AM39,EW39,EX39,EY39,$D39,$H$20,6)/100)</f>
        <v>#NAME?</v>
      </c>
      <c r="FG39" s="75" t="e">
        <f aca="false">IF(EY39=0,0,SPRDOPT(ES39,ET39,$AK39,$AM39,EW39,EX39,EY39,$D39,$H$20,7)/100)</f>
        <v>#NAME?</v>
      </c>
      <c r="FH39" s="75" t="e">
        <f aca="false">IF(EZ39=0,0,SPRDOPT(ES39,ET39,$AK39,$AM39,EW39,EX39,EY39,$D39,$H$20,9)/365)</f>
        <v>#NAME?</v>
      </c>
      <c r="FI39" s="75" t="e">
        <f aca="false">FA39+FB39</f>
        <v>#NAME?</v>
      </c>
      <c r="FJ39" s="75" t="e">
        <f aca="false">FD39-FC39</f>
        <v>#NAME?</v>
      </c>
      <c r="FK39" s="75" t="e">
        <f aca="false">((EW39/EX39)*FE39)+FF39</f>
        <v>#NAME?</v>
      </c>
      <c r="FL39" s="75" t="n">
        <f aca="false">EY39*ER39</f>
        <v>24.64</v>
      </c>
      <c r="FM39" s="75"/>
      <c r="FN39" s="37" t="e">
        <f aca="false">$ER39*EZ39</f>
        <v>#NAME?</v>
      </c>
      <c r="FO39" s="37" t="e">
        <f aca="false">$ER39*FA39</f>
        <v>#NAME?</v>
      </c>
      <c r="FP39" s="37" t="e">
        <f aca="false">$ER39*FB39</f>
        <v>#NAME?</v>
      </c>
      <c r="FQ39" s="37" t="e">
        <f aca="false">$ER39*FC39</f>
        <v>#NAME?</v>
      </c>
      <c r="FR39" s="37" t="e">
        <f aca="false">$ER39*FD39</f>
        <v>#NAME?</v>
      </c>
      <c r="FS39" s="37" t="e">
        <f aca="false">$ER39*FE39</f>
        <v>#NAME?</v>
      </c>
      <c r="FT39" s="37" t="e">
        <f aca="false">$ER39*FF39</f>
        <v>#NAME?</v>
      </c>
      <c r="FU39" s="37" t="e">
        <f aca="false">$ER39*FG39</f>
        <v>#NAME?</v>
      </c>
      <c r="FV39" s="37" t="e">
        <f aca="false">$ER39*FH39</f>
        <v>#NAME?</v>
      </c>
      <c r="FW39" s="37" t="e">
        <f aca="false">$ER39*FI39</f>
        <v>#NAME?</v>
      </c>
      <c r="FX39" s="37" t="e">
        <f aca="false">$ER39*FJ39</f>
        <v>#NAME?</v>
      </c>
      <c r="FY39" s="37" t="e">
        <f aca="false">$ER39*FK39</f>
        <v>#NAME?</v>
      </c>
      <c r="GA39" s="77" t="e">
        <f aca="false">VLOOKUP(A39,skewmonthlook,2,FALSE())</f>
        <v>#REF!</v>
      </c>
      <c r="GB39" s="0" t="e">
        <f aca="false">CONCATENATE(B$3,$GA39)</f>
        <v>#REF!</v>
      </c>
      <c r="GC39" s="0" t="e">
        <f aca="false">CONCATENATE(D$3,$GA39)</f>
        <v>#REF!</v>
      </c>
      <c r="GD39" s="0" t="e">
        <f aca="false">CONCATENATE(F$3,$GA39)</f>
        <v>#REF!</v>
      </c>
      <c r="GE39" s="0" t="e">
        <f aca="false">CONCATENATE(H$3,$GA39)</f>
        <v>#REF!</v>
      </c>
      <c r="GG39" s="65" t="e">
        <f aca="false">VLOOKUP(GB39,skewlook,HLOOKUP($P39,skewlook,2),FALSE())</f>
        <v>#REF!</v>
      </c>
      <c r="GH39" s="65" t="e">
        <f aca="false">VLOOKUP(GC39,skewlook,HLOOKUP($W39,skewlook,2),FALSE())</f>
        <v>#REF!</v>
      </c>
      <c r="GI39" s="65" t="e">
        <f aca="false">VLOOKUP(GD39,skewlook,HLOOKUP($AD39,skewlook,2),FALSE())</f>
        <v>#REF!</v>
      </c>
      <c r="GJ39" s="65" t="e">
        <f aca="false">VLOOKUP(GE39,skewlook,HLOOKUP($AK39,skewlook,2),FALSE())</f>
        <v>#REF!</v>
      </c>
    </row>
    <row r="40" customFormat="false" ht="12.75" hidden="false" customHeight="false" outlineLevel="0" collapsed="false">
      <c r="A40" s="62" t="n">
        <f aca="false">DATE(YEAR(A39),MONTH(A39)+1,1)</f>
        <v>37316</v>
      </c>
      <c r="B40" s="63" t="n">
        <f aca="false">VLOOKUP(A40,STRADDLE,5,FALSE())</f>
        <v>2.795</v>
      </c>
      <c r="C40" s="4" t="n">
        <f aca="false">VLOOKUP(A40,STRADDLE,8,FALSE())</f>
        <v>0.78</v>
      </c>
      <c r="D40" s="64" t="n">
        <f aca="false">VLOOKUP(A40,expiration,2,FALSE())-$B$2</f>
        <v>-8614</v>
      </c>
      <c r="E40" s="65" t="e">
        <f aca="false">AY40</f>
        <v>#NAME?</v>
      </c>
      <c r="F40" s="65" t="e">
        <f aca="false">CI40</f>
        <v>#NAME?</v>
      </c>
      <c r="G40" s="65" t="e">
        <f aca="false">DR40</f>
        <v>#NAME?</v>
      </c>
      <c r="H40" s="65" t="e">
        <f aca="false">FA40</f>
        <v>#NAME?</v>
      </c>
      <c r="I40" s="66"/>
      <c r="J40" s="67"/>
      <c r="K40" s="63" t="n">
        <f aca="false">IF($B$3="NYMEX",0,VLOOKUP($A40,curvesettle,HLOOKUP($B$3,curvesettle,2,FALSE()),FALSE()))</f>
        <v>-0.135</v>
      </c>
      <c r="L40" s="63" t="n">
        <f aca="false">IF($B$4="NYMEX",0,VLOOKUP($A40,curvesettle,HLOOKUP($B$4,curvesettle,2,FALSE()),FALSE()))</f>
        <v>0</v>
      </c>
      <c r="M40" s="65" t="n">
        <f aca="false">IF(ISNUMBER(VLOOKUP($A40,VOLCURVES,HLOOKUP($B$3,VOLCURVES,2,FALSE()),FALSE())),VLOOKUP($A40,VOLCURVES,HLOOKUP($B$3,VOLCURVES,2,FALSE()),FALSE()),1)</f>
        <v>1</v>
      </c>
      <c r="N40" s="65" t="n">
        <f aca="false">IF(ISNUMBER(VLOOKUP($A40,VOLCURVES,HLOOKUP($B$4,VOLCURVES,2,FALSE()),FALSE())),VLOOKUP($A40,VOLCURVES,HLOOKUP($B$4,VOLCURVES,2,FALSE()),FALSE()),1)</f>
        <v>1</v>
      </c>
      <c r="O40" s="65" t="n">
        <f aca="false">IF(ISNUMBER(VLOOKUP($A40,CORETABLE,HLOOKUP($B$3,CORETABLE,2,FALSE()),FALSE())),VLOOKUP($A40,CORETABLE,HLOOKUP($B$3,CORETABLE,2,FALSE()),FALSE()),0.99)</f>
        <v>0.9945</v>
      </c>
      <c r="P40" s="68" t="n">
        <f aca="false">B$19</f>
        <v>-0.2</v>
      </c>
      <c r="Q40" s="69" t="n">
        <f aca="false">IF($B$18=1,IF(ISNUMBER($GG40),$GG40,0),0)</f>
        <v>0</v>
      </c>
      <c r="R40" s="70" t="n">
        <f aca="false">IF($D$3="NYMEX",0,VLOOKUP($A40,curvesettle,HLOOKUP($D$3,curvesettle,2,FALSE()),FALSE()))</f>
        <v>-0.01</v>
      </c>
      <c r="S40" s="63" t="n">
        <f aca="false">IF($D$4="NYMEX",0,VLOOKUP($A40,curvesettle,HLOOKUP($D$4,curvesettle,2,FALSE()),FALSE()))</f>
        <v>0</v>
      </c>
      <c r="T40" s="65" t="n">
        <f aca="false">IF(ISNUMBER(VLOOKUP($A40,VOLCURVES,HLOOKUP($D$3,VOLCURVES,2,FALSE()),FALSE())),VLOOKUP($A40,VOLCURVES,HLOOKUP($D$3,VOLCURVES,2,FALSE()),FALSE()),1)</f>
        <v>1.08</v>
      </c>
      <c r="U40" s="65" t="n">
        <f aca="false">IF(ISNUMBER(VLOOKUP($A40,VOLCURVES,HLOOKUP($D$4,VOLCURVES,2,FALSE()),FALSE())),VLOOKUP($A40,VOLCURVES,HLOOKUP($D$4,VOLCURVES,2,FALSE()),FALSE()),1)</f>
        <v>1</v>
      </c>
      <c r="V40" s="65" t="n">
        <f aca="false">IF(ISNUMBER(VLOOKUP($A40,CORETABLE,HLOOKUP($D$3,CORETABLE,2,FALSE()),FALSE())),VLOOKUP($A40,CORETABLE,HLOOKUP($D$3,CORETABLE,2,FALSE()),FALSE()),0.99)</f>
        <v>0.88</v>
      </c>
      <c r="W40" s="68" t="n">
        <f aca="false">D$19</f>
        <v>0</v>
      </c>
      <c r="X40" s="69" t="n">
        <f aca="false">IF($D$18=1,IF(ISNUMBER($GH40),$GH40,0),0)</f>
        <v>0</v>
      </c>
      <c r="Y40" s="71" t="n">
        <f aca="false">IF($F$3="NYMEX",0,VLOOKUP($A40,curvesettle,HLOOKUP($F$3,curvesettle,2,FALSE()),FALSE()))</f>
        <v>-0.43</v>
      </c>
      <c r="Z40" s="63" t="n">
        <f aca="false">IF($F$4="NYMEX",0,VLOOKUP($A40,curvesettle,HLOOKUP($F$4,curvesettle,2,FALSE()),FALSE()))</f>
        <v>0</v>
      </c>
      <c r="AA40" s="65" t="n">
        <f aca="false">IF(ISNUMBER(VLOOKUP($A40,VOLCURVES,HLOOKUP($F$3,VOLCURVES,2,FALSE()),FALSE())),VLOOKUP($A40,VOLCURVES,HLOOKUP($F$3,VOLCURVES,2,FALSE()),FALSE()),1)</f>
        <v>1</v>
      </c>
      <c r="AB40" s="65" t="n">
        <f aca="false">IF(ISNUMBER(VLOOKUP($A40,VOLCURVES,HLOOKUP($F$4,VOLCURVES,2,FALSE()),FALSE())),VLOOKUP($A40,VOLCURVES,HLOOKUP($F$4,VOLCURVES,2,FALSE()),FALSE()),1)</f>
        <v>1</v>
      </c>
      <c r="AC40" s="65" t="n">
        <f aca="false">IF(ISNUMBER(VLOOKUP($A40,CORETABLE,HLOOKUP($F$3,CORETABLE,2,FALSE()),FALSE())),VLOOKUP($A40,CORETABLE,HLOOKUP($F$3,CORETABLE,2,FALSE()),FALSE()),0.99)</f>
        <v>0.88</v>
      </c>
      <c r="AD40" s="68" t="n">
        <f aca="false">F$19</f>
        <v>-0.6</v>
      </c>
      <c r="AE40" s="69" t="n">
        <f aca="false">IF($F$18=1,IF(ISNUMBER($GI40),$GI40,0),0)</f>
        <v>0</v>
      </c>
      <c r="AF40" s="63" t="n">
        <f aca="false">IF($H$3="NYMEX",0,VLOOKUP($A40,curvesettle,HLOOKUP($H$3,curvesettle,2,FALSE()),FALSE()))</f>
        <v>-0.43</v>
      </c>
      <c r="AG40" s="63" t="n">
        <f aca="false">IF($H$4="NYMEX",0,VLOOKUP($A40,curvesettle,HLOOKUP($H$4,curvesettle,2,FALSE()),FALSE()))</f>
        <v>0</v>
      </c>
      <c r="AH40" s="65" t="n">
        <f aca="false">IF(ISNUMBER(VLOOKUP($A40,VOLCURVES,HLOOKUP($H$3,VOLCURVES,2,FALSE()),FALSE())),VLOOKUP($A40,VOLCURVES,HLOOKUP($H$3,VOLCURVES,2,FALSE()),FALSE()),1)</f>
        <v>1</v>
      </c>
      <c r="AI40" s="65" t="n">
        <f aca="false">IF(ISNUMBER(VLOOKUP($A40,VOLCURVES,HLOOKUP($H$4,VOLCURVES,2,FALSE()),FALSE())),VLOOKUP($A40,VOLCURVES,HLOOKUP($H$4,VOLCURVES,2,FALSE()),FALSE()),1)</f>
        <v>1</v>
      </c>
      <c r="AJ40" s="65" t="n">
        <f aca="false">IF(ISNUMBER(VLOOKUP($A40,CORETABLE,HLOOKUP($H$3,CORETABLE,2,FALSE()),FALSE())),VLOOKUP($A40,CORETABLE,HLOOKUP($H$3,CORETABLE,2,FALSE()),FALSE()),0.99)</f>
        <v>0.88</v>
      </c>
      <c r="AK40" s="68" t="n">
        <f aca="false">H$19</f>
        <v>-0.45</v>
      </c>
      <c r="AL40" s="69" t="n">
        <f aca="false">IF($H$18=1,IF(ISNUMBER($GJ40),$GJ40,0),0)</f>
        <v>0</v>
      </c>
      <c r="AM40" s="4" t="n">
        <f aca="false">VLOOKUP($A40,STRADDLE,14,FALSE())</f>
        <v>0.0190229841898146</v>
      </c>
      <c r="AN40" s="72" t="n">
        <f aca="false">A41-A40</f>
        <v>31</v>
      </c>
      <c r="AO40" s="1" t="n">
        <f aca="false">AO39+1</f>
        <v>3</v>
      </c>
      <c r="AP40" s="73" t="n">
        <f aca="false">IF($A40&gt;=AR$32,IF($A40&lt;=AR$33,$AN40,0),0)</f>
        <v>31</v>
      </c>
      <c r="AQ40" s="41" t="n">
        <f aca="false">$B40+$K40+$B$12</f>
        <v>2.66</v>
      </c>
      <c r="AR40" s="41" t="n">
        <f aca="false">$B40+$L40+$B$13</f>
        <v>2.795</v>
      </c>
      <c r="AS40" s="41" t="n">
        <f aca="false">AQ40*AP40</f>
        <v>82.46</v>
      </c>
      <c r="AT40" s="41" t="n">
        <f aca="false">AR40*AP40</f>
        <v>86.645</v>
      </c>
      <c r="AU40" s="74" t="n">
        <f aca="false">($C40*$M40)+Q40+$B$14</f>
        <v>0.78</v>
      </c>
      <c r="AV40" s="74" t="n">
        <f aca="false">($C40*$N40)+$B$15</f>
        <v>0.78</v>
      </c>
      <c r="AW40" s="65" t="n">
        <f aca="false">O40+B$16</f>
        <v>0.999</v>
      </c>
      <c r="AX40" s="75" t="e">
        <f aca="false">IF(AP40=0,0,SPRDOPT(AQ40,AR40,$P40,$AM40,AU40,AV40,AW40,$D40,$B$20,0))</f>
        <v>#NAME?</v>
      </c>
      <c r="AY40" s="75" t="e">
        <f aca="false">IF(AQ40=0,0,SPRDOPT(AQ40,AR40,$P40,$AM40,AU40,AV40,AW40,$D40,$B$20,1))</f>
        <v>#NAME?</v>
      </c>
      <c r="AZ40" s="75" t="e">
        <f aca="false">IF(AR40=0,0,SPRDOPT(AQ40,AR40,$P40,$AM40,AU40,AV40,AW40,$D40,$B$20,2))</f>
        <v>#NAME?</v>
      </c>
      <c r="BA40" s="75" t="e">
        <f aca="false">IF(AS40=0,0,SPRDOPT(AQ40,AR40,$P40,$AM40,AU40,AV40,AW40,$D40,$B$20,3)/100)</f>
        <v>#NAME?</v>
      </c>
      <c r="BB40" s="75" t="e">
        <f aca="false">IF(AT40=0,0,SPRDOPT(AQ40,AR40,$P40,$AM40,AU40,AV40,AW40,$D40,$B$20,4)/100)</f>
        <v>#NAME?</v>
      </c>
      <c r="BC40" s="75" t="e">
        <f aca="false">IF(AU40=0,0,SPRDOPT(AQ40,AR40,$P40,$AM40,AU40,AV40,AW40,$D40,$B$20,5)/100)</f>
        <v>#NAME?</v>
      </c>
      <c r="BD40" s="75" t="e">
        <f aca="false">IF(AV40=0,0,SPRDOPT(AQ40,AR40,$P40,$AM40,AU40,AV40,AW40,$D40,$B$20,6)/100)</f>
        <v>#NAME?</v>
      </c>
      <c r="BE40" s="75" t="e">
        <f aca="false">IF(AW40=0,0,SPRDOPT(AQ40,AR40,$P40,$AM40,AU40,AV40,AW40,$D40,$B$20,7)/100)</f>
        <v>#NAME?</v>
      </c>
      <c r="BF40" s="75" t="e">
        <f aca="false">IF(AX40=0,0,SPRDOPT(AQ40,AR40,$P40,$AM40,AU40,AV40,AW40,$D40,$B$20,9)/365)</f>
        <v>#NAME?</v>
      </c>
      <c r="BG40" s="75" t="e">
        <f aca="false">AY40+AZ40</f>
        <v>#NAME?</v>
      </c>
      <c r="BH40" s="75" t="e">
        <f aca="false">BB40-BA40</f>
        <v>#NAME?</v>
      </c>
      <c r="BI40" s="75" t="e">
        <f aca="false">((AU40/AV40)*BC40)+BD40</f>
        <v>#NAME?</v>
      </c>
      <c r="BJ40" s="75" t="n">
        <f aca="false">AW40*AP40</f>
        <v>30.969</v>
      </c>
      <c r="BK40" s="76"/>
      <c r="BL40" s="37" t="e">
        <f aca="false">$AP40*AX40</f>
        <v>#NAME?</v>
      </c>
      <c r="BM40" s="37" t="e">
        <f aca="false">$AP40*AY40</f>
        <v>#NAME?</v>
      </c>
      <c r="BN40" s="37" t="e">
        <f aca="false">$AP40*AZ40</f>
        <v>#NAME?</v>
      </c>
      <c r="BO40" s="37" t="e">
        <f aca="false">$AP40*BA40</f>
        <v>#NAME?</v>
      </c>
      <c r="BP40" s="37" t="e">
        <f aca="false">$AP40*BB40</f>
        <v>#NAME?</v>
      </c>
      <c r="BQ40" s="37" t="e">
        <f aca="false">$AP40*BC40</f>
        <v>#NAME?</v>
      </c>
      <c r="BR40" s="37" t="e">
        <f aca="false">$AP40*BD40</f>
        <v>#NAME?</v>
      </c>
      <c r="BS40" s="37" t="e">
        <f aca="false">$AP40*BE40</f>
        <v>#NAME?</v>
      </c>
      <c r="BT40" s="37" t="e">
        <f aca="false">$AP40*BF40</f>
        <v>#NAME?</v>
      </c>
      <c r="BU40" s="37" t="e">
        <f aca="false">$AP40*BG40</f>
        <v>#NAME?</v>
      </c>
      <c r="BV40" s="37" t="e">
        <f aca="false">$AP40*BH40</f>
        <v>#NAME?</v>
      </c>
      <c r="BW40" s="37" t="e">
        <f aca="false">$AP40*BI40</f>
        <v>#NAME?</v>
      </c>
      <c r="BX40" s="37"/>
      <c r="BZ40" s="73" t="n">
        <f aca="false">IF($A40&gt;=CB$32,IF($A40&lt;=CB$33,$AN40,0),0)</f>
        <v>0</v>
      </c>
      <c r="CA40" s="41" t="n">
        <f aca="false">$B40+$R40+$D$12</f>
        <v>2.785</v>
      </c>
      <c r="CB40" s="41" t="n">
        <f aca="false">$B40+$S40+$D$13</f>
        <v>2.795</v>
      </c>
      <c r="CC40" s="41" t="n">
        <f aca="false">CA40*BZ40</f>
        <v>0</v>
      </c>
      <c r="CD40" s="41" t="n">
        <f aca="false">CB40*BZ40</f>
        <v>0</v>
      </c>
      <c r="CE40" s="74" t="n">
        <f aca="false">($C40*$T40)+X40+$D$14</f>
        <v>0.8424</v>
      </c>
      <c r="CF40" s="74" t="n">
        <f aca="false">($C40*$U40)+$D$15</f>
        <v>0.78</v>
      </c>
      <c r="CG40" s="65" t="n">
        <f aca="false">$V40+D$16</f>
        <v>0.88</v>
      </c>
      <c r="CH40" s="75" t="n">
        <f aca="false">IF(BZ40=0,0,SPRDOPT(CA40,CB40,$W40,$AM40,CE40,CF40,CG40,$D40,$D$20,0))</f>
        <v>0</v>
      </c>
      <c r="CI40" s="75" t="e">
        <f aca="false">IF(CA40=0,0,SPRDOPT(CA40,CB40,$W40,$AM40,CE40,CF40,CG40,$D40,$D$20,1))</f>
        <v>#NAME?</v>
      </c>
      <c r="CJ40" s="75" t="e">
        <f aca="false">IF(CB40=0,0,SPRDOPT(CA40,CB40,$W40,$AM40,CE40,CF40,CG40,$D40,$D$20,2))</f>
        <v>#NAME?</v>
      </c>
      <c r="CK40" s="75" t="n">
        <f aca="false">IF(CC40=0,0,SPRDOPT(CA40,CB40,$W40,$AM40,CE40,CF40,CG40,$D40,$D$20,3)/100)</f>
        <v>0</v>
      </c>
      <c r="CL40" s="75" t="n">
        <f aca="false">IF(CD40=0,0,SPRDOPT(CA40,CB40,$W40,$AM40,CE40,CF40,CG40,$D40,$D$20,4)/100)</f>
        <v>0</v>
      </c>
      <c r="CM40" s="75" t="e">
        <f aca="false">IF(CE40=0,0,SPRDOPT(CA40,CB40,$W40,$AM40,CE40,CF40,CG40,$D40,$D$20,5)/100)</f>
        <v>#NAME?</v>
      </c>
      <c r="CN40" s="75" t="e">
        <f aca="false">IF(CF40=0,0,SPRDOPT(CA40,CB40,$W40,$AM40,CE40,CF40,CG40,$D40,$D$20,6)/100)</f>
        <v>#NAME?</v>
      </c>
      <c r="CO40" s="75" t="e">
        <f aca="false">IF(CG40=0,0,SPRDOPT(CA40,CB40,$W40,$AM40,CE40,CF40,CG40,$D40,$D$20,7)/100)</f>
        <v>#NAME?</v>
      </c>
      <c r="CP40" s="75" t="n">
        <f aca="false">IF(CH40=0,0,SPRDOPT(CA40,CB40,$W40,$AM40,CE40,CF40,CG40,$D40,$D$20,9)/365)</f>
        <v>0</v>
      </c>
      <c r="CQ40" s="75" t="e">
        <f aca="false">CI40+CJ40</f>
        <v>#NAME?</v>
      </c>
      <c r="CR40" s="75" t="n">
        <f aca="false">CL40-CK40</f>
        <v>0</v>
      </c>
      <c r="CS40" s="75" t="e">
        <f aca="false">((CE40/CF40)*CM40)+CN40</f>
        <v>#NAME?</v>
      </c>
      <c r="CT40" s="75" t="n">
        <f aca="false">CG40*BZ40</f>
        <v>0</v>
      </c>
      <c r="CU40" s="76"/>
      <c r="CV40" s="37" t="n">
        <f aca="false">BZ40*CH40</f>
        <v>0</v>
      </c>
      <c r="CW40" s="37" t="e">
        <f aca="false">BZ40*CI40</f>
        <v>#NAME?</v>
      </c>
      <c r="CX40" s="37" t="e">
        <f aca="false">BZ40*CJ40</f>
        <v>#NAME?</v>
      </c>
      <c r="CY40" s="37" t="n">
        <f aca="false">BZ40*CK40</f>
        <v>0</v>
      </c>
      <c r="CZ40" s="37" t="n">
        <f aca="false">BZ40*CL40</f>
        <v>0</v>
      </c>
      <c r="DA40" s="37" t="e">
        <f aca="false">BZ40*CM40</f>
        <v>#NAME?</v>
      </c>
      <c r="DB40" s="37" t="e">
        <f aca="false">BZ40*CN40</f>
        <v>#NAME?</v>
      </c>
      <c r="DC40" s="37" t="e">
        <f aca="false">BZ40*CO40</f>
        <v>#NAME?</v>
      </c>
      <c r="DD40" s="37" t="n">
        <f aca="false">BZ40*CP40</f>
        <v>0</v>
      </c>
      <c r="DE40" s="37" t="e">
        <f aca="false">BZ40*CQ40</f>
        <v>#NAME?</v>
      </c>
      <c r="DF40" s="37" t="n">
        <f aca="false">BZ40*CR40</f>
        <v>0</v>
      </c>
      <c r="DG40" s="37" t="e">
        <f aca="false">BZ40*CS40</f>
        <v>#NAME?</v>
      </c>
      <c r="DI40" s="73" t="n">
        <f aca="false">IF($A40&gt;=DK$32,IF($A40&lt;=DK$33,$AN40,0),0)</f>
        <v>0</v>
      </c>
      <c r="DJ40" s="41" t="n">
        <f aca="false">$B40+$Y40+$F$12</f>
        <v>2.365</v>
      </c>
      <c r="DK40" s="41" t="n">
        <f aca="false">$B40+$Z40+$F$13</f>
        <v>2.795</v>
      </c>
      <c r="DL40" s="41" t="n">
        <f aca="false">DJ40*DI40</f>
        <v>0</v>
      </c>
      <c r="DM40" s="41" t="n">
        <f aca="false">DK40*DI40</f>
        <v>0</v>
      </c>
      <c r="DN40" s="74" t="n">
        <f aca="false">($C40*$AA40)+AE40+$F$14</f>
        <v>0.78</v>
      </c>
      <c r="DO40" s="74" t="n">
        <f aca="false">($C40*$AB40)+$F$15</f>
        <v>0.78</v>
      </c>
      <c r="DP40" s="65" t="n">
        <f aca="false">$AC40+$F$16</f>
        <v>0.88</v>
      </c>
      <c r="DQ40" s="75" t="n">
        <f aca="false">IF(DI40=0,0,SPRDOPT(DJ40,DK40,$AD40,$AM40,DN40,DO40,DP40,$D40,$F$20,0))</f>
        <v>0</v>
      </c>
      <c r="DR40" s="75" t="e">
        <f aca="false">IF(DJ40=0,0,SPRDOPT(DJ40,DK40,$AD40,$AM40,DN40,DO40,DP40,$D40,$F$20,1))</f>
        <v>#NAME?</v>
      </c>
      <c r="DS40" s="75" t="e">
        <f aca="false">IF(DK40=0,0,SPRDOPT(DJ40,DK40,$AD40,$AM40,DN40,DO40,DP40,$D40,$F$20,2))</f>
        <v>#NAME?</v>
      </c>
      <c r="DT40" s="75" t="n">
        <f aca="false">IF(DL40=0,0,SPRDOPT(DJ40,DK40,$AD40,$AM40,DN40,DO40,DP40,$D40,$F$20,3)/100)</f>
        <v>0</v>
      </c>
      <c r="DU40" s="75" t="n">
        <f aca="false">IF(DM40=0,0,SPRDOPT(DJ40,DK40,$AD40,$AM40,DN40,DO40,DP40,$D40,$F$20,4)/100)</f>
        <v>0</v>
      </c>
      <c r="DV40" s="75" t="e">
        <f aca="false">IF(DN40=0,0,SPRDOPT(DJ40,DK40,$AD40,$AM40,DN40,DO40,DP40,$D40,$F$20,5)/100)</f>
        <v>#NAME?</v>
      </c>
      <c r="DW40" s="75" t="e">
        <f aca="false">IF(DO40=0,0,SPRDOPT(DJ40,DK40,$AD40,$AM40,DN40,DO40,DP40,$D40,$F$20,6)/100)</f>
        <v>#NAME?</v>
      </c>
      <c r="DX40" s="75" t="e">
        <f aca="false">IF(DP40=0,0,SPRDOPT(DJ40,DK40,$AD40,$AM40,DN40,DO40,DP40,$D40,$F$20,7)/100)</f>
        <v>#NAME?</v>
      </c>
      <c r="DY40" s="75" t="n">
        <f aca="false">IF(DQ40=0,0,SPRDOPT(DJ40,DK40,$AD40,$AM40,DN40,DO40,DP40,$D40,$F$20,9)/365)</f>
        <v>0</v>
      </c>
      <c r="DZ40" s="75" t="e">
        <f aca="false">DR40+DS40</f>
        <v>#NAME?</v>
      </c>
      <c r="EA40" s="75" t="n">
        <f aca="false">DU40-DT40</f>
        <v>0</v>
      </c>
      <c r="EB40" s="75" t="e">
        <f aca="false">((DN40/DO40)*DV40)+DW40</f>
        <v>#NAME?</v>
      </c>
      <c r="EC40" s="75" t="n">
        <f aca="false">DP40*DI40</f>
        <v>0</v>
      </c>
      <c r="ED40" s="75"/>
      <c r="EE40" s="37" t="n">
        <f aca="false">DI40*DQ40</f>
        <v>0</v>
      </c>
      <c r="EF40" s="37" t="e">
        <f aca="false">DI40*DR40</f>
        <v>#NAME?</v>
      </c>
      <c r="EG40" s="37" t="e">
        <f aca="false">DI40*DS40</f>
        <v>#NAME?</v>
      </c>
      <c r="EH40" s="37" t="n">
        <f aca="false">DI40*DT40</f>
        <v>0</v>
      </c>
      <c r="EI40" s="37" t="n">
        <f aca="false">DI40*DU40</f>
        <v>0</v>
      </c>
      <c r="EJ40" s="37" t="e">
        <f aca="false">DI40*DV40</f>
        <v>#NAME?</v>
      </c>
      <c r="EK40" s="37" t="e">
        <f aca="false">DI40*DW40</f>
        <v>#NAME?</v>
      </c>
      <c r="EL40" s="37" t="e">
        <f aca="false">DI40*DX40</f>
        <v>#NAME?</v>
      </c>
      <c r="EM40" s="37" t="n">
        <f aca="false">DI40*DY40</f>
        <v>0</v>
      </c>
      <c r="EN40" s="37" t="e">
        <f aca="false">DI40*DZ40</f>
        <v>#NAME?</v>
      </c>
      <c r="EO40" s="37" t="n">
        <f aca="false">DI40*EA40</f>
        <v>0</v>
      </c>
      <c r="EP40" s="37" t="e">
        <f aca="false">DI40*EB40</f>
        <v>#NAME?</v>
      </c>
      <c r="ER40" s="73" t="n">
        <f aca="false">IF($A40&gt;=ET$32,IF($A40&lt;=ET$33,$AN40,0),0)</f>
        <v>31</v>
      </c>
      <c r="ES40" s="41" t="n">
        <f aca="false">$B40+$AF40+$H$12</f>
        <v>2.425</v>
      </c>
      <c r="ET40" s="41" t="n">
        <f aca="false">$B40+$AG40+$H$13</f>
        <v>2.795</v>
      </c>
      <c r="EU40" s="41" t="n">
        <f aca="false">ES40*ER40</f>
        <v>75.175</v>
      </c>
      <c r="EV40" s="41" t="n">
        <f aca="false">ET40*ER40</f>
        <v>86.645</v>
      </c>
      <c r="EW40" s="74" t="n">
        <f aca="false">($C40*$AH40)+AL40+$H$14</f>
        <v>0.78</v>
      </c>
      <c r="EX40" s="74" t="n">
        <f aca="false">($C40*$AI40)+$H$15</f>
        <v>0.78</v>
      </c>
      <c r="EY40" s="65" t="n">
        <f aca="false">$AJ40+$H$16</f>
        <v>0.88</v>
      </c>
      <c r="EZ40" s="75" t="e">
        <f aca="false">IF(ER40=0,0,SPRDOPT(ES40,ET40,$AK40,$AM40,EW40,EX40,EY40,$D40,$H$20,0))</f>
        <v>#NAME?</v>
      </c>
      <c r="FA40" s="75" t="e">
        <f aca="false">IF(ES40=0,0,SPRDOPT(ES40,ET40,$AK40,$AM40,EW40,EX40,EY40,$D40,$H$20,1))</f>
        <v>#NAME?</v>
      </c>
      <c r="FB40" s="75" t="e">
        <f aca="false">IF(ET40=0,0,SPRDOPT(ES40,ET40,$AK40,$AM40,EW40,EX40,EY40,$D40,$H$20,2))</f>
        <v>#NAME?</v>
      </c>
      <c r="FC40" s="75" t="e">
        <f aca="false">IF(EU40=0,0,SPRDOPT(ES40,ET40,$AK40,$AM40,EW40,EX40,EY40,$D40,$H$20,3)/100)</f>
        <v>#NAME?</v>
      </c>
      <c r="FD40" s="75" t="e">
        <f aca="false">IF(EV40=0,0,SPRDOPT(ES40,ET40,$AK40,$AM40,EW40,EX40,EY40,$D40,$H$20,4)/100)</f>
        <v>#NAME?</v>
      </c>
      <c r="FE40" s="75" t="e">
        <f aca="false">IF(EW40=0,0,SPRDOPT(ES40,ET40,$AK40,$AM40,EW40,EX40,EY40,$D40,$H$20,5)/100)</f>
        <v>#NAME?</v>
      </c>
      <c r="FF40" s="75" t="e">
        <f aca="false">IF(EX40=0,0,SPRDOPT(ES40,ET40,$AK40,$AM40,EW40,EX40,EY40,$D40,$H$20,6)/100)</f>
        <v>#NAME?</v>
      </c>
      <c r="FG40" s="75" t="e">
        <f aca="false">IF(EY40=0,0,SPRDOPT(ES40,ET40,$AK40,$AM40,EW40,EX40,EY40,$D40,$H$20,7)/100)</f>
        <v>#NAME?</v>
      </c>
      <c r="FH40" s="75" t="e">
        <f aca="false">IF(EZ40=0,0,SPRDOPT(ES40,ET40,$AK40,$AM40,EW40,EX40,EY40,$D40,$H$20,9)/365)</f>
        <v>#NAME?</v>
      </c>
      <c r="FI40" s="75" t="e">
        <f aca="false">FA40+FB40</f>
        <v>#NAME?</v>
      </c>
      <c r="FJ40" s="75" t="e">
        <f aca="false">FD40-FC40</f>
        <v>#NAME?</v>
      </c>
      <c r="FK40" s="75" t="e">
        <f aca="false">((EW40/EX40)*FE40)+FF40</f>
        <v>#NAME?</v>
      </c>
      <c r="FL40" s="75" t="n">
        <f aca="false">EY40*ER40</f>
        <v>27.28</v>
      </c>
      <c r="FM40" s="75"/>
      <c r="FN40" s="37" t="e">
        <f aca="false">$ER40*EZ40</f>
        <v>#NAME?</v>
      </c>
      <c r="FO40" s="37" t="e">
        <f aca="false">$ER40*FA40</f>
        <v>#NAME?</v>
      </c>
      <c r="FP40" s="37" t="e">
        <f aca="false">$ER40*FB40</f>
        <v>#NAME?</v>
      </c>
      <c r="FQ40" s="37" t="e">
        <f aca="false">$ER40*FC40</f>
        <v>#NAME?</v>
      </c>
      <c r="FR40" s="37" t="e">
        <f aca="false">$ER40*FD40</f>
        <v>#NAME?</v>
      </c>
      <c r="FS40" s="37" t="e">
        <f aca="false">$ER40*FE40</f>
        <v>#NAME?</v>
      </c>
      <c r="FT40" s="37" t="e">
        <f aca="false">$ER40*FF40</f>
        <v>#NAME?</v>
      </c>
      <c r="FU40" s="37" t="e">
        <f aca="false">$ER40*FG40</f>
        <v>#NAME?</v>
      </c>
      <c r="FV40" s="37" t="e">
        <f aca="false">$ER40*FH40</f>
        <v>#NAME?</v>
      </c>
      <c r="FW40" s="37" t="e">
        <f aca="false">$ER40*FI40</f>
        <v>#NAME?</v>
      </c>
      <c r="FX40" s="37" t="e">
        <f aca="false">$ER40*FJ40</f>
        <v>#NAME?</v>
      </c>
      <c r="FY40" s="37" t="e">
        <f aca="false">$ER40*FK40</f>
        <v>#NAME?</v>
      </c>
      <c r="GA40" s="77" t="e">
        <f aca="false">VLOOKUP(A40,skewmonthlook,2,FALSE())</f>
        <v>#REF!</v>
      </c>
      <c r="GB40" s="0" t="e">
        <f aca="false">CONCATENATE(B$3,$GA40)</f>
        <v>#REF!</v>
      </c>
      <c r="GC40" s="0" t="e">
        <f aca="false">CONCATENATE(D$3,$GA40)</f>
        <v>#REF!</v>
      </c>
      <c r="GD40" s="0" t="e">
        <f aca="false">CONCATENATE(F$3,$GA40)</f>
        <v>#REF!</v>
      </c>
      <c r="GE40" s="0" t="e">
        <f aca="false">CONCATENATE(H$3,$GA40)</f>
        <v>#REF!</v>
      </c>
      <c r="GG40" s="65" t="e">
        <f aca="false">VLOOKUP(GB40,skewlook,HLOOKUP($P40,skewlook,2),FALSE())</f>
        <v>#REF!</v>
      </c>
      <c r="GH40" s="65" t="e">
        <f aca="false">VLOOKUP(GC40,skewlook,HLOOKUP($W40,skewlook,2),FALSE())</f>
        <v>#REF!</v>
      </c>
      <c r="GI40" s="65" t="e">
        <f aca="false">VLOOKUP(GD40,skewlook,HLOOKUP($AD40,skewlook,2),FALSE())</f>
        <v>#REF!</v>
      </c>
      <c r="GJ40" s="65" t="e">
        <f aca="false">VLOOKUP(GE40,skewlook,HLOOKUP($AK40,skewlook,2),FALSE())</f>
        <v>#REF!</v>
      </c>
    </row>
    <row r="41" customFormat="false" ht="12.75" hidden="false" customHeight="false" outlineLevel="0" collapsed="false">
      <c r="A41" s="62" t="n">
        <f aca="false">DATE(YEAR(A40),MONTH(A40)+1,1)</f>
        <v>37347</v>
      </c>
      <c r="B41" s="63" t="n">
        <f aca="false">VLOOKUP(A41,STRADDLE,5,FALSE())</f>
        <v>2.765</v>
      </c>
      <c r="C41" s="4" t="n">
        <f aca="false">VLOOKUP(A41,STRADDLE,8,FALSE())</f>
        <v>0.6</v>
      </c>
      <c r="D41" s="64" t="n">
        <f aca="false">VLOOKUP(A41,expiration,2,FALSE())-$B$2</f>
        <v>-8586</v>
      </c>
      <c r="E41" s="65" t="e">
        <f aca="false">AY41</f>
        <v>#NAME?</v>
      </c>
      <c r="F41" s="65" t="e">
        <f aca="false">CI41</f>
        <v>#NAME?</v>
      </c>
      <c r="G41" s="65" t="e">
        <f aca="false">DR41</f>
        <v>#NAME?</v>
      </c>
      <c r="H41" s="65" t="e">
        <f aca="false">FA41</f>
        <v>#NAME?</v>
      </c>
      <c r="I41" s="66"/>
      <c r="J41" s="67"/>
      <c r="K41" s="63" t="n">
        <f aca="false">IF($B$3="NYMEX",0,VLOOKUP($A41,curvesettle,HLOOKUP($B$3,curvesettle,2,FALSE()),FALSE()))</f>
        <v>-0.15</v>
      </c>
      <c r="L41" s="63" t="n">
        <f aca="false">IF($B$4="NYMEX",0,VLOOKUP($A41,curvesettle,HLOOKUP($B$4,curvesettle,2,FALSE()),FALSE()))</f>
        <v>0</v>
      </c>
      <c r="M41" s="65" t="n">
        <f aca="false">IF(ISNUMBER(VLOOKUP($A41,VOLCURVES,HLOOKUP($B$3,VOLCURVES,2,FALSE()),FALSE())),VLOOKUP($A41,VOLCURVES,HLOOKUP($B$3,VOLCURVES,2,FALSE()),FALSE()),1)</f>
        <v>1</v>
      </c>
      <c r="N41" s="65" t="n">
        <f aca="false">IF(ISNUMBER(VLOOKUP($A41,VOLCURVES,HLOOKUP($B$4,VOLCURVES,2,FALSE()),FALSE())),VLOOKUP($A41,VOLCURVES,HLOOKUP($B$4,VOLCURVES,2,FALSE()),FALSE()),1)</f>
        <v>1</v>
      </c>
      <c r="O41" s="65" t="n">
        <f aca="false">IF(ISNUMBER(VLOOKUP($A41,CORETABLE,HLOOKUP($B$3,CORETABLE,2,FALSE()),FALSE())),VLOOKUP($A41,CORETABLE,HLOOKUP($B$3,CORETABLE,2,FALSE()),FALSE()),0.99)</f>
        <v>0.9945</v>
      </c>
      <c r="P41" s="68" t="n">
        <f aca="false">B$19</f>
        <v>-0.2</v>
      </c>
      <c r="Q41" s="69" t="n">
        <f aca="false">IF($B$18=1,IF(ISNUMBER($GG41),$GG41,0),0)</f>
        <v>0</v>
      </c>
      <c r="R41" s="70" t="n">
        <f aca="false">IF($D$3="NYMEX",0,VLOOKUP($A41,curvesettle,HLOOKUP($D$3,curvesettle,2,FALSE()),FALSE()))</f>
        <v>-0.09</v>
      </c>
      <c r="S41" s="63" t="n">
        <f aca="false">IF($D$4="NYMEX",0,VLOOKUP($A41,curvesettle,HLOOKUP($D$4,curvesettle,2,FALSE()),FALSE()))</f>
        <v>0</v>
      </c>
      <c r="T41" s="65" t="n">
        <f aca="false">IF(ISNUMBER(VLOOKUP($A41,VOLCURVES,HLOOKUP($D$3,VOLCURVES,2,FALSE()),FALSE())),VLOOKUP($A41,VOLCURVES,HLOOKUP($D$3,VOLCURVES,2,FALSE()),FALSE()),1)</f>
        <v>1</v>
      </c>
      <c r="U41" s="65" t="n">
        <f aca="false">IF(ISNUMBER(VLOOKUP($A41,VOLCURVES,HLOOKUP($D$4,VOLCURVES,2,FALSE()),FALSE())),VLOOKUP($A41,VOLCURVES,HLOOKUP($D$4,VOLCURVES,2,FALSE()),FALSE()),1)</f>
        <v>1</v>
      </c>
      <c r="V41" s="65" t="n">
        <f aca="false">IF(ISNUMBER(VLOOKUP($A41,CORETABLE,HLOOKUP($D$3,CORETABLE,2,FALSE()),FALSE())),VLOOKUP($A41,CORETABLE,HLOOKUP($D$3,CORETABLE,2,FALSE()),FALSE()),0.99)</f>
        <v>0.87</v>
      </c>
      <c r="W41" s="68" t="n">
        <f aca="false">D$19</f>
        <v>0</v>
      </c>
      <c r="X41" s="69" t="n">
        <f aca="false">IF($D$18=1,IF(ISNUMBER($GH41),$GH41,0),0)</f>
        <v>0</v>
      </c>
      <c r="Y41" s="71" t="n">
        <f aca="false">IF($F$3="NYMEX",0,VLOOKUP($A41,curvesettle,HLOOKUP($F$3,curvesettle,2,FALSE()),FALSE()))</f>
        <v>-0.53</v>
      </c>
      <c r="Z41" s="63" t="n">
        <f aca="false">IF($F$4="NYMEX",0,VLOOKUP($A41,curvesettle,HLOOKUP($F$4,curvesettle,2,FALSE()),FALSE()))</f>
        <v>0</v>
      </c>
      <c r="AA41" s="65" t="n">
        <f aca="false">IF(ISNUMBER(VLOOKUP($A41,VOLCURVES,HLOOKUP($F$3,VOLCURVES,2,FALSE()),FALSE())),VLOOKUP($A41,VOLCURVES,HLOOKUP($F$3,VOLCURVES,2,FALSE()),FALSE()),1)</f>
        <v>1</v>
      </c>
      <c r="AB41" s="65" t="n">
        <f aca="false">IF(ISNUMBER(VLOOKUP($A41,VOLCURVES,HLOOKUP($F$4,VOLCURVES,2,FALSE()),FALSE())),VLOOKUP($A41,VOLCURVES,HLOOKUP($F$4,VOLCURVES,2,FALSE()),FALSE()),1)</f>
        <v>1</v>
      </c>
      <c r="AC41" s="65" t="n">
        <f aca="false">IF(ISNUMBER(VLOOKUP($A41,CORETABLE,HLOOKUP($F$3,CORETABLE,2,FALSE()),FALSE())),VLOOKUP($A41,CORETABLE,HLOOKUP($F$3,CORETABLE,2,FALSE()),FALSE()),0.99)</f>
        <v>0.92</v>
      </c>
      <c r="AD41" s="68" t="n">
        <f aca="false">F$19</f>
        <v>-0.6</v>
      </c>
      <c r="AE41" s="69" t="n">
        <f aca="false">IF($F$18=1,IF(ISNUMBER($GI41),$GI41,0),0)</f>
        <v>0</v>
      </c>
      <c r="AF41" s="63" t="n">
        <f aca="false">IF($H$3="NYMEX",0,VLOOKUP($A41,curvesettle,HLOOKUP($H$3,curvesettle,2,FALSE()),FALSE()))</f>
        <v>-0.53</v>
      </c>
      <c r="AG41" s="63" t="n">
        <f aca="false">IF($H$4="NYMEX",0,VLOOKUP($A41,curvesettle,HLOOKUP($H$4,curvesettle,2,FALSE()),FALSE()))</f>
        <v>0</v>
      </c>
      <c r="AH41" s="65" t="n">
        <f aca="false">IF(ISNUMBER(VLOOKUP($A41,VOLCURVES,HLOOKUP($H$3,VOLCURVES,2,FALSE()),FALSE())),VLOOKUP($A41,VOLCURVES,HLOOKUP($H$3,VOLCURVES,2,FALSE()),FALSE()),1)</f>
        <v>1</v>
      </c>
      <c r="AI41" s="65" t="n">
        <f aca="false">IF(ISNUMBER(VLOOKUP($A41,VOLCURVES,HLOOKUP($H$4,VOLCURVES,2,FALSE()),FALSE())),VLOOKUP($A41,VOLCURVES,HLOOKUP($H$4,VOLCURVES,2,FALSE()),FALSE()),1)</f>
        <v>1</v>
      </c>
      <c r="AJ41" s="65" t="n">
        <f aca="false">IF(ISNUMBER(VLOOKUP($A41,CORETABLE,HLOOKUP($H$3,CORETABLE,2,FALSE()),FALSE())),VLOOKUP($A41,CORETABLE,HLOOKUP($H$3,CORETABLE,2,FALSE()),FALSE()),0.99)</f>
        <v>0.92</v>
      </c>
      <c r="AK41" s="68" t="n">
        <f aca="false">H$19</f>
        <v>-0.45</v>
      </c>
      <c r="AL41" s="69" t="n">
        <f aca="false">IF($H$18=1,IF(ISNUMBER($GJ41),$GJ41,0),0)</f>
        <v>0</v>
      </c>
      <c r="AM41" s="4" t="n">
        <f aca="false">VLOOKUP($A41,STRADDLE,14,FALSE())</f>
        <v>0.0189361632757947</v>
      </c>
      <c r="AN41" s="72" t="n">
        <f aca="false">A42-A41</f>
        <v>30</v>
      </c>
      <c r="AO41" s="1" t="n">
        <f aca="false">AO40+1</f>
        <v>4</v>
      </c>
      <c r="AP41" s="73" t="n">
        <f aca="false">IF($A41&gt;=AR$32,IF($A41&lt;=AR$33,$AN41,0),0)</f>
        <v>30</v>
      </c>
      <c r="AQ41" s="41" t="n">
        <f aca="false">$B41+$K41+$B$12</f>
        <v>2.615</v>
      </c>
      <c r="AR41" s="41" t="n">
        <f aca="false">$B41+$L41+$B$13</f>
        <v>2.765</v>
      </c>
      <c r="AS41" s="41" t="n">
        <f aca="false">AQ41*AP41</f>
        <v>78.45</v>
      </c>
      <c r="AT41" s="41" t="n">
        <f aca="false">AR41*AP41</f>
        <v>82.95</v>
      </c>
      <c r="AU41" s="74" t="n">
        <f aca="false">($C41*$M41)+Q41+$B$14</f>
        <v>0.6</v>
      </c>
      <c r="AV41" s="74" t="n">
        <f aca="false">($C41*$N41)+$B$15</f>
        <v>0.6</v>
      </c>
      <c r="AW41" s="65" t="n">
        <f aca="false">O41+B$16</f>
        <v>0.999</v>
      </c>
      <c r="AX41" s="75" t="e">
        <f aca="false">IF(AP41=0,0,SPRDOPT(AQ41,AR41,$P41,$AM41,AU41,AV41,AW41,$D41,$B$20,0))</f>
        <v>#NAME?</v>
      </c>
      <c r="AY41" s="75" t="e">
        <f aca="false">IF(AQ41=0,0,SPRDOPT(AQ41,AR41,$P41,$AM41,AU41,AV41,AW41,$D41,$B$20,1))</f>
        <v>#NAME?</v>
      </c>
      <c r="AZ41" s="75" t="e">
        <f aca="false">IF(AR41=0,0,SPRDOPT(AQ41,AR41,$P41,$AM41,AU41,AV41,AW41,$D41,$B$20,2))</f>
        <v>#NAME?</v>
      </c>
      <c r="BA41" s="75" t="e">
        <f aca="false">IF(AS41=0,0,SPRDOPT(AQ41,AR41,$P41,$AM41,AU41,AV41,AW41,$D41,$B$20,3)/100)</f>
        <v>#NAME?</v>
      </c>
      <c r="BB41" s="75" t="e">
        <f aca="false">IF(AT41=0,0,SPRDOPT(AQ41,AR41,$P41,$AM41,AU41,AV41,AW41,$D41,$B$20,4)/100)</f>
        <v>#NAME?</v>
      </c>
      <c r="BC41" s="75" t="e">
        <f aca="false">IF(AU41=0,0,SPRDOPT(AQ41,AR41,$P41,$AM41,AU41,AV41,AW41,$D41,$B$20,5)/100)</f>
        <v>#NAME?</v>
      </c>
      <c r="BD41" s="75" t="e">
        <f aca="false">IF(AV41=0,0,SPRDOPT(AQ41,AR41,$P41,$AM41,AU41,AV41,AW41,$D41,$B$20,6)/100)</f>
        <v>#NAME?</v>
      </c>
      <c r="BE41" s="75" t="e">
        <f aca="false">IF(AW41=0,0,SPRDOPT(AQ41,AR41,$P41,$AM41,AU41,AV41,AW41,$D41,$B$20,7)/100)</f>
        <v>#NAME?</v>
      </c>
      <c r="BF41" s="75" t="e">
        <f aca="false">IF(AX41=0,0,SPRDOPT(AQ41,AR41,$P41,$AM41,AU41,AV41,AW41,$D41,$B$20,9)/365)</f>
        <v>#NAME?</v>
      </c>
      <c r="BG41" s="75" t="e">
        <f aca="false">AY41+AZ41</f>
        <v>#NAME?</v>
      </c>
      <c r="BH41" s="75" t="e">
        <f aca="false">BB41-BA41</f>
        <v>#NAME?</v>
      </c>
      <c r="BI41" s="75" t="e">
        <f aca="false">((AU41/AV41)*BC41)+BD41</f>
        <v>#NAME?</v>
      </c>
      <c r="BJ41" s="75" t="n">
        <f aca="false">AW41*AP41</f>
        <v>29.97</v>
      </c>
      <c r="BK41" s="76"/>
      <c r="BL41" s="37" t="e">
        <f aca="false">$AP41*AX41</f>
        <v>#NAME?</v>
      </c>
      <c r="BM41" s="37" t="e">
        <f aca="false">$AP41*AY41</f>
        <v>#NAME?</v>
      </c>
      <c r="BN41" s="37" t="e">
        <f aca="false">$AP41*AZ41</f>
        <v>#NAME?</v>
      </c>
      <c r="BO41" s="37" t="e">
        <f aca="false">$AP41*BA41</f>
        <v>#NAME?</v>
      </c>
      <c r="BP41" s="37" t="e">
        <f aca="false">$AP41*BB41</f>
        <v>#NAME?</v>
      </c>
      <c r="BQ41" s="37" t="e">
        <f aca="false">$AP41*BC41</f>
        <v>#NAME?</v>
      </c>
      <c r="BR41" s="37" t="e">
        <f aca="false">$AP41*BD41</f>
        <v>#NAME?</v>
      </c>
      <c r="BS41" s="37" t="e">
        <f aca="false">$AP41*BE41</f>
        <v>#NAME?</v>
      </c>
      <c r="BT41" s="37" t="e">
        <f aca="false">$AP41*BF41</f>
        <v>#NAME?</v>
      </c>
      <c r="BU41" s="37" t="e">
        <f aca="false">$AP41*BG41</f>
        <v>#NAME?</v>
      </c>
      <c r="BV41" s="37" t="e">
        <f aca="false">$AP41*BH41</f>
        <v>#NAME?</v>
      </c>
      <c r="BW41" s="37" t="e">
        <f aca="false">$AP41*BI41</f>
        <v>#NAME?</v>
      </c>
      <c r="BX41" s="37"/>
      <c r="BZ41" s="73" t="n">
        <f aca="false">IF($A41&gt;=CB$32,IF($A41&lt;=CB$33,$AN41,0),0)</f>
        <v>30</v>
      </c>
      <c r="CA41" s="41" t="n">
        <f aca="false">$B41+$R41+$D$12</f>
        <v>2.675</v>
      </c>
      <c r="CB41" s="41" t="n">
        <f aca="false">$B41+$S41+$D$13</f>
        <v>2.765</v>
      </c>
      <c r="CC41" s="41" t="n">
        <f aca="false">CA41*BZ41</f>
        <v>80.25</v>
      </c>
      <c r="CD41" s="41" t="n">
        <f aca="false">CB41*BZ41</f>
        <v>82.95</v>
      </c>
      <c r="CE41" s="74" t="n">
        <f aca="false">($C41*$T41)+X41+$D$14</f>
        <v>0.6</v>
      </c>
      <c r="CF41" s="74" t="n">
        <f aca="false">($C41*$U41)+$D$15</f>
        <v>0.6</v>
      </c>
      <c r="CG41" s="65" t="n">
        <f aca="false">$V41+D$16</f>
        <v>0.87</v>
      </c>
      <c r="CH41" s="75" t="e">
        <f aca="false">IF(BZ41=0,0,SPRDOPT(CA41,CB41,$W41,$AM41,CE41,CF41,CG41,$D41,$D$20,0))</f>
        <v>#NAME?</v>
      </c>
      <c r="CI41" s="75" t="e">
        <f aca="false">IF(CA41=0,0,SPRDOPT(CA41,CB41,$W41,$AM41,CE41,CF41,CG41,$D41,$D$20,1))</f>
        <v>#NAME?</v>
      </c>
      <c r="CJ41" s="75" t="e">
        <f aca="false">IF(CB41=0,0,SPRDOPT(CA41,CB41,$W41,$AM41,CE41,CF41,CG41,$D41,$D$20,2))</f>
        <v>#NAME?</v>
      </c>
      <c r="CK41" s="75" t="e">
        <f aca="false">IF(CC41=0,0,SPRDOPT(CA41,CB41,$W41,$AM41,CE41,CF41,CG41,$D41,$D$20,3)/100)</f>
        <v>#NAME?</v>
      </c>
      <c r="CL41" s="75" t="e">
        <f aca="false">IF(CD41=0,0,SPRDOPT(CA41,CB41,$W41,$AM41,CE41,CF41,CG41,$D41,$D$20,4)/100)</f>
        <v>#NAME?</v>
      </c>
      <c r="CM41" s="75" t="e">
        <f aca="false">IF(CE41=0,0,SPRDOPT(CA41,CB41,$W41,$AM41,CE41,CF41,CG41,$D41,$D$20,5)/100)</f>
        <v>#NAME?</v>
      </c>
      <c r="CN41" s="75" t="e">
        <f aca="false">IF(CF41=0,0,SPRDOPT(CA41,CB41,$W41,$AM41,CE41,CF41,CG41,$D41,$D$20,6)/100)</f>
        <v>#NAME?</v>
      </c>
      <c r="CO41" s="75" t="e">
        <f aca="false">IF(CG41=0,0,SPRDOPT(CA41,CB41,$W41,$AM41,CE41,CF41,CG41,$D41,$D$20,7)/100)</f>
        <v>#NAME?</v>
      </c>
      <c r="CP41" s="75" t="e">
        <f aca="false">IF(CH41=0,0,SPRDOPT(CA41,CB41,$W41,$AM41,CE41,CF41,CG41,$D41,$D$20,9)/365)</f>
        <v>#NAME?</v>
      </c>
      <c r="CQ41" s="75" t="e">
        <f aca="false">CI41+CJ41</f>
        <v>#NAME?</v>
      </c>
      <c r="CR41" s="75" t="e">
        <f aca="false">CL41-CK41</f>
        <v>#NAME?</v>
      </c>
      <c r="CS41" s="75" t="e">
        <f aca="false">((CE41/CF41)*CM41)+CN41</f>
        <v>#NAME?</v>
      </c>
      <c r="CT41" s="75" t="n">
        <f aca="false">CG41*BZ41</f>
        <v>26.1</v>
      </c>
      <c r="CU41" s="76"/>
      <c r="CV41" s="37" t="e">
        <f aca="false">BZ41*CH41</f>
        <v>#NAME?</v>
      </c>
      <c r="CW41" s="37" t="e">
        <f aca="false">BZ41*CI41</f>
        <v>#NAME?</v>
      </c>
      <c r="CX41" s="37" t="e">
        <f aca="false">BZ41*CJ41</f>
        <v>#NAME?</v>
      </c>
      <c r="CY41" s="37" t="e">
        <f aca="false">BZ41*CK41</f>
        <v>#NAME?</v>
      </c>
      <c r="CZ41" s="37" t="e">
        <f aca="false">BZ41*CL41</f>
        <v>#NAME?</v>
      </c>
      <c r="DA41" s="37" t="e">
        <f aca="false">BZ41*CM41</f>
        <v>#NAME?</v>
      </c>
      <c r="DB41" s="37" t="e">
        <f aca="false">BZ41*CN41</f>
        <v>#NAME?</v>
      </c>
      <c r="DC41" s="37" t="e">
        <f aca="false">BZ41*CO41</f>
        <v>#NAME?</v>
      </c>
      <c r="DD41" s="37" t="e">
        <f aca="false">BZ41*CP41</f>
        <v>#NAME?</v>
      </c>
      <c r="DE41" s="37" t="e">
        <f aca="false">BZ41*CQ41</f>
        <v>#NAME?</v>
      </c>
      <c r="DF41" s="37" t="e">
        <f aca="false">BZ41*CR41</f>
        <v>#NAME?</v>
      </c>
      <c r="DG41" s="37" t="e">
        <f aca="false">BZ41*CS41</f>
        <v>#NAME?</v>
      </c>
      <c r="DI41" s="73" t="n">
        <f aca="false">IF($A41&gt;=DK$32,IF($A41&lt;=DK$33,$AN41,0),0)</f>
        <v>30</v>
      </c>
      <c r="DJ41" s="41" t="n">
        <f aca="false">$B41+$Y41+$F$12</f>
        <v>2.235</v>
      </c>
      <c r="DK41" s="41" t="n">
        <f aca="false">$B41+$Z41+$F$13</f>
        <v>2.765</v>
      </c>
      <c r="DL41" s="41" t="n">
        <f aca="false">DJ41*DI41</f>
        <v>67.05</v>
      </c>
      <c r="DM41" s="41" t="n">
        <f aca="false">DK41*DI41</f>
        <v>82.95</v>
      </c>
      <c r="DN41" s="74" t="n">
        <f aca="false">($C41*$AA41)+AE41+$F$14</f>
        <v>0.6</v>
      </c>
      <c r="DO41" s="74" t="n">
        <f aca="false">($C41*$AB41)+$F$15</f>
        <v>0.6</v>
      </c>
      <c r="DP41" s="65" t="n">
        <f aca="false">$AC41+$F$16</f>
        <v>0.92</v>
      </c>
      <c r="DQ41" s="75" t="e">
        <f aca="false">IF(DI41=0,0,SPRDOPT(DJ41,DK41,$AD41,$AM41,DN41,DO41,DP41,$D41,$F$20,0))</f>
        <v>#NAME?</v>
      </c>
      <c r="DR41" s="75" t="e">
        <f aca="false">IF(DJ41=0,0,SPRDOPT(DJ41,DK41,$AD41,$AM41,DN41,DO41,DP41,$D41,$F$20,1))</f>
        <v>#NAME?</v>
      </c>
      <c r="DS41" s="75" t="e">
        <f aca="false">IF(DK41=0,0,SPRDOPT(DJ41,DK41,$AD41,$AM41,DN41,DO41,DP41,$D41,$F$20,2))</f>
        <v>#NAME?</v>
      </c>
      <c r="DT41" s="75" t="e">
        <f aca="false">IF(DL41=0,0,SPRDOPT(DJ41,DK41,$AD41,$AM41,DN41,DO41,DP41,$D41,$F$20,3)/100)</f>
        <v>#NAME?</v>
      </c>
      <c r="DU41" s="75" t="e">
        <f aca="false">IF(DM41=0,0,SPRDOPT(DJ41,DK41,$AD41,$AM41,DN41,DO41,DP41,$D41,$F$20,4)/100)</f>
        <v>#NAME?</v>
      </c>
      <c r="DV41" s="75" t="e">
        <f aca="false">IF(DN41=0,0,SPRDOPT(DJ41,DK41,$AD41,$AM41,DN41,DO41,DP41,$D41,$F$20,5)/100)</f>
        <v>#NAME?</v>
      </c>
      <c r="DW41" s="75" t="e">
        <f aca="false">IF(DO41=0,0,SPRDOPT(DJ41,DK41,$AD41,$AM41,DN41,DO41,DP41,$D41,$F$20,6)/100)</f>
        <v>#NAME?</v>
      </c>
      <c r="DX41" s="75" t="e">
        <f aca="false">IF(DP41=0,0,SPRDOPT(DJ41,DK41,$AD41,$AM41,DN41,DO41,DP41,$D41,$F$20,7)/100)</f>
        <v>#NAME?</v>
      </c>
      <c r="DY41" s="75" t="e">
        <f aca="false">IF(DQ41=0,0,SPRDOPT(DJ41,DK41,$AD41,$AM41,DN41,DO41,DP41,$D41,$F$20,9)/365)</f>
        <v>#NAME?</v>
      </c>
      <c r="DZ41" s="75" t="e">
        <f aca="false">DR41+DS41</f>
        <v>#NAME?</v>
      </c>
      <c r="EA41" s="75" t="e">
        <f aca="false">DU41-DT41</f>
        <v>#NAME?</v>
      </c>
      <c r="EB41" s="75" t="e">
        <f aca="false">((DN41/DO41)*DV41)+DW41</f>
        <v>#NAME?</v>
      </c>
      <c r="EC41" s="75" t="n">
        <f aca="false">DP41*DI41</f>
        <v>27.6</v>
      </c>
      <c r="ED41" s="75"/>
      <c r="EE41" s="37" t="e">
        <f aca="false">DI41*DQ41</f>
        <v>#NAME?</v>
      </c>
      <c r="EF41" s="37" t="e">
        <f aca="false">DI41*DR41</f>
        <v>#NAME?</v>
      </c>
      <c r="EG41" s="37" t="e">
        <f aca="false">DI41*DS41</f>
        <v>#NAME?</v>
      </c>
      <c r="EH41" s="37" t="e">
        <f aca="false">DI41*DT41</f>
        <v>#NAME?</v>
      </c>
      <c r="EI41" s="37" t="e">
        <f aca="false">DI41*DU41</f>
        <v>#NAME?</v>
      </c>
      <c r="EJ41" s="37" t="e">
        <f aca="false">DI41*DV41</f>
        <v>#NAME?</v>
      </c>
      <c r="EK41" s="37" t="e">
        <f aca="false">DI41*DW41</f>
        <v>#NAME?</v>
      </c>
      <c r="EL41" s="37" t="e">
        <f aca="false">DI41*DX41</f>
        <v>#NAME?</v>
      </c>
      <c r="EM41" s="37" t="e">
        <f aca="false">DI41*DY41</f>
        <v>#NAME?</v>
      </c>
      <c r="EN41" s="37" t="e">
        <f aca="false">DI41*DZ41</f>
        <v>#NAME?</v>
      </c>
      <c r="EO41" s="37" t="e">
        <f aca="false">DI41*EA41</f>
        <v>#NAME?</v>
      </c>
      <c r="EP41" s="37" t="e">
        <f aca="false">DI41*EB41</f>
        <v>#NAME?</v>
      </c>
      <c r="ER41" s="73" t="n">
        <f aca="false">IF($A41&gt;=ET$32,IF($A41&lt;=ET$33,$AN41,0),0)</f>
        <v>0</v>
      </c>
      <c r="ES41" s="41" t="n">
        <f aca="false">$B41+$AF41+$H$12</f>
        <v>2.295</v>
      </c>
      <c r="ET41" s="41" t="n">
        <f aca="false">$B41+$AG41+$H$13</f>
        <v>2.765</v>
      </c>
      <c r="EU41" s="41" t="n">
        <f aca="false">ES41*ER41</f>
        <v>0</v>
      </c>
      <c r="EV41" s="41" t="n">
        <f aca="false">ET41*ER41</f>
        <v>0</v>
      </c>
      <c r="EW41" s="74" t="n">
        <f aca="false">($C41*$AH41)+AL41+$H$14</f>
        <v>0.6</v>
      </c>
      <c r="EX41" s="74" t="n">
        <f aca="false">($C41*$AI41)+$H$15</f>
        <v>0.6</v>
      </c>
      <c r="EY41" s="65" t="n">
        <f aca="false">$AJ41+$H$16</f>
        <v>0.92</v>
      </c>
      <c r="EZ41" s="75" t="n">
        <f aca="false">IF(ER41=0,0,SPRDOPT(ES41,ET41,$AK41,$AM41,EW41,EX41,EY41,$D41,$H$20,0))</f>
        <v>0</v>
      </c>
      <c r="FA41" s="75" t="e">
        <f aca="false">IF(ES41=0,0,SPRDOPT(ES41,ET41,$AK41,$AM41,EW41,EX41,EY41,$D41,$H$20,1))</f>
        <v>#NAME?</v>
      </c>
      <c r="FB41" s="75" t="e">
        <f aca="false">IF(ET41=0,0,SPRDOPT(ES41,ET41,$AK41,$AM41,EW41,EX41,EY41,$D41,$H$20,2))</f>
        <v>#NAME?</v>
      </c>
      <c r="FC41" s="75" t="n">
        <f aca="false">IF(EU41=0,0,SPRDOPT(ES41,ET41,$AK41,$AM41,EW41,EX41,EY41,$D41,$H$20,3)/100)</f>
        <v>0</v>
      </c>
      <c r="FD41" s="75" t="n">
        <f aca="false">IF(EV41=0,0,SPRDOPT(ES41,ET41,$AK41,$AM41,EW41,EX41,EY41,$D41,$H$20,4)/100)</f>
        <v>0</v>
      </c>
      <c r="FE41" s="75" t="e">
        <f aca="false">IF(EW41=0,0,SPRDOPT(ES41,ET41,$AK41,$AM41,EW41,EX41,EY41,$D41,$H$20,5)/100)</f>
        <v>#NAME?</v>
      </c>
      <c r="FF41" s="75" t="e">
        <f aca="false">IF(EX41=0,0,SPRDOPT(ES41,ET41,$AK41,$AM41,EW41,EX41,EY41,$D41,$H$20,6)/100)</f>
        <v>#NAME?</v>
      </c>
      <c r="FG41" s="75" t="e">
        <f aca="false">IF(EY41=0,0,SPRDOPT(ES41,ET41,$AK41,$AM41,EW41,EX41,EY41,$D41,$H$20,7)/100)</f>
        <v>#NAME?</v>
      </c>
      <c r="FH41" s="75" t="n">
        <f aca="false">IF(EZ41=0,0,SPRDOPT(ES41,ET41,$AK41,$AM41,EW41,EX41,EY41,$D41,$H$20,9)/365)</f>
        <v>0</v>
      </c>
      <c r="FI41" s="75" t="e">
        <f aca="false">FA41+FB41</f>
        <v>#NAME?</v>
      </c>
      <c r="FJ41" s="75" t="n">
        <f aca="false">FD41-FC41</f>
        <v>0</v>
      </c>
      <c r="FK41" s="75" t="e">
        <f aca="false">((EW41/EX41)*FE41)+FF41</f>
        <v>#NAME?</v>
      </c>
      <c r="FL41" s="75" t="n">
        <f aca="false">EY41*ER41</f>
        <v>0</v>
      </c>
      <c r="FM41" s="75"/>
      <c r="FN41" s="37" t="n">
        <f aca="false">$ER41*EZ41</f>
        <v>0</v>
      </c>
      <c r="FO41" s="37" t="e">
        <f aca="false">$ER41*FA41</f>
        <v>#NAME?</v>
      </c>
      <c r="FP41" s="37" t="e">
        <f aca="false">$ER41*FB41</f>
        <v>#NAME?</v>
      </c>
      <c r="FQ41" s="37" t="n">
        <f aca="false">$ER41*FC41</f>
        <v>0</v>
      </c>
      <c r="FR41" s="37" t="n">
        <f aca="false">$ER41*FD41</f>
        <v>0</v>
      </c>
      <c r="FS41" s="37" t="e">
        <f aca="false">$ER41*FE41</f>
        <v>#NAME?</v>
      </c>
      <c r="FT41" s="37" t="e">
        <f aca="false">$ER41*FF41</f>
        <v>#NAME?</v>
      </c>
      <c r="FU41" s="37" t="e">
        <f aca="false">$ER41*FG41</f>
        <v>#NAME?</v>
      </c>
      <c r="FV41" s="37" t="n">
        <f aca="false">$ER41*FH41</f>
        <v>0</v>
      </c>
      <c r="FW41" s="37" t="e">
        <f aca="false">$ER41*FI41</f>
        <v>#NAME?</v>
      </c>
      <c r="FX41" s="37" t="n">
        <f aca="false">$ER41*FJ41</f>
        <v>0</v>
      </c>
      <c r="FY41" s="37" t="e">
        <f aca="false">$ER41*FK41</f>
        <v>#NAME?</v>
      </c>
      <c r="GA41" s="77" t="e">
        <f aca="false">VLOOKUP(A41,skewmonthlook,2,FALSE())</f>
        <v>#REF!</v>
      </c>
      <c r="GB41" s="0" t="e">
        <f aca="false">CONCATENATE(B$3,$GA41)</f>
        <v>#REF!</v>
      </c>
      <c r="GC41" s="0" t="e">
        <f aca="false">CONCATENATE(D$3,$GA41)</f>
        <v>#REF!</v>
      </c>
      <c r="GD41" s="0" t="e">
        <f aca="false">CONCATENATE(F$3,$GA41)</f>
        <v>#REF!</v>
      </c>
      <c r="GE41" s="0" t="e">
        <f aca="false">CONCATENATE(H$3,$GA41)</f>
        <v>#REF!</v>
      </c>
      <c r="GG41" s="65" t="e">
        <f aca="false">VLOOKUP(GB41,skewlook,HLOOKUP($P41,skewlook,2),FALSE())</f>
        <v>#REF!</v>
      </c>
      <c r="GH41" s="65" t="e">
        <f aca="false">VLOOKUP(GC41,skewlook,HLOOKUP($W41,skewlook,2),FALSE())</f>
        <v>#REF!</v>
      </c>
      <c r="GI41" s="65" t="e">
        <f aca="false">VLOOKUP(GD41,skewlook,HLOOKUP($AD41,skewlook,2),FALSE())</f>
        <v>#REF!</v>
      </c>
      <c r="GJ41" s="65" t="e">
        <f aca="false">VLOOKUP(GE41,skewlook,HLOOKUP($AK41,skewlook,2),FALSE())</f>
        <v>#REF!</v>
      </c>
    </row>
    <row r="42" customFormat="false" ht="12.75" hidden="false" customHeight="false" outlineLevel="0" collapsed="false">
      <c r="A42" s="62" t="n">
        <f aca="false">DATE(YEAR(A41),MONTH(A41)+1,1)</f>
        <v>37377</v>
      </c>
      <c r="B42" s="63" t="n">
        <f aca="false">VLOOKUP(A42,STRADDLE,5,FALSE())</f>
        <v>2.818</v>
      </c>
      <c r="C42" s="4" t="n">
        <f aca="false">VLOOKUP(A42,STRADDLE,8,FALSE())</f>
        <v>0.5425</v>
      </c>
      <c r="D42" s="64" t="n">
        <f aca="false">VLOOKUP(A42,expiration,2,FALSE())-$B$2</f>
        <v>-8555</v>
      </c>
      <c r="E42" s="65" t="e">
        <f aca="false">AY42</f>
        <v>#NAME?</v>
      </c>
      <c r="F42" s="65" t="e">
        <f aca="false">CI42</f>
        <v>#NAME?</v>
      </c>
      <c r="G42" s="65" t="e">
        <f aca="false">DR42</f>
        <v>#NAME?</v>
      </c>
      <c r="H42" s="65" t="e">
        <f aca="false">FA42</f>
        <v>#NAME?</v>
      </c>
      <c r="I42" s="66"/>
      <c r="J42" s="67"/>
      <c r="K42" s="63" t="n">
        <f aca="false">IF($B$3="NYMEX",0,VLOOKUP($A42,curvesettle,HLOOKUP($B$3,curvesettle,2,FALSE()),FALSE()))</f>
        <v>-0.15</v>
      </c>
      <c r="L42" s="63" t="n">
        <f aca="false">IF($B$4="NYMEX",0,VLOOKUP($A42,curvesettle,HLOOKUP($B$4,curvesettle,2,FALSE()),FALSE()))</f>
        <v>0</v>
      </c>
      <c r="M42" s="65" t="n">
        <f aca="false">IF(ISNUMBER(VLOOKUP($A42,VOLCURVES,HLOOKUP($B$3,VOLCURVES,2,FALSE()),FALSE())),VLOOKUP($A42,VOLCURVES,HLOOKUP($B$3,VOLCURVES,2,FALSE()),FALSE()),1)</f>
        <v>1</v>
      </c>
      <c r="N42" s="65" t="n">
        <f aca="false">IF(ISNUMBER(VLOOKUP($A42,VOLCURVES,HLOOKUP($B$4,VOLCURVES,2,FALSE()),FALSE())),VLOOKUP($A42,VOLCURVES,HLOOKUP($B$4,VOLCURVES,2,FALSE()),FALSE()),1)</f>
        <v>1</v>
      </c>
      <c r="O42" s="65" t="n">
        <f aca="false">IF(ISNUMBER(VLOOKUP($A42,CORETABLE,HLOOKUP($B$3,CORETABLE,2,FALSE()),FALSE())),VLOOKUP($A42,CORETABLE,HLOOKUP($B$3,CORETABLE,2,FALSE()),FALSE()),0.99)</f>
        <v>0.9945</v>
      </c>
      <c r="P42" s="68" t="n">
        <f aca="false">B$19</f>
        <v>-0.2</v>
      </c>
      <c r="Q42" s="69" t="n">
        <f aca="false">IF($B$18=1,IF(ISNUMBER($GG42),$GG42,0),0)</f>
        <v>0</v>
      </c>
      <c r="R42" s="70" t="n">
        <f aca="false">IF($D$3="NYMEX",0,VLOOKUP($A42,curvesettle,HLOOKUP($D$3,curvesettle,2,FALSE()),FALSE()))</f>
        <v>-0.07</v>
      </c>
      <c r="S42" s="63" t="n">
        <f aca="false">IF($D$4="NYMEX",0,VLOOKUP($A42,curvesettle,HLOOKUP($D$4,curvesettle,2,FALSE()),FALSE()))</f>
        <v>0</v>
      </c>
      <c r="T42" s="65" t="n">
        <f aca="false">IF(ISNUMBER(VLOOKUP($A42,VOLCURVES,HLOOKUP($D$3,VOLCURVES,2,FALSE()),FALSE())),VLOOKUP($A42,VOLCURVES,HLOOKUP($D$3,VOLCURVES,2,FALSE()),FALSE()),1)</f>
        <v>1</v>
      </c>
      <c r="U42" s="65" t="n">
        <f aca="false">IF(ISNUMBER(VLOOKUP($A42,VOLCURVES,HLOOKUP($D$4,VOLCURVES,2,FALSE()),FALSE())),VLOOKUP($A42,VOLCURVES,HLOOKUP($D$4,VOLCURVES,2,FALSE()),FALSE()),1)</f>
        <v>1</v>
      </c>
      <c r="V42" s="65" t="n">
        <f aca="false">IF(ISNUMBER(VLOOKUP($A42,CORETABLE,HLOOKUP($D$3,CORETABLE,2,FALSE()),FALSE())),VLOOKUP($A42,CORETABLE,HLOOKUP($D$3,CORETABLE,2,FALSE()),FALSE()),0.99)</f>
        <v>0.87</v>
      </c>
      <c r="W42" s="68" t="n">
        <f aca="false">D$19</f>
        <v>0</v>
      </c>
      <c r="X42" s="69" t="n">
        <f aca="false">IF($D$18=1,IF(ISNUMBER($GH42),$GH42,0),0)</f>
        <v>0</v>
      </c>
      <c r="Y42" s="71" t="n">
        <f aca="false">IF($F$3="NYMEX",0,VLOOKUP($A42,curvesettle,HLOOKUP($F$3,curvesettle,2,FALSE()),FALSE()))</f>
        <v>-0.53</v>
      </c>
      <c r="Z42" s="63" t="n">
        <f aca="false">IF($F$4="NYMEX",0,VLOOKUP($A42,curvesettle,HLOOKUP($F$4,curvesettle,2,FALSE()),FALSE()))</f>
        <v>0</v>
      </c>
      <c r="AA42" s="65" t="n">
        <f aca="false">IF(ISNUMBER(VLOOKUP($A42,VOLCURVES,HLOOKUP($F$3,VOLCURVES,2,FALSE()),FALSE())),VLOOKUP($A42,VOLCURVES,HLOOKUP($F$3,VOLCURVES,2,FALSE()),FALSE()),1)</f>
        <v>1</v>
      </c>
      <c r="AB42" s="65" t="n">
        <f aca="false">IF(ISNUMBER(VLOOKUP($A42,VOLCURVES,HLOOKUP($F$4,VOLCURVES,2,FALSE()),FALSE())),VLOOKUP($A42,VOLCURVES,HLOOKUP($F$4,VOLCURVES,2,FALSE()),FALSE()),1)</f>
        <v>1</v>
      </c>
      <c r="AC42" s="65" t="n">
        <f aca="false">IF(ISNUMBER(VLOOKUP($A42,CORETABLE,HLOOKUP($F$3,CORETABLE,2,FALSE()),FALSE())),VLOOKUP($A42,CORETABLE,HLOOKUP($F$3,CORETABLE,2,FALSE()),FALSE()),0.99)</f>
        <v>0.92</v>
      </c>
      <c r="AD42" s="68" t="n">
        <f aca="false">F$19</f>
        <v>-0.6</v>
      </c>
      <c r="AE42" s="69" t="n">
        <f aca="false">IF($F$18=1,IF(ISNUMBER($GI42),$GI42,0),0)</f>
        <v>0</v>
      </c>
      <c r="AF42" s="63" t="n">
        <f aca="false">IF($H$3="NYMEX",0,VLOOKUP($A42,curvesettle,HLOOKUP($H$3,curvesettle,2,FALSE()),FALSE()))</f>
        <v>-0.53</v>
      </c>
      <c r="AG42" s="63" t="n">
        <f aca="false">IF($H$4="NYMEX",0,VLOOKUP($A42,curvesettle,HLOOKUP($H$4,curvesettle,2,FALSE()),FALSE()))</f>
        <v>0</v>
      </c>
      <c r="AH42" s="65" t="n">
        <f aca="false">IF(ISNUMBER(VLOOKUP($A42,VOLCURVES,HLOOKUP($H$3,VOLCURVES,2,FALSE()),FALSE())),VLOOKUP($A42,VOLCURVES,HLOOKUP($H$3,VOLCURVES,2,FALSE()),FALSE()),1)</f>
        <v>1</v>
      </c>
      <c r="AI42" s="65" t="n">
        <f aca="false">IF(ISNUMBER(VLOOKUP($A42,VOLCURVES,HLOOKUP($H$4,VOLCURVES,2,FALSE()),FALSE())),VLOOKUP($A42,VOLCURVES,HLOOKUP($H$4,VOLCURVES,2,FALSE()),FALSE()),1)</f>
        <v>1</v>
      </c>
      <c r="AJ42" s="65" t="n">
        <f aca="false">IF(ISNUMBER(VLOOKUP($A42,CORETABLE,HLOOKUP($H$3,CORETABLE,2,FALSE()),FALSE())),VLOOKUP($A42,CORETABLE,HLOOKUP($H$3,CORETABLE,2,FALSE()),FALSE()),0.99)</f>
        <v>0.92</v>
      </c>
      <c r="AK42" s="68" t="n">
        <f aca="false">H$19</f>
        <v>-0.45</v>
      </c>
      <c r="AL42" s="69" t="n">
        <f aca="false">IF($H$18=1,IF(ISNUMBER($GJ42),$GJ42,0),0)</f>
        <v>0</v>
      </c>
      <c r="AM42" s="4" t="n">
        <f aca="false">VLOOKUP($A42,STRADDLE,14,FALSE())</f>
        <v>0.0191064797925966</v>
      </c>
      <c r="AN42" s="72" t="n">
        <f aca="false">A43-A42</f>
        <v>31</v>
      </c>
      <c r="AO42" s="1" t="n">
        <f aca="false">AO41+1</f>
        <v>5</v>
      </c>
      <c r="AP42" s="73" t="n">
        <f aca="false">IF($A42&gt;=AR$32,IF($A42&lt;=AR$33,$AN42,0),0)</f>
        <v>31</v>
      </c>
      <c r="AQ42" s="41" t="n">
        <f aca="false">$B42+$K42+$B$12</f>
        <v>2.668</v>
      </c>
      <c r="AR42" s="41" t="n">
        <f aca="false">$B42+$L42+$B$13</f>
        <v>2.818</v>
      </c>
      <c r="AS42" s="41" t="n">
        <f aca="false">AQ42*AP42</f>
        <v>82.708</v>
      </c>
      <c r="AT42" s="41" t="n">
        <f aca="false">AR42*AP42</f>
        <v>87.358</v>
      </c>
      <c r="AU42" s="74" t="n">
        <f aca="false">($C42*$M42)+Q42+$B$14</f>
        <v>0.5425</v>
      </c>
      <c r="AV42" s="74" t="n">
        <f aca="false">($C42*$N42)+$B$15</f>
        <v>0.5425</v>
      </c>
      <c r="AW42" s="65" t="n">
        <f aca="false">O42+B$16</f>
        <v>0.999</v>
      </c>
      <c r="AX42" s="75" t="e">
        <f aca="false">IF(AP42=0,0,SPRDOPT(AQ42,AR42,$P42,$AM42,AU42,AV42,AW42,$D42,$B$20,0))</f>
        <v>#NAME?</v>
      </c>
      <c r="AY42" s="75" t="e">
        <f aca="false">IF(AQ42=0,0,SPRDOPT(AQ42,AR42,$P42,$AM42,AU42,AV42,AW42,$D42,$B$20,1))</f>
        <v>#NAME?</v>
      </c>
      <c r="AZ42" s="75" t="e">
        <f aca="false">IF(AR42=0,0,SPRDOPT(AQ42,AR42,$P42,$AM42,AU42,AV42,AW42,$D42,$B$20,2))</f>
        <v>#NAME?</v>
      </c>
      <c r="BA42" s="75" t="e">
        <f aca="false">IF(AS42=0,0,SPRDOPT(AQ42,AR42,$P42,$AM42,AU42,AV42,AW42,$D42,$B$20,3)/100)</f>
        <v>#NAME?</v>
      </c>
      <c r="BB42" s="75" t="e">
        <f aca="false">IF(AT42=0,0,SPRDOPT(AQ42,AR42,$P42,$AM42,AU42,AV42,AW42,$D42,$B$20,4)/100)</f>
        <v>#NAME?</v>
      </c>
      <c r="BC42" s="75" t="e">
        <f aca="false">IF(AU42=0,0,SPRDOPT(AQ42,AR42,$P42,$AM42,AU42,AV42,AW42,$D42,$B$20,5)/100)</f>
        <v>#NAME?</v>
      </c>
      <c r="BD42" s="75" t="e">
        <f aca="false">IF(AV42=0,0,SPRDOPT(AQ42,AR42,$P42,$AM42,AU42,AV42,AW42,$D42,$B$20,6)/100)</f>
        <v>#NAME?</v>
      </c>
      <c r="BE42" s="75" t="e">
        <f aca="false">IF(AW42=0,0,SPRDOPT(AQ42,AR42,$P42,$AM42,AU42,AV42,AW42,$D42,$B$20,7)/100)</f>
        <v>#NAME?</v>
      </c>
      <c r="BF42" s="75" t="e">
        <f aca="false">IF(AX42=0,0,SPRDOPT(AQ42,AR42,$P42,$AM42,AU42,AV42,AW42,$D42,$B$20,9)/365)</f>
        <v>#NAME?</v>
      </c>
      <c r="BG42" s="75" t="e">
        <f aca="false">AY42+AZ42</f>
        <v>#NAME?</v>
      </c>
      <c r="BH42" s="75" t="e">
        <f aca="false">BB42-BA42</f>
        <v>#NAME?</v>
      </c>
      <c r="BI42" s="75" t="e">
        <f aca="false">((AU42/AV42)*BC42)+BD42</f>
        <v>#NAME?</v>
      </c>
      <c r="BJ42" s="75" t="n">
        <f aca="false">AW42*AP42</f>
        <v>30.969</v>
      </c>
      <c r="BK42" s="76"/>
      <c r="BL42" s="37" t="e">
        <f aca="false">$AP42*AX42</f>
        <v>#NAME?</v>
      </c>
      <c r="BM42" s="37" t="e">
        <f aca="false">$AP42*AY42</f>
        <v>#NAME?</v>
      </c>
      <c r="BN42" s="37" t="e">
        <f aca="false">$AP42*AZ42</f>
        <v>#NAME?</v>
      </c>
      <c r="BO42" s="37" t="e">
        <f aca="false">$AP42*BA42</f>
        <v>#NAME?</v>
      </c>
      <c r="BP42" s="37" t="e">
        <f aca="false">$AP42*BB42</f>
        <v>#NAME?</v>
      </c>
      <c r="BQ42" s="37" t="e">
        <f aca="false">$AP42*BC42</f>
        <v>#NAME?</v>
      </c>
      <c r="BR42" s="37" t="e">
        <f aca="false">$AP42*BD42</f>
        <v>#NAME?</v>
      </c>
      <c r="BS42" s="37" t="e">
        <f aca="false">$AP42*BE42</f>
        <v>#NAME?</v>
      </c>
      <c r="BT42" s="37" t="e">
        <f aca="false">$AP42*BF42</f>
        <v>#NAME?</v>
      </c>
      <c r="BU42" s="37" t="e">
        <f aca="false">$AP42*BG42</f>
        <v>#NAME?</v>
      </c>
      <c r="BV42" s="37" t="e">
        <f aca="false">$AP42*BH42</f>
        <v>#NAME?</v>
      </c>
      <c r="BW42" s="37" t="e">
        <f aca="false">$AP42*BI42</f>
        <v>#NAME?</v>
      </c>
      <c r="BX42" s="37"/>
      <c r="BZ42" s="73" t="n">
        <f aca="false">IF($A42&gt;=CB$32,IF($A42&lt;=CB$33,$AN42,0),0)</f>
        <v>31</v>
      </c>
      <c r="CA42" s="41" t="n">
        <f aca="false">$B42+$R42+$D$12</f>
        <v>2.748</v>
      </c>
      <c r="CB42" s="41" t="n">
        <f aca="false">$B42+$S42+$D$13</f>
        <v>2.818</v>
      </c>
      <c r="CC42" s="41" t="n">
        <f aca="false">CA42*BZ42</f>
        <v>85.188</v>
      </c>
      <c r="CD42" s="41" t="n">
        <f aca="false">CB42*BZ42</f>
        <v>87.358</v>
      </c>
      <c r="CE42" s="74" t="n">
        <f aca="false">($C42*$T42)+X42+$D$14</f>
        <v>0.5425</v>
      </c>
      <c r="CF42" s="74" t="n">
        <f aca="false">($C42*$U42)+$D$15</f>
        <v>0.5425</v>
      </c>
      <c r="CG42" s="65" t="n">
        <f aca="false">$V42+D$16</f>
        <v>0.87</v>
      </c>
      <c r="CH42" s="75" t="e">
        <f aca="false">IF(BZ42=0,0,SPRDOPT(CA42,CB42,$W42,$AM42,CE42,CF42,CG42,$D42,$D$20,0))</f>
        <v>#NAME?</v>
      </c>
      <c r="CI42" s="75" t="e">
        <f aca="false">IF(CA42=0,0,SPRDOPT(CA42,CB42,$W42,$AM42,CE42,CF42,CG42,$D42,$D$20,1))</f>
        <v>#NAME?</v>
      </c>
      <c r="CJ42" s="75" t="e">
        <f aca="false">IF(CB42=0,0,SPRDOPT(CA42,CB42,$W42,$AM42,CE42,CF42,CG42,$D42,$D$20,2))</f>
        <v>#NAME?</v>
      </c>
      <c r="CK42" s="75" t="e">
        <f aca="false">IF(CC42=0,0,SPRDOPT(CA42,CB42,$W42,$AM42,CE42,CF42,CG42,$D42,$D$20,3)/100)</f>
        <v>#NAME?</v>
      </c>
      <c r="CL42" s="75" t="e">
        <f aca="false">IF(CD42=0,0,SPRDOPT(CA42,CB42,$W42,$AM42,CE42,CF42,CG42,$D42,$D$20,4)/100)</f>
        <v>#NAME?</v>
      </c>
      <c r="CM42" s="75" t="e">
        <f aca="false">IF(CE42=0,0,SPRDOPT(CA42,CB42,$W42,$AM42,CE42,CF42,CG42,$D42,$D$20,5)/100)</f>
        <v>#NAME?</v>
      </c>
      <c r="CN42" s="75" t="e">
        <f aca="false">IF(CF42=0,0,SPRDOPT(CA42,CB42,$W42,$AM42,CE42,CF42,CG42,$D42,$D$20,6)/100)</f>
        <v>#NAME?</v>
      </c>
      <c r="CO42" s="75" t="e">
        <f aca="false">IF(CG42=0,0,SPRDOPT(CA42,CB42,$W42,$AM42,CE42,CF42,CG42,$D42,$D$20,7)/100)</f>
        <v>#NAME?</v>
      </c>
      <c r="CP42" s="75" t="e">
        <f aca="false">IF(CH42=0,0,SPRDOPT(CA42,CB42,$W42,$AM42,CE42,CF42,CG42,$D42,$D$20,9)/365)</f>
        <v>#NAME?</v>
      </c>
      <c r="CQ42" s="75" t="e">
        <f aca="false">CI42+CJ42</f>
        <v>#NAME?</v>
      </c>
      <c r="CR42" s="75" t="e">
        <f aca="false">CL42-CK42</f>
        <v>#NAME?</v>
      </c>
      <c r="CS42" s="75" t="e">
        <f aca="false">((CE42/CF42)*CM42)+CN42</f>
        <v>#NAME?</v>
      </c>
      <c r="CT42" s="75" t="n">
        <f aca="false">CG42*BZ42</f>
        <v>26.97</v>
      </c>
      <c r="CU42" s="76"/>
      <c r="CV42" s="37" t="e">
        <f aca="false">BZ42*CH42</f>
        <v>#NAME?</v>
      </c>
      <c r="CW42" s="37" t="e">
        <f aca="false">BZ42*CI42</f>
        <v>#NAME?</v>
      </c>
      <c r="CX42" s="37" t="e">
        <f aca="false">BZ42*CJ42</f>
        <v>#NAME?</v>
      </c>
      <c r="CY42" s="37" t="e">
        <f aca="false">BZ42*CK42</f>
        <v>#NAME?</v>
      </c>
      <c r="CZ42" s="37" t="e">
        <f aca="false">BZ42*CL42</f>
        <v>#NAME?</v>
      </c>
      <c r="DA42" s="37" t="e">
        <f aca="false">BZ42*CM42</f>
        <v>#NAME?</v>
      </c>
      <c r="DB42" s="37" t="e">
        <f aca="false">BZ42*CN42</f>
        <v>#NAME?</v>
      </c>
      <c r="DC42" s="37" t="e">
        <f aca="false">BZ42*CO42</f>
        <v>#NAME?</v>
      </c>
      <c r="DD42" s="37" t="e">
        <f aca="false">BZ42*CP42</f>
        <v>#NAME?</v>
      </c>
      <c r="DE42" s="37" t="e">
        <f aca="false">BZ42*CQ42</f>
        <v>#NAME?</v>
      </c>
      <c r="DF42" s="37" t="e">
        <f aca="false">BZ42*CR42</f>
        <v>#NAME?</v>
      </c>
      <c r="DG42" s="37" t="e">
        <f aca="false">BZ42*CS42</f>
        <v>#NAME?</v>
      </c>
      <c r="DI42" s="73" t="n">
        <f aca="false">IF($A42&gt;=DK$32,IF($A42&lt;=DK$33,$AN42,0),0)</f>
        <v>31</v>
      </c>
      <c r="DJ42" s="41" t="n">
        <f aca="false">$B42+$Y42+$F$12</f>
        <v>2.288</v>
      </c>
      <c r="DK42" s="41" t="n">
        <f aca="false">$B42+$Z42+$F$13</f>
        <v>2.818</v>
      </c>
      <c r="DL42" s="41" t="n">
        <f aca="false">DJ42*DI42</f>
        <v>70.928</v>
      </c>
      <c r="DM42" s="41" t="n">
        <f aca="false">DK42*DI42</f>
        <v>87.358</v>
      </c>
      <c r="DN42" s="74" t="n">
        <f aca="false">($C42*$AA42)+AE42+$F$14</f>
        <v>0.5425</v>
      </c>
      <c r="DO42" s="74" t="n">
        <f aca="false">($C42*$AB42)+$F$15</f>
        <v>0.5425</v>
      </c>
      <c r="DP42" s="65" t="n">
        <f aca="false">$AC42+$F$16</f>
        <v>0.92</v>
      </c>
      <c r="DQ42" s="75" t="e">
        <f aca="false">IF(DI42=0,0,SPRDOPT(DJ42,DK42,$AD42,$AM42,DN42,DO42,DP42,$D42,$F$20,0))</f>
        <v>#NAME?</v>
      </c>
      <c r="DR42" s="75" t="e">
        <f aca="false">IF(DJ42=0,0,SPRDOPT(DJ42,DK42,$AD42,$AM42,DN42,DO42,DP42,$D42,$F$20,1))</f>
        <v>#NAME?</v>
      </c>
      <c r="DS42" s="75" t="e">
        <f aca="false">IF(DK42=0,0,SPRDOPT(DJ42,DK42,$AD42,$AM42,DN42,DO42,DP42,$D42,$F$20,2))</f>
        <v>#NAME?</v>
      </c>
      <c r="DT42" s="75" t="e">
        <f aca="false">IF(DL42=0,0,SPRDOPT(DJ42,DK42,$AD42,$AM42,DN42,DO42,DP42,$D42,$F$20,3)/100)</f>
        <v>#NAME?</v>
      </c>
      <c r="DU42" s="75" t="e">
        <f aca="false">IF(DM42=0,0,SPRDOPT(DJ42,DK42,$AD42,$AM42,DN42,DO42,DP42,$D42,$F$20,4)/100)</f>
        <v>#NAME?</v>
      </c>
      <c r="DV42" s="75" t="e">
        <f aca="false">IF(DN42=0,0,SPRDOPT(DJ42,DK42,$AD42,$AM42,DN42,DO42,DP42,$D42,$F$20,5)/100)</f>
        <v>#NAME?</v>
      </c>
      <c r="DW42" s="75" t="e">
        <f aca="false">IF(DO42=0,0,SPRDOPT(DJ42,DK42,$AD42,$AM42,DN42,DO42,DP42,$D42,$F$20,6)/100)</f>
        <v>#NAME?</v>
      </c>
      <c r="DX42" s="75" t="e">
        <f aca="false">IF(DP42=0,0,SPRDOPT(DJ42,DK42,$AD42,$AM42,DN42,DO42,DP42,$D42,$F$20,7)/100)</f>
        <v>#NAME?</v>
      </c>
      <c r="DY42" s="75" t="e">
        <f aca="false">IF(DQ42=0,0,SPRDOPT(DJ42,DK42,$AD42,$AM42,DN42,DO42,DP42,$D42,$F$20,9)/365)</f>
        <v>#NAME?</v>
      </c>
      <c r="DZ42" s="75" t="e">
        <f aca="false">DR42+DS42</f>
        <v>#NAME?</v>
      </c>
      <c r="EA42" s="75" t="e">
        <f aca="false">DU42-DT42</f>
        <v>#NAME?</v>
      </c>
      <c r="EB42" s="75" t="e">
        <f aca="false">((DN42/DO42)*DV42)+DW42</f>
        <v>#NAME?</v>
      </c>
      <c r="EC42" s="75" t="n">
        <f aca="false">DP42*DI42</f>
        <v>28.52</v>
      </c>
      <c r="ED42" s="75"/>
      <c r="EE42" s="37" t="e">
        <f aca="false">DI42*DQ42</f>
        <v>#NAME?</v>
      </c>
      <c r="EF42" s="37" t="e">
        <f aca="false">DI42*DR42</f>
        <v>#NAME?</v>
      </c>
      <c r="EG42" s="37" t="e">
        <f aca="false">DI42*DS42</f>
        <v>#NAME?</v>
      </c>
      <c r="EH42" s="37" t="e">
        <f aca="false">DI42*DT42</f>
        <v>#NAME?</v>
      </c>
      <c r="EI42" s="37" t="e">
        <f aca="false">DI42*DU42</f>
        <v>#NAME?</v>
      </c>
      <c r="EJ42" s="37" t="e">
        <f aca="false">DI42*DV42</f>
        <v>#NAME?</v>
      </c>
      <c r="EK42" s="37" t="e">
        <f aca="false">DI42*DW42</f>
        <v>#NAME?</v>
      </c>
      <c r="EL42" s="37" t="e">
        <f aca="false">DI42*DX42</f>
        <v>#NAME?</v>
      </c>
      <c r="EM42" s="37" t="e">
        <f aca="false">DI42*DY42</f>
        <v>#NAME?</v>
      </c>
      <c r="EN42" s="37" t="e">
        <f aca="false">DI42*DZ42</f>
        <v>#NAME?</v>
      </c>
      <c r="EO42" s="37" t="e">
        <f aca="false">DI42*EA42</f>
        <v>#NAME?</v>
      </c>
      <c r="EP42" s="37" t="e">
        <f aca="false">DI42*EB42</f>
        <v>#NAME?</v>
      </c>
      <c r="ER42" s="73" t="n">
        <f aca="false">IF($A42&gt;=ET$32,IF($A42&lt;=ET$33,$AN42,0),0)</f>
        <v>0</v>
      </c>
      <c r="ES42" s="41" t="n">
        <f aca="false">$B42+$AF42+$H$12</f>
        <v>2.348</v>
      </c>
      <c r="ET42" s="41" t="n">
        <f aca="false">$B42+$AG42+$H$13</f>
        <v>2.818</v>
      </c>
      <c r="EU42" s="41" t="n">
        <f aca="false">ES42*ER42</f>
        <v>0</v>
      </c>
      <c r="EV42" s="41" t="n">
        <f aca="false">ET42*ER42</f>
        <v>0</v>
      </c>
      <c r="EW42" s="74" t="n">
        <f aca="false">($C42*$AH42)+AL42+$H$14</f>
        <v>0.5425</v>
      </c>
      <c r="EX42" s="74" t="n">
        <f aca="false">($C42*$AI42)+$H$15</f>
        <v>0.5425</v>
      </c>
      <c r="EY42" s="65" t="n">
        <f aca="false">$AJ42+$H$16</f>
        <v>0.92</v>
      </c>
      <c r="EZ42" s="75" t="n">
        <f aca="false">IF(ER42=0,0,SPRDOPT(ES42,ET42,$AK42,$AM42,EW42,EX42,EY42,$D42,$H$20,0))</f>
        <v>0</v>
      </c>
      <c r="FA42" s="75" t="e">
        <f aca="false">IF(ES42=0,0,SPRDOPT(ES42,ET42,$AK42,$AM42,EW42,EX42,EY42,$D42,$H$20,1))</f>
        <v>#NAME?</v>
      </c>
      <c r="FB42" s="75" t="e">
        <f aca="false">IF(ET42=0,0,SPRDOPT(ES42,ET42,$AK42,$AM42,EW42,EX42,EY42,$D42,$H$20,2))</f>
        <v>#NAME?</v>
      </c>
      <c r="FC42" s="75" t="n">
        <f aca="false">IF(EU42=0,0,SPRDOPT(ES42,ET42,$AK42,$AM42,EW42,EX42,EY42,$D42,$H$20,3)/100)</f>
        <v>0</v>
      </c>
      <c r="FD42" s="75" t="n">
        <f aca="false">IF(EV42=0,0,SPRDOPT(ES42,ET42,$AK42,$AM42,EW42,EX42,EY42,$D42,$H$20,4)/100)</f>
        <v>0</v>
      </c>
      <c r="FE42" s="75" t="e">
        <f aca="false">IF(EW42=0,0,SPRDOPT(ES42,ET42,$AK42,$AM42,EW42,EX42,EY42,$D42,$H$20,5)/100)</f>
        <v>#NAME?</v>
      </c>
      <c r="FF42" s="75" t="e">
        <f aca="false">IF(EX42=0,0,SPRDOPT(ES42,ET42,$AK42,$AM42,EW42,EX42,EY42,$D42,$H$20,6)/100)</f>
        <v>#NAME?</v>
      </c>
      <c r="FG42" s="75" t="e">
        <f aca="false">IF(EY42=0,0,SPRDOPT(ES42,ET42,$AK42,$AM42,EW42,EX42,EY42,$D42,$H$20,7)/100)</f>
        <v>#NAME?</v>
      </c>
      <c r="FH42" s="75" t="n">
        <f aca="false">IF(EZ42=0,0,SPRDOPT(ES42,ET42,$AK42,$AM42,EW42,EX42,EY42,$D42,$H$20,9)/365)</f>
        <v>0</v>
      </c>
      <c r="FI42" s="75" t="e">
        <f aca="false">FA42+FB42</f>
        <v>#NAME?</v>
      </c>
      <c r="FJ42" s="75" t="n">
        <f aca="false">FD42-FC42</f>
        <v>0</v>
      </c>
      <c r="FK42" s="75" t="e">
        <f aca="false">((EW42/EX42)*FE42)+FF42</f>
        <v>#NAME?</v>
      </c>
      <c r="FL42" s="75" t="n">
        <f aca="false">EY42*ER42</f>
        <v>0</v>
      </c>
      <c r="FM42" s="75"/>
      <c r="FN42" s="37" t="n">
        <f aca="false">$ER42*EZ42</f>
        <v>0</v>
      </c>
      <c r="FO42" s="37" t="e">
        <f aca="false">$ER42*FA42</f>
        <v>#NAME?</v>
      </c>
      <c r="FP42" s="37" t="e">
        <f aca="false">$ER42*FB42</f>
        <v>#NAME?</v>
      </c>
      <c r="FQ42" s="37" t="n">
        <f aca="false">$ER42*FC42</f>
        <v>0</v>
      </c>
      <c r="FR42" s="37" t="n">
        <f aca="false">$ER42*FD42</f>
        <v>0</v>
      </c>
      <c r="FS42" s="37" t="e">
        <f aca="false">$ER42*FE42</f>
        <v>#NAME?</v>
      </c>
      <c r="FT42" s="37" t="e">
        <f aca="false">$ER42*FF42</f>
        <v>#NAME?</v>
      </c>
      <c r="FU42" s="37" t="e">
        <f aca="false">$ER42*FG42</f>
        <v>#NAME?</v>
      </c>
      <c r="FV42" s="37" t="n">
        <f aca="false">$ER42*FH42</f>
        <v>0</v>
      </c>
      <c r="FW42" s="37" t="e">
        <f aca="false">$ER42*FI42</f>
        <v>#NAME?</v>
      </c>
      <c r="FX42" s="37" t="n">
        <f aca="false">$ER42*FJ42</f>
        <v>0</v>
      </c>
      <c r="FY42" s="37" t="e">
        <f aca="false">$ER42*FK42</f>
        <v>#NAME?</v>
      </c>
      <c r="GA42" s="77" t="e">
        <f aca="false">VLOOKUP(A42,skewmonthlook,2,FALSE())</f>
        <v>#REF!</v>
      </c>
      <c r="GB42" s="0" t="e">
        <f aca="false">CONCATENATE(B$3,$GA42)</f>
        <v>#REF!</v>
      </c>
      <c r="GC42" s="0" t="e">
        <f aca="false">CONCATENATE(D$3,$GA42)</f>
        <v>#REF!</v>
      </c>
      <c r="GD42" s="0" t="e">
        <f aca="false">CONCATENATE(F$3,$GA42)</f>
        <v>#REF!</v>
      </c>
      <c r="GE42" s="0" t="e">
        <f aca="false">CONCATENATE(H$3,$GA42)</f>
        <v>#REF!</v>
      </c>
      <c r="GG42" s="65" t="e">
        <f aca="false">VLOOKUP(GB42,skewlook,HLOOKUP($P42,skewlook,2),FALSE())</f>
        <v>#REF!</v>
      </c>
      <c r="GH42" s="65" t="e">
        <f aca="false">VLOOKUP(GC42,skewlook,HLOOKUP($W42,skewlook,2),FALSE())</f>
        <v>#REF!</v>
      </c>
      <c r="GI42" s="65" t="e">
        <f aca="false">VLOOKUP(GD42,skewlook,HLOOKUP($AD42,skewlook,2),FALSE())</f>
        <v>#REF!</v>
      </c>
      <c r="GJ42" s="65" t="e">
        <f aca="false">VLOOKUP(GE42,skewlook,HLOOKUP($AK42,skewlook,2),FALSE())</f>
        <v>#REF!</v>
      </c>
    </row>
    <row r="43" customFormat="false" ht="12.75" hidden="false" customHeight="false" outlineLevel="0" collapsed="false">
      <c r="A43" s="62" t="n">
        <f aca="false">DATE(YEAR(A42),MONTH(A42)+1,1)</f>
        <v>37408</v>
      </c>
      <c r="B43" s="63" t="n">
        <f aca="false">VLOOKUP(A43,STRADDLE,5,FALSE())</f>
        <v>2.872</v>
      </c>
      <c r="C43" s="4" t="n">
        <f aca="false">VLOOKUP(A43,STRADDLE,8,FALSE())</f>
        <v>0.5275</v>
      </c>
      <c r="D43" s="64" t="n">
        <f aca="false">VLOOKUP(A43,expiration,2,FALSE())-$B$2</f>
        <v>-8522</v>
      </c>
      <c r="E43" s="65" t="e">
        <f aca="false">AY43</f>
        <v>#NAME?</v>
      </c>
      <c r="F43" s="65" t="e">
        <f aca="false">CI43</f>
        <v>#NAME?</v>
      </c>
      <c r="G43" s="65" t="e">
        <f aca="false">DR43</f>
        <v>#NAME?</v>
      </c>
      <c r="H43" s="65" t="e">
        <f aca="false">FA43</f>
        <v>#NAME?</v>
      </c>
      <c r="I43" s="66"/>
      <c r="J43" s="67"/>
      <c r="K43" s="63" t="n">
        <f aca="false">IF($B$3="NYMEX",0,VLOOKUP($A43,curvesettle,HLOOKUP($B$3,curvesettle,2,FALSE()),FALSE()))</f>
        <v>-0.15</v>
      </c>
      <c r="L43" s="63" t="n">
        <f aca="false">IF($B$4="NYMEX",0,VLOOKUP($A43,curvesettle,HLOOKUP($B$4,curvesettle,2,FALSE()),FALSE()))</f>
        <v>0</v>
      </c>
      <c r="M43" s="65" t="n">
        <f aca="false">IF(ISNUMBER(VLOOKUP($A43,VOLCURVES,HLOOKUP($B$3,VOLCURVES,2,FALSE()),FALSE())),VLOOKUP($A43,VOLCURVES,HLOOKUP($B$3,VOLCURVES,2,FALSE()),FALSE()),1)</f>
        <v>1</v>
      </c>
      <c r="N43" s="65" t="n">
        <f aca="false">IF(ISNUMBER(VLOOKUP($A43,VOLCURVES,HLOOKUP($B$4,VOLCURVES,2,FALSE()),FALSE())),VLOOKUP($A43,VOLCURVES,HLOOKUP($B$4,VOLCURVES,2,FALSE()),FALSE()),1)</f>
        <v>1</v>
      </c>
      <c r="O43" s="65" t="n">
        <f aca="false">IF(ISNUMBER(VLOOKUP($A43,CORETABLE,HLOOKUP($B$3,CORETABLE,2,FALSE()),FALSE())),VLOOKUP($A43,CORETABLE,HLOOKUP($B$3,CORETABLE,2,FALSE()),FALSE()),0.99)</f>
        <v>0.9945</v>
      </c>
      <c r="P43" s="68" t="n">
        <f aca="false">B$19</f>
        <v>-0.2</v>
      </c>
      <c r="Q43" s="69" t="n">
        <f aca="false">IF($B$18=1,IF(ISNUMBER($GG43),$GG43,0),0)</f>
        <v>0</v>
      </c>
      <c r="R43" s="70" t="n">
        <f aca="false">IF($D$3="NYMEX",0,VLOOKUP($A43,curvesettle,HLOOKUP($D$3,curvesettle,2,FALSE()),FALSE()))</f>
        <v>-0.05</v>
      </c>
      <c r="S43" s="63" t="n">
        <f aca="false">IF($D$4="NYMEX",0,VLOOKUP($A43,curvesettle,HLOOKUP($D$4,curvesettle,2,FALSE()),FALSE()))</f>
        <v>0</v>
      </c>
      <c r="T43" s="65" t="n">
        <f aca="false">IF(ISNUMBER(VLOOKUP($A43,VOLCURVES,HLOOKUP($D$3,VOLCURVES,2,FALSE()),FALSE())),VLOOKUP($A43,VOLCURVES,HLOOKUP($D$3,VOLCURVES,2,FALSE()),FALSE()),1)</f>
        <v>1</v>
      </c>
      <c r="U43" s="65" t="n">
        <f aca="false">IF(ISNUMBER(VLOOKUP($A43,VOLCURVES,HLOOKUP($D$4,VOLCURVES,2,FALSE()),FALSE())),VLOOKUP($A43,VOLCURVES,HLOOKUP($D$4,VOLCURVES,2,FALSE()),FALSE()),1)</f>
        <v>1</v>
      </c>
      <c r="V43" s="65" t="n">
        <f aca="false">IF(ISNUMBER(VLOOKUP($A43,CORETABLE,HLOOKUP($D$3,CORETABLE,2,FALSE()),FALSE())),VLOOKUP($A43,CORETABLE,HLOOKUP($D$3,CORETABLE,2,FALSE()),FALSE()),0.99)</f>
        <v>0.87</v>
      </c>
      <c r="W43" s="68" t="n">
        <f aca="false">D$19</f>
        <v>0</v>
      </c>
      <c r="X43" s="69" t="n">
        <f aca="false">IF($D$18=1,IF(ISNUMBER($GH43),$GH43,0),0)</f>
        <v>0</v>
      </c>
      <c r="Y43" s="71" t="n">
        <f aca="false">IF($F$3="NYMEX",0,VLOOKUP($A43,curvesettle,HLOOKUP($F$3,curvesettle,2,FALSE()),FALSE()))</f>
        <v>-0.53</v>
      </c>
      <c r="Z43" s="63" t="n">
        <f aca="false">IF($F$4="NYMEX",0,VLOOKUP($A43,curvesettle,HLOOKUP($F$4,curvesettle,2,FALSE()),FALSE()))</f>
        <v>0</v>
      </c>
      <c r="AA43" s="65" t="n">
        <f aca="false">IF(ISNUMBER(VLOOKUP($A43,VOLCURVES,HLOOKUP($F$3,VOLCURVES,2,FALSE()),FALSE())),VLOOKUP($A43,VOLCURVES,HLOOKUP($F$3,VOLCURVES,2,FALSE()),FALSE()),1)</f>
        <v>1</v>
      </c>
      <c r="AB43" s="65" t="n">
        <f aca="false">IF(ISNUMBER(VLOOKUP($A43,VOLCURVES,HLOOKUP($F$4,VOLCURVES,2,FALSE()),FALSE())),VLOOKUP($A43,VOLCURVES,HLOOKUP($F$4,VOLCURVES,2,FALSE()),FALSE()),1)</f>
        <v>1</v>
      </c>
      <c r="AC43" s="65" t="n">
        <f aca="false">IF(ISNUMBER(VLOOKUP($A43,CORETABLE,HLOOKUP($F$3,CORETABLE,2,FALSE()),FALSE())),VLOOKUP($A43,CORETABLE,HLOOKUP($F$3,CORETABLE,2,FALSE()),FALSE()),0.99)</f>
        <v>0.92</v>
      </c>
      <c r="AD43" s="68" t="n">
        <f aca="false">F$19</f>
        <v>-0.6</v>
      </c>
      <c r="AE43" s="69" t="n">
        <f aca="false">IF($F$18=1,IF(ISNUMBER($GI43),$GI43,0),0)</f>
        <v>0</v>
      </c>
      <c r="AF43" s="63" t="n">
        <f aca="false">IF($H$3="NYMEX",0,VLOOKUP($A43,curvesettle,HLOOKUP($H$3,curvesettle,2,FALSE()),FALSE()))</f>
        <v>-0.53</v>
      </c>
      <c r="AG43" s="63" t="n">
        <f aca="false">IF($H$4="NYMEX",0,VLOOKUP($A43,curvesettle,HLOOKUP($H$4,curvesettle,2,FALSE()),FALSE()))</f>
        <v>0</v>
      </c>
      <c r="AH43" s="65" t="n">
        <f aca="false">IF(ISNUMBER(VLOOKUP($A43,VOLCURVES,HLOOKUP($H$3,VOLCURVES,2,FALSE()),FALSE())),VLOOKUP($A43,VOLCURVES,HLOOKUP($H$3,VOLCURVES,2,FALSE()),FALSE()),1)</f>
        <v>1</v>
      </c>
      <c r="AI43" s="65" t="n">
        <f aca="false">IF(ISNUMBER(VLOOKUP($A43,VOLCURVES,HLOOKUP($H$4,VOLCURVES,2,FALSE()),FALSE())),VLOOKUP($A43,VOLCURVES,HLOOKUP($H$4,VOLCURVES,2,FALSE()),FALSE()),1)</f>
        <v>1</v>
      </c>
      <c r="AJ43" s="65" t="n">
        <f aca="false">IF(ISNUMBER(VLOOKUP($A43,CORETABLE,HLOOKUP($H$3,CORETABLE,2,FALSE()),FALSE())),VLOOKUP($A43,CORETABLE,HLOOKUP($H$3,CORETABLE,2,FALSE()),FALSE()),0.99)</f>
        <v>0.92</v>
      </c>
      <c r="AK43" s="68" t="n">
        <f aca="false">H$19</f>
        <v>-0.45</v>
      </c>
      <c r="AL43" s="69" t="n">
        <f aca="false">IF($H$18=1,IF(ISNUMBER($GJ43),$GJ43,0),0)</f>
        <v>0</v>
      </c>
      <c r="AM43" s="4" t="n">
        <f aca="false">VLOOKUP($A43,STRADDLE,14,FALSE())</f>
        <v>0.0192824735369563</v>
      </c>
      <c r="AN43" s="72" t="n">
        <f aca="false">A44-A43</f>
        <v>30</v>
      </c>
      <c r="AO43" s="1" t="n">
        <f aca="false">AO42+1</f>
        <v>6</v>
      </c>
      <c r="AP43" s="73" t="n">
        <f aca="false">IF($A43&gt;=AR$32,IF($A43&lt;=AR$33,$AN43,0),0)</f>
        <v>30</v>
      </c>
      <c r="AQ43" s="41" t="n">
        <f aca="false">$B43+$K43+$B$12</f>
        <v>2.722</v>
      </c>
      <c r="AR43" s="41" t="n">
        <f aca="false">$B43+$L43+$B$13</f>
        <v>2.872</v>
      </c>
      <c r="AS43" s="41" t="n">
        <f aca="false">AQ43*AP43</f>
        <v>81.66</v>
      </c>
      <c r="AT43" s="41" t="n">
        <f aca="false">AR43*AP43</f>
        <v>86.16</v>
      </c>
      <c r="AU43" s="74" t="n">
        <f aca="false">($C43*$M43)+Q43+$B$14</f>
        <v>0.5275</v>
      </c>
      <c r="AV43" s="74" t="n">
        <f aca="false">($C43*$N43)+$B$15</f>
        <v>0.5275</v>
      </c>
      <c r="AW43" s="65" t="n">
        <f aca="false">O43+B$16</f>
        <v>0.999</v>
      </c>
      <c r="AX43" s="75" t="e">
        <f aca="false">IF(AP43=0,0,SPRDOPT(AQ43,AR43,$P43,$AM43,AU43,AV43,AW43,$D43,$B$20,0))</f>
        <v>#NAME?</v>
      </c>
      <c r="AY43" s="75" t="e">
        <f aca="false">IF(AQ43=0,0,SPRDOPT(AQ43,AR43,$P43,$AM43,AU43,AV43,AW43,$D43,$B$20,1))</f>
        <v>#NAME?</v>
      </c>
      <c r="AZ43" s="75" t="e">
        <f aca="false">IF(AR43=0,0,SPRDOPT(AQ43,AR43,$P43,$AM43,AU43,AV43,AW43,$D43,$B$20,2))</f>
        <v>#NAME?</v>
      </c>
      <c r="BA43" s="75" t="e">
        <f aca="false">IF(AS43=0,0,SPRDOPT(AQ43,AR43,$P43,$AM43,AU43,AV43,AW43,$D43,$B$20,3)/100)</f>
        <v>#NAME?</v>
      </c>
      <c r="BB43" s="75" t="e">
        <f aca="false">IF(AT43=0,0,SPRDOPT(AQ43,AR43,$P43,$AM43,AU43,AV43,AW43,$D43,$B$20,4)/100)</f>
        <v>#NAME?</v>
      </c>
      <c r="BC43" s="75" t="e">
        <f aca="false">IF(AU43=0,0,SPRDOPT(AQ43,AR43,$P43,$AM43,AU43,AV43,AW43,$D43,$B$20,5)/100)</f>
        <v>#NAME?</v>
      </c>
      <c r="BD43" s="75" t="e">
        <f aca="false">IF(AV43=0,0,SPRDOPT(AQ43,AR43,$P43,$AM43,AU43,AV43,AW43,$D43,$B$20,6)/100)</f>
        <v>#NAME?</v>
      </c>
      <c r="BE43" s="75" t="e">
        <f aca="false">IF(AW43=0,0,SPRDOPT(AQ43,AR43,$P43,$AM43,AU43,AV43,AW43,$D43,$B$20,7)/100)</f>
        <v>#NAME?</v>
      </c>
      <c r="BF43" s="75" t="e">
        <f aca="false">IF(AX43=0,0,SPRDOPT(AQ43,AR43,$P43,$AM43,AU43,AV43,AW43,$D43,$B$20,9)/365)</f>
        <v>#NAME?</v>
      </c>
      <c r="BG43" s="75" t="e">
        <f aca="false">AY43+AZ43</f>
        <v>#NAME?</v>
      </c>
      <c r="BH43" s="75" t="e">
        <f aca="false">BB43-BA43</f>
        <v>#NAME?</v>
      </c>
      <c r="BI43" s="75" t="e">
        <f aca="false">((AU43/AV43)*BC43)+BD43</f>
        <v>#NAME?</v>
      </c>
      <c r="BJ43" s="75" t="n">
        <f aca="false">AW43*AP43</f>
        <v>29.97</v>
      </c>
      <c r="BK43" s="76"/>
      <c r="BL43" s="37" t="e">
        <f aca="false">$AP43*AX43</f>
        <v>#NAME?</v>
      </c>
      <c r="BM43" s="37" t="e">
        <f aca="false">$AP43*AY43</f>
        <v>#NAME?</v>
      </c>
      <c r="BN43" s="37" t="e">
        <f aca="false">$AP43*AZ43</f>
        <v>#NAME?</v>
      </c>
      <c r="BO43" s="37" t="e">
        <f aca="false">$AP43*BA43</f>
        <v>#NAME?</v>
      </c>
      <c r="BP43" s="37" t="e">
        <f aca="false">$AP43*BB43</f>
        <v>#NAME?</v>
      </c>
      <c r="BQ43" s="37" t="e">
        <f aca="false">$AP43*BC43</f>
        <v>#NAME?</v>
      </c>
      <c r="BR43" s="37" t="e">
        <f aca="false">$AP43*BD43</f>
        <v>#NAME?</v>
      </c>
      <c r="BS43" s="37" t="e">
        <f aca="false">$AP43*BE43</f>
        <v>#NAME?</v>
      </c>
      <c r="BT43" s="37" t="e">
        <f aca="false">$AP43*BF43</f>
        <v>#NAME?</v>
      </c>
      <c r="BU43" s="37" t="e">
        <f aca="false">$AP43*BG43</f>
        <v>#NAME?</v>
      </c>
      <c r="BV43" s="37" t="e">
        <f aca="false">$AP43*BH43</f>
        <v>#NAME?</v>
      </c>
      <c r="BW43" s="37" t="e">
        <f aca="false">$AP43*BI43</f>
        <v>#NAME?</v>
      </c>
      <c r="BX43" s="37"/>
      <c r="BZ43" s="73" t="n">
        <f aca="false">IF($A43&gt;=CB$32,IF($A43&lt;=CB$33,$AN43,0),0)</f>
        <v>30</v>
      </c>
      <c r="CA43" s="41" t="n">
        <f aca="false">$B43+$R43+$D$12</f>
        <v>2.822</v>
      </c>
      <c r="CB43" s="41" t="n">
        <f aca="false">$B43+$S43+$D$13</f>
        <v>2.872</v>
      </c>
      <c r="CC43" s="41" t="n">
        <f aca="false">CA43*BZ43</f>
        <v>84.66</v>
      </c>
      <c r="CD43" s="41" t="n">
        <f aca="false">CB43*BZ43</f>
        <v>86.16</v>
      </c>
      <c r="CE43" s="74" t="n">
        <f aca="false">($C43*$T43)+X43+$D$14</f>
        <v>0.5275</v>
      </c>
      <c r="CF43" s="74" t="n">
        <f aca="false">($C43*$U43)+$D$15</f>
        <v>0.5275</v>
      </c>
      <c r="CG43" s="65" t="n">
        <f aca="false">$V43+D$16</f>
        <v>0.87</v>
      </c>
      <c r="CH43" s="75" t="e">
        <f aca="false">IF(BZ43=0,0,SPRDOPT(CA43,CB43,$W43,$AM43,CE43,CF43,CG43,$D43,$D$20,0))</f>
        <v>#NAME?</v>
      </c>
      <c r="CI43" s="75" t="e">
        <f aca="false">IF(CA43=0,0,SPRDOPT(CA43,CB43,$W43,$AM43,CE43,CF43,CG43,$D43,$D$20,1))</f>
        <v>#NAME?</v>
      </c>
      <c r="CJ43" s="75" t="e">
        <f aca="false">IF(CB43=0,0,SPRDOPT(CA43,CB43,$W43,$AM43,CE43,CF43,CG43,$D43,$D$20,2))</f>
        <v>#NAME?</v>
      </c>
      <c r="CK43" s="75" t="e">
        <f aca="false">IF(CC43=0,0,SPRDOPT(CA43,CB43,$W43,$AM43,CE43,CF43,CG43,$D43,$D$20,3)/100)</f>
        <v>#NAME?</v>
      </c>
      <c r="CL43" s="75" t="e">
        <f aca="false">IF(CD43=0,0,SPRDOPT(CA43,CB43,$W43,$AM43,CE43,CF43,CG43,$D43,$D$20,4)/100)</f>
        <v>#NAME?</v>
      </c>
      <c r="CM43" s="75" t="e">
        <f aca="false">IF(CE43=0,0,SPRDOPT(CA43,CB43,$W43,$AM43,CE43,CF43,CG43,$D43,$D$20,5)/100)</f>
        <v>#NAME?</v>
      </c>
      <c r="CN43" s="75" t="e">
        <f aca="false">IF(CF43=0,0,SPRDOPT(CA43,CB43,$W43,$AM43,CE43,CF43,CG43,$D43,$D$20,6)/100)</f>
        <v>#NAME?</v>
      </c>
      <c r="CO43" s="75" t="e">
        <f aca="false">IF(CG43=0,0,SPRDOPT(CA43,CB43,$W43,$AM43,CE43,CF43,CG43,$D43,$D$20,7)/100)</f>
        <v>#NAME?</v>
      </c>
      <c r="CP43" s="75" t="e">
        <f aca="false">IF(CH43=0,0,SPRDOPT(CA43,CB43,$W43,$AM43,CE43,CF43,CG43,$D43,$D$20,9)/365)</f>
        <v>#NAME?</v>
      </c>
      <c r="CQ43" s="75" t="e">
        <f aca="false">CI43+CJ43</f>
        <v>#NAME?</v>
      </c>
      <c r="CR43" s="75" t="e">
        <f aca="false">CL43-CK43</f>
        <v>#NAME?</v>
      </c>
      <c r="CS43" s="75" t="e">
        <f aca="false">((CE43/CF43)*CM43)+CN43</f>
        <v>#NAME?</v>
      </c>
      <c r="CT43" s="75" t="n">
        <f aca="false">CG43*BZ43</f>
        <v>26.1</v>
      </c>
      <c r="CU43" s="76"/>
      <c r="CV43" s="37" t="e">
        <f aca="false">BZ43*CH43</f>
        <v>#NAME?</v>
      </c>
      <c r="CW43" s="37" t="e">
        <f aca="false">BZ43*CI43</f>
        <v>#NAME?</v>
      </c>
      <c r="CX43" s="37" t="e">
        <f aca="false">BZ43*CJ43</f>
        <v>#NAME?</v>
      </c>
      <c r="CY43" s="37" t="e">
        <f aca="false">BZ43*CK43</f>
        <v>#NAME?</v>
      </c>
      <c r="CZ43" s="37" t="e">
        <f aca="false">BZ43*CL43</f>
        <v>#NAME?</v>
      </c>
      <c r="DA43" s="37" t="e">
        <f aca="false">BZ43*CM43</f>
        <v>#NAME?</v>
      </c>
      <c r="DB43" s="37" t="e">
        <f aca="false">BZ43*CN43</f>
        <v>#NAME?</v>
      </c>
      <c r="DC43" s="37" t="e">
        <f aca="false">BZ43*CO43</f>
        <v>#NAME?</v>
      </c>
      <c r="DD43" s="37" t="e">
        <f aca="false">BZ43*CP43</f>
        <v>#NAME?</v>
      </c>
      <c r="DE43" s="37" t="e">
        <f aca="false">BZ43*CQ43</f>
        <v>#NAME?</v>
      </c>
      <c r="DF43" s="37" t="e">
        <f aca="false">BZ43*CR43</f>
        <v>#NAME?</v>
      </c>
      <c r="DG43" s="37" t="e">
        <f aca="false">BZ43*CS43</f>
        <v>#NAME?</v>
      </c>
      <c r="DI43" s="73" t="n">
        <f aca="false">IF($A43&gt;=DK$32,IF($A43&lt;=DK$33,$AN43,0),0)</f>
        <v>30</v>
      </c>
      <c r="DJ43" s="41" t="n">
        <f aca="false">$B43+$Y43+$F$12</f>
        <v>2.342</v>
      </c>
      <c r="DK43" s="41" t="n">
        <f aca="false">$B43+$Z43+$F$13</f>
        <v>2.872</v>
      </c>
      <c r="DL43" s="41" t="n">
        <f aca="false">DJ43*DI43</f>
        <v>70.26</v>
      </c>
      <c r="DM43" s="41" t="n">
        <f aca="false">DK43*DI43</f>
        <v>86.16</v>
      </c>
      <c r="DN43" s="74" t="n">
        <f aca="false">($C43*$AA43)+AE43+$F$14</f>
        <v>0.5275</v>
      </c>
      <c r="DO43" s="74" t="n">
        <f aca="false">($C43*$AB43)+$F$15</f>
        <v>0.5275</v>
      </c>
      <c r="DP43" s="65" t="n">
        <f aca="false">$AC43+$F$16</f>
        <v>0.92</v>
      </c>
      <c r="DQ43" s="75" t="e">
        <f aca="false">IF(DI43=0,0,SPRDOPT(DJ43,DK43,$AD43,$AM43,DN43,DO43,DP43,$D43,$F$20,0))</f>
        <v>#NAME?</v>
      </c>
      <c r="DR43" s="75" t="e">
        <f aca="false">IF(DJ43=0,0,SPRDOPT(DJ43,DK43,$AD43,$AM43,DN43,DO43,DP43,$D43,$F$20,1))</f>
        <v>#NAME?</v>
      </c>
      <c r="DS43" s="75" t="e">
        <f aca="false">IF(DK43=0,0,SPRDOPT(DJ43,DK43,$AD43,$AM43,DN43,DO43,DP43,$D43,$F$20,2))</f>
        <v>#NAME?</v>
      </c>
      <c r="DT43" s="75" t="e">
        <f aca="false">IF(DL43=0,0,SPRDOPT(DJ43,DK43,$AD43,$AM43,DN43,DO43,DP43,$D43,$F$20,3)/100)</f>
        <v>#NAME?</v>
      </c>
      <c r="DU43" s="75" t="e">
        <f aca="false">IF(DM43=0,0,SPRDOPT(DJ43,DK43,$AD43,$AM43,DN43,DO43,DP43,$D43,$F$20,4)/100)</f>
        <v>#NAME?</v>
      </c>
      <c r="DV43" s="75" t="e">
        <f aca="false">IF(DN43=0,0,SPRDOPT(DJ43,DK43,$AD43,$AM43,DN43,DO43,DP43,$D43,$F$20,5)/100)</f>
        <v>#NAME?</v>
      </c>
      <c r="DW43" s="75" t="e">
        <f aca="false">IF(DO43=0,0,SPRDOPT(DJ43,DK43,$AD43,$AM43,DN43,DO43,DP43,$D43,$F$20,6)/100)</f>
        <v>#NAME?</v>
      </c>
      <c r="DX43" s="75" t="e">
        <f aca="false">IF(DP43=0,0,SPRDOPT(DJ43,DK43,$AD43,$AM43,DN43,DO43,DP43,$D43,$F$20,7)/100)</f>
        <v>#NAME?</v>
      </c>
      <c r="DY43" s="75" t="e">
        <f aca="false">IF(DQ43=0,0,SPRDOPT(DJ43,DK43,$AD43,$AM43,DN43,DO43,DP43,$D43,$F$20,9)/365)</f>
        <v>#NAME?</v>
      </c>
      <c r="DZ43" s="75" t="e">
        <f aca="false">DR43+DS43</f>
        <v>#NAME?</v>
      </c>
      <c r="EA43" s="75" t="e">
        <f aca="false">DU43-DT43</f>
        <v>#NAME?</v>
      </c>
      <c r="EB43" s="75" t="e">
        <f aca="false">((DN43/DO43)*DV43)+DW43</f>
        <v>#NAME?</v>
      </c>
      <c r="EC43" s="75" t="n">
        <f aca="false">DP43*DI43</f>
        <v>27.6</v>
      </c>
      <c r="ED43" s="75"/>
      <c r="EE43" s="37" t="e">
        <f aca="false">DI43*DQ43</f>
        <v>#NAME?</v>
      </c>
      <c r="EF43" s="37" t="e">
        <f aca="false">DI43*DR43</f>
        <v>#NAME?</v>
      </c>
      <c r="EG43" s="37" t="e">
        <f aca="false">DI43*DS43</f>
        <v>#NAME?</v>
      </c>
      <c r="EH43" s="37" t="e">
        <f aca="false">DI43*DT43</f>
        <v>#NAME?</v>
      </c>
      <c r="EI43" s="37" t="e">
        <f aca="false">DI43*DU43</f>
        <v>#NAME?</v>
      </c>
      <c r="EJ43" s="37" t="e">
        <f aca="false">DI43*DV43</f>
        <v>#NAME?</v>
      </c>
      <c r="EK43" s="37" t="e">
        <f aca="false">DI43*DW43</f>
        <v>#NAME?</v>
      </c>
      <c r="EL43" s="37" t="e">
        <f aca="false">DI43*DX43</f>
        <v>#NAME?</v>
      </c>
      <c r="EM43" s="37" t="e">
        <f aca="false">DI43*DY43</f>
        <v>#NAME?</v>
      </c>
      <c r="EN43" s="37" t="e">
        <f aca="false">DI43*DZ43</f>
        <v>#NAME?</v>
      </c>
      <c r="EO43" s="37" t="e">
        <f aca="false">DI43*EA43</f>
        <v>#NAME?</v>
      </c>
      <c r="EP43" s="37" t="e">
        <f aca="false">DI43*EB43</f>
        <v>#NAME?</v>
      </c>
      <c r="ER43" s="73" t="n">
        <f aca="false">IF($A43&gt;=ET$32,IF($A43&lt;=ET$33,$AN43,0),0)</f>
        <v>0</v>
      </c>
      <c r="ES43" s="41" t="n">
        <f aca="false">$B43+$AF43+$H$12</f>
        <v>2.402</v>
      </c>
      <c r="ET43" s="41" t="n">
        <f aca="false">$B43+$AG43+$H$13</f>
        <v>2.872</v>
      </c>
      <c r="EU43" s="41" t="n">
        <f aca="false">ES43*ER43</f>
        <v>0</v>
      </c>
      <c r="EV43" s="41" t="n">
        <f aca="false">ET43*ER43</f>
        <v>0</v>
      </c>
      <c r="EW43" s="74" t="n">
        <f aca="false">($C43*$AH43)+AL43+$H$14</f>
        <v>0.5275</v>
      </c>
      <c r="EX43" s="74" t="n">
        <f aca="false">($C43*$AI43)+$H$15</f>
        <v>0.5275</v>
      </c>
      <c r="EY43" s="65" t="n">
        <f aca="false">$AJ43+$H$16</f>
        <v>0.92</v>
      </c>
      <c r="EZ43" s="75" t="n">
        <f aca="false">IF(ER43=0,0,SPRDOPT(ES43,ET43,$AK43,$AM43,EW43,EX43,EY43,$D43,$H$20,0))</f>
        <v>0</v>
      </c>
      <c r="FA43" s="75" t="e">
        <f aca="false">IF(ES43=0,0,SPRDOPT(ES43,ET43,$AK43,$AM43,EW43,EX43,EY43,$D43,$H$20,1))</f>
        <v>#NAME?</v>
      </c>
      <c r="FB43" s="75" t="e">
        <f aca="false">IF(ET43=0,0,SPRDOPT(ES43,ET43,$AK43,$AM43,EW43,EX43,EY43,$D43,$H$20,2))</f>
        <v>#NAME?</v>
      </c>
      <c r="FC43" s="75" t="n">
        <f aca="false">IF(EU43=0,0,SPRDOPT(ES43,ET43,$AK43,$AM43,EW43,EX43,EY43,$D43,$H$20,3)/100)</f>
        <v>0</v>
      </c>
      <c r="FD43" s="75" t="n">
        <f aca="false">IF(EV43=0,0,SPRDOPT(ES43,ET43,$AK43,$AM43,EW43,EX43,EY43,$D43,$H$20,4)/100)</f>
        <v>0</v>
      </c>
      <c r="FE43" s="75" t="e">
        <f aca="false">IF(EW43=0,0,SPRDOPT(ES43,ET43,$AK43,$AM43,EW43,EX43,EY43,$D43,$H$20,5)/100)</f>
        <v>#NAME?</v>
      </c>
      <c r="FF43" s="75" t="e">
        <f aca="false">IF(EX43=0,0,SPRDOPT(ES43,ET43,$AK43,$AM43,EW43,EX43,EY43,$D43,$H$20,6)/100)</f>
        <v>#NAME?</v>
      </c>
      <c r="FG43" s="75" t="e">
        <f aca="false">IF(EY43=0,0,SPRDOPT(ES43,ET43,$AK43,$AM43,EW43,EX43,EY43,$D43,$H$20,7)/100)</f>
        <v>#NAME?</v>
      </c>
      <c r="FH43" s="75" t="n">
        <f aca="false">IF(EZ43=0,0,SPRDOPT(ES43,ET43,$AK43,$AM43,EW43,EX43,EY43,$D43,$H$20,9)/365)</f>
        <v>0</v>
      </c>
      <c r="FI43" s="75" t="e">
        <f aca="false">FA43+FB43</f>
        <v>#NAME?</v>
      </c>
      <c r="FJ43" s="75" t="n">
        <f aca="false">FD43-FC43</f>
        <v>0</v>
      </c>
      <c r="FK43" s="75" t="e">
        <f aca="false">((EW43/EX43)*FE43)+FF43</f>
        <v>#NAME?</v>
      </c>
      <c r="FL43" s="75" t="n">
        <f aca="false">EY43*ER43</f>
        <v>0</v>
      </c>
      <c r="FM43" s="75"/>
      <c r="FN43" s="37" t="n">
        <f aca="false">$ER43*EZ43</f>
        <v>0</v>
      </c>
      <c r="FO43" s="37" t="e">
        <f aca="false">$ER43*FA43</f>
        <v>#NAME?</v>
      </c>
      <c r="FP43" s="37" t="e">
        <f aca="false">$ER43*FB43</f>
        <v>#NAME?</v>
      </c>
      <c r="FQ43" s="37" t="n">
        <f aca="false">$ER43*FC43</f>
        <v>0</v>
      </c>
      <c r="FR43" s="37" t="n">
        <f aca="false">$ER43*FD43</f>
        <v>0</v>
      </c>
      <c r="FS43" s="37" t="e">
        <f aca="false">$ER43*FE43</f>
        <v>#NAME?</v>
      </c>
      <c r="FT43" s="37" t="e">
        <f aca="false">$ER43*FF43</f>
        <v>#NAME?</v>
      </c>
      <c r="FU43" s="37" t="e">
        <f aca="false">$ER43*FG43</f>
        <v>#NAME?</v>
      </c>
      <c r="FV43" s="37" t="n">
        <f aca="false">$ER43*FH43</f>
        <v>0</v>
      </c>
      <c r="FW43" s="37" t="e">
        <f aca="false">$ER43*FI43</f>
        <v>#NAME?</v>
      </c>
      <c r="FX43" s="37" t="n">
        <f aca="false">$ER43*FJ43</f>
        <v>0</v>
      </c>
      <c r="FY43" s="37" t="e">
        <f aca="false">$ER43*FK43</f>
        <v>#NAME?</v>
      </c>
      <c r="GA43" s="77" t="e">
        <f aca="false">VLOOKUP(A43,skewmonthlook,2,FALSE())</f>
        <v>#REF!</v>
      </c>
      <c r="GB43" s="0" t="e">
        <f aca="false">CONCATENATE(B$3,$GA43)</f>
        <v>#REF!</v>
      </c>
      <c r="GC43" s="0" t="e">
        <f aca="false">CONCATENATE(D$3,$GA43)</f>
        <v>#REF!</v>
      </c>
      <c r="GD43" s="0" t="e">
        <f aca="false">CONCATENATE(F$3,$GA43)</f>
        <v>#REF!</v>
      </c>
      <c r="GE43" s="0" t="e">
        <f aca="false">CONCATENATE(H$3,$GA43)</f>
        <v>#REF!</v>
      </c>
      <c r="GG43" s="65" t="e">
        <f aca="false">VLOOKUP(GB43,skewlook,HLOOKUP($P43,skewlook,2),FALSE())</f>
        <v>#REF!</v>
      </c>
      <c r="GH43" s="65" t="e">
        <f aca="false">VLOOKUP(GC43,skewlook,HLOOKUP($W43,skewlook,2),FALSE())</f>
        <v>#REF!</v>
      </c>
      <c r="GI43" s="65" t="e">
        <f aca="false">VLOOKUP(GD43,skewlook,HLOOKUP($AD43,skewlook,2),FALSE())</f>
        <v>#REF!</v>
      </c>
      <c r="GJ43" s="65" t="e">
        <f aca="false">VLOOKUP(GE43,skewlook,HLOOKUP($AK43,skewlook,2),FALSE())</f>
        <v>#REF!</v>
      </c>
    </row>
    <row r="44" customFormat="false" ht="12.75" hidden="false" customHeight="false" outlineLevel="0" collapsed="false">
      <c r="A44" s="62" t="n">
        <f aca="false">DATE(YEAR(A43),MONTH(A43)+1,1)</f>
        <v>37438</v>
      </c>
      <c r="B44" s="63" t="n">
        <f aca="false">VLOOKUP(A44,STRADDLE,5,FALSE())</f>
        <v>2.917</v>
      </c>
      <c r="C44" s="4" t="n">
        <f aca="false">VLOOKUP(A44,STRADDLE,8,FALSE())</f>
        <v>0.5275</v>
      </c>
      <c r="D44" s="64" t="n">
        <f aca="false">VLOOKUP(A44,expiration,2,FALSE())-$B$2</f>
        <v>-8494</v>
      </c>
      <c r="E44" s="65" t="e">
        <f aca="false">AY44</f>
        <v>#NAME?</v>
      </c>
      <c r="F44" s="65" t="e">
        <f aca="false">CI44</f>
        <v>#NAME?</v>
      </c>
      <c r="G44" s="65" t="e">
        <f aca="false">DR44</f>
        <v>#NAME?</v>
      </c>
      <c r="H44" s="65" t="e">
        <f aca="false">FA44</f>
        <v>#NAME?</v>
      </c>
      <c r="I44" s="66"/>
      <c r="J44" s="67"/>
      <c r="K44" s="63" t="n">
        <f aca="false">IF($B$3="NYMEX",0,VLOOKUP($A44,curvesettle,HLOOKUP($B$3,curvesettle,2,FALSE()),FALSE()))</f>
        <v>-0.15</v>
      </c>
      <c r="L44" s="63" t="n">
        <f aca="false">IF($B$4="NYMEX",0,VLOOKUP($A44,curvesettle,HLOOKUP($B$4,curvesettle,2,FALSE()),FALSE()))</f>
        <v>0</v>
      </c>
      <c r="M44" s="65" t="n">
        <f aca="false">IF(ISNUMBER(VLOOKUP($A44,VOLCURVES,HLOOKUP($B$3,VOLCURVES,2,FALSE()),FALSE())),VLOOKUP($A44,VOLCURVES,HLOOKUP($B$3,VOLCURVES,2,FALSE()),FALSE()),1)</f>
        <v>1</v>
      </c>
      <c r="N44" s="65" t="n">
        <f aca="false">IF(ISNUMBER(VLOOKUP($A44,VOLCURVES,HLOOKUP($B$4,VOLCURVES,2,FALSE()),FALSE())),VLOOKUP($A44,VOLCURVES,HLOOKUP($B$4,VOLCURVES,2,FALSE()),FALSE()),1)</f>
        <v>1</v>
      </c>
      <c r="O44" s="65" t="n">
        <f aca="false">IF(ISNUMBER(VLOOKUP($A44,CORETABLE,HLOOKUP($B$3,CORETABLE,2,FALSE()),FALSE())),VLOOKUP($A44,CORETABLE,HLOOKUP($B$3,CORETABLE,2,FALSE()),FALSE()),0.99)</f>
        <v>0.9945</v>
      </c>
      <c r="P44" s="68" t="n">
        <f aca="false">B$19</f>
        <v>-0.2</v>
      </c>
      <c r="Q44" s="69" t="n">
        <f aca="false">IF($B$18=1,IF(ISNUMBER($GG44),$GG44,0),0)</f>
        <v>0</v>
      </c>
      <c r="R44" s="70" t="n">
        <f aca="false">IF($D$3="NYMEX",0,VLOOKUP($A44,curvesettle,HLOOKUP($D$3,curvesettle,2,FALSE()),FALSE()))</f>
        <v>0.115</v>
      </c>
      <c r="S44" s="63" t="n">
        <f aca="false">IF($D$4="NYMEX",0,VLOOKUP($A44,curvesettle,HLOOKUP($D$4,curvesettle,2,FALSE()),FALSE()))</f>
        <v>0</v>
      </c>
      <c r="T44" s="65" t="n">
        <f aca="false">IF(ISNUMBER(VLOOKUP($A44,VOLCURVES,HLOOKUP($D$3,VOLCURVES,2,FALSE()),FALSE())),VLOOKUP($A44,VOLCURVES,HLOOKUP($D$3,VOLCURVES,2,FALSE()),FALSE()),1)</f>
        <v>1</v>
      </c>
      <c r="U44" s="65" t="n">
        <f aca="false">IF(ISNUMBER(VLOOKUP($A44,VOLCURVES,HLOOKUP($D$4,VOLCURVES,2,FALSE()),FALSE())),VLOOKUP($A44,VOLCURVES,HLOOKUP($D$4,VOLCURVES,2,FALSE()),FALSE()),1)</f>
        <v>1</v>
      </c>
      <c r="V44" s="65" t="n">
        <f aca="false">IF(ISNUMBER(VLOOKUP($A44,CORETABLE,HLOOKUP($D$3,CORETABLE,2,FALSE()),FALSE())),VLOOKUP($A44,CORETABLE,HLOOKUP($D$3,CORETABLE,2,FALSE()),FALSE()),0.99)</f>
        <v>0.87</v>
      </c>
      <c r="W44" s="68" t="n">
        <f aca="false">D$19</f>
        <v>0</v>
      </c>
      <c r="X44" s="69" t="n">
        <f aca="false">IF($D$18=1,IF(ISNUMBER($GH44),$GH44,0),0)</f>
        <v>0</v>
      </c>
      <c r="Y44" s="71" t="n">
        <f aca="false">IF($F$3="NYMEX",0,VLOOKUP($A44,curvesettle,HLOOKUP($F$3,curvesettle,2,FALSE()),FALSE()))</f>
        <v>-0.54</v>
      </c>
      <c r="Z44" s="63" t="n">
        <f aca="false">IF($F$4="NYMEX",0,VLOOKUP($A44,curvesettle,HLOOKUP($F$4,curvesettle,2,FALSE()),FALSE()))</f>
        <v>0</v>
      </c>
      <c r="AA44" s="65" t="n">
        <f aca="false">IF(ISNUMBER(VLOOKUP($A44,VOLCURVES,HLOOKUP($F$3,VOLCURVES,2,FALSE()),FALSE())),VLOOKUP($A44,VOLCURVES,HLOOKUP($F$3,VOLCURVES,2,FALSE()),FALSE()),1)</f>
        <v>1</v>
      </c>
      <c r="AB44" s="65" t="n">
        <f aca="false">IF(ISNUMBER(VLOOKUP($A44,VOLCURVES,HLOOKUP($F$4,VOLCURVES,2,FALSE()),FALSE())),VLOOKUP($A44,VOLCURVES,HLOOKUP($F$4,VOLCURVES,2,FALSE()),FALSE()),1)</f>
        <v>1</v>
      </c>
      <c r="AC44" s="65" t="n">
        <f aca="false">IF(ISNUMBER(VLOOKUP($A44,CORETABLE,HLOOKUP($F$3,CORETABLE,2,FALSE()),FALSE())),VLOOKUP($A44,CORETABLE,HLOOKUP($F$3,CORETABLE,2,FALSE()),FALSE()),0.99)</f>
        <v>0.92</v>
      </c>
      <c r="AD44" s="68" t="n">
        <f aca="false">F$19</f>
        <v>-0.6</v>
      </c>
      <c r="AE44" s="69" t="n">
        <f aca="false">IF($F$18=1,IF(ISNUMBER($GI44),$GI44,0),0)</f>
        <v>0</v>
      </c>
      <c r="AF44" s="63" t="n">
        <f aca="false">IF($H$3="NYMEX",0,VLOOKUP($A44,curvesettle,HLOOKUP($H$3,curvesettle,2,FALSE()),FALSE()))</f>
        <v>-0.54</v>
      </c>
      <c r="AG44" s="63" t="n">
        <f aca="false">IF($H$4="NYMEX",0,VLOOKUP($A44,curvesettle,HLOOKUP($H$4,curvesettle,2,FALSE()),FALSE()))</f>
        <v>0</v>
      </c>
      <c r="AH44" s="65" t="n">
        <f aca="false">IF(ISNUMBER(VLOOKUP($A44,VOLCURVES,HLOOKUP($H$3,VOLCURVES,2,FALSE()),FALSE())),VLOOKUP($A44,VOLCURVES,HLOOKUP($H$3,VOLCURVES,2,FALSE()),FALSE()),1)</f>
        <v>1</v>
      </c>
      <c r="AI44" s="65" t="n">
        <f aca="false">IF(ISNUMBER(VLOOKUP($A44,VOLCURVES,HLOOKUP($H$4,VOLCURVES,2,FALSE()),FALSE())),VLOOKUP($A44,VOLCURVES,HLOOKUP($H$4,VOLCURVES,2,FALSE()),FALSE()),1)</f>
        <v>1</v>
      </c>
      <c r="AJ44" s="65" t="n">
        <f aca="false">IF(ISNUMBER(VLOOKUP($A44,CORETABLE,HLOOKUP($H$3,CORETABLE,2,FALSE()),FALSE())),VLOOKUP($A44,CORETABLE,HLOOKUP($H$3,CORETABLE,2,FALSE()),FALSE()),0.99)</f>
        <v>0.92</v>
      </c>
      <c r="AK44" s="68" t="n">
        <f aca="false">H$19</f>
        <v>-0.45</v>
      </c>
      <c r="AL44" s="69" t="n">
        <f aca="false">IF($H$18=1,IF(ISNUMBER($GJ44),$GJ44,0),0)</f>
        <v>0</v>
      </c>
      <c r="AM44" s="4" t="n">
        <f aca="false">VLOOKUP($A44,STRADDLE,14,FALSE())</f>
        <v>0.0195950648415604</v>
      </c>
      <c r="AN44" s="72" t="n">
        <f aca="false">A45-A44</f>
        <v>31</v>
      </c>
      <c r="AO44" s="1" t="n">
        <f aca="false">AO43+1</f>
        <v>7</v>
      </c>
      <c r="AP44" s="73" t="n">
        <f aca="false">IF($A44&gt;=AR$32,IF($A44&lt;=AR$33,$AN44,0),0)</f>
        <v>31</v>
      </c>
      <c r="AQ44" s="41" t="n">
        <f aca="false">$B44+$K44+$B$12</f>
        <v>2.767</v>
      </c>
      <c r="AR44" s="41" t="n">
        <f aca="false">$B44+$L44+$B$13</f>
        <v>2.917</v>
      </c>
      <c r="AS44" s="41" t="n">
        <f aca="false">AQ44*AP44</f>
        <v>85.777</v>
      </c>
      <c r="AT44" s="41" t="n">
        <f aca="false">AR44*AP44</f>
        <v>90.427</v>
      </c>
      <c r="AU44" s="74" t="n">
        <f aca="false">($C44*$M44)+Q44+$B$14</f>
        <v>0.5275</v>
      </c>
      <c r="AV44" s="74" t="n">
        <f aca="false">($C44*$N44)+$B$15</f>
        <v>0.5275</v>
      </c>
      <c r="AW44" s="65" t="n">
        <f aca="false">O44+B$16</f>
        <v>0.999</v>
      </c>
      <c r="AX44" s="75" t="e">
        <f aca="false">IF(AP44=0,0,SPRDOPT(AQ44,AR44,$P44,$AM44,AU44,AV44,AW44,$D44,$B$20,0))</f>
        <v>#NAME?</v>
      </c>
      <c r="AY44" s="75" t="e">
        <f aca="false">IF(AQ44=0,0,SPRDOPT(AQ44,AR44,$P44,$AM44,AU44,AV44,AW44,$D44,$B$20,1))</f>
        <v>#NAME?</v>
      </c>
      <c r="AZ44" s="75" t="e">
        <f aca="false">IF(AR44=0,0,SPRDOPT(AQ44,AR44,$P44,$AM44,AU44,AV44,AW44,$D44,$B$20,2))</f>
        <v>#NAME?</v>
      </c>
      <c r="BA44" s="75" t="e">
        <f aca="false">IF(AS44=0,0,SPRDOPT(AQ44,AR44,$P44,$AM44,AU44,AV44,AW44,$D44,$B$20,3)/100)</f>
        <v>#NAME?</v>
      </c>
      <c r="BB44" s="75" t="e">
        <f aca="false">IF(AT44=0,0,SPRDOPT(AQ44,AR44,$P44,$AM44,AU44,AV44,AW44,$D44,$B$20,4)/100)</f>
        <v>#NAME?</v>
      </c>
      <c r="BC44" s="75" t="e">
        <f aca="false">IF(AU44=0,0,SPRDOPT(AQ44,AR44,$P44,$AM44,AU44,AV44,AW44,$D44,$B$20,5)/100)</f>
        <v>#NAME?</v>
      </c>
      <c r="BD44" s="75" t="e">
        <f aca="false">IF(AV44=0,0,SPRDOPT(AQ44,AR44,$P44,$AM44,AU44,AV44,AW44,$D44,$B$20,6)/100)</f>
        <v>#NAME?</v>
      </c>
      <c r="BE44" s="75" t="e">
        <f aca="false">IF(AW44=0,0,SPRDOPT(AQ44,AR44,$P44,$AM44,AU44,AV44,AW44,$D44,$B$20,7)/100)</f>
        <v>#NAME?</v>
      </c>
      <c r="BF44" s="75" t="e">
        <f aca="false">IF(AX44=0,0,SPRDOPT(AQ44,AR44,$P44,$AM44,AU44,AV44,AW44,$D44,$B$20,9)/365)</f>
        <v>#NAME?</v>
      </c>
      <c r="BG44" s="75" t="e">
        <f aca="false">AY44+AZ44</f>
        <v>#NAME?</v>
      </c>
      <c r="BH44" s="75" t="e">
        <f aca="false">BB44-BA44</f>
        <v>#NAME?</v>
      </c>
      <c r="BI44" s="75" t="e">
        <f aca="false">((AU44/AV44)*BC44)+BD44</f>
        <v>#NAME?</v>
      </c>
      <c r="BJ44" s="75" t="n">
        <f aca="false">AW44*AP44</f>
        <v>30.969</v>
      </c>
      <c r="BK44" s="76"/>
      <c r="BL44" s="37" t="e">
        <f aca="false">$AP44*AX44</f>
        <v>#NAME?</v>
      </c>
      <c r="BM44" s="37" t="e">
        <f aca="false">$AP44*AY44</f>
        <v>#NAME?</v>
      </c>
      <c r="BN44" s="37" t="e">
        <f aca="false">$AP44*AZ44</f>
        <v>#NAME?</v>
      </c>
      <c r="BO44" s="37" t="e">
        <f aca="false">$AP44*BA44</f>
        <v>#NAME?</v>
      </c>
      <c r="BP44" s="37" t="e">
        <f aca="false">$AP44*BB44</f>
        <v>#NAME?</v>
      </c>
      <c r="BQ44" s="37" t="e">
        <f aca="false">$AP44*BC44</f>
        <v>#NAME?</v>
      </c>
      <c r="BR44" s="37" t="e">
        <f aca="false">$AP44*BD44</f>
        <v>#NAME?</v>
      </c>
      <c r="BS44" s="37" t="e">
        <f aca="false">$AP44*BE44</f>
        <v>#NAME?</v>
      </c>
      <c r="BT44" s="37" t="e">
        <f aca="false">$AP44*BF44</f>
        <v>#NAME?</v>
      </c>
      <c r="BU44" s="37" t="e">
        <f aca="false">$AP44*BG44</f>
        <v>#NAME?</v>
      </c>
      <c r="BV44" s="37" t="e">
        <f aca="false">$AP44*BH44</f>
        <v>#NAME?</v>
      </c>
      <c r="BW44" s="37" t="e">
        <f aca="false">$AP44*BI44</f>
        <v>#NAME?</v>
      </c>
      <c r="BX44" s="37"/>
      <c r="BZ44" s="73" t="n">
        <f aca="false">IF($A44&gt;=CB$32,IF($A44&lt;=CB$33,$AN44,0),0)</f>
        <v>31</v>
      </c>
      <c r="CA44" s="41" t="n">
        <f aca="false">$B44+$R44+$D$12</f>
        <v>3.032</v>
      </c>
      <c r="CB44" s="41" t="n">
        <f aca="false">$B44+$S44+$D$13</f>
        <v>2.917</v>
      </c>
      <c r="CC44" s="41" t="n">
        <f aca="false">CA44*BZ44</f>
        <v>93.992</v>
      </c>
      <c r="CD44" s="41" t="n">
        <f aca="false">CB44*BZ44</f>
        <v>90.427</v>
      </c>
      <c r="CE44" s="74" t="n">
        <f aca="false">($C44*$T44)+X44+$D$14</f>
        <v>0.5275</v>
      </c>
      <c r="CF44" s="74" t="n">
        <f aca="false">($C44*$U44)+$D$15</f>
        <v>0.5275</v>
      </c>
      <c r="CG44" s="65" t="n">
        <f aca="false">$V44+D$16</f>
        <v>0.87</v>
      </c>
      <c r="CH44" s="75" t="e">
        <f aca="false">IF(BZ44=0,0,SPRDOPT(CA44,CB44,$W44,$AM44,CE44,CF44,CG44,$D44,$D$20,0))</f>
        <v>#NAME?</v>
      </c>
      <c r="CI44" s="75" t="e">
        <f aca="false">IF(CA44=0,0,SPRDOPT(CA44,CB44,$W44,$AM44,CE44,CF44,CG44,$D44,$D$20,1))</f>
        <v>#NAME?</v>
      </c>
      <c r="CJ44" s="75" t="e">
        <f aca="false">IF(CB44=0,0,SPRDOPT(CA44,CB44,$W44,$AM44,CE44,CF44,CG44,$D44,$D$20,2))</f>
        <v>#NAME?</v>
      </c>
      <c r="CK44" s="75" t="e">
        <f aca="false">IF(CC44=0,0,SPRDOPT(CA44,CB44,$W44,$AM44,CE44,CF44,CG44,$D44,$D$20,3)/100)</f>
        <v>#NAME?</v>
      </c>
      <c r="CL44" s="75" t="e">
        <f aca="false">IF(CD44=0,0,SPRDOPT(CA44,CB44,$W44,$AM44,CE44,CF44,CG44,$D44,$D$20,4)/100)</f>
        <v>#NAME?</v>
      </c>
      <c r="CM44" s="75" t="e">
        <f aca="false">IF(CE44=0,0,SPRDOPT(CA44,CB44,$W44,$AM44,CE44,CF44,CG44,$D44,$D$20,5)/100)</f>
        <v>#NAME?</v>
      </c>
      <c r="CN44" s="75" t="e">
        <f aca="false">IF(CF44=0,0,SPRDOPT(CA44,CB44,$W44,$AM44,CE44,CF44,CG44,$D44,$D$20,6)/100)</f>
        <v>#NAME?</v>
      </c>
      <c r="CO44" s="75" t="e">
        <f aca="false">IF(CG44=0,0,SPRDOPT(CA44,CB44,$W44,$AM44,CE44,CF44,CG44,$D44,$D$20,7)/100)</f>
        <v>#NAME?</v>
      </c>
      <c r="CP44" s="75" t="e">
        <f aca="false">IF(CH44=0,0,SPRDOPT(CA44,CB44,$W44,$AM44,CE44,CF44,CG44,$D44,$D$20,9)/365)</f>
        <v>#NAME?</v>
      </c>
      <c r="CQ44" s="75" t="e">
        <f aca="false">CI44+CJ44</f>
        <v>#NAME?</v>
      </c>
      <c r="CR44" s="75" t="e">
        <f aca="false">CL44-CK44</f>
        <v>#NAME?</v>
      </c>
      <c r="CS44" s="75" t="e">
        <f aca="false">((CE44/CF44)*CM44)+CN44</f>
        <v>#NAME?</v>
      </c>
      <c r="CT44" s="75" t="n">
        <f aca="false">CG44*BZ44</f>
        <v>26.97</v>
      </c>
      <c r="CU44" s="76"/>
      <c r="CV44" s="37" t="e">
        <f aca="false">BZ44*CH44</f>
        <v>#NAME?</v>
      </c>
      <c r="CW44" s="37" t="e">
        <f aca="false">BZ44*CI44</f>
        <v>#NAME?</v>
      </c>
      <c r="CX44" s="37" t="e">
        <f aca="false">BZ44*CJ44</f>
        <v>#NAME?</v>
      </c>
      <c r="CY44" s="37" t="e">
        <f aca="false">BZ44*CK44</f>
        <v>#NAME?</v>
      </c>
      <c r="CZ44" s="37" t="e">
        <f aca="false">BZ44*CL44</f>
        <v>#NAME?</v>
      </c>
      <c r="DA44" s="37" t="e">
        <f aca="false">BZ44*CM44</f>
        <v>#NAME?</v>
      </c>
      <c r="DB44" s="37" t="e">
        <f aca="false">BZ44*CN44</f>
        <v>#NAME?</v>
      </c>
      <c r="DC44" s="37" t="e">
        <f aca="false">BZ44*CO44</f>
        <v>#NAME?</v>
      </c>
      <c r="DD44" s="37" t="e">
        <f aca="false">BZ44*CP44</f>
        <v>#NAME?</v>
      </c>
      <c r="DE44" s="37" t="e">
        <f aca="false">BZ44*CQ44</f>
        <v>#NAME?</v>
      </c>
      <c r="DF44" s="37" t="e">
        <f aca="false">BZ44*CR44</f>
        <v>#NAME?</v>
      </c>
      <c r="DG44" s="37" t="e">
        <f aca="false">BZ44*CS44</f>
        <v>#NAME?</v>
      </c>
      <c r="DI44" s="73" t="n">
        <f aca="false">IF($A44&gt;=DK$32,IF($A44&lt;=DK$33,$AN44,0),0)</f>
        <v>31</v>
      </c>
      <c r="DJ44" s="41" t="n">
        <f aca="false">$B44+$Y44+$F$12</f>
        <v>2.377</v>
      </c>
      <c r="DK44" s="41" t="n">
        <f aca="false">$B44+$Z44+$F$13</f>
        <v>2.917</v>
      </c>
      <c r="DL44" s="41" t="n">
        <f aca="false">DJ44*DI44</f>
        <v>73.687</v>
      </c>
      <c r="DM44" s="41" t="n">
        <f aca="false">DK44*DI44</f>
        <v>90.427</v>
      </c>
      <c r="DN44" s="74" t="n">
        <f aca="false">($C44*$AA44)+AE44+$F$14</f>
        <v>0.5275</v>
      </c>
      <c r="DO44" s="74" t="n">
        <f aca="false">($C44*$AB44)+$F$15</f>
        <v>0.5275</v>
      </c>
      <c r="DP44" s="65" t="n">
        <f aca="false">$AC44+$F$16</f>
        <v>0.92</v>
      </c>
      <c r="DQ44" s="75" t="e">
        <f aca="false">IF(DI44=0,0,SPRDOPT(DJ44,DK44,$AD44,$AM44,DN44,DO44,DP44,$D44,$F$20,0))</f>
        <v>#NAME?</v>
      </c>
      <c r="DR44" s="75" t="e">
        <f aca="false">IF(DJ44=0,0,SPRDOPT(DJ44,DK44,$AD44,$AM44,DN44,DO44,DP44,$D44,$F$20,1))</f>
        <v>#NAME?</v>
      </c>
      <c r="DS44" s="75" t="e">
        <f aca="false">IF(DK44=0,0,SPRDOPT(DJ44,DK44,$AD44,$AM44,DN44,DO44,DP44,$D44,$F$20,2))</f>
        <v>#NAME?</v>
      </c>
      <c r="DT44" s="75" t="e">
        <f aca="false">IF(DL44=0,0,SPRDOPT(DJ44,DK44,$AD44,$AM44,DN44,DO44,DP44,$D44,$F$20,3)/100)</f>
        <v>#NAME?</v>
      </c>
      <c r="DU44" s="75" t="e">
        <f aca="false">IF(DM44=0,0,SPRDOPT(DJ44,DK44,$AD44,$AM44,DN44,DO44,DP44,$D44,$F$20,4)/100)</f>
        <v>#NAME?</v>
      </c>
      <c r="DV44" s="75" t="e">
        <f aca="false">IF(DN44=0,0,SPRDOPT(DJ44,DK44,$AD44,$AM44,DN44,DO44,DP44,$D44,$F$20,5)/100)</f>
        <v>#NAME?</v>
      </c>
      <c r="DW44" s="75" t="e">
        <f aca="false">IF(DO44=0,0,SPRDOPT(DJ44,DK44,$AD44,$AM44,DN44,DO44,DP44,$D44,$F$20,6)/100)</f>
        <v>#NAME?</v>
      </c>
      <c r="DX44" s="75" t="e">
        <f aca="false">IF(DP44=0,0,SPRDOPT(DJ44,DK44,$AD44,$AM44,DN44,DO44,DP44,$D44,$F$20,7)/100)</f>
        <v>#NAME?</v>
      </c>
      <c r="DY44" s="75" t="e">
        <f aca="false">IF(DQ44=0,0,SPRDOPT(DJ44,DK44,$AD44,$AM44,DN44,DO44,DP44,$D44,$F$20,9)/365)</f>
        <v>#NAME?</v>
      </c>
      <c r="DZ44" s="75" t="e">
        <f aca="false">DR44+DS44</f>
        <v>#NAME?</v>
      </c>
      <c r="EA44" s="75" t="e">
        <f aca="false">DU44-DT44</f>
        <v>#NAME?</v>
      </c>
      <c r="EB44" s="75" t="e">
        <f aca="false">((DN44/DO44)*DV44)+DW44</f>
        <v>#NAME?</v>
      </c>
      <c r="EC44" s="75" t="n">
        <f aca="false">DP44*DI44</f>
        <v>28.52</v>
      </c>
      <c r="ED44" s="75"/>
      <c r="EE44" s="37" t="e">
        <f aca="false">DI44*DQ44</f>
        <v>#NAME?</v>
      </c>
      <c r="EF44" s="37" t="e">
        <f aca="false">DI44*DR44</f>
        <v>#NAME?</v>
      </c>
      <c r="EG44" s="37" t="e">
        <f aca="false">DI44*DS44</f>
        <v>#NAME?</v>
      </c>
      <c r="EH44" s="37" t="e">
        <f aca="false">DI44*DT44</f>
        <v>#NAME?</v>
      </c>
      <c r="EI44" s="37" t="e">
        <f aca="false">DI44*DU44</f>
        <v>#NAME?</v>
      </c>
      <c r="EJ44" s="37" t="e">
        <f aca="false">DI44*DV44</f>
        <v>#NAME?</v>
      </c>
      <c r="EK44" s="37" t="e">
        <f aca="false">DI44*DW44</f>
        <v>#NAME?</v>
      </c>
      <c r="EL44" s="37" t="e">
        <f aca="false">DI44*DX44</f>
        <v>#NAME?</v>
      </c>
      <c r="EM44" s="37" t="e">
        <f aca="false">DI44*DY44</f>
        <v>#NAME?</v>
      </c>
      <c r="EN44" s="37" t="e">
        <f aca="false">DI44*DZ44</f>
        <v>#NAME?</v>
      </c>
      <c r="EO44" s="37" t="e">
        <f aca="false">DI44*EA44</f>
        <v>#NAME?</v>
      </c>
      <c r="EP44" s="37" t="e">
        <f aca="false">DI44*EB44</f>
        <v>#NAME?</v>
      </c>
      <c r="ER44" s="73" t="n">
        <f aca="false">IF($A44&gt;=ET$32,IF($A44&lt;=ET$33,$AN44,0),0)</f>
        <v>0</v>
      </c>
      <c r="ES44" s="41" t="n">
        <f aca="false">$B44+$AF44+$H$12</f>
        <v>2.437</v>
      </c>
      <c r="ET44" s="41" t="n">
        <f aca="false">$B44+$AG44+$H$13</f>
        <v>2.917</v>
      </c>
      <c r="EU44" s="41" t="n">
        <f aca="false">ES44*ER44</f>
        <v>0</v>
      </c>
      <c r="EV44" s="41" t="n">
        <f aca="false">ET44*ER44</f>
        <v>0</v>
      </c>
      <c r="EW44" s="74" t="n">
        <f aca="false">($C44*$AH44)+AL44+$H$14</f>
        <v>0.5275</v>
      </c>
      <c r="EX44" s="74" t="n">
        <f aca="false">($C44*$AI44)+$H$15</f>
        <v>0.5275</v>
      </c>
      <c r="EY44" s="65" t="n">
        <f aca="false">$AJ44+$H$16</f>
        <v>0.92</v>
      </c>
      <c r="EZ44" s="75" t="n">
        <f aca="false">IF(ER44=0,0,SPRDOPT(ES44,ET44,$AK44,$AM44,EW44,EX44,EY44,$D44,$H$20,0))</f>
        <v>0</v>
      </c>
      <c r="FA44" s="75" t="e">
        <f aca="false">IF(ES44=0,0,SPRDOPT(ES44,ET44,$AK44,$AM44,EW44,EX44,EY44,$D44,$H$20,1))</f>
        <v>#NAME?</v>
      </c>
      <c r="FB44" s="75" t="e">
        <f aca="false">IF(ET44=0,0,SPRDOPT(ES44,ET44,$AK44,$AM44,EW44,EX44,EY44,$D44,$H$20,2))</f>
        <v>#NAME?</v>
      </c>
      <c r="FC44" s="75" t="n">
        <f aca="false">IF(EU44=0,0,SPRDOPT(ES44,ET44,$AK44,$AM44,EW44,EX44,EY44,$D44,$H$20,3)/100)</f>
        <v>0</v>
      </c>
      <c r="FD44" s="75" t="n">
        <f aca="false">IF(EV44=0,0,SPRDOPT(ES44,ET44,$AK44,$AM44,EW44,EX44,EY44,$D44,$H$20,4)/100)</f>
        <v>0</v>
      </c>
      <c r="FE44" s="75" t="e">
        <f aca="false">IF(EW44=0,0,SPRDOPT(ES44,ET44,$AK44,$AM44,EW44,EX44,EY44,$D44,$H$20,5)/100)</f>
        <v>#NAME?</v>
      </c>
      <c r="FF44" s="75" t="e">
        <f aca="false">IF(EX44=0,0,SPRDOPT(ES44,ET44,$AK44,$AM44,EW44,EX44,EY44,$D44,$H$20,6)/100)</f>
        <v>#NAME?</v>
      </c>
      <c r="FG44" s="75" t="e">
        <f aca="false">IF(EY44=0,0,SPRDOPT(ES44,ET44,$AK44,$AM44,EW44,EX44,EY44,$D44,$H$20,7)/100)</f>
        <v>#NAME?</v>
      </c>
      <c r="FH44" s="75" t="n">
        <f aca="false">IF(EZ44=0,0,SPRDOPT(ES44,ET44,$AK44,$AM44,EW44,EX44,EY44,$D44,$H$20,9)/365)</f>
        <v>0</v>
      </c>
      <c r="FI44" s="75" t="e">
        <f aca="false">FA44+FB44</f>
        <v>#NAME?</v>
      </c>
      <c r="FJ44" s="75" t="n">
        <f aca="false">FD44-FC44</f>
        <v>0</v>
      </c>
      <c r="FK44" s="75" t="e">
        <f aca="false">((EW44/EX44)*FE44)+FF44</f>
        <v>#NAME?</v>
      </c>
      <c r="FL44" s="75" t="n">
        <f aca="false">EY44*ER44</f>
        <v>0</v>
      </c>
      <c r="FM44" s="75"/>
      <c r="FN44" s="37" t="n">
        <f aca="false">$ER44*EZ44</f>
        <v>0</v>
      </c>
      <c r="FO44" s="37" t="e">
        <f aca="false">$ER44*FA44</f>
        <v>#NAME?</v>
      </c>
      <c r="FP44" s="37" t="e">
        <f aca="false">$ER44*FB44</f>
        <v>#NAME?</v>
      </c>
      <c r="FQ44" s="37" t="n">
        <f aca="false">$ER44*FC44</f>
        <v>0</v>
      </c>
      <c r="FR44" s="37" t="n">
        <f aca="false">$ER44*FD44</f>
        <v>0</v>
      </c>
      <c r="FS44" s="37" t="e">
        <f aca="false">$ER44*FE44</f>
        <v>#NAME?</v>
      </c>
      <c r="FT44" s="37" t="e">
        <f aca="false">$ER44*FF44</f>
        <v>#NAME?</v>
      </c>
      <c r="FU44" s="37" t="e">
        <f aca="false">$ER44*FG44</f>
        <v>#NAME?</v>
      </c>
      <c r="FV44" s="37" t="n">
        <f aca="false">$ER44*FH44</f>
        <v>0</v>
      </c>
      <c r="FW44" s="37" t="e">
        <f aca="false">$ER44*FI44</f>
        <v>#NAME?</v>
      </c>
      <c r="FX44" s="37" t="n">
        <f aca="false">$ER44*FJ44</f>
        <v>0</v>
      </c>
      <c r="FY44" s="37" t="e">
        <f aca="false">$ER44*FK44</f>
        <v>#NAME?</v>
      </c>
      <c r="GA44" s="77" t="e">
        <f aca="false">VLOOKUP(A44,skewmonthlook,2,FALSE())</f>
        <v>#REF!</v>
      </c>
      <c r="GB44" s="0" t="e">
        <f aca="false">CONCATENATE(B$3,$GA44)</f>
        <v>#REF!</v>
      </c>
      <c r="GC44" s="0" t="e">
        <f aca="false">CONCATENATE(D$3,$GA44)</f>
        <v>#REF!</v>
      </c>
      <c r="GD44" s="0" t="e">
        <f aca="false">CONCATENATE(F$3,$GA44)</f>
        <v>#REF!</v>
      </c>
      <c r="GE44" s="0" t="e">
        <f aca="false">CONCATENATE(H$3,$GA44)</f>
        <v>#REF!</v>
      </c>
      <c r="GG44" s="65" t="e">
        <f aca="false">VLOOKUP(GB44,skewlook,HLOOKUP($P44,skewlook,2),FALSE())</f>
        <v>#REF!</v>
      </c>
      <c r="GH44" s="65" t="e">
        <f aca="false">VLOOKUP(GC44,skewlook,HLOOKUP($W44,skewlook,2),FALSE())</f>
        <v>#REF!</v>
      </c>
      <c r="GI44" s="65" t="e">
        <f aca="false">VLOOKUP(GD44,skewlook,HLOOKUP($AD44,skewlook,2),FALSE())</f>
        <v>#REF!</v>
      </c>
      <c r="GJ44" s="65" t="e">
        <f aca="false">VLOOKUP(GE44,skewlook,HLOOKUP($AK44,skewlook,2),FALSE())</f>
        <v>#REF!</v>
      </c>
    </row>
    <row r="45" customFormat="false" ht="12.75" hidden="false" customHeight="false" outlineLevel="0" collapsed="false">
      <c r="A45" s="62" t="n">
        <f aca="false">DATE(YEAR(A44),MONTH(A44)+1,1)</f>
        <v>37469</v>
      </c>
      <c r="B45" s="63" t="n">
        <f aca="false">VLOOKUP(A45,STRADDLE,5,FALSE())</f>
        <v>2.962</v>
      </c>
      <c r="C45" s="4" t="n">
        <f aca="false">VLOOKUP(A45,STRADDLE,8,FALSE())</f>
        <v>0.53</v>
      </c>
      <c r="D45" s="64" t="n">
        <f aca="false">VLOOKUP(A45,expiration,2,FALSE())-$B$2</f>
        <v>-8461</v>
      </c>
      <c r="E45" s="65" t="e">
        <f aca="false">AY45</f>
        <v>#NAME?</v>
      </c>
      <c r="F45" s="65" t="e">
        <f aca="false">CI45</f>
        <v>#NAME?</v>
      </c>
      <c r="G45" s="65" t="e">
        <f aca="false">DR45</f>
        <v>#NAME?</v>
      </c>
      <c r="H45" s="65" t="e">
        <f aca="false">FA45</f>
        <v>#NAME?</v>
      </c>
      <c r="I45" s="66" t="e">
        <f aca="false">G45-H45</f>
        <v>#NAME?</v>
      </c>
      <c r="J45" s="67"/>
      <c r="K45" s="63" t="n">
        <f aca="false">IF($B$3="NYMEX",0,VLOOKUP($A45,curvesettle,HLOOKUP($B$3,curvesettle,2,FALSE()),FALSE()))</f>
        <v>-0.15</v>
      </c>
      <c r="L45" s="63" t="n">
        <f aca="false">IF($B$4="NYMEX",0,VLOOKUP($A45,curvesettle,HLOOKUP($B$4,curvesettle,2,FALSE()),FALSE()))</f>
        <v>0</v>
      </c>
      <c r="M45" s="65" t="n">
        <f aca="false">IF(ISNUMBER(VLOOKUP($A45,VOLCURVES,HLOOKUP($B$3,VOLCURVES,2,FALSE()),FALSE())),VLOOKUP($A45,VOLCURVES,HLOOKUP($B$3,VOLCURVES,2,FALSE()),FALSE()),1)</f>
        <v>1</v>
      </c>
      <c r="N45" s="65" t="n">
        <f aca="false">IF(ISNUMBER(VLOOKUP($A45,VOLCURVES,HLOOKUP($B$4,VOLCURVES,2,FALSE()),FALSE())),VLOOKUP($A45,VOLCURVES,HLOOKUP($B$4,VOLCURVES,2,FALSE()),FALSE()),1)</f>
        <v>1</v>
      </c>
      <c r="O45" s="65" t="n">
        <f aca="false">IF(ISNUMBER(VLOOKUP($A45,CORETABLE,HLOOKUP($B$3,CORETABLE,2,FALSE()),FALSE())),VLOOKUP($A45,CORETABLE,HLOOKUP($B$3,CORETABLE,2,FALSE()),FALSE()),0.99)</f>
        <v>0.9945</v>
      </c>
      <c r="P45" s="68" t="n">
        <f aca="false">B$19</f>
        <v>-0.2</v>
      </c>
      <c r="Q45" s="69" t="n">
        <f aca="false">IF($B$18=1,IF(ISNUMBER($GG45),$GG45,0),0)</f>
        <v>0</v>
      </c>
      <c r="R45" s="70" t="n">
        <f aca="false">IF($D$3="NYMEX",0,VLOOKUP($A45,curvesettle,HLOOKUP($D$3,curvesettle,2,FALSE()),FALSE()))</f>
        <v>0.125</v>
      </c>
      <c r="S45" s="63" t="n">
        <f aca="false">IF($D$4="NYMEX",0,VLOOKUP($A45,curvesettle,HLOOKUP($D$4,curvesettle,2,FALSE()),FALSE()))</f>
        <v>0</v>
      </c>
      <c r="T45" s="65" t="n">
        <f aca="false">IF(ISNUMBER(VLOOKUP($A45,VOLCURVES,HLOOKUP($D$3,VOLCURVES,2,FALSE()),FALSE())),VLOOKUP($A45,VOLCURVES,HLOOKUP($D$3,VOLCURVES,2,FALSE()),FALSE()),1)</f>
        <v>1</v>
      </c>
      <c r="U45" s="65" t="n">
        <f aca="false">IF(ISNUMBER(VLOOKUP($A45,VOLCURVES,HLOOKUP($D$4,VOLCURVES,2,FALSE()),FALSE())),VLOOKUP($A45,VOLCURVES,HLOOKUP($D$4,VOLCURVES,2,FALSE()),FALSE()),1)</f>
        <v>1</v>
      </c>
      <c r="V45" s="65" t="n">
        <f aca="false">IF(ISNUMBER(VLOOKUP($A45,CORETABLE,HLOOKUP($D$3,CORETABLE,2,FALSE()),FALSE())),VLOOKUP($A45,CORETABLE,HLOOKUP($D$3,CORETABLE,2,FALSE()),FALSE()),0.99)</f>
        <v>0.87</v>
      </c>
      <c r="W45" s="68" t="n">
        <f aca="false">D$19</f>
        <v>0</v>
      </c>
      <c r="X45" s="69" t="n">
        <f aca="false">IF($D$18=1,IF(ISNUMBER($GH45),$GH45,0),0)</f>
        <v>0</v>
      </c>
      <c r="Y45" s="71" t="n">
        <f aca="false">IF($F$3="NYMEX",0,VLOOKUP($A45,curvesettle,HLOOKUP($F$3,curvesettle,2,FALSE()),FALSE()))</f>
        <v>-0.54</v>
      </c>
      <c r="Z45" s="63" t="n">
        <f aca="false">IF($F$4="NYMEX",0,VLOOKUP($A45,curvesettle,HLOOKUP($F$4,curvesettle,2,FALSE()),FALSE()))</f>
        <v>0</v>
      </c>
      <c r="AA45" s="65" t="n">
        <f aca="false">IF(ISNUMBER(VLOOKUP($A45,VOLCURVES,HLOOKUP($F$3,VOLCURVES,2,FALSE()),FALSE())),VLOOKUP($A45,VOLCURVES,HLOOKUP($F$3,VOLCURVES,2,FALSE()),FALSE()),1)</f>
        <v>1</v>
      </c>
      <c r="AB45" s="65" t="n">
        <f aca="false">IF(ISNUMBER(VLOOKUP($A45,VOLCURVES,HLOOKUP($F$4,VOLCURVES,2,FALSE()),FALSE())),VLOOKUP($A45,VOLCURVES,HLOOKUP($F$4,VOLCURVES,2,FALSE()),FALSE()),1)</f>
        <v>1</v>
      </c>
      <c r="AC45" s="65" t="n">
        <f aca="false">IF(ISNUMBER(VLOOKUP($A45,CORETABLE,HLOOKUP($F$3,CORETABLE,2,FALSE()),FALSE())),VLOOKUP($A45,CORETABLE,HLOOKUP($F$3,CORETABLE,2,FALSE()),FALSE()),0.99)</f>
        <v>0.92</v>
      </c>
      <c r="AD45" s="68" t="n">
        <f aca="false">F$19</f>
        <v>-0.6</v>
      </c>
      <c r="AE45" s="69" t="n">
        <f aca="false">IF($F$18=1,IF(ISNUMBER($GI45),$GI45,0),0)</f>
        <v>0</v>
      </c>
      <c r="AF45" s="63" t="n">
        <f aca="false">IF($H$3="NYMEX",0,VLOOKUP($A45,curvesettle,HLOOKUP($H$3,curvesettle,2,FALSE()),FALSE()))</f>
        <v>-0.54</v>
      </c>
      <c r="AG45" s="63" t="n">
        <f aca="false">IF($H$4="NYMEX",0,VLOOKUP($A45,curvesettle,HLOOKUP($H$4,curvesettle,2,FALSE()),FALSE()))</f>
        <v>0</v>
      </c>
      <c r="AH45" s="65" t="n">
        <f aca="false">IF(ISNUMBER(VLOOKUP($A45,VOLCURVES,HLOOKUP($H$3,VOLCURVES,2,FALSE()),FALSE())),VLOOKUP($A45,VOLCURVES,HLOOKUP($H$3,VOLCURVES,2,FALSE()),FALSE()),1)</f>
        <v>1</v>
      </c>
      <c r="AI45" s="65" t="n">
        <f aca="false">IF(ISNUMBER(VLOOKUP($A45,VOLCURVES,HLOOKUP($H$4,VOLCURVES,2,FALSE()),FALSE())),VLOOKUP($A45,VOLCURVES,HLOOKUP($H$4,VOLCURVES,2,FALSE()),FALSE()),1)</f>
        <v>1</v>
      </c>
      <c r="AJ45" s="65" t="n">
        <f aca="false">IF(ISNUMBER(VLOOKUP($A45,CORETABLE,HLOOKUP($H$3,CORETABLE,2,FALSE()),FALSE())),VLOOKUP($A45,CORETABLE,HLOOKUP($H$3,CORETABLE,2,FALSE()),FALSE()),0.99)</f>
        <v>0.92</v>
      </c>
      <c r="AK45" s="68" t="n">
        <f aca="false">H$19</f>
        <v>-0.45</v>
      </c>
      <c r="AL45" s="69" t="n">
        <f aca="false">IF($H$18=1,IF(ISNUMBER($GJ45),$GJ45,0),0)</f>
        <v>0</v>
      </c>
      <c r="AM45" s="4" t="n">
        <f aca="false">VLOOKUP($A45,STRADDLE,14,FALSE())</f>
        <v>0.0201466105621213</v>
      </c>
      <c r="AN45" s="72" t="n">
        <f aca="false">A46-A45</f>
        <v>31</v>
      </c>
      <c r="AO45" s="1" t="n">
        <f aca="false">AO44+1</f>
        <v>8</v>
      </c>
      <c r="AP45" s="73" t="n">
        <f aca="false">IF($A45&gt;=AR$32,IF($A45&lt;=AR$33,$AN45,0),0)</f>
        <v>31</v>
      </c>
      <c r="AQ45" s="41" t="n">
        <f aca="false">$B45+$K45+$B$12</f>
        <v>2.812</v>
      </c>
      <c r="AR45" s="41" t="n">
        <f aca="false">$B45+$L45+$B$13</f>
        <v>2.962</v>
      </c>
      <c r="AS45" s="41" t="n">
        <f aca="false">AQ45*AP45</f>
        <v>87.172</v>
      </c>
      <c r="AT45" s="41" t="n">
        <f aca="false">AR45*AP45</f>
        <v>91.822</v>
      </c>
      <c r="AU45" s="74" t="n">
        <f aca="false">($C45*$M45)+Q45+$B$14</f>
        <v>0.53</v>
      </c>
      <c r="AV45" s="74" t="n">
        <f aca="false">($C45*$N45)+$B$15</f>
        <v>0.53</v>
      </c>
      <c r="AW45" s="65" t="n">
        <f aca="false">O45+B$16</f>
        <v>0.999</v>
      </c>
      <c r="AX45" s="75" t="e">
        <f aca="false">IF(AP45=0,0,SPRDOPT(AQ45,AR45,$P45,$AM45,AU45,AV45,AW45,$D45,$B$20,0))</f>
        <v>#NAME?</v>
      </c>
      <c r="AY45" s="75" t="e">
        <f aca="false">IF(AQ45=0,0,SPRDOPT(AQ45,AR45,$P45,$AM45,AU45,AV45,AW45,$D45,$B$20,1))</f>
        <v>#NAME?</v>
      </c>
      <c r="AZ45" s="75" t="e">
        <f aca="false">IF(AR45=0,0,SPRDOPT(AQ45,AR45,$P45,$AM45,AU45,AV45,AW45,$D45,$B$20,2))</f>
        <v>#NAME?</v>
      </c>
      <c r="BA45" s="75" t="e">
        <f aca="false">IF(AS45=0,0,SPRDOPT(AQ45,AR45,$P45,$AM45,AU45,AV45,AW45,$D45,$B$20,3)/100)</f>
        <v>#NAME?</v>
      </c>
      <c r="BB45" s="75" t="e">
        <f aca="false">IF(AT45=0,0,SPRDOPT(AQ45,AR45,$P45,$AM45,AU45,AV45,AW45,$D45,$B$20,4)/100)</f>
        <v>#NAME?</v>
      </c>
      <c r="BC45" s="75" t="e">
        <f aca="false">IF(AU45=0,0,SPRDOPT(AQ45,AR45,$P45,$AM45,AU45,AV45,AW45,$D45,$B$20,5)/100)</f>
        <v>#NAME?</v>
      </c>
      <c r="BD45" s="75" t="e">
        <f aca="false">IF(AV45=0,0,SPRDOPT(AQ45,AR45,$P45,$AM45,AU45,AV45,AW45,$D45,$B$20,6)/100)</f>
        <v>#NAME?</v>
      </c>
      <c r="BE45" s="75" t="e">
        <f aca="false">IF(AW45=0,0,SPRDOPT(AQ45,AR45,$P45,$AM45,AU45,AV45,AW45,$D45,$B$20,7)/100)</f>
        <v>#NAME?</v>
      </c>
      <c r="BF45" s="75" t="e">
        <f aca="false">IF(AX45=0,0,SPRDOPT(AQ45,AR45,$P45,$AM45,AU45,AV45,AW45,$D45,$B$20,9)/365)</f>
        <v>#NAME?</v>
      </c>
      <c r="BG45" s="75" t="e">
        <f aca="false">AY45+AZ45</f>
        <v>#NAME?</v>
      </c>
      <c r="BH45" s="75" t="e">
        <f aca="false">BB45-BA45</f>
        <v>#NAME?</v>
      </c>
      <c r="BI45" s="75" t="e">
        <f aca="false">((AU45/AV45)*BC45)+BD45</f>
        <v>#NAME?</v>
      </c>
      <c r="BJ45" s="75" t="n">
        <f aca="false">AW45*AP45</f>
        <v>30.969</v>
      </c>
      <c r="BK45" s="76"/>
      <c r="BL45" s="37" t="e">
        <f aca="false">$AP45*AX45</f>
        <v>#NAME?</v>
      </c>
      <c r="BM45" s="37" t="e">
        <f aca="false">$AP45*AY45</f>
        <v>#NAME?</v>
      </c>
      <c r="BN45" s="37" t="e">
        <f aca="false">$AP45*AZ45</f>
        <v>#NAME?</v>
      </c>
      <c r="BO45" s="37" t="e">
        <f aca="false">$AP45*BA45</f>
        <v>#NAME?</v>
      </c>
      <c r="BP45" s="37" t="e">
        <f aca="false">$AP45*BB45</f>
        <v>#NAME?</v>
      </c>
      <c r="BQ45" s="37" t="e">
        <f aca="false">$AP45*BC45</f>
        <v>#NAME?</v>
      </c>
      <c r="BR45" s="37" t="e">
        <f aca="false">$AP45*BD45</f>
        <v>#NAME?</v>
      </c>
      <c r="BS45" s="37" t="e">
        <f aca="false">$AP45*BE45</f>
        <v>#NAME?</v>
      </c>
      <c r="BT45" s="37" t="e">
        <f aca="false">$AP45*BF45</f>
        <v>#NAME?</v>
      </c>
      <c r="BU45" s="37" t="e">
        <f aca="false">$AP45*BG45</f>
        <v>#NAME?</v>
      </c>
      <c r="BV45" s="37" t="e">
        <f aca="false">$AP45*BH45</f>
        <v>#NAME?</v>
      </c>
      <c r="BW45" s="37" t="e">
        <f aca="false">$AP45*BI45</f>
        <v>#NAME?</v>
      </c>
      <c r="BX45" s="37"/>
      <c r="BZ45" s="73" t="n">
        <f aca="false">IF($A45&gt;=CB$32,IF($A45&lt;=CB$33,$AN45,0),0)</f>
        <v>31</v>
      </c>
      <c r="CA45" s="41" t="n">
        <f aca="false">$B45+$R45+$D$12</f>
        <v>3.087</v>
      </c>
      <c r="CB45" s="41" t="n">
        <f aca="false">$B45+$S45+$D$13</f>
        <v>2.962</v>
      </c>
      <c r="CC45" s="41" t="n">
        <f aca="false">CA45*BZ45</f>
        <v>95.697</v>
      </c>
      <c r="CD45" s="41" t="n">
        <f aca="false">CB45*BZ45</f>
        <v>91.822</v>
      </c>
      <c r="CE45" s="74" t="n">
        <f aca="false">($C45*$T45)+X45+$D$14</f>
        <v>0.53</v>
      </c>
      <c r="CF45" s="74" t="n">
        <f aca="false">($C45*$U45)+$D$15</f>
        <v>0.53</v>
      </c>
      <c r="CG45" s="65" t="n">
        <f aca="false">$V45+D$16</f>
        <v>0.87</v>
      </c>
      <c r="CH45" s="75" t="e">
        <f aca="false">IF(BZ45=0,0,SPRDOPT(CA45,CB45,$W45,$AM45,CE45,CF45,CG45,$D45,$D$20,0))</f>
        <v>#NAME?</v>
      </c>
      <c r="CI45" s="75" t="e">
        <f aca="false">IF(CA45=0,0,SPRDOPT(CA45,CB45,$W45,$AM45,CE45,CF45,CG45,$D45,$D$20,1))</f>
        <v>#NAME?</v>
      </c>
      <c r="CJ45" s="75" t="e">
        <f aca="false">IF(CB45=0,0,SPRDOPT(CA45,CB45,$W45,$AM45,CE45,CF45,CG45,$D45,$D$20,2))</f>
        <v>#NAME?</v>
      </c>
      <c r="CK45" s="75" t="e">
        <f aca="false">IF(CC45=0,0,SPRDOPT(CA45,CB45,$W45,$AM45,CE45,CF45,CG45,$D45,$D$20,3)/100)</f>
        <v>#NAME?</v>
      </c>
      <c r="CL45" s="75" t="e">
        <f aca="false">IF(CD45=0,0,SPRDOPT(CA45,CB45,$W45,$AM45,CE45,CF45,CG45,$D45,$D$20,4)/100)</f>
        <v>#NAME?</v>
      </c>
      <c r="CM45" s="75" t="e">
        <f aca="false">IF(CE45=0,0,SPRDOPT(CA45,CB45,$W45,$AM45,CE45,CF45,CG45,$D45,$D$20,5)/100)</f>
        <v>#NAME?</v>
      </c>
      <c r="CN45" s="75" t="e">
        <f aca="false">IF(CF45=0,0,SPRDOPT(CA45,CB45,$W45,$AM45,CE45,CF45,CG45,$D45,$D$20,6)/100)</f>
        <v>#NAME?</v>
      </c>
      <c r="CO45" s="75" t="e">
        <f aca="false">IF(CG45=0,0,SPRDOPT(CA45,CB45,$W45,$AM45,CE45,CF45,CG45,$D45,$D$20,7)/100)</f>
        <v>#NAME?</v>
      </c>
      <c r="CP45" s="75" t="e">
        <f aca="false">IF(CH45=0,0,SPRDOPT(CA45,CB45,$W45,$AM45,CE45,CF45,CG45,$D45,$D$20,9)/365)</f>
        <v>#NAME?</v>
      </c>
      <c r="CQ45" s="75" t="e">
        <f aca="false">CI45+CJ45</f>
        <v>#NAME?</v>
      </c>
      <c r="CR45" s="75" t="e">
        <f aca="false">CL45-CK45</f>
        <v>#NAME?</v>
      </c>
      <c r="CS45" s="75" t="e">
        <f aca="false">((CE45/CF45)*CM45)+CN45</f>
        <v>#NAME?</v>
      </c>
      <c r="CT45" s="75" t="n">
        <f aca="false">CG45*BZ45</f>
        <v>26.97</v>
      </c>
      <c r="CU45" s="76"/>
      <c r="CV45" s="37" t="e">
        <f aca="false">BZ45*CH45</f>
        <v>#NAME?</v>
      </c>
      <c r="CW45" s="37" t="e">
        <f aca="false">BZ45*CI45</f>
        <v>#NAME?</v>
      </c>
      <c r="CX45" s="37" t="e">
        <f aca="false">BZ45*CJ45</f>
        <v>#NAME?</v>
      </c>
      <c r="CY45" s="37" t="e">
        <f aca="false">BZ45*CK45</f>
        <v>#NAME?</v>
      </c>
      <c r="CZ45" s="37" t="e">
        <f aca="false">BZ45*CL45</f>
        <v>#NAME?</v>
      </c>
      <c r="DA45" s="37" t="e">
        <f aca="false">BZ45*CM45</f>
        <v>#NAME?</v>
      </c>
      <c r="DB45" s="37" t="e">
        <f aca="false">BZ45*CN45</f>
        <v>#NAME?</v>
      </c>
      <c r="DC45" s="37" t="e">
        <f aca="false">BZ45*CO45</f>
        <v>#NAME?</v>
      </c>
      <c r="DD45" s="37" t="e">
        <f aca="false">BZ45*CP45</f>
        <v>#NAME?</v>
      </c>
      <c r="DE45" s="37" t="e">
        <f aca="false">BZ45*CQ45</f>
        <v>#NAME?</v>
      </c>
      <c r="DF45" s="37" t="e">
        <f aca="false">BZ45*CR45</f>
        <v>#NAME?</v>
      </c>
      <c r="DG45" s="37" t="e">
        <f aca="false">BZ45*CS45</f>
        <v>#NAME?</v>
      </c>
      <c r="DI45" s="73" t="n">
        <f aca="false">IF($A45&gt;=DK$32,IF($A45&lt;=DK$33,$AN45,0),0)</f>
        <v>31</v>
      </c>
      <c r="DJ45" s="41" t="n">
        <f aca="false">$B45+$Y45+$F$12</f>
        <v>2.422</v>
      </c>
      <c r="DK45" s="41" t="n">
        <f aca="false">$B45+$Z45+$F$13</f>
        <v>2.962</v>
      </c>
      <c r="DL45" s="41" t="n">
        <f aca="false">DJ45*DI45</f>
        <v>75.082</v>
      </c>
      <c r="DM45" s="41" t="n">
        <f aca="false">DK45*DI45</f>
        <v>91.822</v>
      </c>
      <c r="DN45" s="74" t="n">
        <f aca="false">($C45*$AA45)+AE45+$F$14</f>
        <v>0.53</v>
      </c>
      <c r="DO45" s="74" t="n">
        <f aca="false">($C45*$AB45)+$F$15</f>
        <v>0.53</v>
      </c>
      <c r="DP45" s="65" t="n">
        <f aca="false">$AC45+$F$16</f>
        <v>0.92</v>
      </c>
      <c r="DQ45" s="75" t="e">
        <f aca="false">IF(DI45=0,0,SPRDOPT(DJ45,DK45,$AD45,$AM45,DN45,DO45,DP45,$D45,$F$20,0))</f>
        <v>#NAME?</v>
      </c>
      <c r="DR45" s="75" t="e">
        <f aca="false">IF(DJ45=0,0,SPRDOPT(DJ45,DK45,$AD45,$AM45,DN45,DO45,DP45,$D45,$F$20,1))</f>
        <v>#NAME?</v>
      </c>
      <c r="DS45" s="75" t="e">
        <f aca="false">IF(DK45=0,0,SPRDOPT(DJ45,DK45,$AD45,$AM45,DN45,DO45,DP45,$D45,$F$20,2))</f>
        <v>#NAME?</v>
      </c>
      <c r="DT45" s="75" t="e">
        <f aca="false">IF(DL45=0,0,SPRDOPT(DJ45,DK45,$AD45,$AM45,DN45,DO45,DP45,$D45,$F$20,3)/100)</f>
        <v>#NAME?</v>
      </c>
      <c r="DU45" s="75" t="e">
        <f aca="false">IF(DM45=0,0,SPRDOPT(DJ45,DK45,$AD45,$AM45,DN45,DO45,DP45,$D45,$F$20,4)/100)</f>
        <v>#NAME?</v>
      </c>
      <c r="DV45" s="75" t="e">
        <f aca="false">IF(DN45=0,0,SPRDOPT(DJ45,DK45,$AD45,$AM45,DN45,DO45,DP45,$D45,$F$20,5)/100)</f>
        <v>#NAME?</v>
      </c>
      <c r="DW45" s="75" t="e">
        <f aca="false">IF(DO45=0,0,SPRDOPT(DJ45,DK45,$AD45,$AM45,DN45,DO45,DP45,$D45,$F$20,6)/100)</f>
        <v>#NAME?</v>
      </c>
      <c r="DX45" s="75" t="e">
        <f aca="false">IF(DP45=0,0,SPRDOPT(DJ45,DK45,$AD45,$AM45,DN45,DO45,DP45,$D45,$F$20,7)/100)</f>
        <v>#NAME?</v>
      </c>
      <c r="DY45" s="75" t="e">
        <f aca="false">IF(DQ45=0,0,SPRDOPT(DJ45,DK45,$AD45,$AM45,DN45,DO45,DP45,$D45,$F$20,9)/365)</f>
        <v>#NAME?</v>
      </c>
      <c r="DZ45" s="75" t="e">
        <f aca="false">DR45+DS45</f>
        <v>#NAME?</v>
      </c>
      <c r="EA45" s="75" t="e">
        <f aca="false">DU45-DT45</f>
        <v>#NAME?</v>
      </c>
      <c r="EB45" s="75" t="e">
        <f aca="false">((DN45/DO45)*DV45)+DW45</f>
        <v>#NAME?</v>
      </c>
      <c r="EC45" s="75" t="n">
        <f aca="false">DP45*DI45</f>
        <v>28.52</v>
      </c>
      <c r="ED45" s="75"/>
      <c r="EE45" s="37" t="e">
        <f aca="false">DI45*DQ45</f>
        <v>#NAME?</v>
      </c>
      <c r="EF45" s="37" t="e">
        <f aca="false">DI45*DR45</f>
        <v>#NAME?</v>
      </c>
      <c r="EG45" s="37" t="e">
        <f aca="false">DI45*DS45</f>
        <v>#NAME?</v>
      </c>
      <c r="EH45" s="37" t="e">
        <f aca="false">DI45*DT45</f>
        <v>#NAME?</v>
      </c>
      <c r="EI45" s="37" t="e">
        <f aca="false">DI45*DU45</f>
        <v>#NAME?</v>
      </c>
      <c r="EJ45" s="37" t="e">
        <f aca="false">DI45*DV45</f>
        <v>#NAME?</v>
      </c>
      <c r="EK45" s="37" t="e">
        <f aca="false">DI45*DW45</f>
        <v>#NAME?</v>
      </c>
      <c r="EL45" s="37" t="e">
        <f aca="false">DI45*DX45</f>
        <v>#NAME?</v>
      </c>
      <c r="EM45" s="37" t="e">
        <f aca="false">DI45*DY45</f>
        <v>#NAME?</v>
      </c>
      <c r="EN45" s="37" t="e">
        <f aca="false">DI45*DZ45</f>
        <v>#NAME?</v>
      </c>
      <c r="EO45" s="37" t="e">
        <f aca="false">DI45*EA45</f>
        <v>#NAME?</v>
      </c>
      <c r="EP45" s="37" t="e">
        <f aca="false">DI45*EB45</f>
        <v>#NAME?</v>
      </c>
      <c r="ER45" s="73" t="n">
        <f aca="false">IF($A45&gt;=ET$32,IF($A45&lt;=ET$33,$AN45,0),0)</f>
        <v>0</v>
      </c>
      <c r="ES45" s="41" t="n">
        <f aca="false">$B45+$AF45+$H$12</f>
        <v>2.482</v>
      </c>
      <c r="ET45" s="41" t="n">
        <f aca="false">$B45+$AG45+$H$13</f>
        <v>2.962</v>
      </c>
      <c r="EU45" s="41" t="n">
        <f aca="false">ES45*ER45</f>
        <v>0</v>
      </c>
      <c r="EV45" s="41" t="n">
        <f aca="false">ET45*ER45</f>
        <v>0</v>
      </c>
      <c r="EW45" s="74" t="n">
        <f aca="false">($C45*$AH45)+AL45+$H$14</f>
        <v>0.53</v>
      </c>
      <c r="EX45" s="74" t="n">
        <f aca="false">($C45*$AI45)+$H$15</f>
        <v>0.53</v>
      </c>
      <c r="EY45" s="65" t="n">
        <f aca="false">$AJ45+$H$16</f>
        <v>0.92</v>
      </c>
      <c r="EZ45" s="75" t="n">
        <f aca="false">IF(ER45=0,0,SPRDOPT(ES45,ET45,$AK45,$AM45,EW45,EX45,EY45,$D45,$H$20,0))</f>
        <v>0</v>
      </c>
      <c r="FA45" s="75" t="e">
        <f aca="false">IF(ES45=0,0,SPRDOPT(ES45,ET45,$AK45,$AM45,EW45,EX45,EY45,$D45,$H$20,1))</f>
        <v>#NAME?</v>
      </c>
      <c r="FB45" s="75" t="e">
        <f aca="false">IF(ET45=0,0,SPRDOPT(ES45,ET45,$AK45,$AM45,EW45,EX45,EY45,$D45,$H$20,2))</f>
        <v>#NAME?</v>
      </c>
      <c r="FC45" s="75" t="n">
        <f aca="false">IF(EU45=0,0,SPRDOPT(ES45,ET45,$AK45,$AM45,EW45,EX45,EY45,$D45,$H$20,3)/100)</f>
        <v>0</v>
      </c>
      <c r="FD45" s="75" t="n">
        <f aca="false">IF(EV45=0,0,SPRDOPT(ES45,ET45,$AK45,$AM45,EW45,EX45,EY45,$D45,$H$20,4)/100)</f>
        <v>0</v>
      </c>
      <c r="FE45" s="75" t="e">
        <f aca="false">IF(EW45=0,0,SPRDOPT(ES45,ET45,$AK45,$AM45,EW45,EX45,EY45,$D45,$H$20,5)/100)</f>
        <v>#NAME?</v>
      </c>
      <c r="FF45" s="75" t="e">
        <f aca="false">IF(EX45=0,0,SPRDOPT(ES45,ET45,$AK45,$AM45,EW45,EX45,EY45,$D45,$H$20,6)/100)</f>
        <v>#NAME?</v>
      </c>
      <c r="FG45" s="75" t="e">
        <f aca="false">IF(EY45=0,0,SPRDOPT(ES45,ET45,$AK45,$AM45,EW45,EX45,EY45,$D45,$H$20,7)/100)</f>
        <v>#NAME?</v>
      </c>
      <c r="FH45" s="75" t="n">
        <f aca="false">IF(EZ45=0,0,SPRDOPT(ES45,ET45,$AK45,$AM45,EW45,EX45,EY45,$D45,$H$20,9)/365)</f>
        <v>0</v>
      </c>
      <c r="FI45" s="75" t="e">
        <f aca="false">FA45+FB45</f>
        <v>#NAME?</v>
      </c>
      <c r="FJ45" s="75" t="n">
        <f aca="false">FD45-FC45</f>
        <v>0</v>
      </c>
      <c r="FK45" s="75" t="e">
        <f aca="false">((EW45/EX45)*FE45)+FF45</f>
        <v>#NAME?</v>
      </c>
      <c r="FL45" s="75" t="n">
        <f aca="false">EY45*ER45</f>
        <v>0</v>
      </c>
      <c r="FM45" s="75"/>
      <c r="FN45" s="37" t="n">
        <f aca="false">$ER45*EZ45</f>
        <v>0</v>
      </c>
      <c r="FO45" s="37" t="e">
        <f aca="false">$ER45*FA45</f>
        <v>#NAME?</v>
      </c>
      <c r="FP45" s="37" t="e">
        <f aca="false">$ER45*FB45</f>
        <v>#NAME?</v>
      </c>
      <c r="FQ45" s="37" t="n">
        <f aca="false">$ER45*FC45</f>
        <v>0</v>
      </c>
      <c r="FR45" s="37" t="n">
        <f aca="false">$ER45*FD45</f>
        <v>0</v>
      </c>
      <c r="FS45" s="37" t="e">
        <f aca="false">$ER45*FE45</f>
        <v>#NAME?</v>
      </c>
      <c r="FT45" s="37" t="e">
        <f aca="false">$ER45*FF45</f>
        <v>#NAME?</v>
      </c>
      <c r="FU45" s="37" t="e">
        <f aca="false">$ER45*FG45</f>
        <v>#NAME?</v>
      </c>
      <c r="FV45" s="37" t="n">
        <f aca="false">$ER45*FH45</f>
        <v>0</v>
      </c>
      <c r="FW45" s="37" t="e">
        <f aca="false">$ER45*FI45</f>
        <v>#NAME?</v>
      </c>
      <c r="FX45" s="37" t="n">
        <f aca="false">$ER45*FJ45</f>
        <v>0</v>
      </c>
      <c r="FY45" s="37" t="e">
        <f aca="false">$ER45*FK45</f>
        <v>#NAME?</v>
      </c>
      <c r="GA45" s="77" t="e">
        <f aca="false">VLOOKUP(A45,skewmonthlook,2,FALSE())</f>
        <v>#REF!</v>
      </c>
      <c r="GB45" s="0" t="e">
        <f aca="false">CONCATENATE(B$3,$GA45)</f>
        <v>#REF!</v>
      </c>
      <c r="GC45" s="0" t="e">
        <f aca="false">CONCATENATE(D$3,$GA45)</f>
        <v>#REF!</v>
      </c>
      <c r="GD45" s="0" t="e">
        <f aca="false">CONCATENATE(F$3,$GA45)</f>
        <v>#REF!</v>
      </c>
      <c r="GE45" s="0" t="e">
        <f aca="false">CONCATENATE(H$3,$GA45)</f>
        <v>#REF!</v>
      </c>
      <c r="GG45" s="65" t="e">
        <f aca="false">VLOOKUP(GB45,skewlook,HLOOKUP($P45,skewlook,2),FALSE())</f>
        <v>#REF!</v>
      </c>
      <c r="GH45" s="65" t="e">
        <f aca="false">VLOOKUP(GC45,skewlook,HLOOKUP($W45,skewlook,2),FALSE())</f>
        <v>#REF!</v>
      </c>
      <c r="GI45" s="65" t="e">
        <f aca="false">VLOOKUP(GD45,skewlook,HLOOKUP($AD45,skewlook,2),FALSE())</f>
        <v>#REF!</v>
      </c>
      <c r="GJ45" s="65" t="e">
        <f aca="false">VLOOKUP(GE45,skewlook,HLOOKUP($AK45,skewlook,2),FALSE())</f>
        <v>#REF!</v>
      </c>
    </row>
    <row r="46" customFormat="false" ht="12.75" hidden="false" customHeight="false" outlineLevel="0" collapsed="false">
      <c r="A46" s="62" t="n">
        <f aca="false">DATE(YEAR(A45),MONTH(A45)+1,1)</f>
        <v>37500</v>
      </c>
      <c r="B46" s="63" t="n">
        <f aca="false">VLOOKUP(A46,STRADDLE,5,FALSE())</f>
        <v>2.959</v>
      </c>
      <c r="C46" s="4" t="n">
        <f aca="false">VLOOKUP(A46,STRADDLE,8,FALSE())</f>
        <v>0.53</v>
      </c>
      <c r="D46" s="64" t="n">
        <f aca="false">VLOOKUP(A46,expiration,2,FALSE())-$B$2</f>
        <v>-8431</v>
      </c>
      <c r="E46" s="65" t="e">
        <f aca="false">AY46</f>
        <v>#NAME?</v>
      </c>
      <c r="F46" s="65" t="e">
        <f aca="false">CI46</f>
        <v>#NAME?</v>
      </c>
      <c r="G46" s="65" t="e">
        <f aca="false">DR46</f>
        <v>#NAME?</v>
      </c>
      <c r="H46" s="65" t="e">
        <f aca="false">FA46</f>
        <v>#NAME?</v>
      </c>
      <c r="I46" s="66" t="e">
        <f aca="false">G46-H46</f>
        <v>#NAME?</v>
      </c>
      <c r="J46" s="67"/>
      <c r="K46" s="63" t="n">
        <f aca="false">IF($B$3="NYMEX",0,VLOOKUP($A46,curvesettle,HLOOKUP($B$3,curvesettle,2,FALSE()),FALSE()))</f>
        <v>-0.15</v>
      </c>
      <c r="L46" s="63" t="n">
        <f aca="false">IF($B$4="NYMEX",0,VLOOKUP($A46,curvesettle,HLOOKUP($B$4,curvesettle,2,FALSE()),FALSE()))</f>
        <v>0</v>
      </c>
      <c r="M46" s="65" t="n">
        <f aca="false">IF(ISNUMBER(VLOOKUP($A46,VOLCURVES,HLOOKUP($B$3,VOLCURVES,2,FALSE()),FALSE())),VLOOKUP($A46,VOLCURVES,HLOOKUP($B$3,VOLCURVES,2,FALSE()),FALSE()),1)</f>
        <v>1</v>
      </c>
      <c r="N46" s="65" t="n">
        <f aca="false">IF(ISNUMBER(VLOOKUP($A46,VOLCURVES,HLOOKUP($B$4,VOLCURVES,2,FALSE()),FALSE())),VLOOKUP($A46,VOLCURVES,HLOOKUP($B$4,VOLCURVES,2,FALSE()),FALSE()),1)</f>
        <v>1</v>
      </c>
      <c r="O46" s="65" t="n">
        <f aca="false">IF(ISNUMBER(VLOOKUP($A46,CORETABLE,HLOOKUP($B$3,CORETABLE,2,FALSE()),FALSE())),VLOOKUP($A46,CORETABLE,HLOOKUP($B$3,CORETABLE,2,FALSE()),FALSE()),0.99)</f>
        <v>0.9945</v>
      </c>
      <c r="P46" s="68" t="n">
        <f aca="false">B$19</f>
        <v>-0.2</v>
      </c>
      <c r="Q46" s="69" t="n">
        <f aca="false">IF($B$18=1,IF(ISNUMBER($GG46),$GG46,0),0)</f>
        <v>0</v>
      </c>
      <c r="R46" s="70" t="n">
        <f aca="false">IF($D$3="NYMEX",0,VLOOKUP($A46,curvesettle,HLOOKUP($D$3,curvesettle,2,FALSE()),FALSE()))</f>
        <v>0.115</v>
      </c>
      <c r="S46" s="63" t="n">
        <f aca="false">IF($D$4="NYMEX",0,VLOOKUP($A46,curvesettle,HLOOKUP($D$4,curvesettle,2,FALSE()),FALSE()))</f>
        <v>0</v>
      </c>
      <c r="T46" s="65" t="n">
        <f aca="false">IF(ISNUMBER(VLOOKUP($A46,VOLCURVES,HLOOKUP($D$3,VOLCURVES,2,FALSE()),FALSE())),VLOOKUP($A46,VOLCURVES,HLOOKUP($D$3,VOLCURVES,2,FALSE()),FALSE()),1)</f>
        <v>1</v>
      </c>
      <c r="U46" s="65" t="n">
        <f aca="false">IF(ISNUMBER(VLOOKUP($A46,VOLCURVES,HLOOKUP($D$4,VOLCURVES,2,FALSE()),FALSE())),VLOOKUP($A46,VOLCURVES,HLOOKUP($D$4,VOLCURVES,2,FALSE()),FALSE()),1)</f>
        <v>1</v>
      </c>
      <c r="V46" s="65" t="n">
        <f aca="false">IF(ISNUMBER(VLOOKUP($A46,CORETABLE,HLOOKUP($D$3,CORETABLE,2,FALSE()),FALSE())),VLOOKUP($A46,CORETABLE,HLOOKUP($D$3,CORETABLE,2,FALSE()),FALSE()),0.99)</f>
        <v>0.87</v>
      </c>
      <c r="W46" s="68" t="n">
        <f aca="false">D$19</f>
        <v>0</v>
      </c>
      <c r="X46" s="69" t="n">
        <f aca="false">IF($D$18=1,IF(ISNUMBER($GH46),$GH46,0),0)</f>
        <v>0</v>
      </c>
      <c r="Y46" s="71" t="n">
        <f aca="false">IF($F$3="NYMEX",0,VLOOKUP($A46,curvesettle,HLOOKUP($F$3,curvesettle,2,FALSE()),FALSE()))</f>
        <v>-0.54</v>
      </c>
      <c r="Z46" s="63" t="n">
        <f aca="false">IF($F$4="NYMEX",0,VLOOKUP($A46,curvesettle,HLOOKUP($F$4,curvesettle,2,FALSE()),FALSE()))</f>
        <v>0</v>
      </c>
      <c r="AA46" s="65" t="n">
        <f aca="false">IF(ISNUMBER(VLOOKUP($A46,VOLCURVES,HLOOKUP($F$3,VOLCURVES,2,FALSE()),FALSE())),VLOOKUP($A46,VOLCURVES,HLOOKUP($F$3,VOLCURVES,2,FALSE()),FALSE()),1)</f>
        <v>1</v>
      </c>
      <c r="AB46" s="65" t="n">
        <f aca="false">IF(ISNUMBER(VLOOKUP($A46,VOLCURVES,HLOOKUP($F$4,VOLCURVES,2,FALSE()),FALSE())),VLOOKUP($A46,VOLCURVES,HLOOKUP($F$4,VOLCURVES,2,FALSE()),FALSE()),1)</f>
        <v>1</v>
      </c>
      <c r="AC46" s="65" t="n">
        <f aca="false">IF(ISNUMBER(VLOOKUP($A46,CORETABLE,HLOOKUP($F$3,CORETABLE,2,FALSE()),FALSE())),VLOOKUP($A46,CORETABLE,HLOOKUP($F$3,CORETABLE,2,FALSE()),FALSE()),0.99)</f>
        <v>0.92</v>
      </c>
      <c r="AD46" s="68" t="n">
        <f aca="false">F$19</f>
        <v>-0.6</v>
      </c>
      <c r="AE46" s="69" t="n">
        <f aca="false">IF($F$18=1,IF(ISNUMBER($GI46),$GI46,0),0)</f>
        <v>0</v>
      </c>
      <c r="AF46" s="63" t="n">
        <f aca="false">IF($H$3="NYMEX",0,VLOOKUP($A46,curvesettle,HLOOKUP($H$3,curvesettle,2,FALSE()),FALSE()))</f>
        <v>-0.54</v>
      </c>
      <c r="AG46" s="63" t="n">
        <f aca="false">IF($H$4="NYMEX",0,VLOOKUP($A46,curvesettle,HLOOKUP($H$4,curvesettle,2,FALSE()),FALSE()))</f>
        <v>0</v>
      </c>
      <c r="AH46" s="65" t="n">
        <f aca="false">IF(ISNUMBER(VLOOKUP($A46,VOLCURVES,HLOOKUP($H$3,VOLCURVES,2,FALSE()),FALSE())),VLOOKUP($A46,VOLCURVES,HLOOKUP($H$3,VOLCURVES,2,FALSE()),FALSE()),1)</f>
        <v>1</v>
      </c>
      <c r="AI46" s="65" t="n">
        <f aca="false">IF(ISNUMBER(VLOOKUP($A46,VOLCURVES,HLOOKUP($H$4,VOLCURVES,2,FALSE()),FALSE())),VLOOKUP($A46,VOLCURVES,HLOOKUP($H$4,VOLCURVES,2,FALSE()),FALSE()),1)</f>
        <v>1</v>
      </c>
      <c r="AJ46" s="65" t="n">
        <f aca="false">IF(ISNUMBER(VLOOKUP($A46,CORETABLE,HLOOKUP($H$3,CORETABLE,2,FALSE()),FALSE())),VLOOKUP($A46,CORETABLE,HLOOKUP($H$3,CORETABLE,2,FALSE()),FALSE()),0.99)</f>
        <v>0.92</v>
      </c>
      <c r="AK46" s="68" t="n">
        <f aca="false">H$19</f>
        <v>-0.45</v>
      </c>
      <c r="AL46" s="69" t="n">
        <f aca="false">IF($H$18=1,IF(ISNUMBER($GJ46),$GJ46,0),0)</f>
        <v>0</v>
      </c>
      <c r="AM46" s="4" t="n">
        <f aca="false">VLOOKUP($A46,STRADDLE,14,FALSE())</f>
        <v>0.0206981563857513</v>
      </c>
      <c r="AN46" s="72" t="n">
        <f aca="false">A47-A46</f>
        <v>30</v>
      </c>
      <c r="AO46" s="1" t="n">
        <f aca="false">AO45+1</f>
        <v>9</v>
      </c>
      <c r="AP46" s="73" t="n">
        <f aca="false">IF($A46&gt;=AR$32,IF($A46&lt;=AR$33,$AN46,0),0)</f>
        <v>30</v>
      </c>
      <c r="AQ46" s="41" t="n">
        <f aca="false">$B46+$K46+$B$12</f>
        <v>2.809</v>
      </c>
      <c r="AR46" s="41" t="n">
        <f aca="false">$B46+$L46+$B$13</f>
        <v>2.959</v>
      </c>
      <c r="AS46" s="41" t="n">
        <f aca="false">AQ46*AP46</f>
        <v>84.27</v>
      </c>
      <c r="AT46" s="41" t="n">
        <f aca="false">AR46*AP46</f>
        <v>88.77</v>
      </c>
      <c r="AU46" s="74" t="n">
        <f aca="false">($C46*$M46)+Q46+$B$14</f>
        <v>0.53</v>
      </c>
      <c r="AV46" s="74" t="n">
        <f aca="false">($C46*$N46)+$B$15</f>
        <v>0.53</v>
      </c>
      <c r="AW46" s="65" t="n">
        <f aca="false">O46+B$16</f>
        <v>0.999</v>
      </c>
      <c r="AX46" s="75" t="e">
        <f aca="false">IF(AP46=0,0,SPRDOPT(AQ46,AR46,$P46,$AM46,AU46,AV46,AW46,$D46,$B$20,0))</f>
        <v>#NAME?</v>
      </c>
      <c r="AY46" s="75" t="e">
        <f aca="false">IF(AQ46=0,0,SPRDOPT(AQ46,AR46,$P46,$AM46,AU46,AV46,AW46,$D46,$B$20,1))</f>
        <v>#NAME?</v>
      </c>
      <c r="AZ46" s="75" t="e">
        <f aca="false">IF(AR46=0,0,SPRDOPT(AQ46,AR46,$P46,$AM46,AU46,AV46,AW46,$D46,$B$20,2))</f>
        <v>#NAME?</v>
      </c>
      <c r="BA46" s="75" t="e">
        <f aca="false">IF(AS46=0,0,SPRDOPT(AQ46,AR46,$P46,$AM46,AU46,AV46,AW46,$D46,$B$20,3)/100)</f>
        <v>#NAME?</v>
      </c>
      <c r="BB46" s="75" t="e">
        <f aca="false">IF(AT46=0,0,SPRDOPT(AQ46,AR46,$P46,$AM46,AU46,AV46,AW46,$D46,$B$20,4)/100)</f>
        <v>#NAME?</v>
      </c>
      <c r="BC46" s="75" t="e">
        <f aca="false">IF(AU46=0,0,SPRDOPT(AQ46,AR46,$P46,$AM46,AU46,AV46,AW46,$D46,$B$20,5)/100)</f>
        <v>#NAME?</v>
      </c>
      <c r="BD46" s="75" t="e">
        <f aca="false">IF(AV46=0,0,SPRDOPT(AQ46,AR46,$P46,$AM46,AU46,AV46,AW46,$D46,$B$20,6)/100)</f>
        <v>#NAME?</v>
      </c>
      <c r="BE46" s="75" t="e">
        <f aca="false">IF(AW46=0,0,SPRDOPT(AQ46,AR46,$P46,$AM46,AU46,AV46,AW46,$D46,$B$20,7)/100)</f>
        <v>#NAME?</v>
      </c>
      <c r="BF46" s="75" t="e">
        <f aca="false">IF(AX46=0,0,SPRDOPT(AQ46,AR46,$P46,$AM46,AU46,AV46,AW46,$D46,$B$20,9)/365)</f>
        <v>#NAME?</v>
      </c>
      <c r="BG46" s="75" t="e">
        <f aca="false">AY46+AZ46</f>
        <v>#NAME?</v>
      </c>
      <c r="BH46" s="75" t="e">
        <f aca="false">BB46-BA46</f>
        <v>#NAME?</v>
      </c>
      <c r="BI46" s="75" t="e">
        <f aca="false">((AU46/AV46)*BC46)+BD46</f>
        <v>#NAME?</v>
      </c>
      <c r="BJ46" s="75" t="n">
        <f aca="false">AW46*AP46</f>
        <v>29.97</v>
      </c>
      <c r="BK46" s="76"/>
      <c r="BL46" s="37" t="e">
        <f aca="false">$AP46*AX46</f>
        <v>#NAME?</v>
      </c>
      <c r="BM46" s="37" t="e">
        <f aca="false">$AP46*AY46</f>
        <v>#NAME?</v>
      </c>
      <c r="BN46" s="37" t="e">
        <f aca="false">$AP46*AZ46</f>
        <v>#NAME?</v>
      </c>
      <c r="BO46" s="37" t="e">
        <f aca="false">$AP46*BA46</f>
        <v>#NAME?</v>
      </c>
      <c r="BP46" s="37" t="e">
        <f aca="false">$AP46*BB46</f>
        <v>#NAME?</v>
      </c>
      <c r="BQ46" s="37" t="e">
        <f aca="false">$AP46*BC46</f>
        <v>#NAME?</v>
      </c>
      <c r="BR46" s="37" t="e">
        <f aca="false">$AP46*BD46</f>
        <v>#NAME?</v>
      </c>
      <c r="BS46" s="37" t="e">
        <f aca="false">$AP46*BE46</f>
        <v>#NAME?</v>
      </c>
      <c r="BT46" s="37" t="e">
        <f aca="false">$AP46*BF46</f>
        <v>#NAME?</v>
      </c>
      <c r="BU46" s="37" t="e">
        <f aca="false">$AP46*BG46</f>
        <v>#NAME?</v>
      </c>
      <c r="BV46" s="37" t="e">
        <f aca="false">$AP46*BH46</f>
        <v>#NAME?</v>
      </c>
      <c r="BW46" s="37" t="e">
        <f aca="false">$AP46*BI46</f>
        <v>#NAME?</v>
      </c>
      <c r="BX46" s="37"/>
      <c r="BZ46" s="73" t="n">
        <f aca="false">IF($A46&gt;=CB$32,IF($A46&lt;=CB$33,$AN46,0),0)</f>
        <v>30</v>
      </c>
      <c r="CA46" s="41" t="n">
        <f aca="false">$B46+$R46+$D$12</f>
        <v>3.074</v>
      </c>
      <c r="CB46" s="41" t="n">
        <f aca="false">$B46+$S46+$D$13</f>
        <v>2.959</v>
      </c>
      <c r="CC46" s="41" t="n">
        <f aca="false">CA46*BZ46</f>
        <v>92.22</v>
      </c>
      <c r="CD46" s="41" t="n">
        <f aca="false">CB46*BZ46</f>
        <v>88.77</v>
      </c>
      <c r="CE46" s="74" t="n">
        <f aca="false">($C46*$T46)+X46+$D$14</f>
        <v>0.53</v>
      </c>
      <c r="CF46" s="74" t="n">
        <f aca="false">($C46*$U46)+$D$15</f>
        <v>0.53</v>
      </c>
      <c r="CG46" s="65" t="n">
        <f aca="false">$V46+D$16</f>
        <v>0.87</v>
      </c>
      <c r="CH46" s="75" t="e">
        <f aca="false">IF(BZ46=0,0,SPRDOPT(CA46,CB46,$W46,$AM46,CE46,CF46,CG46,$D46,$D$20,0))</f>
        <v>#NAME?</v>
      </c>
      <c r="CI46" s="75" t="e">
        <f aca="false">IF(CA46=0,0,SPRDOPT(CA46,CB46,$W46,$AM46,CE46,CF46,CG46,$D46,$D$20,1))</f>
        <v>#NAME?</v>
      </c>
      <c r="CJ46" s="75" t="e">
        <f aca="false">IF(CB46=0,0,SPRDOPT(CA46,CB46,$W46,$AM46,CE46,CF46,CG46,$D46,$D$20,2))</f>
        <v>#NAME?</v>
      </c>
      <c r="CK46" s="75" t="e">
        <f aca="false">IF(CC46=0,0,SPRDOPT(CA46,CB46,$W46,$AM46,CE46,CF46,CG46,$D46,$D$20,3)/100)</f>
        <v>#NAME?</v>
      </c>
      <c r="CL46" s="75" t="e">
        <f aca="false">IF(CD46=0,0,SPRDOPT(CA46,CB46,$W46,$AM46,CE46,CF46,CG46,$D46,$D$20,4)/100)</f>
        <v>#NAME?</v>
      </c>
      <c r="CM46" s="75" t="e">
        <f aca="false">IF(CE46=0,0,SPRDOPT(CA46,CB46,$W46,$AM46,CE46,CF46,CG46,$D46,$D$20,5)/100)</f>
        <v>#NAME?</v>
      </c>
      <c r="CN46" s="75" t="e">
        <f aca="false">IF(CF46=0,0,SPRDOPT(CA46,CB46,$W46,$AM46,CE46,CF46,CG46,$D46,$D$20,6)/100)</f>
        <v>#NAME?</v>
      </c>
      <c r="CO46" s="75" t="e">
        <f aca="false">IF(CG46=0,0,SPRDOPT(CA46,CB46,$W46,$AM46,CE46,CF46,CG46,$D46,$D$20,7)/100)</f>
        <v>#NAME?</v>
      </c>
      <c r="CP46" s="75" t="e">
        <f aca="false">IF(CH46=0,0,SPRDOPT(CA46,CB46,$W46,$AM46,CE46,CF46,CG46,$D46,$D$20,9)/365)</f>
        <v>#NAME?</v>
      </c>
      <c r="CQ46" s="75" t="e">
        <f aca="false">CI46+CJ46</f>
        <v>#NAME?</v>
      </c>
      <c r="CR46" s="75" t="e">
        <f aca="false">CL46-CK46</f>
        <v>#NAME?</v>
      </c>
      <c r="CS46" s="75" t="e">
        <f aca="false">((CE46/CF46)*CM46)+CN46</f>
        <v>#NAME?</v>
      </c>
      <c r="CT46" s="75" t="n">
        <f aca="false">CG46*BZ46</f>
        <v>26.1</v>
      </c>
      <c r="CU46" s="76"/>
      <c r="CV46" s="37" t="e">
        <f aca="false">BZ46*CH46</f>
        <v>#NAME?</v>
      </c>
      <c r="CW46" s="37" t="e">
        <f aca="false">BZ46*CI46</f>
        <v>#NAME?</v>
      </c>
      <c r="CX46" s="37" t="e">
        <f aca="false">BZ46*CJ46</f>
        <v>#NAME?</v>
      </c>
      <c r="CY46" s="37" t="e">
        <f aca="false">BZ46*CK46</f>
        <v>#NAME?</v>
      </c>
      <c r="CZ46" s="37" t="e">
        <f aca="false">BZ46*CL46</f>
        <v>#NAME?</v>
      </c>
      <c r="DA46" s="37" t="e">
        <f aca="false">BZ46*CM46</f>
        <v>#NAME?</v>
      </c>
      <c r="DB46" s="37" t="e">
        <f aca="false">BZ46*CN46</f>
        <v>#NAME?</v>
      </c>
      <c r="DC46" s="37" t="e">
        <f aca="false">BZ46*CO46</f>
        <v>#NAME?</v>
      </c>
      <c r="DD46" s="37" t="e">
        <f aca="false">BZ46*CP46</f>
        <v>#NAME?</v>
      </c>
      <c r="DE46" s="37" t="e">
        <f aca="false">BZ46*CQ46</f>
        <v>#NAME?</v>
      </c>
      <c r="DF46" s="37" t="e">
        <f aca="false">BZ46*CR46</f>
        <v>#NAME?</v>
      </c>
      <c r="DG46" s="37" t="e">
        <f aca="false">BZ46*CS46</f>
        <v>#NAME?</v>
      </c>
      <c r="DI46" s="73" t="n">
        <f aca="false">IF($A46&gt;=DK$32,IF($A46&lt;=DK$33,$AN46,0),0)</f>
        <v>30</v>
      </c>
      <c r="DJ46" s="41" t="n">
        <f aca="false">$B46+$Y46+$F$12</f>
        <v>2.419</v>
      </c>
      <c r="DK46" s="41" t="n">
        <f aca="false">$B46+$Z46+$F$13</f>
        <v>2.959</v>
      </c>
      <c r="DL46" s="41" t="n">
        <f aca="false">DJ46*DI46</f>
        <v>72.57</v>
      </c>
      <c r="DM46" s="41" t="n">
        <f aca="false">DK46*DI46</f>
        <v>88.77</v>
      </c>
      <c r="DN46" s="74" t="n">
        <f aca="false">($C46*$AA46)+AE46+$F$14</f>
        <v>0.53</v>
      </c>
      <c r="DO46" s="74" t="n">
        <f aca="false">($C46*$AB46)+$F$15</f>
        <v>0.53</v>
      </c>
      <c r="DP46" s="65" t="n">
        <f aca="false">$AC46+$F$16</f>
        <v>0.92</v>
      </c>
      <c r="DQ46" s="75" t="e">
        <f aca="false">IF(DI46=0,0,SPRDOPT(DJ46,DK46,$AD46,$AM46,DN46,DO46,DP46,$D46,$F$20,0))</f>
        <v>#NAME?</v>
      </c>
      <c r="DR46" s="75" t="e">
        <f aca="false">IF(DJ46=0,0,SPRDOPT(DJ46,DK46,$AD46,$AM46,DN46,DO46,DP46,$D46,$F$20,1))</f>
        <v>#NAME?</v>
      </c>
      <c r="DS46" s="75" t="e">
        <f aca="false">IF(DK46=0,0,SPRDOPT(DJ46,DK46,$AD46,$AM46,DN46,DO46,DP46,$D46,$F$20,2))</f>
        <v>#NAME?</v>
      </c>
      <c r="DT46" s="75" t="e">
        <f aca="false">IF(DL46=0,0,SPRDOPT(DJ46,DK46,$AD46,$AM46,DN46,DO46,DP46,$D46,$F$20,3)/100)</f>
        <v>#NAME?</v>
      </c>
      <c r="DU46" s="75" t="e">
        <f aca="false">IF(DM46=0,0,SPRDOPT(DJ46,DK46,$AD46,$AM46,DN46,DO46,DP46,$D46,$F$20,4)/100)</f>
        <v>#NAME?</v>
      </c>
      <c r="DV46" s="75" t="e">
        <f aca="false">IF(DN46=0,0,SPRDOPT(DJ46,DK46,$AD46,$AM46,DN46,DO46,DP46,$D46,$F$20,5)/100)</f>
        <v>#NAME?</v>
      </c>
      <c r="DW46" s="75" t="e">
        <f aca="false">IF(DO46=0,0,SPRDOPT(DJ46,DK46,$AD46,$AM46,DN46,DO46,DP46,$D46,$F$20,6)/100)</f>
        <v>#NAME?</v>
      </c>
      <c r="DX46" s="75" t="e">
        <f aca="false">IF(DP46=0,0,SPRDOPT(DJ46,DK46,$AD46,$AM46,DN46,DO46,DP46,$D46,$F$20,7)/100)</f>
        <v>#NAME?</v>
      </c>
      <c r="DY46" s="75" t="e">
        <f aca="false">IF(DQ46=0,0,SPRDOPT(DJ46,DK46,$AD46,$AM46,DN46,DO46,DP46,$D46,$F$20,9)/365)</f>
        <v>#NAME?</v>
      </c>
      <c r="DZ46" s="75" t="e">
        <f aca="false">DR46+DS46</f>
        <v>#NAME?</v>
      </c>
      <c r="EA46" s="75" t="e">
        <f aca="false">DU46-DT46</f>
        <v>#NAME?</v>
      </c>
      <c r="EB46" s="75" t="e">
        <f aca="false">((DN46/DO46)*DV46)+DW46</f>
        <v>#NAME?</v>
      </c>
      <c r="EC46" s="75" t="n">
        <f aca="false">DP46*DI46</f>
        <v>27.6</v>
      </c>
      <c r="ED46" s="75"/>
      <c r="EE46" s="37" t="e">
        <f aca="false">DI46*DQ46</f>
        <v>#NAME?</v>
      </c>
      <c r="EF46" s="37" t="e">
        <f aca="false">DI46*DR46</f>
        <v>#NAME?</v>
      </c>
      <c r="EG46" s="37" t="e">
        <f aca="false">DI46*DS46</f>
        <v>#NAME?</v>
      </c>
      <c r="EH46" s="37" t="e">
        <f aca="false">DI46*DT46</f>
        <v>#NAME?</v>
      </c>
      <c r="EI46" s="37" t="e">
        <f aca="false">DI46*DU46</f>
        <v>#NAME?</v>
      </c>
      <c r="EJ46" s="37" t="e">
        <f aca="false">DI46*DV46</f>
        <v>#NAME?</v>
      </c>
      <c r="EK46" s="37" t="e">
        <f aca="false">DI46*DW46</f>
        <v>#NAME?</v>
      </c>
      <c r="EL46" s="37" t="e">
        <f aca="false">DI46*DX46</f>
        <v>#NAME?</v>
      </c>
      <c r="EM46" s="37" t="e">
        <f aca="false">DI46*DY46</f>
        <v>#NAME?</v>
      </c>
      <c r="EN46" s="37" t="e">
        <f aca="false">DI46*DZ46</f>
        <v>#NAME?</v>
      </c>
      <c r="EO46" s="37" t="e">
        <f aca="false">DI46*EA46</f>
        <v>#NAME?</v>
      </c>
      <c r="EP46" s="37" t="e">
        <f aca="false">DI46*EB46</f>
        <v>#NAME?</v>
      </c>
      <c r="ER46" s="73" t="n">
        <f aca="false">IF($A46&gt;=ET$32,IF($A46&lt;=ET$33,$AN46,0),0)</f>
        <v>0</v>
      </c>
      <c r="ES46" s="41" t="n">
        <f aca="false">$B46+$AF46+$H$12</f>
        <v>2.479</v>
      </c>
      <c r="ET46" s="41" t="n">
        <f aca="false">$B46+$AG46+$H$13</f>
        <v>2.959</v>
      </c>
      <c r="EU46" s="41" t="n">
        <f aca="false">ES46*ER46</f>
        <v>0</v>
      </c>
      <c r="EV46" s="41" t="n">
        <f aca="false">ET46*ER46</f>
        <v>0</v>
      </c>
      <c r="EW46" s="74" t="n">
        <f aca="false">($C46*$AH46)+AL46+$H$14</f>
        <v>0.53</v>
      </c>
      <c r="EX46" s="74" t="n">
        <f aca="false">($C46*$AI46)+$H$15</f>
        <v>0.53</v>
      </c>
      <c r="EY46" s="65" t="n">
        <f aca="false">$AJ46+$H$16</f>
        <v>0.92</v>
      </c>
      <c r="EZ46" s="75" t="n">
        <f aca="false">IF(ER46=0,0,SPRDOPT(ES46,ET46,$AK46,$AM46,EW46,EX46,EY46,$D46,$H$20,0))</f>
        <v>0</v>
      </c>
      <c r="FA46" s="75" t="e">
        <f aca="false">IF(ES46=0,0,SPRDOPT(ES46,ET46,$AK46,$AM46,EW46,EX46,EY46,$D46,$H$20,1))</f>
        <v>#NAME?</v>
      </c>
      <c r="FB46" s="75" t="e">
        <f aca="false">IF(ET46=0,0,SPRDOPT(ES46,ET46,$AK46,$AM46,EW46,EX46,EY46,$D46,$H$20,2))</f>
        <v>#NAME?</v>
      </c>
      <c r="FC46" s="75" t="n">
        <f aca="false">IF(EU46=0,0,SPRDOPT(ES46,ET46,$AK46,$AM46,EW46,EX46,EY46,$D46,$H$20,3)/100)</f>
        <v>0</v>
      </c>
      <c r="FD46" s="75" t="n">
        <f aca="false">IF(EV46=0,0,SPRDOPT(ES46,ET46,$AK46,$AM46,EW46,EX46,EY46,$D46,$H$20,4)/100)</f>
        <v>0</v>
      </c>
      <c r="FE46" s="75" t="e">
        <f aca="false">IF(EW46=0,0,SPRDOPT(ES46,ET46,$AK46,$AM46,EW46,EX46,EY46,$D46,$H$20,5)/100)</f>
        <v>#NAME?</v>
      </c>
      <c r="FF46" s="75" t="e">
        <f aca="false">IF(EX46=0,0,SPRDOPT(ES46,ET46,$AK46,$AM46,EW46,EX46,EY46,$D46,$H$20,6)/100)</f>
        <v>#NAME?</v>
      </c>
      <c r="FG46" s="75" t="e">
        <f aca="false">IF(EY46=0,0,SPRDOPT(ES46,ET46,$AK46,$AM46,EW46,EX46,EY46,$D46,$H$20,7)/100)</f>
        <v>#NAME?</v>
      </c>
      <c r="FH46" s="75" t="n">
        <f aca="false">IF(EZ46=0,0,SPRDOPT(ES46,ET46,$AK46,$AM46,EW46,EX46,EY46,$D46,$H$20,9)/365)</f>
        <v>0</v>
      </c>
      <c r="FI46" s="75" t="e">
        <f aca="false">FA46+FB46</f>
        <v>#NAME?</v>
      </c>
      <c r="FJ46" s="75" t="n">
        <f aca="false">FD46-FC46</f>
        <v>0</v>
      </c>
      <c r="FK46" s="75" t="e">
        <f aca="false">((EW46/EX46)*FE46)+FF46</f>
        <v>#NAME?</v>
      </c>
      <c r="FL46" s="75" t="n">
        <f aca="false">EY46*ER46</f>
        <v>0</v>
      </c>
      <c r="FM46" s="75"/>
      <c r="FN46" s="37" t="n">
        <f aca="false">$ER46*EZ46</f>
        <v>0</v>
      </c>
      <c r="FO46" s="37" t="e">
        <f aca="false">$ER46*FA46</f>
        <v>#NAME?</v>
      </c>
      <c r="FP46" s="37" t="e">
        <f aca="false">$ER46*FB46</f>
        <v>#NAME?</v>
      </c>
      <c r="FQ46" s="37" t="n">
        <f aca="false">$ER46*FC46</f>
        <v>0</v>
      </c>
      <c r="FR46" s="37" t="n">
        <f aca="false">$ER46*FD46</f>
        <v>0</v>
      </c>
      <c r="FS46" s="37" t="e">
        <f aca="false">$ER46*FE46</f>
        <v>#NAME?</v>
      </c>
      <c r="FT46" s="37" t="e">
        <f aca="false">$ER46*FF46</f>
        <v>#NAME?</v>
      </c>
      <c r="FU46" s="37" t="e">
        <f aca="false">$ER46*FG46</f>
        <v>#NAME?</v>
      </c>
      <c r="FV46" s="37" t="n">
        <f aca="false">$ER46*FH46</f>
        <v>0</v>
      </c>
      <c r="FW46" s="37" t="e">
        <f aca="false">$ER46*FI46</f>
        <v>#NAME?</v>
      </c>
      <c r="FX46" s="37" t="n">
        <f aca="false">$ER46*FJ46</f>
        <v>0</v>
      </c>
      <c r="FY46" s="37" t="e">
        <f aca="false">$ER46*FK46</f>
        <v>#NAME?</v>
      </c>
      <c r="GA46" s="77" t="e">
        <f aca="false">VLOOKUP(A46,skewmonthlook,2,FALSE())</f>
        <v>#REF!</v>
      </c>
      <c r="GB46" s="0" t="e">
        <f aca="false">CONCATENATE(B$3,$GA46)</f>
        <v>#REF!</v>
      </c>
      <c r="GC46" s="0" t="e">
        <f aca="false">CONCATENATE(D$3,$GA46)</f>
        <v>#REF!</v>
      </c>
      <c r="GD46" s="0" t="e">
        <f aca="false">CONCATENATE(F$3,$GA46)</f>
        <v>#REF!</v>
      </c>
      <c r="GE46" s="0" t="e">
        <f aca="false">CONCATENATE(H$3,$GA46)</f>
        <v>#REF!</v>
      </c>
      <c r="GG46" s="65" t="e">
        <f aca="false">VLOOKUP(GB46,skewlook,HLOOKUP($P46,skewlook,2),FALSE())</f>
        <v>#REF!</v>
      </c>
      <c r="GH46" s="65" t="e">
        <f aca="false">VLOOKUP(GC46,skewlook,HLOOKUP($W46,skewlook,2),FALSE())</f>
        <v>#REF!</v>
      </c>
      <c r="GI46" s="65" t="e">
        <f aca="false">VLOOKUP(GD46,skewlook,HLOOKUP($AD46,skewlook,2),FALSE())</f>
        <v>#REF!</v>
      </c>
      <c r="GJ46" s="65" t="e">
        <f aca="false">VLOOKUP(GE46,skewlook,HLOOKUP($AK46,skewlook,2),FALSE())</f>
        <v>#REF!</v>
      </c>
    </row>
    <row r="47" customFormat="false" ht="12.75" hidden="false" customHeight="false" outlineLevel="0" collapsed="false">
      <c r="A47" s="62" t="n">
        <f aca="false">DATE(YEAR(A46),MONTH(A46)+1,1)</f>
        <v>37530</v>
      </c>
      <c r="B47" s="63" t="n">
        <f aca="false">VLOOKUP(A47,STRADDLE,5,FALSE())</f>
        <v>2.976</v>
      </c>
      <c r="C47" s="4" t="n">
        <f aca="false">VLOOKUP(A47,STRADDLE,8,FALSE())</f>
        <v>0.53</v>
      </c>
      <c r="D47" s="64" t="n">
        <f aca="false">VLOOKUP(A47,expiration,2,FALSE())-$B$2</f>
        <v>-8402</v>
      </c>
      <c r="E47" s="65" t="e">
        <f aca="false">AY47</f>
        <v>#NAME?</v>
      </c>
      <c r="F47" s="65" t="e">
        <f aca="false">CI47</f>
        <v>#NAME?</v>
      </c>
      <c r="G47" s="65" t="e">
        <f aca="false">DR47</f>
        <v>#NAME?</v>
      </c>
      <c r="H47" s="65" t="e">
        <f aca="false">FA47</f>
        <v>#NAME?</v>
      </c>
      <c r="I47" s="66" t="e">
        <f aca="false">G47-H47</f>
        <v>#NAME?</v>
      </c>
      <c r="J47" s="67"/>
      <c r="K47" s="63" t="n">
        <f aca="false">IF($B$3="NYMEX",0,VLOOKUP($A47,curvesettle,HLOOKUP($B$3,curvesettle,2,FALSE()),FALSE()))</f>
        <v>-0.15</v>
      </c>
      <c r="L47" s="63" t="n">
        <f aca="false">IF($B$4="NYMEX",0,VLOOKUP($A47,curvesettle,HLOOKUP($B$4,curvesettle,2,FALSE()),FALSE()))</f>
        <v>0</v>
      </c>
      <c r="M47" s="65" t="n">
        <f aca="false">IF(ISNUMBER(VLOOKUP($A47,VOLCURVES,HLOOKUP($B$3,VOLCURVES,2,FALSE()),FALSE())),VLOOKUP($A47,VOLCURVES,HLOOKUP($B$3,VOLCURVES,2,FALSE()),FALSE()),1)</f>
        <v>1</v>
      </c>
      <c r="N47" s="65" t="n">
        <f aca="false">IF(ISNUMBER(VLOOKUP($A47,VOLCURVES,HLOOKUP($B$4,VOLCURVES,2,FALSE()),FALSE())),VLOOKUP($A47,VOLCURVES,HLOOKUP($B$4,VOLCURVES,2,FALSE()),FALSE()),1)</f>
        <v>1</v>
      </c>
      <c r="O47" s="65" t="n">
        <f aca="false">IF(ISNUMBER(VLOOKUP($A47,CORETABLE,HLOOKUP($B$3,CORETABLE,2,FALSE()),FALSE())),VLOOKUP($A47,CORETABLE,HLOOKUP($B$3,CORETABLE,2,FALSE()),FALSE()),0.99)</f>
        <v>0.9945</v>
      </c>
      <c r="P47" s="68" t="n">
        <f aca="false">B$19</f>
        <v>-0.2</v>
      </c>
      <c r="Q47" s="69" t="n">
        <f aca="false">IF($B$18=1,IF(ISNUMBER($GG47),$GG47,0),0)</f>
        <v>0</v>
      </c>
      <c r="R47" s="70" t="n">
        <f aca="false">IF($D$3="NYMEX",0,VLOOKUP($A47,curvesettle,HLOOKUP($D$3,curvesettle,2,FALSE()),FALSE()))</f>
        <v>0.03</v>
      </c>
      <c r="S47" s="63" t="n">
        <f aca="false">IF($D$4="NYMEX",0,VLOOKUP($A47,curvesettle,HLOOKUP($D$4,curvesettle,2,FALSE()),FALSE()))</f>
        <v>0</v>
      </c>
      <c r="T47" s="65" t="n">
        <f aca="false">IF(ISNUMBER(VLOOKUP($A47,VOLCURVES,HLOOKUP($D$3,VOLCURVES,2,FALSE()),FALSE())),VLOOKUP($A47,VOLCURVES,HLOOKUP($D$3,VOLCURVES,2,FALSE()),FALSE()),1)</f>
        <v>1</v>
      </c>
      <c r="U47" s="65" t="n">
        <f aca="false">IF(ISNUMBER(VLOOKUP($A47,VOLCURVES,HLOOKUP($D$4,VOLCURVES,2,FALSE()),FALSE())),VLOOKUP($A47,VOLCURVES,HLOOKUP($D$4,VOLCURVES,2,FALSE()),FALSE()),1)</f>
        <v>1</v>
      </c>
      <c r="V47" s="65" t="n">
        <f aca="false">IF(ISNUMBER(VLOOKUP($A47,CORETABLE,HLOOKUP($D$3,CORETABLE,2,FALSE()),FALSE())),VLOOKUP($A47,CORETABLE,HLOOKUP($D$3,CORETABLE,2,FALSE()),FALSE()),0.99)</f>
        <v>0.87</v>
      </c>
      <c r="W47" s="68" t="n">
        <f aca="false">D$19</f>
        <v>0</v>
      </c>
      <c r="X47" s="69" t="n">
        <f aca="false">IF($D$18=1,IF(ISNUMBER($GH47),$GH47,0),0)</f>
        <v>0</v>
      </c>
      <c r="Y47" s="71" t="n">
        <f aca="false">IF($F$3="NYMEX",0,VLOOKUP($A47,curvesettle,HLOOKUP($F$3,curvesettle,2,FALSE()),FALSE()))</f>
        <v>-0.58</v>
      </c>
      <c r="Z47" s="63" t="n">
        <f aca="false">IF($F$4="NYMEX",0,VLOOKUP($A47,curvesettle,HLOOKUP($F$4,curvesettle,2,FALSE()),FALSE()))</f>
        <v>0</v>
      </c>
      <c r="AA47" s="65" t="n">
        <f aca="false">IF(ISNUMBER(VLOOKUP($A47,VOLCURVES,HLOOKUP($F$3,VOLCURVES,2,FALSE()),FALSE())),VLOOKUP($A47,VOLCURVES,HLOOKUP($F$3,VOLCURVES,2,FALSE()),FALSE()),1)</f>
        <v>1</v>
      </c>
      <c r="AB47" s="65" t="n">
        <f aca="false">IF(ISNUMBER(VLOOKUP($A47,VOLCURVES,HLOOKUP($F$4,VOLCURVES,2,FALSE()),FALSE())),VLOOKUP($A47,VOLCURVES,HLOOKUP($F$4,VOLCURVES,2,FALSE()),FALSE()),1)</f>
        <v>1</v>
      </c>
      <c r="AC47" s="65" t="n">
        <f aca="false">IF(ISNUMBER(VLOOKUP($A47,CORETABLE,HLOOKUP($F$3,CORETABLE,2,FALSE()),FALSE())),VLOOKUP($A47,CORETABLE,HLOOKUP($F$3,CORETABLE,2,FALSE()),FALSE()),0.99)</f>
        <v>0.92</v>
      </c>
      <c r="AD47" s="68" t="n">
        <f aca="false">F$19</f>
        <v>-0.6</v>
      </c>
      <c r="AE47" s="69" t="n">
        <f aca="false">IF($F$18=1,IF(ISNUMBER($GI47),$GI47,0),0)</f>
        <v>0</v>
      </c>
      <c r="AF47" s="63" t="n">
        <f aca="false">IF($H$3="NYMEX",0,VLOOKUP($A47,curvesettle,HLOOKUP($H$3,curvesettle,2,FALSE()),FALSE()))</f>
        <v>-0.58</v>
      </c>
      <c r="AG47" s="63" t="n">
        <f aca="false">IF($H$4="NYMEX",0,VLOOKUP($A47,curvesettle,HLOOKUP($H$4,curvesettle,2,FALSE()),FALSE()))</f>
        <v>0</v>
      </c>
      <c r="AH47" s="65" t="n">
        <f aca="false">IF(ISNUMBER(VLOOKUP($A47,VOLCURVES,HLOOKUP($H$3,VOLCURVES,2,FALSE()),FALSE())),VLOOKUP($A47,VOLCURVES,HLOOKUP($H$3,VOLCURVES,2,FALSE()),FALSE()),1)</f>
        <v>1</v>
      </c>
      <c r="AI47" s="65" t="n">
        <f aca="false">IF(ISNUMBER(VLOOKUP($A47,VOLCURVES,HLOOKUP($H$4,VOLCURVES,2,FALSE()),FALSE())),VLOOKUP($A47,VOLCURVES,HLOOKUP($H$4,VOLCURVES,2,FALSE()),FALSE()),1)</f>
        <v>1</v>
      </c>
      <c r="AJ47" s="65" t="n">
        <f aca="false">IF(ISNUMBER(VLOOKUP($A47,CORETABLE,HLOOKUP($H$3,CORETABLE,2,FALSE()),FALSE())),VLOOKUP($A47,CORETABLE,HLOOKUP($H$3,CORETABLE,2,FALSE()),FALSE()),0.99)</f>
        <v>0.92</v>
      </c>
      <c r="AK47" s="68" t="n">
        <f aca="false">H$19</f>
        <v>-0.45</v>
      </c>
      <c r="AL47" s="69" t="n">
        <f aca="false">IF($H$18=1,IF(ISNUMBER($GJ47),$GJ47,0),0)</f>
        <v>0</v>
      </c>
      <c r="AM47" s="4" t="n">
        <f aca="false">VLOOKUP($A47,STRADDLE,14,FALSE())</f>
        <v>0.0213202408866033</v>
      </c>
      <c r="AN47" s="72" t="n">
        <f aca="false">A48-A47</f>
        <v>31</v>
      </c>
      <c r="AO47" s="1" t="n">
        <f aca="false">AO46+1</f>
        <v>10</v>
      </c>
      <c r="AP47" s="73" t="n">
        <f aca="false">IF($A47&gt;=AR$32,IF($A47&lt;=AR$33,$AN47,0),0)</f>
        <v>31</v>
      </c>
      <c r="AQ47" s="41" t="n">
        <f aca="false">$B47+$K47+$B$12</f>
        <v>2.826</v>
      </c>
      <c r="AR47" s="41" t="n">
        <f aca="false">$B47+$L47+$B$13</f>
        <v>2.976</v>
      </c>
      <c r="AS47" s="41" t="n">
        <f aca="false">AQ47*AP47</f>
        <v>87.606</v>
      </c>
      <c r="AT47" s="41" t="n">
        <f aca="false">AR47*AP47</f>
        <v>92.256</v>
      </c>
      <c r="AU47" s="74" t="n">
        <f aca="false">($C47*$M47)+Q47+$B$14</f>
        <v>0.53</v>
      </c>
      <c r="AV47" s="74" t="n">
        <f aca="false">($C47*$N47)+$B$15</f>
        <v>0.53</v>
      </c>
      <c r="AW47" s="65" t="n">
        <f aca="false">O47+B$16</f>
        <v>0.999</v>
      </c>
      <c r="AX47" s="75" t="e">
        <f aca="false">IF(AP47=0,0,SPRDOPT(AQ47,AR47,$P47,$AM47,AU47,AV47,AW47,$D47,$B$20,0))</f>
        <v>#NAME?</v>
      </c>
      <c r="AY47" s="75" t="e">
        <f aca="false">IF(AQ47=0,0,SPRDOPT(AQ47,AR47,$P47,$AM47,AU47,AV47,AW47,$D47,$B$20,1))</f>
        <v>#NAME?</v>
      </c>
      <c r="AZ47" s="75" t="e">
        <f aca="false">IF(AR47=0,0,SPRDOPT(AQ47,AR47,$P47,$AM47,AU47,AV47,AW47,$D47,$B$20,2))</f>
        <v>#NAME?</v>
      </c>
      <c r="BA47" s="75" t="e">
        <f aca="false">IF(AS47=0,0,SPRDOPT(AQ47,AR47,$P47,$AM47,AU47,AV47,AW47,$D47,$B$20,3)/100)</f>
        <v>#NAME?</v>
      </c>
      <c r="BB47" s="75" t="e">
        <f aca="false">IF(AT47=0,0,SPRDOPT(AQ47,AR47,$P47,$AM47,AU47,AV47,AW47,$D47,$B$20,4)/100)</f>
        <v>#NAME?</v>
      </c>
      <c r="BC47" s="75" t="e">
        <f aca="false">IF(AU47=0,0,SPRDOPT(AQ47,AR47,$P47,$AM47,AU47,AV47,AW47,$D47,$B$20,5)/100)</f>
        <v>#NAME?</v>
      </c>
      <c r="BD47" s="75" t="e">
        <f aca="false">IF(AV47=0,0,SPRDOPT(AQ47,AR47,$P47,$AM47,AU47,AV47,AW47,$D47,$B$20,6)/100)</f>
        <v>#NAME?</v>
      </c>
      <c r="BE47" s="75" t="e">
        <f aca="false">IF(AW47=0,0,SPRDOPT(AQ47,AR47,$P47,$AM47,AU47,AV47,AW47,$D47,$B$20,7)/100)</f>
        <v>#NAME?</v>
      </c>
      <c r="BF47" s="75" t="e">
        <f aca="false">IF(AX47=0,0,SPRDOPT(AQ47,AR47,$P47,$AM47,AU47,AV47,AW47,$D47,$B$20,9)/365)</f>
        <v>#NAME?</v>
      </c>
      <c r="BG47" s="75" t="e">
        <f aca="false">AY47+AZ47</f>
        <v>#NAME?</v>
      </c>
      <c r="BH47" s="75" t="e">
        <f aca="false">BB47-BA47</f>
        <v>#NAME?</v>
      </c>
      <c r="BI47" s="75" t="e">
        <f aca="false">((AU47/AV47)*BC47)+BD47</f>
        <v>#NAME?</v>
      </c>
      <c r="BJ47" s="75" t="n">
        <f aca="false">AW47*AP47</f>
        <v>30.969</v>
      </c>
      <c r="BK47" s="76"/>
      <c r="BL47" s="37" t="e">
        <f aca="false">$AP47*AX47</f>
        <v>#NAME?</v>
      </c>
      <c r="BM47" s="37" t="e">
        <f aca="false">$AP47*AY47</f>
        <v>#NAME?</v>
      </c>
      <c r="BN47" s="37" t="e">
        <f aca="false">$AP47*AZ47</f>
        <v>#NAME?</v>
      </c>
      <c r="BO47" s="37" t="e">
        <f aca="false">$AP47*BA47</f>
        <v>#NAME?</v>
      </c>
      <c r="BP47" s="37" t="e">
        <f aca="false">$AP47*BB47</f>
        <v>#NAME?</v>
      </c>
      <c r="BQ47" s="37" t="e">
        <f aca="false">$AP47*BC47</f>
        <v>#NAME?</v>
      </c>
      <c r="BR47" s="37" t="e">
        <f aca="false">$AP47*BD47</f>
        <v>#NAME?</v>
      </c>
      <c r="BS47" s="37" t="e">
        <f aca="false">$AP47*BE47</f>
        <v>#NAME?</v>
      </c>
      <c r="BT47" s="37" t="e">
        <f aca="false">$AP47*BF47</f>
        <v>#NAME?</v>
      </c>
      <c r="BU47" s="37" t="e">
        <f aca="false">$AP47*BG47</f>
        <v>#NAME?</v>
      </c>
      <c r="BV47" s="37" t="e">
        <f aca="false">$AP47*BH47</f>
        <v>#NAME?</v>
      </c>
      <c r="BW47" s="37" t="e">
        <f aca="false">$AP47*BI47</f>
        <v>#NAME?</v>
      </c>
      <c r="BX47" s="37"/>
      <c r="BZ47" s="73" t="n">
        <f aca="false">IF($A47&gt;=CB$32,IF($A47&lt;=CB$33,$AN47,0),0)</f>
        <v>31</v>
      </c>
      <c r="CA47" s="41" t="n">
        <f aca="false">$B47+$R47+$D$12</f>
        <v>3.006</v>
      </c>
      <c r="CB47" s="41" t="n">
        <f aca="false">$B47+$S47+$D$13</f>
        <v>2.976</v>
      </c>
      <c r="CC47" s="41" t="n">
        <f aca="false">CA47*BZ47</f>
        <v>93.186</v>
      </c>
      <c r="CD47" s="41" t="n">
        <f aca="false">CB47*BZ47</f>
        <v>92.256</v>
      </c>
      <c r="CE47" s="74" t="n">
        <f aca="false">($C47*$T47)+X47+$D$14</f>
        <v>0.53</v>
      </c>
      <c r="CF47" s="74" t="n">
        <f aca="false">($C47*$U47)+$D$15</f>
        <v>0.53</v>
      </c>
      <c r="CG47" s="65" t="n">
        <f aca="false">$V47+D$16</f>
        <v>0.87</v>
      </c>
      <c r="CH47" s="75" t="e">
        <f aca="false">IF(BZ47=0,0,SPRDOPT(CA47,CB47,$W47,$AM47,CE47,CF47,CG47,$D47,$D$20,0))</f>
        <v>#NAME?</v>
      </c>
      <c r="CI47" s="75" t="e">
        <f aca="false">IF(CA47=0,0,SPRDOPT(CA47,CB47,$W47,$AM47,CE47,CF47,CG47,$D47,$D$20,1))</f>
        <v>#NAME?</v>
      </c>
      <c r="CJ47" s="75" t="e">
        <f aca="false">IF(CB47=0,0,SPRDOPT(CA47,CB47,$W47,$AM47,CE47,CF47,CG47,$D47,$D$20,2))</f>
        <v>#NAME?</v>
      </c>
      <c r="CK47" s="75" t="e">
        <f aca="false">IF(CC47=0,0,SPRDOPT(CA47,CB47,$W47,$AM47,CE47,CF47,CG47,$D47,$D$20,3)/100)</f>
        <v>#NAME?</v>
      </c>
      <c r="CL47" s="75" t="e">
        <f aca="false">IF(CD47=0,0,SPRDOPT(CA47,CB47,$W47,$AM47,CE47,CF47,CG47,$D47,$D$20,4)/100)</f>
        <v>#NAME?</v>
      </c>
      <c r="CM47" s="75" t="e">
        <f aca="false">IF(CE47=0,0,SPRDOPT(CA47,CB47,$W47,$AM47,CE47,CF47,CG47,$D47,$D$20,5)/100)</f>
        <v>#NAME?</v>
      </c>
      <c r="CN47" s="75" t="e">
        <f aca="false">IF(CF47=0,0,SPRDOPT(CA47,CB47,$W47,$AM47,CE47,CF47,CG47,$D47,$D$20,6)/100)</f>
        <v>#NAME?</v>
      </c>
      <c r="CO47" s="75" t="e">
        <f aca="false">IF(CG47=0,0,SPRDOPT(CA47,CB47,$W47,$AM47,CE47,CF47,CG47,$D47,$D$20,7)/100)</f>
        <v>#NAME?</v>
      </c>
      <c r="CP47" s="75" t="e">
        <f aca="false">IF(CH47=0,0,SPRDOPT(CA47,CB47,$W47,$AM47,CE47,CF47,CG47,$D47,$D$20,9)/365)</f>
        <v>#NAME?</v>
      </c>
      <c r="CQ47" s="75" t="e">
        <f aca="false">CI47+CJ47</f>
        <v>#NAME?</v>
      </c>
      <c r="CR47" s="75" t="e">
        <f aca="false">CL47-CK47</f>
        <v>#NAME?</v>
      </c>
      <c r="CS47" s="75" t="e">
        <f aca="false">((CE47/CF47)*CM47)+CN47</f>
        <v>#NAME?</v>
      </c>
      <c r="CT47" s="75" t="n">
        <f aca="false">CG47*BZ47</f>
        <v>26.97</v>
      </c>
      <c r="CU47" s="76"/>
      <c r="CV47" s="37" t="e">
        <f aca="false">BZ47*CH47</f>
        <v>#NAME?</v>
      </c>
      <c r="CW47" s="37" t="e">
        <f aca="false">BZ47*CI47</f>
        <v>#NAME?</v>
      </c>
      <c r="CX47" s="37" t="e">
        <f aca="false">BZ47*CJ47</f>
        <v>#NAME?</v>
      </c>
      <c r="CY47" s="37" t="e">
        <f aca="false">BZ47*CK47</f>
        <v>#NAME?</v>
      </c>
      <c r="CZ47" s="37" t="e">
        <f aca="false">BZ47*CL47</f>
        <v>#NAME?</v>
      </c>
      <c r="DA47" s="37" t="e">
        <f aca="false">BZ47*CM47</f>
        <v>#NAME?</v>
      </c>
      <c r="DB47" s="37" t="e">
        <f aca="false">BZ47*CN47</f>
        <v>#NAME?</v>
      </c>
      <c r="DC47" s="37" t="e">
        <f aca="false">BZ47*CO47</f>
        <v>#NAME?</v>
      </c>
      <c r="DD47" s="37" t="e">
        <f aca="false">BZ47*CP47</f>
        <v>#NAME?</v>
      </c>
      <c r="DE47" s="37" t="e">
        <f aca="false">BZ47*CQ47</f>
        <v>#NAME?</v>
      </c>
      <c r="DF47" s="37" t="e">
        <f aca="false">BZ47*CR47</f>
        <v>#NAME?</v>
      </c>
      <c r="DG47" s="37" t="e">
        <f aca="false">BZ47*CS47</f>
        <v>#NAME?</v>
      </c>
      <c r="DI47" s="73" t="n">
        <f aca="false">IF($A47&gt;=DK$32,IF($A47&lt;=DK$33,$AN47,0),0)</f>
        <v>31</v>
      </c>
      <c r="DJ47" s="41" t="n">
        <f aca="false">$B47+$Y47+$F$12</f>
        <v>2.396</v>
      </c>
      <c r="DK47" s="41" t="n">
        <f aca="false">$B47+$Z47+$F$13</f>
        <v>2.976</v>
      </c>
      <c r="DL47" s="41" t="n">
        <f aca="false">DJ47*DI47</f>
        <v>74.276</v>
      </c>
      <c r="DM47" s="41" t="n">
        <f aca="false">DK47*DI47</f>
        <v>92.256</v>
      </c>
      <c r="DN47" s="74" t="n">
        <f aca="false">($C47*$AA47)+AE47+$F$14</f>
        <v>0.53</v>
      </c>
      <c r="DO47" s="74" t="n">
        <f aca="false">($C47*$AB47)+$F$15</f>
        <v>0.53</v>
      </c>
      <c r="DP47" s="65" t="n">
        <f aca="false">$AC47+$F$16</f>
        <v>0.92</v>
      </c>
      <c r="DQ47" s="75" t="e">
        <f aca="false">IF(DI47=0,0,SPRDOPT(DJ47,DK47,$AD47,$AM47,DN47,DO47,DP47,$D47,$F$20,0))</f>
        <v>#NAME?</v>
      </c>
      <c r="DR47" s="75" t="e">
        <f aca="false">IF(DJ47=0,0,SPRDOPT(DJ47,DK47,$AD47,$AM47,DN47,DO47,DP47,$D47,$F$20,1))</f>
        <v>#NAME?</v>
      </c>
      <c r="DS47" s="75" t="e">
        <f aca="false">IF(DK47=0,0,SPRDOPT(DJ47,DK47,$AD47,$AM47,DN47,DO47,DP47,$D47,$F$20,2))</f>
        <v>#NAME?</v>
      </c>
      <c r="DT47" s="75" t="e">
        <f aca="false">IF(DL47=0,0,SPRDOPT(DJ47,DK47,$AD47,$AM47,DN47,DO47,DP47,$D47,$F$20,3)/100)</f>
        <v>#NAME?</v>
      </c>
      <c r="DU47" s="75" t="e">
        <f aca="false">IF(DM47=0,0,SPRDOPT(DJ47,DK47,$AD47,$AM47,DN47,DO47,DP47,$D47,$F$20,4)/100)</f>
        <v>#NAME?</v>
      </c>
      <c r="DV47" s="75" t="e">
        <f aca="false">IF(DN47=0,0,SPRDOPT(DJ47,DK47,$AD47,$AM47,DN47,DO47,DP47,$D47,$F$20,5)/100)</f>
        <v>#NAME?</v>
      </c>
      <c r="DW47" s="75" t="e">
        <f aca="false">IF(DO47=0,0,SPRDOPT(DJ47,DK47,$AD47,$AM47,DN47,DO47,DP47,$D47,$F$20,6)/100)</f>
        <v>#NAME?</v>
      </c>
      <c r="DX47" s="75" t="e">
        <f aca="false">IF(DP47=0,0,SPRDOPT(DJ47,DK47,$AD47,$AM47,DN47,DO47,DP47,$D47,$F$20,7)/100)</f>
        <v>#NAME?</v>
      </c>
      <c r="DY47" s="75" t="e">
        <f aca="false">IF(DQ47=0,0,SPRDOPT(DJ47,DK47,$AD47,$AM47,DN47,DO47,DP47,$D47,$F$20,9)/365)</f>
        <v>#NAME?</v>
      </c>
      <c r="DZ47" s="75" t="e">
        <f aca="false">DR47+DS47</f>
        <v>#NAME?</v>
      </c>
      <c r="EA47" s="75" t="e">
        <f aca="false">DU47-DT47</f>
        <v>#NAME?</v>
      </c>
      <c r="EB47" s="75" t="e">
        <f aca="false">((DN47/DO47)*DV47)+DW47</f>
        <v>#NAME?</v>
      </c>
      <c r="EC47" s="75" t="n">
        <f aca="false">DP47*DI47</f>
        <v>28.52</v>
      </c>
      <c r="ED47" s="75"/>
      <c r="EE47" s="37" t="e">
        <f aca="false">DI47*DQ47</f>
        <v>#NAME?</v>
      </c>
      <c r="EF47" s="37" t="e">
        <f aca="false">DI47*DR47</f>
        <v>#NAME?</v>
      </c>
      <c r="EG47" s="37" t="e">
        <f aca="false">DI47*DS47</f>
        <v>#NAME?</v>
      </c>
      <c r="EH47" s="37" t="e">
        <f aca="false">DI47*DT47</f>
        <v>#NAME?</v>
      </c>
      <c r="EI47" s="37" t="e">
        <f aca="false">DI47*DU47</f>
        <v>#NAME?</v>
      </c>
      <c r="EJ47" s="37" t="e">
        <f aca="false">DI47*DV47</f>
        <v>#NAME?</v>
      </c>
      <c r="EK47" s="37" t="e">
        <f aca="false">DI47*DW47</f>
        <v>#NAME?</v>
      </c>
      <c r="EL47" s="37" t="e">
        <f aca="false">DI47*DX47</f>
        <v>#NAME?</v>
      </c>
      <c r="EM47" s="37" t="e">
        <f aca="false">DI47*DY47</f>
        <v>#NAME?</v>
      </c>
      <c r="EN47" s="37" t="e">
        <f aca="false">DI47*DZ47</f>
        <v>#NAME?</v>
      </c>
      <c r="EO47" s="37" t="e">
        <f aca="false">DI47*EA47</f>
        <v>#NAME?</v>
      </c>
      <c r="EP47" s="37" t="e">
        <f aca="false">DI47*EB47</f>
        <v>#NAME?</v>
      </c>
      <c r="ER47" s="73" t="n">
        <f aca="false">IF($A47&gt;=ET$32,IF($A47&lt;=ET$33,$AN47,0),0)</f>
        <v>0</v>
      </c>
      <c r="ES47" s="41" t="n">
        <f aca="false">$B47+$AF47+$H$12</f>
        <v>2.456</v>
      </c>
      <c r="ET47" s="41" t="n">
        <f aca="false">$B47+$AG47+$H$13</f>
        <v>2.976</v>
      </c>
      <c r="EU47" s="41" t="n">
        <f aca="false">ES47*ER47</f>
        <v>0</v>
      </c>
      <c r="EV47" s="41" t="n">
        <f aca="false">ET47*ER47</f>
        <v>0</v>
      </c>
      <c r="EW47" s="74" t="n">
        <f aca="false">($C47*$AH47)+AL47+$H$14</f>
        <v>0.53</v>
      </c>
      <c r="EX47" s="74" t="n">
        <f aca="false">($C47*$AI47)+$H$15</f>
        <v>0.53</v>
      </c>
      <c r="EY47" s="65" t="n">
        <f aca="false">$AJ47+$H$16</f>
        <v>0.92</v>
      </c>
      <c r="EZ47" s="75" t="n">
        <f aca="false">IF(ER47=0,0,SPRDOPT(ES47,ET47,$AK47,$AM47,EW47,EX47,EY47,$D47,$H$20,0))</f>
        <v>0</v>
      </c>
      <c r="FA47" s="75" t="e">
        <f aca="false">IF(ES47=0,0,SPRDOPT(ES47,ET47,$AK47,$AM47,EW47,EX47,EY47,$D47,$H$20,1))</f>
        <v>#NAME?</v>
      </c>
      <c r="FB47" s="75" t="e">
        <f aca="false">IF(ET47=0,0,SPRDOPT(ES47,ET47,$AK47,$AM47,EW47,EX47,EY47,$D47,$H$20,2))</f>
        <v>#NAME?</v>
      </c>
      <c r="FC47" s="75" t="n">
        <f aca="false">IF(EU47=0,0,SPRDOPT(ES47,ET47,$AK47,$AM47,EW47,EX47,EY47,$D47,$H$20,3)/100)</f>
        <v>0</v>
      </c>
      <c r="FD47" s="75" t="n">
        <f aca="false">IF(EV47=0,0,SPRDOPT(ES47,ET47,$AK47,$AM47,EW47,EX47,EY47,$D47,$H$20,4)/100)</f>
        <v>0</v>
      </c>
      <c r="FE47" s="75" t="e">
        <f aca="false">IF(EW47=0,0,SPRDOPT(ES47,ET47,$AK47,$AM47,EW47,EX47,EY47,$D47,$H$20,5)/100)</f>
        <v>#NAME?</v>
      </c>
      <c r="FF47" s="75" t="e">
        <f aca="false">IF(EX47=0,0,SPRDOPT(ES47,ET47,$AK47,$AM47,EW47,EX47,EY47,$D47,$H$20,6)/100)</f>
        <v>#NAME?</v>
      </c>
      <c r="FG47" s="75" t="e">
        <f aca="false">IF(EY47=0,0,SPRDOPT(ES47,ET47,$AK47,$AM47,EW47,EX47,EY47,$D47,$H$20,7)/100)</f>
        <v>#NAME?</v>
      </c>
      <c r="FH47" s="75" t="n">
        <f aca="false">IF(EZ47=0,0,SPRDOPT(ES47,ET47,$AK47,$AM47,EW47,EX47,EY47,$D47,$H$20,9)/365)</f>
        <v>0</v>
      </c>
      <c r="FI47" s="75" t="e">
        <f aca="false">FA47+FB47</f>
        <v>#NAME?</v>
      </c>
      <c r="FJ47" s="75" t="n">
        <f aca="false">FD47-FC47</f>
        <v>0</v>
      </c>
      <c r="FK47" s="75" t="e">
        <f aca="false">((EW47/EX47)*FE47)+FF47</f>
        <v>#NAME?</v>
      </c>
      <c r="FL47" s="75" t="n">
        <f aca="false">EY47*ER47</f>
        <v>0</v>
      </c>
      <c r="FM47" s="75"/>
      <c r="FN47" s="37" t="n">
        <f aca="false">$ER47*EZ47</f>
        <v>0</v>
      </c>
      <c r="FO47" s="37" t="e">
        <f aca="false">$ER47*FA47</f>
        <v>#NAME?</v>
      </c>
      <c r="FP47" s="37" t="e">
        <f aca="false">$ER47*FB47</f>
        <v>#NAME?</v>
      </c>
      <c r="FQ47" s="37" t="n">
        <f aca="false">$ER47*FC47</f>
        <v>0</v>
      </c>
      <c r="FR47" s="37" t="n">
        <f aca="false">$ER47*FD47</f>
        <v>0</v>
      </c>
      <c r="FS47" s="37" t="e">
        <f aca="false">$ER47*FE47</f>
        <v>#NAME?</v>
      </c>
      <c r="FT47" s="37" t="e">
        <f aca="false">$ER47*FF47</f>
        <v>#NAME?</v>
      </c>
      <c r="FU47" s="37" t="e">
        <f aca="false">$ER47*FG47</f>
        <v>#NAME?</v>
      </c>
      <c r="FV47" s="37" t="n">
        <f aca="false">$ER47*FH47</f>
        <v>0</v>
      </c>
      <c r="FW47" s="37" t="e">
        <f aca="false">$ER47*FI47</f>
        <v>#NAME?</v>
      </c>
      <c r="FX47" s="37" t="n">
        <f aca="false">$ER47*FJ47</f>
        <v>0</v>
      </c>
      <c r="FY47" s="37" t="e">
        <f aca="false">$ER47*FK47</f>
        <v>#NAME?</v>
      </c>
      <c r="GA47" s="77" t="e">
        <f aca="false">VLOOKUP(A47,skewmonthlook,2,FALSE())</f>
        <v>#REF!</v>
      </c>
      <c r="GB47" s="0" t="e">
        <f aca="false">CONCATENATE(B$3,$GA47)</f>
        <v>#REF!</v>
      </c>
      <c r="GC47" s="0" t="e">
        <f aca="false">CONCATENATE(D$3,$GA47)</f>
        <v>#REF!</v>
      </c>
      <c r="GD47" s="0" t="e">
        <f aca="false">CONCATENATE(F$3,$GA47)</f>
        <v>#REF!</v>
      </c>
      <c r="GE47" s="0" t="e">
        <f aca="false">CONCATENATE(H$3,$GA47)</f>
        <v>#REF!</v>
      </c>
      <c r="GG47" s="65" t="e">
        <f aca="false">VLOOKUP(GB47,skewlook,HLOOKUP($P47,skewlook,2),FALSE())</f>
        <v>#REF!</v>
      </c>
      <c r="GH47" s="65" t="e">
        <f aca="false">VLOOKUP(GC47,skewlook,HLOOKUP($W47,skewlook,2),FALSE())</f>
        <v>#REF!</v>
      </c>
      <c r="GI47" s="65" t="e">
        <f aca="false">VLOOKUP(GD47,skewlook,HLOOKUP($AD47,skewlook,2),FALSE())</f>
        <v>#REF!</v>
      </c>
      <c r="GJ47" s="65" t="e">
        <f aca="false">VLOOKUP(GE47,skewlook,HLOOKUP($AK47,skewlook,2),FALSE())</f>
        <v>#REF!</v>
      </c>
    </row>
    <row r="48" customFormat="false" ht="12.75" hidden="false" customHeight="false" outlineLevel="0" collapsed="false">
      <c r="A48" s="62" t="n">
        <f aca="false">DATE(YEAR(A47),MONTH(A47)+1,1)</f>
        <v>37561</v>
      </c>
      <c r="B48" s="63" t="n">
        <f aca="false">VLOOKUP(A48,STRADDLE,5,FALSE())</f>
        <v>3.156</v>
      </c>
      <c r="C48" s="4" t="n">
        <f aca="false">VLOOKUP(A48,STRADDLE,8,FALSE())</f>
        <v>0.53</v>
      </c>
      <c r="D48" s="64" t="n">
        <f aca="false">VLOOKUP(A48,expiration,2,FALSE())-$B$2</f>
        <v>-8369</v>
      </c>
      <c r="E48" s="65" t="e">
        <f aca="false">AY48</f>
        <v>#NAME?</v>
      </c>
      <c r="F48" s="65" t="e">
        <f aca="false">CI48</f>
        <v>#NAME?</v>
      </c>
      <c r="G48" s="65" t="e">
        <f aca="false">DR48</f>
        <v>#NAME?</v>
      </c>
      <c r="H48" s="65" t="e">
        <f aca="false">FA48</f>
        <v>#NAME?</v>
      </c>
      <c r="I48" s="66" t="e">
        <f aca="false">G48-H48</f>
        <v>#NAME?</v>
      </c>
      <c r="J48" s="67"/>
      <c r="K48" s="63" t="n">
        <f aca="false">IF($B$3="NYMEX",0,VLOOKUP($A48,curvesettle,HLOOKUP($B$3,curvesettle,2,FALSE()),FALSE()))</f>
        <v>-0.15</v>
      </c>
      <c r="L48" s="63" t="n">
        <f aca="false">IF($B$4="NYMEX",0,VLOOKUP($A48,curvesettle,HLOOKUP($B$4,curvesettle,2,FALSE()),FALSE()))</f>
        <v>0</v>
      </c>
      <c r="M48" s="65" t="n">
        <f aca="false">IF(ISNUMBER(VLOOKUP($A48,VOLCURVES,HLOOKUP($B$3,VOLCURVES,2,FALSE()),FALSE())),VLOOKUP($A48,VOLCURVES,HLOOKUP($B$3,VOLCURVES,2,FALSE()),FALSE()),1)</f>
        <v>1</v>
      </c>
      <c r="N48" s="65" t="n">
        <f aca="false">IF(ISNUMBER(VLOOKUP($A48,VOLCURVES,HLOOKUP($B$4,VOLCURVES,2,FALSE()),FALSE())),VLOOKUP($A48,VOLCURVES,HLOOKUP($B$4,VOLCURVES,2,FALSE()),FALSE()),1)</f>
        <v>1</v>
      </c>
      <c r="O48" s="65" t="n">
        <f aca="false">IF(ISNUMBER(VLOOKUP($A48,CORETABLE,HLOOKUP($B$3,CORETABLE,2,FALSE()),FALSE())),VLOOKUP($A48,CORETABLE,HLOOKUP($B$3,CORETABLE,2,FALSE()),FALSE()),0.99)</f>
        <v>0.9945</v>
      </c>
      <c r="P48" s="68" t="n">
        <f aca="false">B$19</f>
        <v>-0.2</v>
      </c>
      <c r="Q48" s="69" t="n">
        <f aca="false">IF($B$18=1,IF(ISNUMBER($GG48),$GG48,0),0)</f>
        <v>0</v>
      </c>
      <c r="R48" s="70" t="n">
        <f aca="false">IF($D$3="NYMEX",0,VLOOKUP($A48,curvesettle,HLOOKUP($D$3,curvesettle,2,FALSE()),FALSE()))</f>
        <v>0.03</v>
      </c>
      <c r="S48" s="63" t="n">
        <f aca="false">IF($D$4="NYMEX",0,VLOOKUP($A48,curvesettle,HLOOKUP($D$4,curvesettle,2,FALSE()),FALSE()))</f>
        <v>0</v>
      </c>
      <c r="T48" s="65" t="n">
        <f aca="false">IF(ISNUMBER(VLOOKUP($A48,VOLCURVES,HLOOKUP($D$3,VOLCURVES,2,FALSE()),FALSE())),VLOOKUP($A48,VOLCURVES,HLOOKUP($D$3,VOLCURVES,2,FALSE()),FALSE()),1)</f>
        <v>1</v>
      </c>
      <c r="U48" s="65" t="n">
        <f aca="false">IF(ISNUMBER(VLOOKUP($A48,VOLCURVES,HLOOKUP($D$4,VOLCURVES,2,FALSE()),FALSE())),VLOOKUP($A48,VOLCURVES,HLOOKUP($D$4,VOLCURVES,2,FALSE()),FALSE()),1)</f>
        <v>1</v>
      </c>
      <c r="V48" s="65" t="n">
        <f aca="false">IF(ISNUMBER(VLOOKUP($A48,CORETABLE,HLOOKUP($D$3,CORETABLE,2,FALSE()),FALSE())),VLOOKUP($A48,CORETABLE,HLOOKUP($D$3,CORETABLE,2,FALSE()),FALSE()),0.99)</f>
        <v>0.89</v>
      </c>
      <c r="W48" s="68" t="n">
        <f aca="false">D$19</f>
        <v>0</v>
      </c>
      <c r="X48" s="69" t="n">
        <f aca="false">IF($D$18=1,IF(ISNUMBER($GH48),$GH48,0),0)</f>
        <v>0</v>
      </c>
      <c r="Y48" s="71" t="n">
        <f aca="false">IF($F$3="NYMEX",0,VLOOKUP($A48,curvesettle,HLOOKUP($F$3,curvesettle,2,FALSE()),FALSE()))</f>
        <v>-0.295</v>
      </c>
      <c r="Z48" s="63" t="n">
        <f aca="false">IF($F$4="NYMEX",0,VLOOKUP($A48,curvesettle,HLOOKUP($F$4,curvesettle,2,FALSE()),FALSE()))</f>
        <v>0</v>
      </c>
      <c r="AA48" s="65" t="n">
        <f aca="false">IF(ISNUMBER(VLOOKUP($A48,VOLCURVES,HLOOKUP($F$3,VOLCURVES,2,FALSE()),FALSE())),VLOOKUP($A48,VOLCURVES,HLOOKUP($F$3,VOLCURVES,2,FALSE()),FALSE()),1)</f>
        <v>1</v>
      </c>
      <c r="AB48" s="65" t="n">
        <f aca="false">IF(ISNUMBER(VLOOKUP($A48,VOLCURVES,HLOOKUP($F$4,VOLCURVES,2,FALSE()),FALSE())),VLOOKUP($A48,VOLCURVES,HLOOKUP($F$4,VOLCURVES,2,FALSE()),FALSE()),1)</f>
        <v>1</v>
      </c>
      <c r="AC48" s="65" t="n">
        <f aca="false">IF(ISNUMBER(VLOOKUP($A48,CORETABLE,HLOOKUP($F$3,CORETABLE,2,FALSE()),FALSE())),VLOOKUP($A48,CORETABLE,HLOOKUP($F$3,CORETABLE,2,FALSE()),FALSE()),0.99)</f>
        <v>0.99</v>
      </c>
      <c r="AD48" s="68" t="n">
        <f aca="false">F$19</f>
        <v>-0.6</v>
      </c>
      <c r="AE48" s="69" t="n">
        <f aca="false">IF($F$18=1,IF(ISNUMBER($GI48),$GI48,0),0)</f>
        <v>0</v>
      </c>
      <c r="AF48" s="63" t="n">
        <f aca="false">IF($H$3="NYMEX",0,VLOOKUP($A48,curvesettle,HLOOKUP($H$3,curvesettle,2,FALSE()),FALSE()))</f>
        <v>-0.295</v>
      </c>
      <c r="AG48" s="63" t="n">
        <f aca="false">IF($H$4="NYMEX",0,VLOOKUP($A48,curvesettle,HLOOKUP($H$4,curvesettle,2,FALSE()),FALSE()))</f>
        <v>0</v>
      </c>
      <c r="AH48" s="65" t="n">
        <f aca="false">IF(ISNUMBER(VLOOKUP($A48,VOLCURVES,HLOOKUP($H$3,VOLCURVES,2,FALSE()),FALSE())),VLOOKUP($A48,VOLCURVES,HLOOKUP($H$3,VOLCURVES,2,FALSE()),FALSE()),1)</f>
        <v>1</v>
      </c>
      <c r="AI48" s="65" t="n">
        <f aca="false">IF(ISNUMBER(VLOOKUP($A48,VOLCURVES,HLOOKUP($H$4,VOLCURVES,2,FALSE()),FALSE())),VLOOKUP($A48,VOLCURVES,HLOOKUP($H$4,VOLCURVES,2,FALSE()),FALSE()),1)</f>
        <v>1</v>
      </c>
      <c r="AJ48" s="65" t="n">
        <f aca="false">IF(ISNUMBER(VLOOKUP($A48,CORETABLE,HLOOKUP($H$3,CORETABLE,2,FALSE()),FALSE())),VLOOKUP($A48,CORETABLE,HLOOKUP($H$3,CORETABLE,2,FALSE()),FALSE()),0.99)</f>
        <v>0.99</v>
      </c>
      <c r="AK48" s="68" t="n">
        <f aca="false">H$19</f>
        <v>-0.45</v>
      </c>
      <c r="AL48" s="69" t="n">
        <f aca="false">IF($H$18=1,IF(ISNUMBER($GJ48),$GJ48,0),0)</f>
        <v>0</v>
      </c>
      <c r="AM48" s="4" t="n">
        <f aca="false">VLOOKUP($A48,STRADDLE,14,FALSE())</f>
        <v>0.0220880716500842</v>
      </c>
      <c r="AN48" s="72" t="n">
        <f aca="false">A49-A48</f>
        <v>30</v>
      </c>
      <c r="AO48" s="1" t="n">
        <f aca="false">AO47+1</f>
        <v>11</v>
      </c>
      <c r="AP48" s="73" t="n">
        <f aca="false">IF($A48&gt;=AR$32,IF($A48&lt;=AR$33,$AN48,0),0)</f>
        <v>30</v>
      </c>
      <c r="AQ48" s="41" t="n">
        <f aca="false">$B48+$K48+$B$12</f>
        <v>3.006</v>
      </c>
      <c r="AR48" s="41" t="n">
        <f aca="false">$B48+$L48+$B$13</f>
        <v>3.156</v>
      </c>
      <c r="AS48" s="41" t="n">
        <f aca="false">AQ48*AP48</f>
        <v>90.18</v>
      </c>
      <c r="AT48" s="41" t="n">
        <f aca="false">AR48*AP48</f>
        <v>94.68</v>
      </c>
      <c r="AU48" s="74" t="n">
        <f aca="false">($C48*$M48)+Q48+$B$14</f>
        <v>0.53</v>
      </c>
      <c r="AV48" s="74" t="n">
        <f aca="false">($C48*$N48)+$B$15</f>
        <v>0.53</v>
      </c>
      <c r="AW48" s="65" t="n">
        <f aca="false">O48+B$16</f>
        <v>0.999</v>
      </c>
      <c r="AX48" s="75" t="e">
        <f aca="false">IF(AP48=0,0,SPRDOPT(AQ48,AR48,$P48,$AM48,AU48,AV48,AW48,$D48,$B$20,0))</f>
        <v>#NAME?</v>
      </c>
      <c r="AY48" s="75" t="e">
        <f aca="false">IF(AQ48=0,0,SPRDOPT(AQ48,AR48,$P48,$AM48,AU48,AV48,AW48,$D48,$B$20,1))</f>
        <v>#NAME?</v>
      </c>
      <c r="AZ48" s="75" t="e">
        <f aca="false">IF(AR48=0,0,SPRDOPT(AQ48,AR48,$P48,$AM48,AU48,AV48,AW48,$D48,$B$20,2))</f>
        <v>#NAME?</v>
      </c>
      <c r="BA48" s="75" t="e">
        <f aca="false">IF(AS48=0,0,SPRDOPT(AQ48,AR48,$P48,$AM48,AU48,AV48,AW48,$D48,$B$20,3)/100)</f>
        <v>#NAME?</v>
      </c>
      <c r="BB48" s="75" t="e">
        <f aca="false">IF(AT48=0,0,SPRDOPT(AQ48,AR48,$P48,$AM48,AU48,AV48,AW48,$D48,$B$20,4)/100)</f>
        <v>#NAME?</v>
      </c>
      <c r="BC48" s="75" t="e">
        <f aca="false">IF(AU48=0,0,SPRDOPT(AQ48,AR48,$P48,$AM48,AU48,AV48,AW48,$D48,$B$20,5)/100)</f>
        <v>#NAME?</v>
      </c>
      <c r="BD48" s="75" t="e">
        <f aca="false">IF(AV48=0,0,SPRDOPT(AQ48,AR48,$P48,$AM48,AU48,AV48,AW48,$D48,$B$20,6)/100)</f>
        <v>#NAME?</v>
      </c>
      <c r="BE48" s="75" t="e">
        <f aca="false">IF(AW48=0,0,SPRDOPT(AQ48,AR48,$P48,$AM48,AU48,AV48,AW48,$D48,$B$20,7)/100)</f>
        <v>#NAME?</v>
      </c>
      <c r="BF48" s="75" t="e">
        <f aca="false">IF(AX48=0,0,SPRDOPT(AQ48,AR48,$P48,$AM48,AU48,AV48,AW48,$D48,$B$20,9)/365)</f>
        <v>#NAME?</v>
      </c>
      <c r="BG48" s="75" t="e">
        <f aca="false">AY48+AZ48</f>
        <v>#NAME?</v>
      </c>
      <c r="BH48" s="75" t="e">
        <f aca="false">BB48-BA48</f>
        <v>#NAME?</v>
      </c>
      <c r="BI48" s="75" t="e">
        <f aca="false">((AU48/AV48)*BC48)+BD48</f>
        <v>#NAME?</v>
      </c>
      <c r="BJ48" s="75" t="n">
        <f aca="false">AW48*AP48</f>
        <v>29.97</v>
      </c>
      <c r="BK48" s="76"/>
      <c r="BL48" s="37" t="e">
        <f aca="false">$AP48*AX48</f>
        <v>#NAME?</v>
      </c>
      <c r="BM48" s="37" t="e">
        <f aca="false">$AP48*AY48</f>
        <v>#NAME?</v>
      </c>
      <c r="BN48" s="37" t="e">
        <f aca="false">$AP48*AZ48</f>
        <v>#NAME?</v>
      </c>
      <c r="BO48" s="37" t="e">
        <f aca="false">$AP48*BA48</f>
        <v>#NAME?</v>
      </c>
      <c r="BP48" s="37" t="e">
        <f aca="false">$AP48*BB48</f>
        <v>#NAME?</v>
      </c>
      <c r="BQ48" s="37" t="e">
        <f aca="false">$AP48*BC48</f>
        <v>#NAME?</v>
      </c>
      <c r="BR48" s="37" t="e">
        <f aca="false">$AP48*BD48</f>
        <v>#NAME?</v>
      </c>
      <c r="BS48" s="37" t="e">
        <f aca="false">$AP48*BE48</f>
        <v>#NAME?</v>
      </c>
      <c r="BT48" s="37" t="e">
        <f aca="false">$AP48*BF48</f>
        <v>#NAME?</v>
      </c>
      <c r="BU48" s="37" t="e">
        <f aca="false">$AP48*BG48</f>
        <v>#NAME?</v>
      </c>
      <c r="BV48" s="37" t="e">
        <f aca="false">$AP48*BH48</f>
        <v>#NAME?</v>
      </c>
      <c r="BW48" s="37" t="e">
        <f aca="false">$AP48*BI48</f>
        <v>#NAME?</v>
      </c>
      <c r="BX48" s="37"/>
      <c r="BZ48" s="73" t="n">
        <f aca="false">IF($A48&gt;=CB$32,IF($A48&lt;=CB$33,$AN48,0),0)</f>
        <v>0</v>
      </c>
      <c r="CA48" s="41" t="n">
        <f aca="false">$B48+$R48+$D$12</f>
        <v>3.186</v>
      </c>
      <c r="CB48" s="41" t="n">
        <f aca="false">$B48+$S48+$D$13</f>
        <v>3.156</v>
      </c>
      <c r="CC48" s="41" t="n">
        <f aca="false">CA48*BZ48</f>
        <v>0</v>
      </c>
      <c r="CD48" s="41" t="n">
        <f aca="false">CB48*BZ48</f>
        <v>0</v>
      </c>
      <c r="CE48" s="74" t="n">
        <f aca="false">($C48*$T48)+X48+$D$14</f>
        <v>0.53</v>
      </c>
      <c r="CF48" s="74" t="n">
        <f aca="false">($C48*$U48)+$D$15</f>
        <v>0.53</v>
      </c>
      <c r="CG48" s="65" t="n">
        <f aca="false">$V48+D$16</f>
        <v>0.89</v>
      </c>
      <c r="CH48" s="75" t="n">
        <f aca="false">IF(BZ48=0,0,SPRDOPT(CA48,CB48,$W48,$AM48,CE48,CF48,CG48,$D48,$D$20,0))</f>
        <v>0</v>
      </c>
      <c r="CI48" s="75" t="e">
        <f aca="false">IF(CA48=0,0,SPRDOPT(CA48,CB48,$W48,$AM48,CE48,CF48,CG48,$D48,$D$20,1))</f>
        <v>#NAME?</v>
      </c>
      <c r="CJ48" s="75" t="e">
        <f aca="false">IF(CB48=0,0,SPRDOPT(CA48,CB48,$W48,$AM48,CE48,CF48,CG48,$D48,$D$20,2))</f>
        <v>#NAME?</v>
      </c>
      <c r="CK48" s="75" t="n">
        <f aca="false">IF(CC48=0,0,SPRDOPT(CA48,CB48,$W48,$AM48,CE48,CF48,CG48,$D48,$D$20,3)/100)</f>
        <v>0</v>
      </c>
      <c r="CL48" s="75" t="n">
        <f aca="false">IF(CD48=0,0,SPRDOPT(CA48,CB48,$W48,$AM48,CE48,CF48,CG48,$D48,$D$20,4)/100)</f>
        <v>0</v>
      </c>
      <c r="CM48" s="75" t="e">
        <f aca="false">IF(CE48=0,0,SPRDOPT(CA48,CB48,$W48,$AM48,CE48,CF48,CG48,$D48,$D$20,5)/100)</f>
        <v>#NAME?</v>
      </c>
      <c r="CN48" s="75" t="e">
        <f aca="false">IF(CF48=0,0,SPRDOPT(CA48,CB48,$W48,$AM48,CE48,CF48,CG48,$D48,$D$20,6)/100)</f>
        <v>#NAME?</v>
      </c>
      <c r="CO48" s="75" t="e">
        <f aca="false">IF(CG48=0,0,SPRDOPT(CA48,CB48,$W48,$AM48,CE48,CF48,CG48,$D48,$D$20,7)/100)</f>
        <v>#NAME?</v>
      </c>
      <c r="CP48" s="75" t="n">
        <f aca="false">IF(CH48=0,0,SPRDOPT(CA48,CB48,$W48,$AM48,CE48,CF48,CG48,$D48,$D$20,9)/365)</f>
        <v>0</v>
      </c>
      <c r="CQ48" s="75" t="e">
        <f aca="false">CI48+CJ48</f>
        <v>#NAME?</v>
      </c>
      <c r="CR48" s="75" t="n">
        <f aca="false">CL48-CK48</f>
        <v>0</v>
      </c>
      <c r="CS48" s="75" t="e">
        <f aca="false">((CE48/CF48)*CM48)+CN48</f>
        <v>#NAME?</v>
      </c>
      <c r="CT48" s="75" t="n">
        <f aca="false">CG48*BZ48</f>
        <v>0</v>
      </c>
      <c r="CU48" s="76"/>
      <c r="CV48" s="37" t="n">
        <f aca="false">BZ48*CH48</f>
        <v>0</v>
      </c>
      <c r="CW48" s="37" t="e">
        <f aca="false">BZ48*CI48</f>
        <v>#NAME?</v>
      </c>
      <c r="CX48" s="37" t="e">
        <f aca="false">BZ48*CJ48</f>
        <v>#NAME?</v>
      </c>
      <c r="CY48" s="37" t="n">
        <f aca="false">BZ48*CK48</f>
        <v>0</v>
      </c>
      <c r="CZ48" s="37" t="n">
        <f aca="false">BZ48*CL48</f>
        <v>0</v>
      </c>
      <c r="DA48" s="37" t="e">
        <f aca="false">BZ48*CM48</f>
        <v>#NAME?</v>
      </c>
      <c r="DB48" s="37" t="e">
        <f aca="false">BZ48*CN48</f>
        <v>#NAME?</v>
      </c>
      <c r="DC48" s="37" t="e">
        <f aca="false">BZ48*CO48</f>
        <v>#NAME?</v>
      </c>
      <c r="DD48" s="37" t="n">
        <f aca="false">BZ48*CP48</f>
        <v>0</v>
      </c>
      <c r="DE48" s="37" t="e">
        <f aca="false">BZ48*CQ48</f>
        <v>#NAME?</v>
      </c>
      <c r="DF48" s="37" t="n">
        <f aca="false">BZ48*CR48</f>
        <v>0</v>
      </c>
      <c r="DG48" s="37" t="e">
        <f aca="false">BZ48*CS48</f>
        <v>#NAME?</v>
      </c>
      <c r="DI48" s="73" t="n">
        <f aca="false">IF($A48&gt;=DK$32,IF($A48&lt;=DK$33,$AN48,0),0)</f>
        <v>0</v>
      </c>
      <c r="DJ48" s="41" t="n">
        <f aca="false">$B48+$Y48+$F$12</f>
        <v>2.861</v>
      </c>
      <c r="DK48" s="41" t="n">
        <f aca="false">$B48+$Z48+$F$13</f>
        <v>3.156</v>
      </c>
      <c r="DL48" s="41" t="n">
        <f aca="false">DJ48*DI48</f>
        <v>0</v>
      </c>
      <c r="DM48" s="41" t="n">
        <f aca="false">DK48*DI48</f>
        <v>0</v>
      </c>
      <c r="DN48" s="74" t="n">
        <f aca="false">($C48*$AA48)+AE48+$F$14</f>
        <v>0.53</v>
      </c>
      <c r="DO48" s="74" t="n">
        <f aca="false">($C48*$AB48)+$F$15</f>
        <v>0.53</v>
      </c>
      <c r="DP48" s="65" t="n">
        <f aca="false">$AC48+$F$16</f>
        <v>0.99</v>
      </c>
      <c r="DQ48" s="75" t="n">
        <f aca="false">IF(DI48=0,0,SPRDOPT(DJ48,DK48,$AD48,$AM48,DN48,DO48,DP48,$D48,$F$20,0))</f>
        <v>0</v>
      </c>
      <c r="DR48" s="75" t="e">
        <f aca="false">IF(DJ48=0,0,SPRDOPT(DJ48,DK48,$AD48,$AM48,DN48,DO48,DP48,$D48,$F$20,1))</f>
        <v>#NAME?</v>
      </c>
      <c r="DS48" s="75" t="e">
        <f aca="false">IF(DK48=0,0,SPRDOPT(DJ48,DK48,$AD48,$AM48,DN48,DO48,DP48,$D48,$F$20,2))</f>
        <v>#NAME?</v>
      </c>
      <c r="DT48" s="75" t="n">
        <f aca="false">IF(DL48=0,0,SPRDOPT(DJ48,DK48,$AD48,$AM48,DN48,DO48,DP48,$D48,$F$20,3)/100)</f>
        <v>0</v>
      </c>
      <c r="DU48" s="75" t="n">
        <f aca="false">IF(DM48=0,0,SPRDOPT(DJ48,DK48,$AD48,$AM48,DN48,DO48,DP48,$D48,$F$20,4)/100)</f>
        <v>0</v>
      </c>
      <c r="DV48" s="75" t="e">
        <f aca="false">IF(DN48=0,0,SPRDOPT(DJ48,DK48,$AD48,$AM48,DN48,DO48,DP48,$D48,$F$20,5)/100)</f>
        <v>#NAME?</v>
      </c>
      <c r="DW48" s="75" t="e">
        <f aca="false">IF(DO48=0,0,SPRDOPT(DJ48,DK48,$AD48,$AM48,DN48,DO48,DP48,$D48,$F$20,6)/100)</f>
        <v>#NAME?</v>
      </c>
      <c r="DX48" s="75" t="e">
        <f aca="false">IF(DP48=0,0,SPRDOPT(DJ48,DK48,$AD48,$AM48,DN48,DO48,DP48,$D48,$F$20,7)/100)</f>
        <v>#NAME?</v>
      </c>
      <c r="DY48" s="75" t="n">
        <f aca="false">IF(DQ48=0,0,SPRDOPT(DJ48,DK48,$AD48,$AM48,DN48,DO48,DP48,$D48,$F$20,9)/365)</f>
        <v>0</v>
      </c>
      <c r="DZ48" s="75" t="e">
        <f aca="false">DR48+DS48</f>
        <v>#NAME?</v>
      </c>
      <c r="EA48" s="75" t="n">
        <f aca="false">DU48-DT48</f>
        <v>0</v>
      </c>
      <c r="EB48" s="75" t="e">
        <f aca="false">((DN48/DO48)*DV48)+DW48</f>
        <v>#NAME?</v>
      </c>
      <c r="EC48" s="75" t="n">
        <f aca="false">DP48*DI48</f>
        <v>0</v>
      </c>
      <c r="ED48" s="75"/>
      <c r="EE48" s="37" t="n">
        <f aca="false">DI48*DQ48</f>
        <v>0</v>
      </c>
      <c r="EF48" s="37" t="e">
        <f aca="false">DI48*DR48</f>
        <v>#NAME?</v>
      </c>
      <c r="EG48" s="37" t="e">
        <f aca="false">DI48*DS48</f>
        <v>#NAME?</v>
      </c>
      <c r="EH48" s="37" t="n">
        <f aca="false">DI48*DT48</f>
        <v>0</v>
      </c>
      <c r="EI48" s="37" t="n">
        <f aca="false">DI48*DU48</f>
        <v>0</v>
      </c>
      <c r="EJ48" s="37" t="e">
        <f aca="false">DI48*DV48</f>
        <v>#NAME?</v>
      </c>
      <c r="EK48" s="37" t="e">
        <f aca="false">DI48*DW48</f>
        <v>#NAME?</v>
      </c>
      <c r="EL48" s="37" t="e">
        <f aca="false">DI48*DX48</f>
        <v>#NAME?</v>
      </c>
      <c r="EM48" s="37" t="n">
        <f aca="false">DI48*DY48</f>
        <v>0</v>
      </c>
      <c r="EN48" s="37" t="e">
        <f aca="false">DI48*DZ48</f>
        <v>#NAME?</v>
      </c>
      <c r="EO48" s="37" t="n">
        <f aca="false">DI48*EA48</f>
        <v>0</v>
      </c>
      <c r="EP48" s="37" t="e">
        <f aca="false">DI48*EB48</f>
        <v>#NAME?</v>
      </c>
      <c r="ER48" s="73" t="n">
        <f aca="false">IF($A48&gt;=ET$32,IF($A48&lt;=ET$33,$AN48,0),0)</f>
        <v>0</v>
      </c>
      <c r="ES48" s="41" t="n">
        <f aca="false">$B48+$AF48+$H$12</f>
        <v>2.921</v>
      </c>
      <c r="ET48" s="41" t="n">
        <f aca="false">$B48+$AG48+$H$13</f>
        <v>3.156</v>
      </c>
      <c r="EU48" s="41" t="n">
        <f aca="false">ES48*ER48</f>
        <v>0</v>
      </c>
      <c r="EV48" s="41" t="n">
        <f aca="false">ET48*ER48</f>
        <v>0</v>
      </c>
      <c r="EW48" s="74" t="n">
        <f aca="false">($C48*$AH48)+AL48+$H$14</f>
        <v>0.53</v>
      </c>
      <c r="EX48" s="74" t="n">
        <f aca="false">($C48*$AI48)+$H$15</f>
        <v>0.53</v>
      </c>
      <c r="EY48" s="65" t="n">
        <f aca="false">$AJ48+$H$16</f>
        <v>0.99</v>
      </c>
      <c r="EZ48" s="75" t="n">
        <f aca="false">IF(ER48=0,0,SPRDOPT(ES48,ET48,$AK48,$AM48,EW48,EX48,EY48,$D48,$H$20,0))</f>
        <v>0</v>
      </c>
      <c r="FA48" s="75" t="e">
        <f aca="false">IF(ES48=0,0,SPRDOPT(ES48,ET48,$AK48,$AM48,EW48,EX48,EY48,$D48,$H$20,1))</f>
        <v>#NAME?</v>
      </c>
      <c r="FB48" s="75" t="e">
        <f aca="false">IF(ET48=0,0,SPRDOPT(ES48,ET48,$AK48,$AM48,EW48,EX48,EY48,$D48,$H$20,2))</f>
        <v>#NAME?</v>
      </c>
      <c r="FC48" s="75" t="n">
        <f aca="false">IF(EU48=0,0,SPRDOPT(ES48,ET48,$AK48,$AM48,EW48,EX48,EY48,$D48,$H$20,3)/100)</f>
        <v>0</v>
      </c>
      <c r="FD48" s="75" t="n">
        <f aca="false">IF(EV48=0,0,SPRDOPT(ES48,ET48,$AK48,$AM48,EW48,EX48,EY48,$D48,$H$20,4)/100)</f>
        <v>0</v>
      </c>
      <c r="FE48" s="75" t="e">
        <f aca="false">IF(EW48=0,0,SPRDOPT(ES48,ET48,$AK48,$AM48,EW48,EX48,EY48,$D48,$H$20,5)/100)</f>
        <v>#NAME?</v>
      </c>
      <c r="FF48" s="75" t="e">
        <f aca="false">IF(EX48=0,0,SPRDOPT(ES48,ET48,$AK48,$AM48,EW48,EX48,EY48,$D48,$H$20,6)/100)</f>
        <v>#NAME?</v>
      </c>
      <c r="FG48" s="75" t="e">
        <f aca="false">IF(EY48=0,0,SPRDOPT(ES48,ET48,$AK48,$AM48,EW48,EX48,EY48,$D48,$H$20,7)/100)</f>
        <v>#NAME?</v>
      </c>
      <c r="FH48" s="75" t="n">
        <f aca="false">IF(EZ48=0,0,SPRDOPT(ES48,ET48,$AK48,$AM48,EW48,EX48,EY48,$D48,$H$20,9)/365)</f>
        <v>0</v>
      </c>
      <c r="FI48" s="75" t="e">
        <f aca="false">FA48+FB48</f>
        <v>#NAME?</v>
      </c>
      <c r="FJ48" s="75" t="n">
        <f aca="false">FD48-FC48</f>
        <v>0</v>
      </c>
      <c r="FK48" s="75" t="e">
        <f aca="false">((EW48/EX48)*FE48)+FF48</f>
        <v>#NAME?</v>
      </c>
      <c r="FL48" s="75" t="n">
        <f aca="false">EY48*ER48</f>
        <v>0</v>
      </c>
      <c r="FM48" s="75"/>
      <c r="FN48" s="37" t="n">
        <f aca="false">$ER48*EZ48</f>
        <v>0</v>
      </c>
      <c r="FO48" s="37" t="e">
        <f aca="false">$ER48*FA48</f>
        <v>#NAME?</v>
      </c>
      <c r="FP48" s="37" t="e">
        <f aca="false">$ER48*FB48</f>
        <v>#NAME?</v>
      </c>
      <c r="FQ48" s="37" t="n">
        <f aca="false">$ER48*FC48</f>
        <v>0</v>
      </c>
      <c r="FR48" s="37" t="n">
        <f aca="false">$ER48*FD48</f>
        <v>0</v>
      </c>
      <c r="FS48" s="37" t="e">
        <f aca="false">$ER48*FE48</f>
        <v>#NAME?</v>
      </c>
      <c r="FT48" s="37" t="e">
        <f aca="false">$ER48*FF48</f>
        <v>#NAME?</v>
      </c>
      <c r="FU48" s="37" t="e">
        <f aca="false">$ER48*FG48</f>
        <v>#NAME?</v>
      </c>
      <c r="FV48" s="37" t="n">
        <f aca="false">$ER48*FH48</f>
        <v>0</v>
      </c>
      <c r="FW48" s="37" t="e">
        <f aca="false">$ER48*FI48</f>
        <v>#NAME?</v>
      </c>
      <c r="FX48" s="37" t="n">
        <f aca="false">$ER48*FJ48</f>
        <v>0</v>
      </c>
      <c r="FY48" s="37" t="e">
        <f aca="false">$ER48*FK48</f>
        <v>#NAME?</v>
      </c>
      <c r="GA48" s="77" t="e">
        <f aca="false">VLOOKUP(A48,skewmonthlook,2,FALSE())</f>
        <v>#REF!</v>
      </c>
      <c r="GB48" s="0" t="e">
        <f aca="false">CONCATENATE(B$3,$GA48)</f>
        <v>#REF!</v>
      </c>
      <c r="GC48" s="0" t="e">
        <f aca="false">CONCATENATE(D$3,$GA48)</f>
        <v>#REF!</v>
      </c>
      <c r="GD48" s="0" t="e">
        <f aca="false">CONCATENATE(F$3,$GA48)</f>
        <v>#REF!</v>
      </c>
      <c r="GE48" s="0" t="e">
        <f aca="false">CONCATENATE(H$3,$GA48)</f>
        <v>#REF!</v>
      </c>
      <c r="GG48" s="65" t="e">
        <f aca="false">VLOOKUP(GB48,skewlook,HLOOKUP($P48,skewlook,2),FALSE())</f>
        <v>#REF!</v>
      </c>
      <c r="GH48" s="65" t="e">
        <f aca="false">VLOOKUP(GC48,skewlook,HLOOKUP($W48,skewlook,2),FALSE())</f>
        <v>#REF!</v>
      </c>
      <c r="GI48" s="65" t="e">
        <f aca="false">VLOOKUP(GD48,skewlook,HLOOKUP($AD48,skewlook,2),FALSE())</f>
        <v>#REF!</v>
      </c>
      <c r="GJ48" s="65" t="e">
        <f aca="false">VLOOKUP(GE48,skewlook,HLOOKUP($AK48,skewlook,2),FALSE())</f>
        <v>#REF!</v>
      </c>
    </row>
    <row r="49" customFormat="false" ht="12.75" hidden="false" customHeight="false" outlineLevel="0" collapsed="false">
      <c r="A49" s="62" t="n">
        <f aca="false">DATE(YEAR(A48),MONTH(A48)+1,1)</f>
        <v>37591</v>
      </c>
      <c r="B49" s="63" t="n">
        <f aca="false">VLOOKUP(A49,STRADDLE,5,FALSE())</f>
        <v>3.329</v>
      </c>
      <c r="C49" s="4" t="n">
        <f aca="false">VLOOKUP(A49,STRADDLE,8,FALSE())</f>
        <v>0.525</v>
      </c>
      <c r="D49" s="64" t="n">
        <f aca="false">VLOOKUP(A49,expiration,2,FALSE())-$B$2</f>
        <v>-8341</v>
      </c>
      <c r="E49" s="65" t="e">
        <f aca="false">AY49</f>
        <v>#NAME?</v>
      </c>
      <c r="F49" s="65" t="e">
        <f aca="false">CI49</f>
        <v>#NAME?</v>
      </c>
      <c r="G49" s="65" t="e">
        <f aca="false">DR49</f>
        <v>#NAME?</v>
      </c>
      <c r="H49" s="65" t="e">
        <f aca="false">FA49</f>
        <v>#NAME?</v>
      </c>
      <c r="I49" s="66" t="e">
        <f aca="false">G49-H49</f>
        <v>#NAME?</v>
      </c>
      <c r="J49" s="67"/>
      <c r="K49" s="63" t="n">
        <f aca="false">IF($B$3="NYMEX",0,VLOOKUP($A49,curvesettle,HLOOKUP($B$3,curvesettle,2,FALSE()),FALSE()))</f>
        <v>-0.1525</v>
      </c>
      <c r="L49" s="63" t="n">
        <f aca="false">IF($B$4="NYMEX",0,VLOOKUP($A49,curvesettle,HLOOKUP($B$4,curvesettle,2,FALSE()),FALSE()))</f>
        <v>0</v>
      </c>
      <c r="M49" s="65" t="n">
        <f aca="false">IF(ISNUMBER(VLOOKUP($A49,VOLCURVES,HLOOKUP($B$3,VOLCURVES,2,FALSE()),FALSE())),VLOOKUP($A49,VOLCURVES,HLOOKUP($B$3,VOLCURVES,2,FALSE()),FALSE()),1)</f>
        <v>1</v>
      </c>
      <c r="N49" s="65" t="n">
        <f aca="false">IF(ISNUMBER(VLOOKUP($A49,VOLCURVES,HLOOKUP($B$4,VOLCURVES,2,FALSE()),FALSE())),VLOOKUP($A49,VOLCURVES,HLOOKUP($B$4,VOLCURVES,2,FALSE()),FALSE()),1)</f>
        <v>1</v>
      </c>
      <c r="O49" s="65" t="n">
        <f aca="false">IF(ISNUMBER(VLOOKUP($A49,CORETABLE,HLOOKUP($B$3,CORETABLE,2,FALSE()),FALSE())),VLOOKUP($A49,CORETABLE,HLOOKUP($B$3,CORETABLE,2,FALSE()),FALSE()),0.99)</f>
        <v>0.9945</v>
      </c>
      <c r="P49" s="68" t="n">
        <f aca="false">B$19</f>
        <v>-0.2</v>
      </c>
      <c r="Q49" s="69" t="n">
        <f aca="false">IF($B$18=1,IF(ISNUMBER($GG49),$GG49,0),0)</f>
        <v>0</v>
      </c>
      <c r="R49" s="70" t="n">
        <f aca="false">IF($D$3="NYMEX",0,VLOOKUP($A49,curvesettle,HLOOKUP($D$3,curvesettle,2,FALSE()),FALSE()))</f>
        <v>0.03</v>
      </c>
      <c r="S49" s="63" t="n">
        <f aca="false">IF($D$4="NYMEX",0,VLOOKUP($A49,curvesettle,HLOOKUP($D$4,curvesettle,2,FALSE()),FALSE()))</f>
        <v>0</v>
      </c>
      <c r="T49" s="65" t="n">
        <f aca="false">IF(ISNUMBER(VLOOKUP($A49,VOLCURVES,HLOOKUP($D$3,VOLCURVES,2,FALSE()),FALSE())),VLOOKUP($A49,VOLCURVES,HLOOKUP($D$3,VOLCURVES,2,FALSE()),FALSE()),1)</f>
        <v>1</v>
      </c>
      <c r="U49" s="65" t="n">
        <f aca="false">IF(ISNUMBER(VLOOKUP($A49,VOLCURVES,HLOOKUP($D$4,VOLCURVES,2,FALSE()),FALSE())),VLOOKUP($A49,VOLCURVES,HLOOKUP($D$4,VOLCURVES,2,FALSE()),FALSE()),1)</f>
        <v>1</v>
      </c>
      <c r="V49" s="65" t="n">
        <f aca="false">IF(ISNUMBER(VLOOKUP($A49,CORETABLE,HLOOKUP($D$3,CORETABLE,2,FALSE()),FALSE())),VLOOKUP($A49,CORETABLE,HLOOKUP($D$3,CORETABLE,2,FALSE()),FALSE()),0.99)</f>
        <v>0.89</v>
      </c>
      <c r="W49" s="68" t="n">
        <f aca="false">D$19</f>
        <v>0</v>
      </c>
      <c r="X49" s="69" t="n">
        <f aca="false">IF($D$18=1,IF(ISNUMBER($GH49),$GH49,0),0)</f>
        <v>0</v>
      </c>
      <c r="Y49" s="71" t="n">
        <f aca="false">IF($F$3="NYMEX",0,VLOOKUP($A49,curvesettle,HLOOKUP($F$3,curvesettle,2,FALSE()),FALSE()))</f>
        <v>-0.295</v>
      </c>
      <c r="Z49" s="63" t="n">
        <f aca="false">IF($F$4="NYMEX",0,VLOOKUP($A49,curvesettle,HLOOKUP($F$4,curvesettle,2,FALSE()),FALSE()))</f>
        <v>0</v>
      </c>
      <c r="AA49" s="65" t="n">
        <v>1</v>
      </c>
      <c r="AB49" s="65" t="n">
        <f aca="false">IF(ISNUMBER(VLOOKUP($A49,VOLCURVES,HLOOKUP($F$4,VOLCURVES,2,FALSE()),FALSE())),VLOOKUP($A49,VOLCURVES,HLOOKUP($F$4,VOLCURVES,2,FALSE()),FALSE()),1)</f>
        <v>1</v>
      </c>
      <c r="AC49" s="65" t="n">
        <f aca="false">IF(ISNUMBER(VLOOKUP($A49,CORETABLE,HLOOKUP($F$3,CORETABLE,2,FALSE()),FALSE())),VLOOKUP($A49,CORETABLE,HLOOKUP($F$3,CORETABLE,2,FALSE()),FALSE()),0.99)</f>
        <v>0.99</v>
      </c>
      <c r="AD49" s="68" t="n">
        <f aca="false">F$19</f>
        <v>-0.6</v>
      </c>
      <c r="AE49" s="69" t="n">
        <f aca="false">IF($F$18=1,IF(ISNUMBER($GI49),$GI49,0),0)</f>
        <v>0</v>
      </c>
      <c r="AF49" s="63" t="n">
        <f aca="false">IF($H$3="NYMEX",0,VLOOKUP($A49,curvesettle,HLOOKUP($H$3,curvesettle,2,FALSE()),FALSE()))</f>
        <v>-0.295</v>
      </c>
      <c r="AG49" s="63" t="n">
        <f aca="false">IF($H$4="NYMEX",0,VLOOKUP($A49,curvesettle,HLOOKUP($H$4,curvesettle,2,FALSE()),FALSE()))</f>
        <v>0</v>
      </c>
      <c r="AH49" s="65" t="n">
        <f aca="false">IF(ISNUMBER(VLOOKUP($A49,VOLCURVES,HLOOKUP($H$3,VOLCURVES,2,FALSE()),FALSE())),VLOOKUP($A49,VOLCURVES,HLOOKUP($H$3,VOLCURVES,2,FALSE()),FALSE()),1)</f>
        <v>1</v>
      </c>
      <c r="AI49" s="65" t="n">
        <f aca="false">IF(ISNUMBER(VLOOKUP($A49,VOLCURVES,HLOOKUP($H$4,VOLCURVES,2,FALSE()),FALSE())),VLOOKUP($A49,VOLCURVES,HLOOKUP($H$4,VOLCURVES,2,FALSE()),FALSE()),1)</f>
        <v>1</v>
      </c>
      <c r="AJ49" s="65" t="n">
        <f aca="false">IF(ISNUMBER(VLOOKUP($A49,CORETABLE,HLOOKUP($H$3,CORETABLE,2,FALSE()),FALSE())),VLOOKUP($A49,CORETABLE,HLOOKUP($H$3,CORETABLE,2,FALSE()),FALSE()),0.99)</f>
        <v>0.99</v>
      </c>
      <c r="AK49" s="68" t="n">
        <f aca="false">H$19</f>
        <v>-0.45</v>
      </c>
      <c r="AL49" s="69" t="n">
        <f aca="false">IF($H$18=1,IF(ISNUMBER($GJ49),$GJ49,0),0)</f>
        <v>0</v>
      </c>
      <c r="AM49" s="4" t="n">
        <f aca="false">VLOOKUP($A49,STRADDLE,14,FALSE())</f>
        <v>0.0228311338692704</v>
      </c>
      <c r="AN49" s="72" t="n">
        <f aca="false">A50-A49</f>
        <v>31</v>
      </c>
      <c r="AO49" s="1" t="n">
        <f aca="false">AO48+1</f>
        <v>12</v>
      </c>
      <c r="AP49" s="73" t="n">
        <f aca="false">IF($A49&gt;=AR$32,IF($A49&lt;=AR$33,$AN49,0),0)</f>
        <v>31</v>
      </c>
      <c r="AQ49" s="41" t="n">
        <f aca="false">$B49+$K49+$B$12</f>
        <v>3.1765</v>
      </c>
      <c r="AR49" s="41" t="n">
        <f aca="false">$B49+$L49+$B$13</f>
        <v>3.329</v>
      </c>
      <c r="AS49" s="41" t="n">
        <f aca="false">AQ49*AP49</f>
        <v>98.4715</v>
      </c>
      <c r="AT49" s="41" t="n">
        <f aca="false">AR49*AP49</f>
        <v>103.199</v>
      </c>
      <c r="AU49" s="74" t="n">
        <f aca="false">($C49*$M49)+Q49+$B$14</f>
        <v>0.525</v>
      </c>
      <c r="AV49" s="74" t="n">
        <f aca="false">($C49*$N49)+$B$15</f>
        <v>0.525</v>
      </c>
      <c r="AW49" s="65" t="n">
        <f aca="false">O49+B$16</f>
        <v>0.999</v>
      </c>
      <c r="AX49" s="75" t="e">
        <f aca="false">IF(AP49=0,0,SPRDOPT(AQ49,AR49,$P49,$AM49,AU49,AV49,AW49,$D49,$B$20,0))</f>
        <v>#NAME?</v>
      </c>
      <c r="AY49" s="75" t="e">
        <f aca="false">IF(AQ49=0,0,SPRDOPT(AQ49,AR49,$P49,$AM49,AU49,AV49,AW49,$D49,$B$20,1))</f>
        <v>#NAME?</v>
      </c>
      <c r="AZ49" s="75" t="e">
        <f aca="false">IF(AR49=0,0,SPRDOPT(AQ49,AR49,$P49,$AM49,AU49,AV49,AW49,$D49,$B$20,2))</f>
        <v>#NAME?</v>
      </c>
      <c r="BA49" s="75" t="e">
        <f aca="false">IF(AS49=0,0,SPRDOPT(AQ49,AR49,$P49,$AM49,AU49,AV49,AW49,$D49,$B$20,3)/100)</f>
        <v>#NAME?</v>
      </c>
      <c r="BB49" s="75" t="e">
        <f aca="false">IF(AT49=0,0,SPRDOPT(AQ49,AR49,$P49,$AM49,AU49,AV49,AW49,$D49,$B$20,4)/100)</f>
        <v>#NAME?</v>
      </c>
      <c r="BC49" s="75" t="e">
        <f aca="false">IF(AU49=0,0,SPRDOPT(AQ49,AR49,$P49,$AM49,AU49,AV49,AW49,$D49,$B$20,5)/100)</f>
        <v>#NAME?</v>
      </c>
      <c r="BD49" s="75" t="e">
        <f aca="false">IF(AV49=0,0,SPRDOPT(AQ49,AR49,$P49,$AM49,AU49,AV49,AW49,$D49,$B$20,6)/100)</f>
        <v>#NAME?</v>
      </c>
      <c r="BE49" s="75" t="e">
        <f aca="false">IF(AW49=0,0,SPRDOPT(AQ49,AR49,$P49,$AM49,AU49,AV49,AW49,$D49,$B$20,7)/100)</f>
        <v>#NAME?</v>
      </c>
      <c r="BF49" s="75" t="e">
        <f aca="false">IF(AX49=0,0,SPRDOPT(AQ49,AR49,$P49,$AM49,AU49,AV49,AW49,$D49,$B$20,9)/365)</f>
        <v>#NAME?</v>
      </c>
      <c r="BG49" s="75" t="e">
        <f aca="false">AY49+AZ49</f>
        <v>#NAME?</v>
      </c>
      <c r="BH49" s="75" t="e">
        <f aca="false">BB49-BA49</f>
        <v>#NAME?</v>
      </c>
      <c r="BI49" s="75" t="e">
        <f aca="false">((AU49/AV49)*BC49)+BD49</f>
        <v>#NAME?</v>
      </c>
      <c r="BJ49" s="75" t="n">
        <f aca="false">AW49*AP49</f>
        <v>30.969</v>
      </c>
      <c r="BK49" s="76"/>
      <c r="BL49" s="37" t="e">
        <f aca="false">$AP49*AX49</f>
        <v>#NAME?</v>
      </c>
      <c r="BM49" s="37" t="e">
        <f aca="false">$AP49*AY49</f>
        <v>#NAME?</v>
      </c>
      <c r="BN49" s="37" t="e">
        <f aca="false">$AP49*AZ49</f>
        <v>#NAME?</v>
      </c>
      <c r="BO49" s="37" t="e">
        <f aca="false">$AP49*BA49</f>
        <v>#NAME?</v>
      </c>
      <c r="BP49" s="37" t="e">
        <f aca="false">$AP49*BB49</f>
        <v>#NAME?</v>
      </c>
      <c r="BQ49" s="37" t="e">
        <f aca="false">$AP49*BC49</f>
        <v>#NAME?</v>
      </c>
      <c r="BR49" s="37" t="e">
        <f aca="false">$AP49*BD49</f>
        <v>#NAME?</v>
      </c>
      <c r="BS49" s="37" t="e">
        <f aca="false">$AP49*BE49</f>
        <v>#NAME?</v>
      </c>
      <c r="BT49" s="37" t="e">
        <f aca="false">$AP49*BF49</f>
        <v>#NAME?</v>
      </c>
      <c r="BU49" s="37" t="e">
        <f aca="false">$AP49*BG49</f>
        <v>#NAME?</v>
      </c>
      <c r="BV49" s="37" t="e">
        <f aca="false">$AP49*BH49</f>
        <v>#NAME?</v>
      </c>
      <c r="BW49" s="37" t="e">
        <f aca="false">$AP49*BI49</f>
        <v>#NAME?</v>
      </c>
      <c r="BX49" s="37"/>
      <c r="BZ49" s="73" t="n">
        <f aca="false">IF($A49&gt;=CB$32,IF($A49&lt;=CB$33,$AN49,0),0)</f>
        <v>0</v>
      </c>
      <c r="CA49" s="41" t="n">
        <f aca="false">$B49+$R49+$D$12</f>
        <v>3.359</v>
      </c>
      <c r="CB49" s="41" t="n">
        <f aca="false">$B49+$S49+$D$13</f>
        <v>3.329</v>
      </c>
      <c r="CC49" s="41" t="n">
        <f aca="false">CA49*BZ49</f>
        <v>0</v>
      </c>
      <c r="CD49" s="41" t="n">
        <f aca="false">CB49*BZ49</f>
        <v>0</v>
      </c>
      <c r="CE49" s="74" t="n">
        <f aca="false">($C49*$T49)+X49+$D$14</f>
        <v>0.525</v>
      </c>
      <c r="CF49" s="74" t="n">
        <f aca="false">($C49*$U49)+$D$15</f>
        <v>0.525</v>
      </c>
      <c r="CG49" s="65" t="n">
        <f aca="false">$V49+D$16</f>
        <v>0.89</v>
      </c>
      <c r="CH49" s="75" t="n">
        <f aca="false">IF(BZ49=0,0,SPRDOPT(CA49,CB49,$W49,$AM49,CE49,CF49,CG49,$D49,$D$20,0))</f>
        <v>0</v>
      </c>
      <c r="CI49" s="75" t="e">
        <f aca="false">IF(CA49=0,0,SPRDOPT(CA49,CB49,$W49,$AM49,CE49,CF49,CG49,$D49,$D$20,1))</f>
        <v>#NAME?</v>
      </c>
      <c r="CJ49" s="75" t="e">
        <f aca="false">IF(CB49=0,0,SPRDOPT(CA49,CB49,$W49,$AM49,CE49,CF49,CG49,$D49,$D$20,2))</f>
        <v>#NAME?</v>
      </c>
      <c r="CK49" s="75" t="n">
        <f aca="false">IF(CC49=0,0,SPRDOPT(CA49,CB49,$W49,$AM49,CE49,CF49,CG49,$D49,$D$20,3)/100)</f>
        <v>0</v>
      </c>
      <c r="CL49" s="75" t="n">
        <f aca="false">IF(CD49=0,0,SPRDOPT(CA49,CB49,$W49,$AM49,CE49,CF49,CG49,$D49,$D$20,4)/100)</f>
        <v>0</v>
      </c>
      <c r="CM49" s="75" t="e">
        <f aca="false">IF(CE49=0,0,SPRDOPT(CA49,CB49,$W49,$AM49,CE49,CF49,CG49,$D49,$D$20,5)/100)</f>
        <v>#NAME?</v>
      </c>
      <c r="CN49" s="75" t="e">
        <f aca="false">IF(CF49=0,0,SPRDOPT(CA49,CB49,$W49,$AM49,CE49,CF49,CG49,$D49,$D$20,6)/100)</f>
        <v>#NAME?</v>
      </c>
      <c r="CO49" s="75" t="e">
        <f aca="false">IF(CG49=0,0,SPRDOPT(CA49,CB49,$W49,$AM49,CE49,CF49,CG49,$D49,$D$20,7)/100)</f>
        <v>#NAME?</v>
      </c>
      <c r="CP49" s="75" t="n">
        <f aca="false">IF(CH49=0,0,SPRDOPT(CA49,CB49,$W49,$AM49,CE49,CF49,CG49,$D49,$D$20,9)/365)</f>
        <v>0</v>
      </c>
      <c r="CQ49" s="75" t="e">
        <f aca="false">CI49+CJ49</f>
        <v>#NAME?</v>
      </c>
      <c r="CR49" s="75" t="n">
        <f aca="false">CL49-CK49</f>
        <v>0</v>
      </c>
      <c r="CS49" s="75" t="e">
        <f aca="false">((CE49/CF49)*CM49)+CN49</f>
        <v>#NAME?</v>
      </c>
      <c r="CT49" s="75" t="n">
        <f aca="false">CG49*BZ49</f>
        <v>0</v>
      </c>
      <c r="CU49" s="76"/>
      <c r="CV49" s="37" t="n">
        <f aca="false">BZ49*CH49</f>
        <v>0</v>
      </c>
      <c r="CW49" s="37" t="e">
        <f aca="false">BZ49*CI49</f>
        <v>#NAME?</v>
      </c>
      <c r="CX49" s="37" t="e">
        <f aca="false">BZ49*CJ49</f>
        <v>#NAME?</v>
      </c>
      <c r="CY49" s="37" t="n">
        <f aca="false">BZ49*CK49</f>
        <v>0</v>
      </c>
      <c r="CZ49" s="37" t="n">
        <f aca="false">BZ49*CL49</f>
        <v>0</v>
      </c>
      <c r="DA49" s="37" t="e">
        <f aca="false">BZ49*CM49</f>
        <v>#NAME?</v>
      </c>
      <c r="DB49" s="37" t="e">
        <f aca="false">BZ49*CN49</f>
        <v>#NAME?</v>
      </c>
      <c r="DC49" s="37" t="e">
        <f aca="false">BZ49*CO49</f>
        <v>#NAME?</v>
      </c>
      <c r="DD49" s="37" t="n">
        <f aca="false">BZ49*CP49</f>
        <v>0</v>
      </c>
      <c r="DE49" s="37" t="e">
        <f aca="false">BZ49*CQ49</f>
        <v>#NAME?</v>
      </c>
      <c r="DF49" s="37" t="n">
        <f aca="false">BZ49*CR49</f>
        <v>0</v>
      </c>
      <c r="DG49" s="37" t="e">
        <f aca="false">BZ49*CS49</f>
        <v>#NAME?</v>
      </c>
      <c r="DI49" s="73" t="n">
        <f aca="false">IF($A49&gt;=DK$32,IF($A49&lt;=DK$33,$AN49,0),0)</f>
        <v>0</v>
      </c>
      <c r="DJ49" s="41" t="n">
        <f aca="false">$B49+$Y49+$F$12</f>
        <v>3.034</v>
      </c>
      <c r="DK49" s="41" t="n">
        <f aca="false">$B49+$Z49+$F$13</f>
        <v>3.329</v>
      </c>
      <c r="DL49" s="41" t="n">
        <f aca="false">DJ49*DI49</f>
        <v>0</v>
      </c>
      <c r="DM49" s="41" t="n">
        <f aca="false">DK49*DI49</f>
        <v>0</v>
      </c>
      <c r="DN49" s="74" t="n">
        <f aca="false">($C49*$AA49)+AE49+$F$14</f>
        <v>0.525</v>
      </c>
      <c r="DO49" s="74" t="n">
        <f aca="false">($C49*$AB49)+$F$15</f>
        <v>0.525</v>
      </c>
      <c r="DP49" s="65" t="n">
        <f aca="false">$AC49+$F$16</f>
        <v>0.99</v>
      </c>
      <c r="DQ49" s="75" t="n">
        <f aca="false">IF(DI49=0,0,SPRDOPT(DJ49,DK49,$AD49,$AM49,DN49,DO49,DP49,$D49,$F$20,0))</f>
        <v>0</v>
      </c>
      <c r="DR49" s="75" t="e">
        <f aca="false">IF(DJ49=0,0,SPRDOPT(DJ49,DK49,$AD49,$AM49,DN49,DO49,DP49,$D49,$F$20,1))</f>
        <v>#NAME?</v>
      </c>
      <c r="DS49" s="75" t="e">
        <f aca="false">IF(DK49=0,0,SPRDOPT(DJ49,DK49,$AD49,$AM49,DN49,DO49,DP49,$D49,$F$20,2))</f>
        <v>#NAME?</v>
      </c>
      <c r="DT49" s="75" t="n">
        <f aca="false">IF(DL49=0,0,SPRDOPT(DJ49,DK49,$AD49,$AM49,DN49,DO49,DP49,$D49,$F$20,3)/100)</f>
        <v>0</v>
      </c>
      <c r="DU49" s="75" t="n">
        <f aca="false">IF(DM49=0,0,SPRDOPT(DJ49,DK49,$AD49,$AM49,DN49,DO49,DP49,$D49,$F$20,4)/100)</f>
        <v>0</v>
      </c>
      <c r="DV49" s="75" t="e">
        <f aca="false">IF(DN49=0,0,SPRDOPT(DJ49,DK49,$AD49,$AM49,DN49,DO49,DP49,$D49,$F$20,5)/100)</f>
        <v>#NAME?</v>
      </c>
      <c r="DW49" s="75" t="e">
        <f aca="false">IF(DO49=0,0,SPRDOPT(DJ49,DK49,$AD49,$AM49,DN49,DO49,DP49,$D49,$F$20,6)/100)</f>
        <v>#NAME?</v>
      </c>
      <c r="DX49" s="75" t="e">
        <f aca="false">IF(DP49=0,0,SPRDOPT(DJ49,DK49,$AD49,$AM49,DN49,DO49,DP49,$D49,$F$20,7)/100)</f>
        <v>#NAME?</v>
      </c>
      <c r="DY49" s="75" t="n">
        <f aca="false">IF(DQ49=0,0,SPRDOPT(DJ49,DK49,$AD49,$AM49,DN49,DO49,DP49,$D49,$F$20,9)/365)</f>
        <v>0</v>
      </c>
      <c r="DZ49" s="75" t="e">
        <f aca="false">DR49+DS49</f>
        <v>#NAME?</v>
      </c>
      <c r="EA49" s="75" t="n">
        <f aca="false">DU49-DT49</f>
        <v>0</v>
      </c>
      <c r="EB49" s="75" t="e">
        <f aca="false">((DN49/DO49)*DV49)+DW49</f>
        <v>#NAME?</v>
      </c>
      <c r="EC49" s="75" t="n">
        <f aca="false">DP49*DI49</f>
        <v>0</v>
      </c>
      <c r="ED49" s="75"/>
      <c r="EE49" s="37" t="n">
        <f aca="false">DI49*DQ49</f>
        <v>0</v>
      </c>
      <c r="EF49" s="37" t="e">
        <f aca="false">DI49*DR49</f>
        <v>#NAME?</v>
      </c>
      <c r="EG49" s="37" t="e">
        <f aca="false">DI49*DS49</f>
        <v>#NAME?</v>
      </c>
      <c r="EH49" s="37" t="n">
        <f aca="false">DI49*DT49</f>
        <v>0</v>
      </c>
      <c r="EI49" s="37" t="n">
        <f aca="false">DI49*DU49</f>
        <v>0</v>
      </c>
      <c r="EJ49" s="37" t="e">
        <f aca="false">DI49*DV49</f>
        <v>#NAME?</v>
      </c>
      <c r="EK49" s="37" t="e">
        <f aca="false">DI49*DW49</f>
        <v>#NAME?</v>
      </c>
      <c r="EL49" s="37" t="e">
        <f aca="false">DI49*DX49</f>
        <v>#NAME?</v>
      </c>
      <c r="EM49" s="37" t="n">
        <f aca="false">DI49*DY49</f>
        <v>0</v>
      </c>
      <c r="EN49" s="37" t="e">
        <f aca="false">DI49*DZ49</f>
        <v>#NAME?</v>
      </c>
      <c r="EO49" s="37" t="n">
        <f aca="false">DI49*EA49</f>
        <v>0</v>
      </c>
      <c r="EP49" s="37" t="e">
        <f aca="false">DI49*EB49</f>
        <v>#NAME?</v>
      </c>
      <c r="ER49" s="73" t="n">
        <f aca="false">IF($A49&gt;=ET$32,IF($A49&lt;=ET$33,$AN49,0),0)</f>
        <v>0</v>
      </c>
      <c r="ES49" s="41" t="n">
        <f aca="false">$B49+$AF49+$H$12</f>
        <v>3.094</v>
      </c>
      <c r="ET49" s="41" t="n">
        <f aca="false">$B49+$AG49+$H$13</f>
        <v>3.329</v>
      </c>
      <c r="EU49" s="41" t="n">
        <f aca="false">ES49*ER49</f>
        <v>0</v>
      </c>
      <c r="EV49" s="41" t="n">
        <f aca="false">ET49*ER49</f>
        <v>0</v>
      </c>
      <c r="EW49" s="74" t="n">
        <f aca="false">($C49*$AH49)+AL49+$H$14</f>
        <v>0.525</v>
      </c>
      <c r="EX49" s="74" t="n">
        <f aca="false">($C49*$AI49)+$H$15</f>
        <v>0.525</v>
      </c>
      <c r="EY49" s="65" t="n">
        <f aca="false">$AJ49+$H$16</f>
        <v>0.99</v>
      </c>
      <c r="EZ49" s="75" t="n">
        <f aca="false">IF(ER49=0,0,SPRDOPT(ES49,ET49,$AK49,$AM49,EW49,EX49,EY49,$D49,$H$20,0))</f>
        <v>0</v>
      </c>
      <c r="FA49" s="75" t="e">
        <f aca="false">IF(ES49=0,0,SPRDOPT(ES49,ET49,$AK49,$AM49,EW49,EX49,EY49,$D49,$H$20,1))</f>
        <v>#NAME?</v>
      </c>
      <c r="FB49" s="75" t="e">
        <f aca="false">IF(ET49=0,0,SPRDOPT(ES49,ET49,$AK49,$AM49,EW49,EX49,EY49,$D49,$H$20,2))</f>
        <v>#NAME?</v>
      </c>
      <c r="FC49" s="75" t="n">
        <f aca="false">IF(EU49=0,0,SPRDOPT(ES49,ET49,$AK49,$AM49,EW49,EX49,EY49,$D49,$H$20,3)/100)</f>
        <v>0</v>
      </c>
      <c r="FD49" s="75" t="n">
        <f aca="false">IF(EV49=0,0,SPRDOPT(ES49,ET49,$AK49,$AM49,EW49,EX49,EY49,$D49,$H$20,4)/100)</f>
        <v>0</v>
      </c>
      <c r="FE49" s="75" t="e">
        <f aca="false">IF(EW49=0,0,SPRDOPT(ES49,ET49,$AK49,$AM49,EW49,EX49,EY49,$D49,$H$20,5)/100)</f>
        <v>#NAME?</v>
      </c>
      <c r="FF49" s="75" t="e">
        <f aca="false">IF(EX49=0,0,SPRDOPT(ES49,ET49,$AK49,$AM49,EW49,EX49,EY49,$D49,$H$20,6)/100)</f>
        <v>#NAME?</v>
      </c>
      <c r="FG49" s="75" t="e">
        <f aca="false">IF(EY49=0,0,SPRDOPT(ES49,ET49,$AK49,$AM49,EW49,EX49,EY49,$D49,$H$20,7)/100)</f>
        <v>#NAME?</v>
      </c>
      <c r="FH49" s="75" t="n">
        <f aca="false">IF(EZ49=0,0,SPRDOPT(ES49,ET49,$AK49,$AM49,EW49,EX49,EY49,$D49,$H$20,9)/365)</f>
        <v>0</v>
      </c>
      <c r="FI49" s="75" t="e">
        <f aca="false">FA49+FB49</f>
        <v>#NAME?</v>
      </c>
      <c r="FJ49" s="75" t="n">
        <f aca="false">FD49-FC49</f>
        <v>0</v>
      </c>
      <c r="FK49" s="75" t="e">
        <f aca="false">((EW49/EX49)*FE49)+FF49</f>
        <v>#NAME?</v>
      </c>
      <c r="FL49" s="75" t="n">
        <f aca="false">EY49*ER49</f>
        <v>0</v>
      </c>
      <c r="FM49" s="75"/>
      <c r="FN49" s="37" t="n">
        <f aca="false">$ER49*EZ49</f>
        <v>0</v>
      </c>
      <c r="FO49" s="37" t="e">
        <f aca="false">$ER49*FA49</f>
        <v>#NAME?</v>
      </c>
      <c r="FP49" s="37" t="e">
        <f aca="false">$ER49*FB49</f>
        <v>#NAME?</v>
      </c>
      <c r="FQ49" s="37" t="n">
        <f aca="false">$ER49*FC49</f>
        <v>0</v>
      </c>
      <c r="FR49" s="37" t="n">
        <f aca="false">$ER49*FD49</f>
        <v>0</v>
      </c>
      <c r="FS49" s="37" t="e">
        <f aca="false">$ER49*FE49</f>
        <v>#NAME?</v>
      </c>
      <c r="FT49" s="37" t="e">
        <f aca="false">$ER49*FF49</f>
        <v>#NAME?</v>
      </c>
      <c r="FU49" s="37" t="e">
        <f aca="false">$ER49*FG49</f>
        <v>#NAME?</v>
      </c>
      <c r="FV49" s="37" t="n">
        <f aca="false">$ER49*FH49</f>
        <v>0</v>
      </c>
      <c r="FW49" s="37" t="e">
        <f aca="false">$ER49*FI49</f>
        <v>#NAME?</v>
      </c>
      <c r="FX49" s="37" t="n">
        <f aca="false">$ER49*FJ49</f>
        <v>0</v>
      </c>
      <c r="FY49" s="37" t="e">
        <f aca="false">$ER49*FK49</f>
        <v>#NAME?</v>
      </c>
      <c r="GA49" s="77" t="e">
        <f aca="false">VLOOKUP(A49,skewmonthlook,2,FALSE())</f>
        <v>#REF!</v>
      </c>
      <c r="GB49" s="0" t="e">
        <f aca="false">CONCATENATE(B$3,$GA49)</f>
        <v>#REF!</v>
      </c>
      <c r="GC49" s="0" t="e">
        <f aca="false">CONCATENATE(D$3,$GA49)</f>
        <v>#REF!</v>
      </c>
      <c r="GD49" s="0" t="e">
        <f aca="false">CONCATENATE(F$3,$GA49)</f>
        <v>#REF!</v>
      </c>
      <c r="GE49" s="0" t="e">
        <f aca="false">CONCATENATE(H$3,$GA49)</f>
        <v>#REF!</v>
      </c>
      <c r="GG49" s="65" t="e">
        <f aca="false">VLOOKUP(GB49,skewlook,HLOOKUP($P49,skewlook,2),FALSE())</f>
        <v>#REF!</v>
      </c>
      <c r="GH49" s="65" t="e">
        <f aca="false">VLOOKUP(GC49,skewlook,HLOOKUP($W49,skewlook,2),FALSE())</f>
        <v>#REF!</v>
      </c>
      <c r="GI49" s="65" t="e">
        <f aca="false">VLOOKUP(GD49,skewlook,HLOOKUP($AD49,skewlook,2),FALSE())</f>
        <v>#REF!</v>
      </c>
      <c r="GJ49" s="65" t="e">
        <f aca="false">VLOOKUP(GE49,skewlook,HLOOKUP($AK49,skewlook,2),FALSE())</f>
        <v>#REF!</v>
      </c>
    </row>
    <row r="50" customFormat="false" ht="12.75" hidden="false" customHeight="false" outlineLevel="0" collapsed="false">
      <c r="A50" s="62" t="n">
        <f aca="false">DATE(YEAR(A49),MONTH(A49)+1,1)</f>
        <v>37622</v>
      </c>
      <c r="B50" s="63" t="n">
        <f aca="false">VLOOKUP(A50,STRADDLE,5,FALSE())</f>
        <v>3.408</v>
      </c>
      <c r="C50" s="4" t="n">
        <f aca="false">VLOOKUP(A50,STRADDLE,8,FALSE())</f>
        <v>0.5225</v>
      </c>
      <c r="D50" s="64" t="n">
        <f aca="false">VLOOKUP(A50,expiration,2,FALSE())-$B$2</f>
        <v>-8310</v>
      </c>
      <c r="E50" s="65" t="e">
        <f aca="false">AY50</f>
        <v>#NAME?</v>
      </c>
      <c r="F50" s="65" t="e">
        <f aca="false">CI50</f>
        <v>#NAME?</v>
      </c>
      <c r="G50" s="65" t="e">
        <f aca="false">DR50</f>
        <v>#NAME?</v>
      </c>
      <c r="H50" s="65" t="e">
        <f aca="false">FA50</f>
        <v>#NAME?</v>
      </c>
      <c r="I50" s="66" t="e">
        <f aca="false">G50-H50</f>
        <v>#NAME?</v>
      </c>
      <c r="J50" s="67"/>
      <c r="K50" s="63" t="n">
        <f aca="false">IF($B$3="NYMEX",0,VLOOKUP($A50,curvesettle,HLOOKUP($B$3,curvesettle,2,FALSE()),FALSE()))</f>
        <v>-0.155</v>
      </c>
      <c r="L50" s="63" t="n">
        <f aca="false">IF($B$4="NYMEX",0,VLOOKUP($A50,curvesettle,HLOOKUP($B$4,curvesettle,2,FALSE()),FALSE()))</f>
        <v>0</v>
      </c>
      <c r="M50" s="65" t="n">
        <f aca="false">IF(ISNUMBER(VLOOKUP($A50,VOLCURVES,HLOOKUP($B$3,VOLCURVES,2,FALSE()),FALSE())),VLOOKUP($A50,VOLCURVES,HLOOKUP($B$3,VOLCURVES,2,FALSE()),FALSE()),1)</f>
        <v>1</v>
      </c>
      <c r="N50" s="65" t="n">
        <f aca="false">IF(ISNUMBER(VLOOKUP($A50,VOLCURVES,HLOOKUP($B$4,VOLCURVES,2,FALSE()),FALSE())),VLOOKUP($A50,VOLCURVES,HLOOKUP($B$4,VOLCURVES,2,FALSE()),FALSE()),1)</f>
        <v>1</v>
      </c>
      <c r="O50" s="65" t="n">
        <f aca="false">IF(ISNUMBER(VLOOKUP($A50,CORETABLE,HLOOKUP($B$3,CORETABLE,2,FALSE()),FALSE())),VLOOKUP($A50,CORETABLE,HLOOKUP($B$3,CORETABLE,2,FALSE()),FALSE()),0.99)</f>
        <v>0.9945</v>
      </c>
      <c r="P50" s="68" t="n">
        <f aca="false">B$19</f>
        <v>-0.2</v>
      </c>
      <c r="Q50" s="69" t="n">
        <f aca="false">IF($B$18=1,IF(ISNUMBER($GG50),$GG50,0),0)</f>
        <v>0</v>
      </c>
      <c r="R50" s="70" t="n">
        <f aca="false">IF($D$3="NYMEX",0,VLOOKUP($A50,curvesettle,HLOOKUP($D$3,curvesettle,2,FALSE()),FALSE()))</f>
        <v>0.02</v>
      </c>
      <c r="S50" s="63" t="n">
        <f aca="false">IF($D$4="NYMEX",0,VLOOKUP($A50,curvesettle,HLOOKUP($D$4,curvesettle,2,FALSE()),FALSE()))</f>
        <v>0</v>
      </c>
      <c r="T50" s="65" t="n">
        <f aca="false">IF(ISNUMBER(VLOOKUP($A50,VOLCURVES,HLOOKUP($D$3,VOLCURVES,2,FALSE()),FALSE())),VLOOKUP($A50,VOLCURVES,HLOOKUP($D$3,VOLCURVES,2,FALSE()),FALSE()),1)</f>
        <v>1</v>
      </c>
      <c r="U50" s="65" t="n">
        <f aca="false">IF(ISNUMBER(VLOOKUP($A50,VOLCURVES,HLOOKUP($D$4,VOLCURVES,2,FALSE()),FALSE())),VLOOKUP($A50,VOLCURVES,HLOOKUP($D$4,VOLCURVES,2,FALSE()),FALSE()),1)</f>
        <v>1</v>
      </c>
      <c r="V50" s="65" t="n">
        <f aca="false">IF(ISNUMBER(VLOOKUP($A50,CORETABLE,HLOOKUP($D$3,CORETABLE,2,FALSE()),FALSE())),VLOOKUP($A50,CORETABLE,HLOOKUP($D$3,CORETABLE,2,FALSE()),FALSE()),0.99)</f>
        <v>0.99</v>
      </c>
      <c r="W50" s="68" t="n">
        <f aca="false">D$19</f>
        <v>0</v>
      </c>
      <c r="X50" s="69" t="n">
        <f aca="false">IF($D$18=1,IF(ISNUMBER($GH50),$GH50,0),0)</f>
        <v>0</v>
      </c>
      <c r="Y50" s="71" t="n">
        <f aca="false">IF($F$3="NYMEX",0,VLOOKUP($A50,curvesettle,HLOOKUP($F$3,curvesettle,2,FALSE()),FALSE()))</f>
        <v>-0.27</v>
      </c>
      <c r="Z50" s="63" t="n">
        <f aca="false">IF($F$4="NYMEX",0,VLOOKUP($A50,curvesettle,HLOOKUP($F$4,curvesettle,2,FALSE()),FALSE()))</f>
        <v>0</v>
      </c>
      <c r="AA50" s="65" t="n">
        <v>1</v>
      </c>
      <c r="AB50" s="65" t="n">
        <f aca="false">IF(ISNUMBER(VLOOKUP($A50,VOLCURVES,HLOOKUP($F$4,VOLCURVES,2,FALSE()),FALSE())),VLOOKUP($A50,VOLCURVES,HLOOKUP($F$4,VOLCURVES,2,FALSE()),FALSE()),1)</f>
        <v>1</v>
      </c>
      <c r="AC50" s="65" t="n">
        <f aca="false">IF(ISNUMBER(VLOOKUP($A50,CORETABLE,HLOOKUP($F$3,CORETABLE,2,FALSE()),FALSE())),VLOOKUP($A50,CORETABLE,HLOOKUP($F$3,CORETABLE,2,FALSE()),FALSE()),0.99)</f>
        <v>0.99</v>
      </c>
      <c r="AD50" s="68" t="n">
        <f aca="false">F$19</f>
        <v>-0.6</v>
      </c>
      <c r="AE50" s="69" t="n">
        <f aca="false">IF($F$18=1,IF(ISNUMBER($GI50),$GI50,0),0)</f>
        <v>0</v>
      </c>
      <c r="AF50" s="63" t="n">
        <f aca="false">IF($H$3="NYMEX",0,VLOOKUP($A50,curvesettle,HLOOKUP($H$3,curvesettle,2,FALSE()),FALSE()))</f>
        <v>-0.27</v>
      </c>
      <c r="AG50" s="63" t="n">
        <f aca="false">IF($H$4="NYMEX",0,VLOOKUP($A50,curvesettle,HLOOKUP($H$4,curvesettle,2,FALSE()),FALSE()))</f>
        <v>0</v>
      </c>
      <c r="AH50" s="65" t="n">
        <f aca="false">IF(ISNUMBER(VLOOKUP($A50,VOLCURVES,HLOOKUP($H$3,VOLCURVES,2,FALSE()),FALSE())),VLOOKUP($A50,VOLCURVES,HLOOKUP($H$3,VOLCURVES,2,FALSE()),FALSE()),1)</f>
        <v>1</v>
      </c>
      <c r="AI50" s="65" t="n">
        <f aca="false">IF(ISNUMBER(VLOOKUP($A50,VOLCURVES,HLOOKUP($H$4,VOLCURVES,2,FALSE()),FALSE())),VLOOKUP($A50,VOLCURVES,HLOOKUP($H$4,VOLCURVES,2,FALSE()),FALSE()),1)</f>
        <v>1</v>
      </c>
      <c r="AJ50" s="65" t="n">
        <f aca="false">IF(ISNUMBER(VLOOKUP($A50,CORETABLE,HLOOKUP($H$3,CORETABLE,2,FALSE()),FALSE())),VLOOKUP($A50,CORETABLE,HLOOKUP($H$3,CORETABLE,2,FALSE()),FALSE()),0.99)</f>
        <v>0.99</v>
      </c>
      <c r="AK50" s="68" t="n">
        <f aca="false">H$19</f>
        <v>-0.45</v>
      </c>
      <c r="AL50" s="69" t="n">
        <f aca="false">IF($H$18=1,IF(ISNUMBER($GJ50),$GJ50,0),0)</f>
        <v>0</v>
      </c>
      <c r="AM50" s="4" t="n">
        <f aca="false">VLOOKUP($A50,STRADDLE,14,FALSE())</f>
        <v>0.0236676828051907</v>
      </c>
      <c r="AN50" s="72" t="n">
        <f aca="false">A51-A50</f>
        <v>31</v>
      </c>
      <c r="AO50" s="1" t="n">
        <f aca="false">AO49+1</f>
        <v>13</v>
      </c>
      <c r="AP50" s="73" t="n">
        <f aca="false">IF($A50&gt;=AR$32,IF($A50&lt;=AR$33,$AN50,0),0)</f>
        <v>31</v>
      </c>
      <c r="AQ50" s="41" t="n">
        <f aca="false">$B50+$K50+$B$12</f>
        <v>3.253</v>
      </c>
      <c r="AR50" s="41" t="n">
        <f aca="false">$B50+$L50+$B$13</f>
        <v>3.408</v>
      </c>
      <c r="AS50" s="41" t="n">
        <f aca="false">AQ50*AP50</f>
        <v>100.843</v>
      </c>
      <c r="AT50" s="41" t="n">
        <f aca="false">AR50*AP50</f>
        <v>105.648</v>
      </c>
      <c r="AU50" s="74" t="n">
        <f aca="false">($C50*$M50)+Q50+$B$14</f>
        <v>0.5225</v>
      </c>
      <c r="AV50" s="74" t="n">
        <f aca="false">($C50*$N50)+$B$15</f>
        <v>0.5225</v>
      </c>
      <c r="AW50" s="65" t="n">
        <f aca="false">O50+B$16</f>
        <v>0.999</v>
      </c>
      <c r="AX50" s="75" t="e">
        <f aca="false">IF(AP50=0,0,SPRDOPT(AQ50,AR50,$P50,$AM50,AU50,AV50,AW50,$D50,$B$20,0))</f>
        <v>#NAME?</v>
      </c>
      <c r="AY50" s="75" t="e">
        <f aca="false">IF(AQ50=0,0,SPRDOPT(AQ50,AR50,$P50,$AM50,AU50,AV50,AW50,$D50,$B$20,1))</f>
        <v>#NAME?</v>
      </c>
      <c r="AZ50" s="75" t="e">
        <f aca="false">IF(AR50=0,0,SPRDOPT(AQ50,AR50,$P50,$AM50,AU50,AV50,AW50,$D50,$B$20,2))</f>
        <v>#NAME?</v>
      </c>
      <c r="BA50" s="75" t="e">
        <f aca="false">IF(AS50=0,0,SPRDOPT(AQ50,AR50,$P50,$AM50,AU50,AV50,AW50,$D50,$B$20,3)/100)</f>
        <v>#NAME?</v>
      </c>
      <c r="BB50" s="75" t="e">
        <f aca="false">IF(AT50=0,0,SPRDOPT(AQ50,AR50,$P50,$AM50,AU50,AV50,AW50,$D50,$B$20,4)/100)</f>
        <v>#NAME?</v>
      </c>
      <c r="BC50" s="75" t="e">
        <f aca="false">IF(AU50=0,0,SPRDOPT(AQ50,AR50,$P50,$AM50,AU50,AV50,AW50,$D50,$B$20,5)/100)</f>
        <v>#NAME?</v>
      </c>
      <c r="BD50" s="75" t="e">
        <f aca="false">IF(AV50=0,0,SPRDOPT(AQ50,AR50,$P50,$AM50,AU50,AV50,AW50,$D50,$B$20,6)/100)</f>
        <v>#NAME?</v>
      </c>
      <c r="BE50" s="75" t="e">
        <f aca="false">IF(AW50=0,0,SPRDOPT(AQ50,AR50,$P50,$AM50,AU50,AV50,AW50,$D50,$B$20,7)/100)</f>
        <v>#NAME?</v>
      </c>
      <c r="BF50" s="75" t="e">
        <f aca="false">IF(AX50=0,0,SPRDOPT(AQ50,AR50,$P50,$AM50,AU50,AV50,AW50,$D50,$B$20,9)/365)</f>
        <v>#NAME?</v>
      </c>
      <c r="BG50" s="75" t="e">
        <f aca="false">AY50+AZ50</f>
        <v>#NAME?</v>
      </c>
      <c r="BH50" s="75" t="e">
        <f aca="false">BB50-BA50</f>
        <v>#NAME?</v>
      </c>
      <c r="BI50" s="75" t="e">
        <f aca="false">((AU50/AV50)*BC50)+BD50</f>
        <v>#NAME?</v>
      </c>
      <c r="BJ50" s="75" t="n">
        <f aca="false">AW50*AP50</f>
        <v>30.969</v>
      </c>
      <c r="BK50" s="76"/>
      <c r="BL50" s="37" t="e">
        <f aca="false">$AP50*AX50</f>
        <v>#NAME?</v>
      </c>
      <c r="BM50" s="37" t="e">
        <f aca="false">$AP50*AY50</f>
        <v>#NAME?</v>
      </c>
      <c r="BN50" s="37" t="e">
        <f aca="false">$AP50*AZ50</f>
        <v>#NAME?</v>
      </c>
      <c r="BO50" s="37" t="e">
        <f aca="false">$AP50*BA50</f>
        <v>#NAME?</v>
      </c>
      <c r="BP50" s="37" t="e">
        <f aca="false">$AP50*BB50</f>
        <v>#NAME?</v>
      </c>
      <c r="BQ50" s="37" t="e">
        <f aca="false">$AP50*BC50</f>
        <v>#NAME?</v>
      </c>
      <c r="BR50" s="37" t="e">
        <f aca="false">$AP50*BD50</f>
        <v>#NAME?</v>
      </c>
      <c r="BS50" s="37" t="e">
        <f aca="false">$AP50*BE50</f>
        <v>#NAME?</v>
      </c>
      <c r="BT50" s="37" t="e">
        <f aca="false">$AP50*BF50</f>
        <v>#NAME?</v>
      </c>
      <c r="BU50" s="37" t="e">
        <f aca="false">$AP50*BG50</f>
        <v>#NAME?</v>
      </c>
      <c r="BV50" s="37" t="e">
        <f aca="false">$AP50*BH50</f>
        <v>#NAME?</v>
      </c>
      <c r="BW50" s="37" t="e">
        <f aca="false">$AP50*BI50</f>
        <v>#NAME?</v>
      </c>
      <c r="BX50" s="37"/>
      <c r="BZ50" s="73" t="n">
        <f aca="false">IF($A50&gt;=CB$32,IF($A50&lt;=CB$33,$AN50,0),0)</f>
        <v>0</v>
      </c>
      <c r="CA50" s="41" t="n">
        <f aca="false">$B50+$R50+$D$12</f>
        <v>3.428</v>
      </c>
      <c r="CB50" s="41" t="n">
        <f aca="false">$B50+$S50+$D$13</f>
        <v>3.408</v>
      </c>
      <c r="CC50" s="41" t="n">
        <f aca="false">CA50*BZ50</f>
        <v>0</v>
      </c>
      <c r="CD50" s="41" t="n">
        <f aca="false">CB50*BZ50</f>
        <v>0</v>
      </c>
      <c r="CE50" s="74" t="n">
        <f aca="false">($C50*$T50)+X50+$D$14</f>
        <v>0.5225</v>
      </c>
      <c r="CF50" s="74" t="n">
        <f aca="false">($C50*$U50)+$D$15</f>
        <v>0.5225</v>
      </c>
      <c r="CG50" s="65" t="n">
        <f aca="false">$V50+D$16</f>
        <v>0.99</v>
      </c>
      <c r="CH50" s="75" t="n">
        <f aca="false">IF(BZ50=0,0,SPRDOPT(CA50,CB50,$W50,$AM50,CE50,CF50,CG50,$D50,$D$20,0))</f>
        <v>0</v>
      </c>
      <c r="CI50" s="75" t="e">
        <f aca="false">IF(CA50=0,0,SPRDOPT(CA50,CB50,$W50,$AM50,CE50,CF50,CG50,$D50,$D$20,1))</f>
        <v>#NAME?</v>
      </c>
      <c r="CJ50" s="75" t="e">
        <f aca="false">IF(CB50=0,0,SPRDOPT(CA50,CB50,$W50,$AM50,CE50,CF50,CG50,$D50,$D$20,2))</f>
        <v>#NAME?</v>
      </c>
      <c r="CK50" s="75" t="n">
        <f aca="false">IF(CC50=0,0,SPRDOPT(CA50,CB50,$W50,$AM50,CE50,CF50,CG50,$D50,$D$20,3)/100)</f>
        <v>0</v>
      </c>
      <c r="CL50" s="75" t="n">
        <f aca="false">IF(CD50=0,0,SPRDOPT(CA50,CB50,$W50,$AM50,CE50,CF50,CG50,$D50,$D$20,4)/100)</f>
        <v>0</v>
      </c>
      <c r="CM50" s="75" t="e">
        <f aca="false">IF(CE50=0,0,SPRDOPT(CA50,CB50,$W50,$AM50,CE50,CF50,CG50,$D50,$D$20,5)/100)</f>
        <v>#NAME?</v>
      </c>
      <c r="CN50" s="75" t="e">
        <f aca="false">IF(CF50=0,0,SPRDOPT(CA50,CB50,$W50,$AM50,CE50,CF50,CG50,$D50,$D$20,6)/100)</f>
        <v>#NAME?</v>
      </c>
      <c r="CO50" s="75" t="e">
        <f aca="false">IF(CG50=0,0,SPRDOPT(CA50,CB50,$W50,$AM50,CE50,CF50,CG50,$D50,$D$20,7)/100)</f>
        <v>#NAME?</v>
      </c>
      <c r="CP50" s="75" t="n">
        <f aca="false">IF(CH50=0,0,SPRDOPT(CA50,CB50,$W50,$AM50,CE50,CF50,CG50,$D50,$D$20,9)/365)</f>
        <v>0</v>
      </c>
      <c r="CQ50" s="75" t="e">
        <f aca="false">CI50+CJ50</f>
        <v>#NAME?</v>
      </c>
      <c r="CR50" s="75" t="n">
        <f aca="false">CL50-CK50</f>
        <v>0</v>
      </c>
      <c r="CS50" s="75" t="e">
        <f aca="false">((CE50/CF50)*CM50)+CN50</f>
        <v>#NAME?</v>
      </c>
      <c r="CT50" s="75" t="n">
        <f aca="false">CG50*BZ50</f>
        <v>0</v>
      </c>
      <c r="CU50" s="76"/>
      <c r="CV50" s="37" t="n">
        <f aca="false">BZ50*CH50</f>
        <v>0</v>
      </c>
      <c r="CW50" s="37" t="e">
        <f aca="false">BZ50*CI50</f>
        <v>#NAME?</v>
      </c>
      <c r="CX50" s="37" t="e">
        <f aca="false">BZ50*CJ50</f>
        <v>#NAME?</v>
      </c>
      <c r="CY50" s="37" t="n">
        <f aca="false">BZ50*CK50</f>
        <v>0</v>
      </c>
      <c r="CZ50" s="37" t="n">
        <f aca="false">BZ50*CL50</f>
        <v>0</v>
      </c>
      <c r="DA50" s="37" t="e">
        <f aca="false">BZ50*CM50</f>
        <v>#NAME?</v>
      </c>
      <c r="DB50" s="37" t="e">
        <f aca="false">BZ50*CN50</f>
        <v>#NAME?</v>
      </c>
      <c r="DC50" s="37" t="e">
        <f aca="false">BZ50*CO50</f>
        <v>#NAME?</v>
      </c>
      <c r="DD50" s="37" t="n">
        <f aca="false">BZ50*CP50</f>
        <v>0</v>
      </c>
      <c r="DE50" s="37" t="e">
        <f aca="false">BZ50*CQ50</f>
        <v>#NAME?</v>
      </c>
      <c r="DF50" s="37" t="n">
        <f aca="false">BZ50*CR50</f>
        <v>0</v>
      </c>
      <c r="DG50" s="37" t="e">
        <f aca="false">BZ50*CS50</f>
        <v>#NAME?</v>
      </c>
      <c r="DI50" s="73" t="n">
        <f aca="false">IF($A50&gt;=DK$32,IF($A50&lt;=DK$33,$AN50,0),0)</f>
        <v>0</v>
      </c>
      <c r="DJ50" s="41" t="n">
        <f aca="false">$B50+$Y50+$F$12</f>
        <v>3.138</v>
      </c>
      <c r="DK50" s="41" t="n">
        <f aca="false">$B50+$Z50+$F$13</f>
        <v>3.408</v>
      </c>
      <c r="DL50" s="41" t="n">
        <f aca="false">DJ50*DI50</f>
        <v>0</v>
      </c>
      <c r="DM50" s="41" t="n">
        <f aca="false">DK50*DI50</f>
        <v>0</v>
      </c>
      <c r="DN50" s="74" t="n">
        <f aca="false">($C50*$AA50)+AE50+$F$14</f>
        <v>0.5225</v>
      </c>
      <c r="DO50" s="74" t="n">
        <f aca="false">($C50*$AB50)+$F$15</f>
        <v>0.5225</v>
      </c>
      <c r="DP50" s="65" t="n">
        <f aca="false">$AC50+$F$16</f>
        <v>0.99</v>
      </c>
      <c r="DQ50" s="75" t="n">
        <f aca="false">IF(DI50=0,0,SPRDOPT(DJ50,DK50,$AD50,$AM50,DN50,DO50,DP50,$D50,$F$20,0))</f>
        <v>0</v>
      </c>
      <c r="DR50" s="75" t="e">
        <f aca="false">IF(DJ50=0,0,SPRDOPT(DJ50,DK50,$AD50,$AM50,DN50,DO50,DP50,$D50,$F$20,1))</f>
        <v>#NAME?</v>
      </c>
      <c r="DS50" s="75" t="e">
        <f aca="false">IF(DK50=0,0,SPRDOPT(DJ50,DK50,$AD50,$AM50,DN50,DO50,DP50,$D50,$F$20,2))</f>
        <v>#NAME?</v>
      </c>
      <c r="DT50" s="75" t="n">
        <f aca="false">IF(DL50=0,0,SPRDOPT(DJ50,DK50,$AD50,$AM50,DN50,DO50,DP50,$D50,$F$20,3)/100)</f>
        <v>0</v>
      </c>
      <c r="DU50" s="75" t="n">
        <f aca="false">IF(DM50=0,0,SPRDOPT(DJ50,DK50,$AD50,$AM50,DN50,DO50,DP50,$D50,$F$20,4)/100)</f>
        <v>0</v>
      </c>
      <c r="DV50" s="75" t="e">
        <f aca="false">IF(DN50=0,0,SPRDOPT(DJ50,DK50,$AD50,$AM50,DN50,DO50,DP50,$D50,$F$20,5)/100)</f>
        <v>#NAME?</v>
      </c>
      <c r="DW50" s="75" t="e">
        <f aca="false">IF(DO50=0,0,SPRDOPT(DJ50,DK50,$AD50,$AM50,DN50,DO50,DP50,$D50,$F$20,6)/100)</f>
        <v>#NAME?</v>
      </c>
      <c r="DX50" s="75" t="e">
        <f aca="false">IF(DP50=0,0,SPRDOPT(DJ50,DK50,$AD50,$AM50,DN50,DO50,DP50,$D50,$F$20,7)/100)</f>
        <v>#NAME?</v>
      </c>
      <c r="DY50" s="75" t="n">
        <f aca="false">IF(DQ50=0,0,SPRDOPT(DJ50,DK50,$AD50,$AM50,DN50,DO50,DP50,$D50,$F$20,9)/365)</f>
        <v>0</v>
      </c>
      <c r="DZ50" s="75" t="e">
        <f aca="false">DR50+DS50</f>
        <v>#NAME?</v>
      </c>
      <c r="EA50" s="75" t="n">
        <f aca="false">DU50-DT50</f>
        <v>0</v>
      </c>
      <c r="EB50" s="75" t="e">
        <f aca="false">((DN50/DO50)*DV50)+DW50</f>
        <v>#NAME?</v>
      </c>
      <c r="EC50" s="75" t="n">
        <f aca="false">DP50*DI50</f>
        <v>0</v>
      </c>
      <c r="ED50" s="75"/>
      <c r="EE50" s="37" t="n">
        <f aca="false">DI50*DQ50</f>
        <v>0</v>
      </c>
      <c r="EF50" s="37" t="e">
        <f aca="false">DI50*DR50</f>
        <v>#NAME?</v>
      </c>
      <c r="EG50" s="37" t="e">
        <f aca="false">DI50*DS50</f>
        <v>#NAME?</v>
      </c>
      <c r="EH50" s="37" t="n">
        <f aca="false">DI50*DT50</f>
        <v>0</v>
      </c>
      <c r="EI50" s="37" t="n">
        <f aca="false">DI50*DU50</f>
        <v>0</v>
      </c>
      <c r="EJ50" s="37" t="e">
        <f aca="false">DI50*DV50</f>
        <v>#NAME?</v>
      </c>
      <c r="EK50" s="37" t="e">
        <f aca="false">DI50*DW50</f>
        <v>#NAME?</v>
      </c>
      <c r="EL50" s="37" t="e">
        <f aca="false">DI50*DX50</f>
        <v>#NAME?</v>
      </c>
      <c r="EM50" s="37" t="n">
        <f aca="false">DI50*DY50</f>
        <v>0</v>
      </c>
      <c r="EN50" s="37" t="e">
        <f aca="false">DI50*DZ50</f>
        <v>#NAME?</v>
      </c>
      <c r="EO50" s="37" t="n">
        <f aca="false">DI50*EA50</f>
        <v>0</v>
      </c>
      <c r="EP50" s="37" t="e">
        <f aca="false">DI50*EB50</f>
        <v>#NAME?</v>
      </c>
      <c r="ER50" s="73" t="n">
        <f aca="false">IF($A50&gt;=ET$32,IF($A50&lt;=ET$33,$AN50,0),0)</f>
        <v>0</v>
      </c>
      <c r="ES50" s="41" t="n">
        <f aca="false">$B50+$AF50+$H$12</f>
        <v>3.198</v>
      </c>
      <c r="ET50" s="41" t="n">
        <f aca="false">$B50+$AG50+$H$13</f>
        <v>3.408</v>
      </c>
      <c r="EU50" s="41" t="n">
        <f aca="false">ES50*ER50</f>
        <v>0</v>
      </c>
      <c r="EV50" s="41" t="n">
        <f aca="false">ET50*ER50</f>
        <v>0</v>
      </c>
      <c r="EW50" s="74" t="n">
        <f aca="false">($C50*$AH50)+AL50+$H$14</f>
        <v>0.5225</v>
      </c>
      <c r="EX50" s="74" t="n">
        <f aca="false">($C50*$AI50)+$H$15</f>
        <v>0.5225</v>
      </c>
      <c r="EY50" s="65" t="n">
        <f aca="false">$AJ50+$H$16</f>
        <v>0.99</v>
      </c>
      <c r="EZ50" s="75" t="n">
        <f aca="false">IF(ER50=0,0,SPRDOPT(ES50,ET50,$AK50,$AM50,EW50,EX50,EY50,$D50,$H$20,0))</f>
        <v>0</v>
      </c>
      <c r="FA50" s="75" t="e">
        <f aca="false">IF(ES50=0,0,SPRDOPT(ES50,ET50,$AK50,$AM50,EW50,EX50,EY50,$D50,$H$20,1))</f>
        <v>#NAME?</v>
      </c>
      <c r="FB50" s="75" t="e">
        <f aca="false">IF(ET50=0,0,SPRDOPT(ES50,ET50,$AK50,$AM50,EW50,EX50,EY50,$D50,$H$20,2))</f>
        <v>#NAME?</v>
      </c>
      <c r="FC50" s="75" t="n">
        <f aca="false">IF(EU50=0,0,SPRDOPT(ES50,ET50,$AK50,$AM50,EW50,EX50,EY50,$D50,$H$20,3)/100)</f>
        <v>0</v>
      </c>
      <c r="FD50" s="75" t="n">
        <f aca="false">IF(EV50=0,0,SPRDOPT(ES50,ET50,$AK50,$AM50,EW50,EX50,EY50,$D50,$H$20,4)/100)</f>
        <v>0</v>
      </c>
      <c r="FE50" s="75" t="e">
        <f aca="false">IF(EW50=0,0,SPRDOPT(ES50,ET50,$AK50,$AM50,EW50,EX50,EY50,$D50,$H$20,5)/100)</f>
        <v>#NAME?</v>
      </c>
      <c r="FF50" s="75" t="e">
        <f aca="false">IF(EX50=0,0,SPRDOPT(ES50,ET50,$AK50,$AM50,EW50,EX50,EY50,$D50,$H$20,6)/100)</f>
        <v>#NAME?</v>
      </c>
      <c r="FG50" s="75" t="e">
        <f aca="false">IF(EY50=0,0,SPRDOPT(ES50,ET50,$AK50,$AM50,EW50,EX50,EY50,$D50,$H$20,7)/100)</f>
        <v>#NAME?</v>
      </c>
      <c r="FH50" s="75" t="n">
        <f aca="false">IF(EZ50=0,0,SPRDOPT(ES50,ET50,$AK50,$AM50,EW50,EX50,EY50,$D50,$H$20,9)/365)</f>
        <v>0</v>
      </c>
      <c r="FI50" s="75" t="e">
        <f aca="false">FA50+FB50</f>
        <v>#NAME?</v>
      </c>
      <c r="FJ50" s="75" t="n">
        <f aca="false">FD50-FC50</f>
        <v>0</v>
      </c>
      <c r="FK50" s="75" t="e">
        <f aca="false">((EW50/EX50)*FE50)+FF50</f>
        <v>#NAME?</v>
      </c>
      <c r="FL50" s="75" t="n">
        <f aca="false">EY50*ER50</f>
        <v>0</v>
      </c>
      <c r="FM50" s="75"/>
      <c r="FN50" s="37" t="n">
        <f aca="false">$ER50*EZ50</f>
        <v>0</v>
      </c>
      <c r="FO50" s="37" t="e">
        <f aca="false">$ER50*FA50</f>
        <v>#NAME?</v>
      </c>
      <c r="FP50" s="37" t="e">
        <f aca="false">$ER50*FB50</f>
        <v>#NAME?</v>
      </c>
      <c r="FQ50" s="37" t="n">
        <f aca="false">$ER50*FC50</f>
        <v>0</v>
      </c>
      <c r="FR50" s="37" t="n">
        <f aca="false">$ER50*FD50</f>
        <v>0</v>
      </c>
      <c r="FS50" s="37" t="e">
        <f aca="false">$ER50*FE50</f>
        <v>#NAME?</v>
      </c>
      <c r="FT50" s="37" t="e">
        <f aca="false">$ER50*FF50</f>
        <v>#NAME?</v>
      </c>
      <c r="FU50" s="37" t="e">
        <f aca="false">$ER50*FG50</f>
        <v>#NAME?</v>
      </c>
      <c r="FV50" s="37" t="n">
        <f aca="false">$ER50*FH50</f>
        <v>0</v>
      </c>
      <c r="FW50" s="37" t="e">
        <f aca="false">$ER50*FI50</f>
        <v>#NAME?</v>
      </c>
      <c r="FX50" s="37" t="n">
        <f aca="false">$ER50*FJ50</f>
        <v>0</v>
      </c>
      <c r="FY50" s="37" t="e">
        <f aca="false">$ER50*FK50</f>
        <v>#NAME?</v>
      </c>
      <c r="GA50" s="77" t="e">
        <f aca="false">VLOOKUP(A50,skewmonthlook,2,FALSE())</f>
        <v>#REF!</v>
      </c>
      <c r="GB50" s="0" t="e">
        <f aca="false">CONCATENATE(B$3,$GA50)</f>
        <v>#REF!</v>
      </c>
      <c r="GC50" s="0" t="e">
        <f aca="false">CONCATENATE(D$3,$GA50)</f>
        <v>#REF!</v>
      </c>
      <c r="GD50" s="0" t="e">
        <f aca="false">CONCATENATE(F$3,$GA50)</f>
        <v>#REF!</v>
      </c>
      <c r="GE50" s="0" t="e">
        <f aca="false">CONCATENATE(H$3,$GA50)</f>
        <v>#REF!</v>
      </c>
      <c r="GG50" s="65" t="e">
        <f aca="false">VLOOKUP(GB50,skewlook,HLOOKUP($P50,skewlook,2),FALSE())</f>
        <v>#REF!</v>
      </c>
      <c r="GH50" s="65" t="e">
        <f aca="false">VLOOKUP(GC50,skewlook,HLOOKUP($W50,skewlook,2),FALSE())</f>
        <v>#REF!</v>
      </c>
      <c r="GI50" s="65" t="e">
        <f aca="false">VLOOKUP(GD50,skewlook,HLOOKUP($AD50,skewlook,2),FALSE())</f>
        <v>#REF!</v>
      </c>
      <c r="GJ50" s="65" t="e">
        <f aca="false">VLOOKUP(GE50,skewlook,HLOOKUP($AK50,skewlook,2),FALSE())</f>
        <v>#REF!</v>
      </c>
    </row>
    <row r="51" customFormat="false" ht="12.75" hidden="false" customHeight="false" outlineLevel="0" collapsed="false">
      <c r="A51" s="62" t="n">
        <f aca="false">DATE(YEAR(A50),MONTH(A50)+1,1)</f>
        <v>37653</v>
      </c>
      <c r="B51" s="63" t="n">
        <f aca="false">VLOOKUP(A51,STRADDLE,5,FALSE())</f>
        <v>3.337</v>
      </c>
      <c r="C51" s="4" t="n">
        <f aca="false">VLOOKUP(A51,STRADDLE,8,FALSE())</f>
        <v>0.5125</v>
      </c>
      <c r="D51" s="64" t="n">
        <f aca="false">VLOOKUP(A51,expiration,2,FALSE())-$B$2</f>
        <v>-8277</v>
      </c>
      <c r="E51" s="65" t="e">
        <f aca="false">AY51</f>
        <v>#NAME?</v>
      </c>
      <c r="F51" s="65" t="e">
        <f aca="false">CI51</f>
        <v>#NAME?</v>
      </c>
      <c r="G51" s="65" t="e">
        <f aca="false">DR51</f>
        <v>#NAME?</v>
      </c>
      <c r="H51" s="65" t="e">
        <f aca="false">FA51</f>
        <v>#NAME?</v>
      </c>
      <c r="I51" s="66" t="e">
        <f aca="false">G51-H51</f>
        <v>#NAME?</v>
      </c>
      <c r="J51" s="67"/>
      <c r="K51" s="63" t="n">
        <f aca="false">IF($B$3="NYMEX",0,VLOOKUP($A51,curvesettle,HLOOKUP($B$3,curvesettle,2,FALSE()),FALSE()))</f>
        <v>-0.1475</v>
      </c>
      <c r="L51" s="63" t="n">
        <f aca="false">IF($B$4="NYMEX",0,VLOOKUP($A51,curvesettle,HLOOKUP($B$4,curvesettle,2,FALSE()),FALSE()))</f>
        <v>0</v>
      </c>
      <c r="M51" s="65" t="n">
        <f aca="false">IF(ISNUMBER(VLOOKUP($A51,VOLCURVES,HLOOKUP($B$3,VOLCURVES,2,FALSE()),FALSE())),VLOOKUP($A51,VOLCURVES,HLOOKUP($B$3,VOLCURVES,2,FALSE()),FALSE()),1)</f>
        <v>1</v>
      </c>
      <c r="N51" s="65" t="n">
        <f aca="false">IF(ISNUMBER(VLOOKUP($A51,VOLCURVES,HLOOKUP($B$4,VOLCURVES,2,FALSE()),FALSE())),VLOOKUP($A51,VOLCURVES,HLOOKUP($B$4,VOLCURVES,2,FALSE()),FALSE()),1)</f>
        <v>1</v>
      </c>
      <c r="O51" s="65" t="n">
        <f aca="false">IF(ISNUMBER(VLOOKUP($A51,CORETABLE,HLOOKUP($B$3,CORETABLE,2,FALSE()),FALSE())),VLOOKUP($A51,CORETABLE,HLOOKUP($B$3,CORETABLE,2,FALSE()),FALSE()),0.99)</f>
        <v>0.9945</v>
      </c>
      <c r="P51" s="68" t="n">
        <f aca="false">B$19</f>
        <v>-0.2</v>
      </c>
      <c r="Q51" s="69" t="n">
        <f aca="false">IF($B$18=1,IF(ISNUMBER($GG51),$GG51,0),0)</f>
        <v>0</v>
      </c>
      <c r="R51" s="70" t="n">
        <f aca="false">IF($D$3="NYMEX",0,VLOOKUP($A51,curvesettle,HLOOKUP($D$3,curvesettle,2,FALSE()),FALSE()))</f>
        <v>0.02</v>
      </c>
      <c r="S51" s="63" t="n">
        <f aca="false">IF($D$4="NYMEX",0,VLOOKUP($A51,curvesettle,HLOOKUP($D$4,curvesettle,2,FALSE()),FALSE()))</f>
        <v>0</v>
      </c>
      <c r="T51" s="65" t="n">
        <f aca="false">IF(ISNUMBER(VLOOKUP($A51,VOLCURVES,HLOOKUP($D$3,VOLCURVES,2,FALSE()),FALSE())),VLOOKUP($A51,VOLCURVES,HLOOKUP($D$3,VOLCURVES,2,FALSE()),FALSE()),1)</f>
        <v>1</v>
      </c>
      <c r="U51" s="65" t="n">
        <f aca="false">IF(ISNUMBER(VLOOKUP($A51,VOLCURVES,HLOOKUP($D$4,VOLCURVES,2,FALSE()),FALSE())),VLOOKUP($A51,VOLCURVES,HLOOKUP($D$4,VOLCURVES,2,FALSE()),FALSE()),1)</f>
        <v>1</v>
      </c>
      <c r="V51" s="65" t="n">
        <f aca="false">IF(ISNUMBER(VLOOKUP($A51,CORETABLE,HLOOKUP($D$3,CORETABLE,2,FALSE()),FALSE())),VLOOKUP($A51,CORETABLE,HLOOKUP($D$3,CORETABLE,2,FALSE()),FALSE()),0.99)</f>
        <v>0.99</v>
      </c>
      <c r="W51" s="68" t="n">
        <f aca="false">D$19</f>
        <v>0</v>
      </c>
      <c r="X51" s="69" t="n">
        <f aca="false">IF($D$18=1,IF(ISNUMBER($GH51),$GH51,0),0)</f>
        <v>0</v>
      </c>
      <c r="Y51" s="71" t="n">
        <f aca="false">IF($F$3="NYMEX",0,VLOOKUP($A51,curvesettle,HLOOKUP($F$3,curvesettle,2,FALSE()),FALSE()))</f>
        <v>-0.26</v>
      </c>
      <c r="Z51" s="63" t="n">
        <f aca="false">IF($F$4="NYMEX",0,VLOOKUP($A51,curvesettle,HLOOKUP($F$4,curvesettle,2,FALSE()),FALSE()))</f>
        <v>0</v>
      </c>
      <c r="AA51" s="65" t="n">
        <v>1</v>
      </c>
      <c r="AB51" s="65" t="n">
        <f aca="false">IF(ISNUMBER(VLOOKUP($A51,VOLCURVES,HLOOKUP($F$4,VOLCURVES,2,FALSE()),FALSE())),VLOOKUP($A51,VOLCURVES,HLOOKUP($F$4,VOLCURVES,2,FALSE()),FALSE()),1)</f>
        <v>1</v>
      </c>
      <c r="AC51" s="65" t="n">
        <f aca="false">IF(ISNUMBER(VLOOKUP($A51,CORETABLE,HLOOKUP($F$3,CORETABLE,2,FALSE()),FALSE())),VLOOKUP($A51,CORETABLE,HLOOKUP($F$3,CORETABLE,2,FALSE()),FALSE()),0.99)</f>
        <v>0.99</v>
      </c>
      <c r="AD51" s="68" t="n">
        <f aca="false">F$19</f>
        <v>-0.6</v>
      </c>
      <c r="AE51" s="69" t="n">
        <f aca="false">IF($F$18=1,IF(ISNUMBER($GI51),$GI51,0),0)</f>
        <v>0</v>
      </c>
      <c r="AF51" s="63" t="n">
        <f aca="false">IF($H$3="NYMEX",0,VLOOKUP($A51,curvesettle,HLOOKUP($H$3,curvesettle,2,FALSE()),FALSE()))</f>
        <v>-0.26</v>
      </c>
      <c r="AG51" s="63" t="n">
        <f aca="false">IF($H$4="NYMEX",0,VLOOKUP($A51,curvesettle,HLOOKUP($H$4,curvesettle,2,FALSE()),FALSE()))</f>
        <v>0</v>
      </c>
      <c r="AH51" s="65" t="n">
        <f aca="false">IF(ISNUMBER(VLOOKUP($A51,VOLCURVES,HLOOKUP($H$3,VOLCURVES,2,FALSE()),FALSE())),VLOOKUP($A51,VOLCURVES,HLOOKUP($H$3,VOLCURVES,2,FALSE()),FALSE()),1)</f>
        <v>1</v>
      </c>
      <c r="AI51" s="65" t="n">
        <f aca="false">IF(ISNUMBER(VLOOKUP($A51,VOLCURVES,HLOOKUP($H$4,VOLCURVES,2,FALSE()),FALSE())),VLOOKUP($A51,VOLCURVES,HLOOKUP($H$4,VOLCURVES,2,FALSE()),FALSE()),1)</f>
        <v>1</v>
      </c>
      <c r="AJ51" s="65" t="n">
        <f aca="false">IF(ISNUMBER(VLOOKUP($A51,CORETABLE,HLOOKUP($H$3,CORETABLE,2,FALSE()),FALSE())),VLOOKUP($A51,CORETABLE,HLOOKUP($H$3,CORETABLE,2,FALSE()),FALSE()),0.99)</f>
        <v>0.99</v>
      </c>
      <c r="AK51" s="68" t="n">
        <f aca="false">H$19</f>
        <v>-0.45</v>
      </c>
      <c r="AL51" s="69" t="n">
        <f aca="false">IF($H$18=1,IF(ISNUMBER($GJ51),$GJ51,0),0)</f>
        <v>0</v>
      </c>
      <c r="AM51" s="4" t="n">
        <f aca="false">VLOOKUP($A51,STRADDLE,14,FALSE())</f>
        <v>0.0245876750219147</v>
      </c>
      <c r="AN51" s="72" t="n">
        <f aca="false">A52-A51</f>
        <v>28</v>
      </c>
      <c r="AO51" s="1" t="n">
        <f aca="false">AO50+1</f>
        <v>14</v>
      </c>
      <c r="AP51" s="73" t="n">
        <f aca="false">IF($A51&gt;=AR$32,IF($A51&lt;=AR$33,$AN51,0),0)</f>
        <v>28</v>
      </c>
      <c r="AQ51" s="41" t="n">
        <f aca="false">$B51+$K51+$B$12</f>
        <v>3.1895</v>
      </c>
      <c r="AR51" s="41" t="n">
        <f aca="false">$B51+$L51+$B$13</f>
        <v>3.337</v>
      </c>
      <c r="AS51" s="41" t="n">
        <f aca="false">AQ51*AP51</f>
        <v>89.306</v>
      </c>
      <c r="AT51" s="41" t="n">
        <f aca="false">AR51*AP51</f>
        <v>93.436</v>
      </c>
      <c r="AU51" s="74" t="n">
        <f aca="false">($C51*$M51)+Q51+$B$14</f>
        <v>0.5125</v>
      </c>
      <c r="AV51" s="74" t="n">
        <f aca="false">($C51*$N51)+$B$15</f>
        <v>0.5125</v>
      </c>
      <c r="AW51" s="65" t="n">
        <f aca="false">O51+B$16</f>
        <v>0.999</v>
      </c>
      <c r="AX51" s="75" t="e">
        <f aca="false">IF(AP51=0,0,SPRDOPT(AQ51,AR51,$P51,$AM51,AU51,AV51,AW51,$D51,$B$20,0))</f>
        <v>#NAME?</v>
      </c>
      <c r="AY51" s="75" t="e">
        <f aca="false">IF(AQ51=0,0,SPRDOPT(AQ51,AR51,$P51,$AM51,AU51,AV51,AW51,$D51,$B$20,1))</f>
        <v>#NAME?</v>
      </c>
      <c r="AZ51" s="75" t="e">
        <f aca="false">IF(AR51=0,0,SPRDOPT(AQ51,AR51,$P51,$AM51,AU51,AV51,AW51,$D51,$B$20,2))</f>
        <v>#NAME?</v>
      </c>
      <c r="BA51" s="75" t="e">
        <f aca="false">IF(AS51=0,0,SPRDOPT(AQ51,AR51,$P51,$AM51,AU51,AV51,AW51,$D51,$B$20,3)/100)</f>
        <v>#NAME?</v>
      </c>
      <c r="BB51" s="75" t="e">
        <f aca="false">IF(AT51=0,0,SPRDOPT(AQ51,AR51,$P51,$AM51,AU51,AV51,AW51,$D51,$B$20,4)/100)</f>
        <v>#NAME?</v>
      </c>
      <c r="BC51" s="75" t="e">
        <f aca="false">IF(AU51=0,0,SPRDOPT(AQ51,AR51,$P51,$AM51,AU51,AV51,AW51,$D51,$B$20,5)/100)</f>
        <v>#NAME?</v>
      </c>
      <c r="BD51" s="75" t="e">
        <f aca="false">IF(AV51=0,0,SPRDOPT(AQ51,AR51,$P51,$AM51,AU51,AV51,AW51,$D51,$B$20,6)/100)</f>
        <v>#NAME?</v>
      </c>
      <c r="BE51" s="75" t="e">
        <f aca="false">IF(AW51=0,0,SPRDOPT(AQ51,AR51,$P51,$AM51,AU51,AV51,AW51,$D51,$B$20,7)/100)</f>
        <v>#NAME?</v>
      </c>
      <c r="BF51" s="75" t="e">
        <f aca="false">IF(AX51=0,0,SPRDOPT(AQ51,AR51,$P51,$AM51,AU51,AV51,AW51,$D51,$B$20,9)/365)</f>
        <v>#NAME?</v>
      </c>
      <c r="BG51" s="75" t="e">
        <f aca="false">AY51+AZ51</f>
        <v>#NAME?</v>
      </c>
      <c r="BH51" s="75" t="e">
        <f aca="false">BB51-BA51</f>
        <v>#NAME?</v>
      </c>
      <c r="BI51" s="75" t="e">
        <f aca="false">((AU51/AV51)*BC51)+BD51</f>
        <v>#NAME?</v>
      </c>
      <c r="BJ51" s="75" t="n">
        <f aca="false">AW51*AP51</f>
        <v>27.972</v>
      </c>
      <c r="BK51" s="76"/>
      <c r="BL51" s="37" t="e">
        <f aca="false">$AP51*AX51</f>
        <v>#NAME?</v>
      </c>
      <c r="BM51" s="37" t="e">
        <f aca="false">$AP51*AY51</f>
        <v>#NAME?</v>
      </c>
      <c r="BN51" s="37" t="e">
        <f aca="false">$AP51*AZ51</f>
        <v>#NAME?</v>
      </c>
      <c r="BO51" s="37" t="e">
        <f aca="false">$AP51*BA51</f>
        <v>#NAME?</v>
      </c>
      <c r="BP51" s="37" t="e">
        <f aca="false">$AP51*BB51</f>
        <v>#NAME?</v>
      </c>
      <c r="BQ51" s="37" t="e">
        <f aca="false">$AP51*BC51</f>
        <v>#NAME?</v>
      </c>
      <c r="BR51" s="37" t="e">
        <f aca="false">$AP51*BD51</f>
        <v>#NAME?</v>
      </c>
      <c r="BS51" s="37" t="e">
        <f aca="false">$AP51*BE51</f>
        <v>#NAME?</v>
      </c>
      <c r="BT51" s="37" t="e">
        <f aca="false">$AP51*BF51</f>
        <v>#NAME?</v>
      </c>
      <c r="BU51" s="37" t="e">
        <f aca="false">$AP51*BG51</f>
        <v>#NAME?</v>
      </c>
      <c r="BV51" s="37" t="e">
        <f aca="false">$AP51*BH51</f>
        <v>#NAME?</v>
      </c>
      <c r="BW51" s="37" t="e">
        <f aca="false">$AP51*BI51</f>
        <v>#NAME?</v>
      </c>
      <c r="BX51" s="37"/>
      <c r="BZ51" s="73" t="n">
        <f aca="false">IF($A51&gt;=CB$32,IF($A51&lt;=CB$33,$AN51,0),0)</f>
        <v>0</v>
      </c>
      <c r="CA51" s="41" t="n">
        <f aca="false">$B51+$R51+$D$12</f>
        <v>3.357</v>
      </c>
      <c r="CB51" s="41" t="n">
        <f aca="false">$B51+$S51+$D$13</f>
        <v>3.337</v>
      </c>
      <c r="CC51" s="41" t="n">
        <f aca="false">CA51*BZ51</f>
        <v>0</v>
      </c>
      <c r="CD51" s="41" t="n">
        <f aca="false">CB51*BZ51</f>
        <v>0</v>
      </c>
      <c r="CE51" s="74" t="n">
        <f aca="false">($C51*$T51)+X51+$D$14</f>
        <v>0.5125</v>
      </c>
      <c r="CF51" s="74" t="n">
        <f aca="false">($C51*$U51)+$D$15</f>
        <v>0.5125</v>
      </c>
      <c r="CG51" s="65" t="n">
        <f aca="false">$V51+D$16</f>
        <v>0.99</v>
      </c>
      <c r="CH51" s="75" t="n">
        <f aca="false">IF(BZ51=0,0,SPRDOPT(CA51,CB51,$W51,$AM51,CE51,CF51,CG51,$D51,$D$20,0))</f>
        <v>0</v>
      </c>
      <c r="CI51" s="75" t="e">
        <f aca="false">IF(CA51=0,0,SPRDOPT(CA51,CB51,$W51,$AM51,CE51,CF51,CG51,$D51,$D$20,1))</f>
        <v>#NAME?</v>
      </c>
      <c r="CJ51" s="75" t="e">
        <f aca="false">IF(CB51=0,0,SPRDOPT(CA51,CB51,$W51,$AM51,CE51,CF51,CG51,$D51,$D$20,2))</f>
        <v>#NAME?</v>
      </c>
      <c r="CK51" s="75" t="n">
        <f aca="false">IF(CC51=0,0,SPRDOPT(CA51,CB51,$W51,$AM51,CE51,CF51,CG51,$D51,$D$20,3)/100)</f>
        <v>0</v>
      </c>
      <c r="CL51" s="75" t="n">
        <f aca="false">IF(CD51=0,0,SPRDOPT(CA51,CB51,$W51,$AM51,CE51,CF51,CG51,$D51,$D$20,4)/100)</f>
        <v>0</v>
      </c>
      <c r="CM51" s="75" t="e">
        <f aca="false">IF(CE51=0,0,SPRDOPT(CA51,CB51,$W51,$AM51,CE51,CF51,CG51,$D51,$D$20,5)/100)</f>
        <v>#NAME?</v>
      </c>
      <c r="CN51" s="75" t="e">
        <f aca="false">IF(CF51=0,0,SPRDOPT(CA51,CB51,$W51,$AM51,CE51,CF51,CG51,$D51,$D$20,6)/100)</f>
        <v>#NAME?</v>
      </c>
      <c r="CO51" s="75" t="e">
        <f aca="false">IF(CG51=0,0,SPRDOPT(CA51,CB51,$W51,$AM51,CE51,CF51,CG51,$D51,$D$20,7)/100)</f>
        <v>#NAME?</v>
      </c>
      <c r="CP51" s="75" t="n">
        <f aca="false">IF(CH51=0,0,SPRDOPT(CA51,CB51,$W51,$AM51,CE51,CF51,CG51,$D51,$D$20,9)/365)</f>
        <v>0</v>
      </c>
      <c r="CQ51" s="75" t="e">
        <f aca="false">CI51+CJ51</f>
        <v>#NAME?</v>
      </c>
      <c r="CR51" s="75" t="n">
        <f aca="false">CL51-CK51</f>
        <v>0</v>
      </c>
      <c r="CS51" s="75" t="e">
        <f aca="false">((CE51/CF51)*CM51)+CN51</f>
        <v>#NAME?</v>
      </c>
      <c r="CT51" s="75" t="n">
        <f aca="false">CG51*BZ51</f>
        <v>0</v>
      </c>
      <c r="CU51" s="76"/>
      <c r="CV51" s="37" t="n">
        <f aca="false">BZ51*CH51</f>
        <v>0</v>
      </c>
      <c r="CW51" s="37" t="e">
        <f aca="false">BZ51*CI51</f>
        <v>#NAME?</v>
      </c>
      <c r="CX51" s="37" t="e">
        <f aca="false">BZ51*CJ51</f>
        <v>#NAME?</v>
      </c>
      <c r="CY51" s="37" t="n">
        <f aca="false">BZ51*CK51</f>
        <v>0</v>
      </c>
      <c r="CZ51" s="37" t="n">
        <f aca="false">BZ51*CL51</f>
        <v>0</v>
      </c>
      <c r="DA51" s="37" t="e">
        <f aca="false">BZ51*CM51</f>
        <v>#NAME?</v>
      </c>
      <c r="DB51" s="37" t="e">
        <f aca="false">BZ51*CN51</f>
        <v>#NAME?</v>
      </c>
      <c r="DC51" s="37" t="e">
        <f aca="false">BZ51*CO51</f>
        <v>#NAME?</v>
      </c>
      <c r="DD51" s="37" t="n">
        <f aca="false">BZ51*CP51</f>
        <v>0</v>
      </c>
      <c r="DE51" s="37" t="e">
        <f aca="false">BZ51*CQ51</f>
        <v>#NAME?</v>
      </c>
      <c r="DF51" s="37" t="n">
        <f aca="false">BZ51*CR51</f>
        <v>0</v>
      </c>
      <c r="DG51" s="37" t="e">
        <f aca="false">BZ51*CS51</f>
        <v>#NAME?</v>
      </c>
      <c r="DI51" s="73" t="n">
        <f aca="false">IF($A51&gt;=DK$32,IF($A51&lt;=DK$33,$AN51,0),0)</f>
        <v>0</v>
      </c>
      <c r="DJ51" s="41" t="n">
        <f aca="false">$B51+$Y51+$F$12</f>
        <v>3.077</v>
      </c>
      <c r="DK51" s="41" t="n">
        <f aca="false">$B51+$Z51+$F$13</f>
        <v>3.337</v>
      </c>
      <c r="DL51" s="41" t="n">
        <f aca="false">DJ51*DI51</f>
        <v>0</v>
      </c>
      <c r="DM51" s="41" t="n">
        <f aca="false">DK51*DI51</f>
        <v>0</v>
      </c>
      <c r="DN51" s="74" t="n">
        <f aca="false">($C51*$AA51)+AE51+$F$14</f>
        <v>0.5125</v>
      </c>
      <c r="DO51" s="74" t="n">
        <f aca="false">($C51*$AB51)+$F$15</f>
        <v>0.5125</v>
      </c>
      <c r="DP51" s="65" t="n">
        <f aca="false">$AC51+$F$16</f>
        <v>0.99</v>
      </c>
      <c r="DQ51" s="75" t="n">
        <f aca="false">IF(DI51=0,0,SPRDOPT(DJ51,DK51,$AD51,$AM51,DN51,DO51,DP51,$D51,$F$20,0))</f>
        <v>0</v>
      </c>
      <c r="DR51" s="75" t="e">
        <f aca="false">IF(DJ51=0,0,SPRDOPT(DJ51,DK51,$AD51,$AM51,DN51,DO51,DP51,$D51,$F$20,1))</f>
        <v>#NAME?</v>
      </c>
      <c r="DS51" s="75" t="e">
        <f aca="false">IF(DK51=0,0,SPRDOPT(DJ51,DK51,$AD51,$AM51,DN51,DO51,DP51,$D51,$F$20,2))</f>
        <v>#NAME?</v>
      </c>
      <c r="DT51" s="75" t="n">
        <f aca="false">IF(DL51=0,0,SPRDOPT(DJ51,DK51,$AD51,$AM51,DN51,DO51,DP51,$D51,$F$20,3)/100)</f>
        <v>0</v>
      </c>
      <c r="DU51" s="75" t="n">
        <f aca="false">IF(DM51=0,0,SPRDOPT(DJ51,DK51,$AD51,$AM51,DN51,DO51,DP51,$D51,$F$20,4)/100)</f>
        <v>0</v>
      </c>
      <c r="DV51" s="75" t="e">
        <f aca="false">IF(DN51=0,0,SPRDOPT(DJ51,DK51,$AD51,$AM51,DN51,DO51,DP51,$D51,$F$20,5)/100)</f>
        <v>#NAME?</v>
      </c>
      <c r="DW51" s="75" t="e">
        <f aca="false">IF(DO51=0,0,SPRDOPT(DJ51,DK51,$AD51,$AM51,DN51,DO51,DP51,$D51,$F$20,6)/100)</f>
        <v>#NAME?</v>
      </c>
      <c r="DX51" s="75" t="e">
        <f aca="false">IF(DP51=0,0,SPRDOPT(DJ51,DK51,$AD51,$AM51,DN51,DO51,DP51,$D51,$F$20,7)/100)</f>
        <v>#NAME?</v>
      </c>
      <c r="DY51" s="75" t="n">
        <f aca="false">IF(DQ51=0,0,SPRDOPT(DJ51,DK51,$AD51,$AM51,DN51,DO51,DP51,$D51,$F$20,9)/365)</f>
        <v>0</v>
      </c>
      <c r="DZ51" s="75" t="e">
        <f aca="false">DR51+DS51</f>
        <v>#NAME?</v>
      </c>
      <c r="EA51" s="75" t="n">
        <f aca="false">DU51-DT51</f>
        <v>0</v>
      </c>
      <c r="EB51" s="75" t="e">
        <f aca="false">((DN51/DO51)*DV51)+DW51</f>
        <v>#NAME?</v>
      </c>
      <c r="EC51" s="75" t="n">
        <f aca="false">DP51*DI51</f>
        <v>0</v>
      </c>
      <c r="ED51" s="75"/>
      <c r="EE51" s="37" t="n">
        <f aca="false">DI51*DQ51</f>
        <v>0</v>
      </c>
      <c r="EF51" s="37" t="e">
        <f aca="false">DI51*DR51</f>
        <v>#NAME?</v>
      </c>
      <c r="EG51" s="37" t="e">
        <f aca="false">DI51*DS51</f>
        <v>#NAME?</v>
      </c>
      <c r="EH51" s="37" t="n">
        <f aca="false">DI51*DT51</f>
        <v>0</v>
      </c>
      <c r="EI51" s="37" t="n">
        <f aca="false">DI51*DU51</f>
        <v>0</v>
      </c>
      <c r="EJ51" s="37" t="e">
        <f aca="false">DI51*DV51</f>
        <v>#NAME?</v>
      </c>
      <c r="EK51" s="37" t="e">
        <f aca="false">DI51*DW51</f>
        <v>#NAME?</v>
      </c>
      <c r="EL51" s="37" t="e">
        <f aca="false">DI51*DX51</f>
        <v>#NAME?</v>
      </c>
      <c r="EM51" s="37" t="n">
        <f aca="false">DI51*DY51</f>
        <v>0</v>
      </c>
      <c r="EN51" s="37" t="e">
        <f aca="false">DI51*DZ51</f>
        <v>#NAME?</v>
      </c>
      <c r="EO51" s="37" t="n">
        <f aca="false">DI51*EA51</f>
        <v>0</v>
      </c>
      <c r="EP51" s="37" t="e">
        <f aca="false">DI51*EB51</f>
        <v>#NAME?</v>
      </c>
      <c r="ER51" s="73" t="n">
        <f aca="false">IF($A51&gt;=ET$32,IF($A51&lt;=ET$33,$AN51,0),0)</f>
        <v>0</v>
      </c>
      <c r="ES51" s="41" t="n">
        <f aca="false">$B51+$AF51+$H$12</f>
        <v>3.137</v>
      </c>
      <c r="ET51" s="41" t="n">
        <f aca="false">$B51+$AG51+$H$13</f>
        <v>3.337</v>
      </c>
      <c r="EU51" s="41" t="n">
        <f aca="false">ES51*ER51</f>
        <v>0</v>
      </c>
      <c r="EV51" s="41" t="n">
        <f aca="false">ET51*ER51</f>
        <v>0</v>
      </c>
      <c r="EW51" s="74" t="n">
        <f aca="false">($C51*$AH51)+AL51+$H$14</f>
        <v>0.5125</v>
      </c>
      <c r="EX51" s="74" t="n">
        <f aca="false">($C51*$AI51)+$H$15</f>
        <v>0.5125</v>
      </c>
      <c r="EY51" s="65" t="n">
        <f aca="false">$AJ51+$H$16</f>
        <v>0.99</v>
      </c>
      <c r="EZ51" s="75" t="n">
        <f aca="false">IF(ER51=0,0,SPRDOPT(ES51,ET51,$AK51,$AM51,EW51,EX51,EY51,$D51,$H$20,0))</f>
        <v>0</v>
      </c>
      <c r="FA51" s="75" t="e">
        <f aca="false">IF(ES51=0,0,SPRDOPT(ES51,ET51,$AK51,$AM51,EW51,EX51,EY51,$D51,$H$20,1))</f>
        <v>#NAME?</v>
      </c>
      <c r="FB51" s="75" t="e">
        <f aca="false">IF(ET51=0,0,SPRDOPT(ES51,ET51,$AK51,$AM51,EW51,EX51,EY51,$D51,$H$20,2))</f>
        <v>#NAME?</v>
      </c>
      <c r="FC51" s="75" t="n">
        <f aca="false">IF(EU51=0,0,SPRDOPT(ES51,ET51,$AK51,$AM51,EW51,EX51,EY51,$D51,$H$20,3)/100)</f>
        <v>0</v>
      </c>
      <c r="FD51" s="75" t="n">
        <f aca="false">IF(EV51=0,0,SPRDOPT(ES51,ET51,$AK51,$AM51,EW51,EX51,EY51,$D51,$H$20,4)/100)</f>
        <v>0</v>
      </c>
      <c r="FE51" s="75" t="e">
        <f aca="false">IF(EW51=0,0,SPRDOPT(ES51,ET51,$AK51,$AM51,EW51,EX51,EY51,$D51,$H$20,5)/100)</f>
        <v>#NAME?</v>
      </c>
      <c r="FF51" s="75" t="e">
        <f aca="false">IF(EX51=0,0,SPRDOPT(ES51,ET51,$AK51,$AM51,EW51,EX51,EY51,$D51,$H$20,6)/100)</f>
        <v>#NAME?</v>
      </c>
      <c r="FG51" s="75" t="e">
        <f aca="false">IF(EY51=0,0,SPRDOPT(ES51,ET51,$AK51,$AM51,EW51,EX51,EY51,$D51,$H$20,7)/100)</f>
        <v>#NAME?</v>
      </c>
      <c r="FH51" s="75" t="n">
        <f aca="false">IF(EZ51=0,0,SPRDOPT(ES51,ET51,$AK51,$AM51,EW51,EX51,EY51,$D51,$H$20,9)/365)</f>
        <v>0</v>
      </c>
      <c r="FI51" s="75" t="e">
        <f aca="false">FA51+FB51</f>
        <v>#NAME?</v>
      </c>
      <c r="FJ51" s="75" t="n">
        <f aca="false">FD51-FC51</f>
        <v>0</v>
      </c>
      <c r="FK51" s="75" t="e">
        <f aca="false">((EW51/EX51)*FE51)+FF51</f>
        <v>#NAME?</v>
      </c>
      <c r="FL51" s="75" t="n">
        <f aca="false">EY51*ER51</f>
        <v>0</v>
      </c>
      <c r="FM51" s="75"/>
      <c r="FN51" s="37" t="n">
        <f aca="false">$ER51*EZ51</f>
        <v>0</v>
      </c>
      <c r="FO51" s="37" t="e">
        <f aca="false">$ER51*FA51</f>
        <v>#NAME?</v>
      </c>
      <c r="FP51" s="37" t="e">
        <f aca="false">$ER51*FB51</f>
        <v>#NAME?</v>
      </c>
      <c r="FQ51" s="37" t="n">
        <f aca="false">$ER51*FC51</f>
        <v>0</v>
      </c>
      <c r="FR51" s="37" t="n">
        <f aca="false">$ER51*FD51</f>
        <v>0</v>
      </c>
      <c r="FS51" s="37" t="e">
        <f aca="false">$ER51*FE51</f>
        <v>#NAME?</v>
      </c>
      <c r="FT51" s="37" t="e">
        <f aca="false">$ER51*FF51</f>
        <v>#NAME?</v>
      </c>
      <c r="FU51" s="37" t="e">
        <f aca="false">$ER51*FG51</f>
        <v>#NAME?</v>
      </c>
      <c r="FV51" s="37" t="n">
        <f aca="false">$ER51*FH51</f>
        <v>0</v>
      </c>
      <c r="FW51" s="37" t="e">
        <f aca="false">$ER51*FI51</f>
        <v>#NAME?</v>
      </c>
      <c r="FX51" s="37" t="n">
        <f aca="false">$ER51*FJ51</f>
        <v>0</v>
      </c>
      <c r="FY51" s="37" t="e">
        <f aca="false">$ER51*FK51</f>
        <v>#NAME?</v>
      </c>
      <c r="GA51" s="77" t="e">
        <f aca="false">VLOOKUP(A51,skewmonthlook,2,FALSE())</f>
        <v>#REF!</v>
      </c>
      <c r="GB51" s="0" t="e">
        <f aca="false">CONCATENATE(B$3,$GA51)</f>
        <v>#REF!</v>
      </c>
      <c r="GC51" s="0" t="e">
        <f aca="false">CONCATENATE(D$3,$GA51)</f>
        <v>#REF!</v>
      </c>
      <c r="GD51" s="0" t="e">
        <f aca="false">CONCATENATE(F$3,$GA51)</f>
        <v>#REF!</v>
      </c>
      <c r="GE51" s="0" t="e">
        <f aca="false">CONCATENATE(H$3,$GA51)</f>
        <v>#REF!</v>
      </c>
      <c r="GG51" s="65" t="e">
        <f aca="false">VLOOKUP(GB51,skewlook,HLOOKUP($P51,skewlook,2),FALSE())</f>
        <v>#REF!</v>
      </c>
      <c r="GH51" s="65" t="e">
        <f aca="false">VLOOKUP(GC51,skewlook,HLOOKUP($W51,skewlook,2),FALSE())</f>
        <v>#REF!</v>
      </c>
      <c r="GI51" s="65" t="e">
        <f aca="false">VLOOKUP(GD51,skewlook,HLOOKUP($AD51,skewlook,2),FALSE())</f>
        <v>#REF!</v>
      </c>
      <c r="GJ51" s="65" t="e">
        <f aca="false">VLOOKUP(GE51,skewlook,HLOOKUP($AK51,skewlook,2),FALSE())</f>
        <v>#REF!</v>
      </c>
    </row>
    <row r="52" customFormat="false" ht="12.75" hidden="false" customHeight="false" outlineLevel="0" collapsed="false">
      <c r="A52" s="62" t="n">
        <f aca="false">DATE(YEAR(A51),MONTH(A51)+1,1)</f>
        <v>37681</v>
      </c>
      <c r="B52" s="63" t="n">
        <f aca="false">VLOOKUP(A52,STRADDLE,5,FALSE())</f>
        <v>3.247</v>
      </c>
      <c r="C52" s="4" t="n">
        <f aca="false">VLOOKUP(A52,STRADDLE,8,FALSE())</f>
        <v>0.4775</v>
      </c>
      <c r="D52" s="64" t="n">
        <f aca="false">VLOOKUP(A52,expiration,2,FALSE())-$B$2</f>
        <v>-8249</v>
      </c>
      <c r="E52" s="65" t="e">
        <f aca="false">AY52</f>
        <v>#NAME?</v>
      </c>
      <c r="F52" s="65" t="e">
        <f aca="false">CI52</f>
        <v>#NAME?</v>
      </c>
      <c r="G52" s="65" t="e">
        <f aca="false">DR52</f>
        <v>#NAME?</v>
      </c>
      <c r="H52" s="65" t="e">
        <f aca="false">FA52</f>
        <v>#NAME?</v>
      </c>
      <c r="I52" s="66" t="e">
        <f aca="false">G52-H52</f>
        <v>#NAME?</v>
      </c>
      <c r="J52" s="67"/>
      <c r="K52" s="63" t="n">
        <f aca="false">IF($B$3="NYMEX",0,VLOOKUP($A52,curvesettle,HLOOKUP($B$3,curvesettle,2,FALSE()),FALSE()))</f>
        <v>-0.145</v>
      </c>
      <c r="L52" s="63" t="n">
        <f aca="false">IF($B$4="NYMEX",0,VLOOKUP($A52,curvesettle,HLOOKUP($B$4,curvesettle,2,FALSE()),FALSE()))</f>
        <v>0</v>
      </c>
      <c r="M52" s="65" t="n">
        <f aca="false">IF(ISNUMBER(VLOOKUP($A52,VOLCURVES,HLOOKUP($B$3,VOLCURVES,2,FALSE()),FALSE())),VLOOKUP($A52,VOLCURVES,HLOOKUP($B$3,VOLCURVES,2,FALSE()),FALSE()),1)</f>
        <v>1</v>
      </c>
      <c r="N52" s="65" t="n">
        <f aca="false">IF(ISNUMBER(VLOOKUP($A52,VOLCURVES,HLOOKUP($B$4,VOLCURVES,2,FALSE()),FALSE())),VLOOKUP($A52,VOLCURVES,HLOOKUP($B$4,VOLCURVES,2,FALSE()),FALSE()),1)</f>
        <v>1</v>
      </c>
      <c r="O52" s="65" t="n">
        <f aca="false">IF(ISNUMBER(VLOOKUP($A52,CORETABLE,HLOOKUP($B$3,CORETABLE,2,FALSE()),FALSE())),VLOOKUP($A52,CORETABLE,HLOOKUP($B$3,CORETABLE,2,FALSE()),FALSE()),0.99)</f>
        <v>0.9945</v>
      </c>
      <c r="P52" s="68" t="n">
        <f aca="false">B$19</f>
        <v>-0.2</v>
      </c>
      <c r="Q52" s="69" t="n">
        <f aca="false">IF($B$18=1,IF(ISNUMBER($GG52),$GG52,0),0)</f>
        <v>0</v>
      </c>
      <c r="R52" s="70" t="n">
        <f aca="false">IF($D$3="NYMEX",0,VLOOKUP($A52,curvesettle,HLOOKUP($D$3,curvesettle,2,FALSE()),FALSE()))</f>
        <v>0.02</v>
      </c>
      <c r="S52" s="63" t="n">
        <f aca="false">IF($D$4="NYMEX",0,VLOOKUP($A52,curvesettle,HLOOKUP($D$4,curvesettle,2,FALSE()),FALSE()))</f>
        <v>0</v>
      </c>
      <c r="T52" s="65" t="n">
        <f aca="false">IF(ISNUMBER(VLOOKUP($A52,VOLCURVES,HLOOKUP($D$3,VOLCURVES,2,FALSE()),FALSE())),VLOOKUP($A52,VOLCURVES,HLOOKUP($D$3,VOLCURVES,2,FALSE()),FALSE()),1)</f>
        <v>1</v>
      </c>
      <c r="U52" s="65" t="n">
        <f aca="false">IF(ISNUMBER(VLOOKUP($A52,VOLCURVES,HLOOKUP($D$4,VOLCURVES,2,FALSE()),FALSE())),VLOOKUP($A52,VOLCURVES,HLOOKUP($D$4,VOLCURVES,2,FALSE()),FALSE()),1)</f>
        <v>1</v>
      </c>
      <c r="V52" s="65" t="n">
        <f aca="false">IF(ISNUMBER(VLOOKUP($A52,CORETABLE,HLOOKUP($D$3,CORETABLE,2,FALSE()),FALSE())),VLOOKUP($A52,CORETABLE,HLOOKUP($D$3,CORETABLE,2,FALSE()),FALSE()),0.99)</f>
        <v>0.99</v>
      </c>
      <c r="W52" s="68" t="n">
        <f aca="false">D$19</f>
        <v>0</v>
      </c>
      <c r="X52" s="69" t="n">
        <f aca="false">IF($D$18=1,IF(ISNUMBER($GH52),$GH52,0),0)</f>
        <v>0</v>
      </c>
      <c r="Y52" s="71" t="n">
        <f aca="false">IF($F$3="NYMEX",0,VLOOKUP($A52,curvesettle,HLOOKUP($F$3,curvesettle,2,FALSE()),FALSE()))</f>
        <v>-0.31</v>
      </c>
      <c r="Z52" s="63" t="n">
        <f aca="false">IF($F$4="NYMEX",0,VLOOKUP($A52,curvesettle,HLOOKUP($F$4,curvesettle,2,FALSE()),FALSE()))</f>
        <v>0</v>
      </c>
      <c r="AA52" s="65" t="n">
        <v>1</v>
      </c>
      <c r="AB52" s="65" t="n">
        <f aca="false">IF(ISNUMBER(VLOOKUP($A52,VOLCURVES,HLOOKUP($F$4,VOLCURVES,2,FALSE()),FALSE())),VLOOKUP($A52,VOLCURVES,HLOOKUP($F$4,VOLCURVES,2,FALSE()),FALSE()),1)</f>
        <v>1</v>
      </c>
      <c r="AC52" s="65" t="n">
        <f aca="false">IF(ISNUMBER(VLOOKUP($A52,CORETABLE,HLOOKUP($F$3,CORETABLE,2,FALSE()),FALSE())),VLOOKUP($A52,CORETABLE,HLOOKUP($F$3,CORETABLE,2,FALSE()),FALSE()),0.99)</f>
        <v>0.99</v>
      </c>
      <c r="AD52" s="68" t="n">
        <f aca="false">F$19</f>
        <v>-0.6</v>
      </c>
      <c r="AE52" s="69" t="n">
        <f aca="false">IF($F$18=1,IF(ISNUMBER($GI52),$GI52,0),0)</f>
        <v>0</v>
      </c>
      <c r="AF52" s="63" t="n">
        <f aca="false">IF($H$3="NYMEX",0,VLOOKUP($A52,curvesettle,HLOOKUP($H$3,curvesettle,2,FALSE()),FALSE()))</f>
        <v>-0.31</v>
      </c>
      <c r="AG52" s="63" t="n">
        <f aca="false">IF($H$4="NYMEX",0,VLOOKUP($A52,curvesettle,HLOOKUP($H$4,curvesettle,2,FALSE()),FALSE()))</f>
        <v>0</v>
      </c>
      <c r="AH52" s="65" t="n">
        <f aca="false">IF(ISNUMBER(VLOOKUP($A52,VOLCURVES,HLOOKUP($H$3,VOLCURVES,2,FALSE()),FALSE())),VLOOKUP($A52,VOLCURVES,HLOOKUP($H$3,VOLCURVES,2,FALSE()),FALSE()),1)</f>
        <v>1</v>
      </c>
      <c r="AI52" s="65" t="n">
        <f aca="false">IF(ISNUMBER(VLOOKUP($A52,VOLCURVES,HLOOKUP($H$4,VOLCURVES,2,FALSE()),FALSE())),VLOOKUP($A52,VOLCURVES,HLOOKUP($H$4,VOLCURVES,2,FALSE()),FALSE()),1)</f>
        <v>1</v>
      </c>
      <c r="AJ52" s="65" t="n">
        <f aca="false">IF(ISNUMBER(VLOOKUP($A52,CORETABLE,HLOOKUP($H$3,CORETABLE,2,FALSE()),FALSE())),VLOOKUP($A52,CORETABLE,HLOOKUP($H$3,CORETABLE,2,FALSE()),FALSE()),0.99)</f>
        <v>0.99</v>
      </c>
      <c r="AK52" s="68" t="n">
        <f aca="false">H$19</f>
        <v>-0.45</v>
      </c>
      <c r="AL52" s="69" t="n">
        <f aca="false">IF($H$18=1,IF(ISNUMBER($GJ52),$GJ52,0),0)</f>
        <v>0</v>
      </c>
      <c r="AM52" s="4" t="n">
        <f aca="false">VLOOKUP($A52,STRADDLE,14,FALSE())</f>
        <v>0.0254186359797437</v>
      </c>
      <c r="AN52" s="72" t="n">
        <f aca="false">A53-A52</f>
        <v>31</v>
      </c>
      <c r="AO52" s="1" t="n">
        <f aca="false">AO51+1</f>
        <v>15</v>
      </c>
      <c r="AP52" s="73" t="n">
        <f aca="false">IF($A52&gt;=AR$32,IF($A52&lt;=AR$33,$AN52,0),0)</f>
        <v>31</v>
      </c>
      <c r="AQ52" s="41" t="n">
        <f aca="false">$B52+$K52+$B$12</f>
        <v>3.102</v>
      </c>
      <c r="AR52" s="41" t="n">
        <f aca="false">$B52+$L52+$B$13</f>
        <v>3.247</v>
      </c>
      <c r="AS52" s="41" t="n">
        <f aca="false">AQ52*AP52</f>
        <v>96.162</v>
      </c>
      <c r="AT52" s="41" t="n">
        <f aca="false">AR52*AP52</f>
        <v>100.657</v>
      </c>
      <c r="AU52" s="74" t="n">
        <f aca="false">($C52*$M52)+Q52+$B$14</f>
        <v>0.4775</v>
      </c>
      <c r="AV52" s="74" t="n">
        <f aca="false">($C52*$N52)+$B$15</f>
        <v>0.4775</v>
      </c>
      <c r="AW52" s="65" t="n">
        <f aca="false">O52+B$16</f>
        <v>0.999</v>
      </c>
      <c r="AX52" s="75" t="e">
        <f aca="false">IF(AP52=0,0,SPRDOPT(AQ52,AR52,$P52,$AM52,AU52,AV52,AW52,$D52,$B$20,0))</f>
        <v>#NAME?</v>
      </c>
      <c r="AY52" s="75" t="e">
        <f aca="false">IF(AQ52=0,0,SPRDOPT(AQ52,AR52,$P52,$AM52,AU52,AV52,AW52,$D52,$B$20,1))</f>
        <v>#NAME?</v>
      </c>
      <c r="AZ52" s="75" t="e">
        <f aca="false">IF(AR52=0,0,SPRDOPT(AQ52,AR52,$P52,$AM52,AU52,AV52,AW52,$D52,$B$20,2))</f>
        <v>#NAME?</v>
      </c>
      <c r="BA52" s="75" t="e">
        <f aca="false">IF(AS52=0,0,SPRDOPT(AQ52,AR52,$P52,$AM52,AU52,AV52,AW52,$D52,$B$20,3)/100)</f>
        <v>#NAME?</v>
      </c>
      <c r="BB52" s="75" t="e">
        <f aca="false">IF(AT52=0,0,SPRDOPT(AQ52,AR52,$P52,$AM52,AU52,AV52,AW52,$D52,$B$20,4)/100)</f>
        <v>#NAME?</v>
      </c>
      <c r="BC52" s="75" t="e">
        <f aca="false">IF(AU52=0,0,SPRDOPT(AQ52,AR52,$P52,$AM52,AU52,AV52,AW52,$D52,$B$20,5)/100)</f>
        <v>#NAME?</v>
      </c>
      <c r="BD52" s="75" t="e">
        <f aca="false">IF(AV52=0,0,SPRDOPT(AQ52,AR52,$P52,$AM52,AU52,AV52,AW52,$D52,$B$20,6)/100)</f>
        <v>#NAME?</v>
      </c>
      <c r="BE52" s="75" t="e">
        <f aca="false">IF(AW52=0,0,SPRDOPT(AQ52,AR52,$P52,$AM52,AU52,AV52,AW52,$D52,$B$20,7)/100)</f>
        <v>#NAME?</v>
      </c>
      <c r="BF52" s="75" t="e">
        <f aca="false">IF(AX52=0,0,SPRDOPT(AQ52,AR52,$P52,$AM52,AU52,AV52,AW52,$D52,$B$20,9)/365)</f>
        <v>#NAME?</v>
      </c>
      <c r="BG52" s="75" t="e">
        <f aca="false">AY52+AZ52</f>
        <v>#NAME?</v>
      </c>
      <c r="BH52" s="75" t="e">
        <f aca="false">BB52-BA52</f>
        <v>#NAME?</v>
      </c>
      <c r="BI52" s="75" t="e">
        <f aca="false">((AU52/AV52)*BC52)+BD52</f>
        <v>#NAME?</v>
      </c>
      <c r="BJ52" s="75" t="n">
        <f aca="false">AW52*AP52</f>
        <v>30.969</v>
      </c>
      <c r="BK52" s="76"/>
      <c r="BL52" s="37" t="e">
        <f aca="false">$AP52*AX52</f>
        <v>#NAME?</v>
      </c>
      <c r="BM52" s="37" t="e">
        <f aca="false">$AP52*AY52</f>
        <v>#NAME?</v>
      </c>
      <c r="BN52" s="37" t="e">
        <f aca="false">$AP52*AZ52</f>
        <v>#NAME?</v>
      </c>
      <c r="BO52" s="37" t="e">
        <f aca="false">$AP52*BA52</f>
        <v>#NAME?</v>
      </c>
      <c r="BP52" s="37" t="e">
        <f aca="false">$AP52*BB52</f>
        <v>#NAME?</v>
      </c>
      <c r="BQ52" s="37" t="e">
        <f aca="false">$AP52*BC52</f>
        <v>#NAME?</v>
      </c>
      <c r="BR52" s="37" t="e">
        <f aca="false">$AP52*BD52</f>
        <v>#NAME?</v>
      </c>
      <c r="BS52" s="37" t="e">
        <f aca="false">$AP52*BE52</f>
        <v>#NAME?</v>
      </c>
      <c r="BT52" s="37" t="e">
        <f aca="false">$AP52*BF52</f>
        <v>#NAME?</v>
      </c>
      <c r="BU52" s="37" t="e">
        <f aca="false">$AP52*BG52</f>
        <v>#NAME?</v>
      </c>
      <c r="BV52" s="37" t="e">
        <f aca="false">$AP52*BH52</f>
        <v>#NAME?</v>
      </c>
      <c r="BW52" s="37" t="e">
        <f aca="false">$AP52*BI52</f>
        <v>#NAME?</v>
      </c>
      <c r="BX52" s="37"/>
      <c r="BZ52" s="73" t="n">
        <f aca="false">IF($A52&gt;=CB$32,IF($A52&lt;=CB$33,$AN52,0),0)</f>
        <v>0</v>
      </c>
      <c r="CA52" s="41" t="n">
        <f aca="false">$B52+$R52+$D$12</f>
        <v>3.267</v>
      </c>
      <c r="CB52" s="41" t="n">
        <f aca="false">$B52+$S52+$D$13</f>
        <v>3.247</v>
      </c>
      <c r="CC52" s="41" t="n">
        <f aca="false">CA52*BZ52</f>
        <v>0</v>
      </c>
      <c r="CD52" s="41" t="n">
        <f aca="false">CB52*BZ52</f>
        <v>0</v>
      </c>
      <c r="CE52" s="74" t="n">
        <f aca="false">($C52*$T52)+X52+$D$14</f>
        <v>0.4775</v>
      </c>
      <c r="CF52" s="74" t="n">
        <f aca="false">($C52*$U52)+$D$15</f>
        <v>0.4775</v>
      </c>
      <c r="CG52" s="65" t="n">
        <f aca="false">$V52+D$16</f>
        <v>0.99</v>
      </c>
      <c r="CH52" s="75" t="n">
        <f aca="false">IF(BZ52=0,0,SPRDOPT(CA52,CB52,$W52,$AM52,CE52,CF52,CG52,$D52,$D$20,0))</f>
        <v>0</v>
      </c>
      <c r="CI52" s="75" t="e">
        <f aca="false">IF(CA52=0,0,SPRDOPT(CA52,CB52,$W52,$AM52,CE52,CF52,CG52,$D52,$D$20,1))</f>
        <v>#NAME?</v>
      </c>
      <c r="CJ52" s="75" t="e">
        <f aca="false">IF(CB52=0,0,SPRDOPT(CA52,CB52,$W52,$AM52,CE52,CF52,CG52,$D52,$D$20,2))</f>
        <v>#NAME?</v>
      </c>
      <c r="CK52" s="75" t="n">
        <f aca="false">IF(CC52=0,0,SPRDOPT(CA52,CB52,$W52,$AM52,CE52,CF52,CG52,$D52,$D$20,3)/100)</f>
        <v>0</v>
      </c>
      <c r="CL52" s="75" t="n">
        <f aca="false">IF(CD52=0,0,SPRDOPT(CA52,CB52,$W52,$AM52,CE52,CF52,CG52,$D52,$D$20,4)/100)</f>
        <v>0</v>
      </c>
      <c r="CM52" s="75" t="e">
        <f aca="false">IF(CE52=0,0,SPRDOPT(CA52,CB52,$W52,$AM52,CE52,CF52,CG52,$D52,$D$20,5)/100)</f>
        <v>#NAME?</v>
      </c>
      <c r="CN52" s="75" t="e">
        <f aca="false">IF(CF52=0,0,SPRDOPT(CA52,CB52,$W52,$AM52,CE52,CF52,CG52,$D52,$D$20,6)/100)</f>
        <v>#NAME?</v>
      </c>
      <c r="CO52" s="75" t="e">
        <f aca="false">IF(CG52=0,0,SPRDOPT(CA52,CB52,$W52,$AM52,CE52,CF52,CG52,$D52,$D$20,7)/100)</f>
        <v>#NAME?</v>
      </c>
      <c r="CP52" s="75" t="n">
        <f aca="false">IF(CH52=0,0,SPRDOPT(CA52,CB52,$W52,$AM52,CE52,CF52,CG52,$D52,$D$20,9)/365)</f>
        <v>0</v>
      </c>
      <c r="CQ52" s="75" t="e">
        <f aca="false">CI52+CJ52</f>
        <v>#NAME?</v>
      </c>
      <c r="CR52" s="75" t="n">
        <f aca="false">CL52-CK52</f>
        <v>0</v>
      </c>
      <c r="CS52" s="75" t="e">
        <f aca="false">((CE52/CF52)*CM52)+CN52</f>
        <v>#NAME?</v>
      </c>
      <c r="CT52" s="75" t="n">
        <f aca="false">CG52*BZ52</f>
        <v>0</v>
      </c>
      <c r="CU52" s="76"/>
      <c r="CV52" s="37" t="n">
        <f aca="false">BZ52*CH52</f>
        <v>0</v>
      </c>
      <c r="CW52" s="37" t="e">
        <f aca="false">BZ52*CI52</f>
        <v>#NAME?</v>
      </c>
      <c r="CX52" s="37" t="e">
        <f aca="false">BZ52*CJ52</f>
        <v>#NAME?</v>
      </c>
      <c r="CY52" s="37" t="n">
        <f aca="false">BZ52*CK52</f>
        <v>0</v>
      </c>
      <c r="CZ52" s="37" t="n">
        <f aca="false">BZ52*CL52</f>
        <v>0</v>
      </c>
      <c r="DA52" s="37" t="e">
        <f aca="false">BZ52*CM52</f>
        <v>#NAME?</v>
      </c>
      <c r="DB52" s="37" t="e">
        <f aca="false">BZ52*CN52</f>
        <v>#NAME?</v>
      </c>
      <c r="DC52" s="37" t="e">
        <f aca="false">BZ52*CO52</f>
        <v>#NAME?</v>
      </c>
      <c r="DD52" s="37" t="n">
        <f aca="false">BZ52*CP52</f>
        <v>0</v>
      </c>
      <c r="DE52" s="37" t="e">
        <f aca="false">BZ52*CQ52</f>
        <v>#NAME?</v>
      </c>
      <c r="DF52" s="37" t="n">
        <f aca="false">BZ52*CR52</f>
        <v>0</v>
      </c>
      <c r="DG52" s="37" t="e">
        <f aca="false">BZ52*CS52</f>
        <v>#NAME?</v>
      </c>
      <c r="DI52" s="73" t="n">
        <f aca="false">IF($A52&gt;=DK$32,IF($A52&lt;=DK$33,$AN52,0),0)</f>
        <v>0</v>
      </c>
      <c r="DJ52" s="41" t="n">
        <f aca="false">$B52+$Y52+$F$12</f>
        <v>2.937</v>
      </c>
      <c r="DK52" s="41" t="n">
        <f aca="false">$B52+$Z52+$F$13</f>
        <v>3.247</v>
      </c>
      <c r="DL52" s="41" t="n">
        <f aca="false">DJ52*DI52</f>
        <v>0</v>
      </c>
      <c r="DM52" s="41" t="n">
        <f aca="false">DK52*DI52</f>
        <v>0</v>
      </c>
      <c r="DN52" s="74" t="n">
        <f aca="false">($C52*$AA52)+AE52+$F$14</f>
        <v>0.4775</v>
      </c>
      <c r="DO52" s="74" t="n">
        <f aca="false">($C52*$AB52)+$F$15</f>
        <v>0.4775</v>
      </c>
      <c r="DP52" s="65" t="n">
        <f aca="false">$AC52+$F$16</f>
        <v>0.99</v>
      </c>
      <c r="DQ52" s="75" t="n">
        <f aca="false">IF(DI52=0,0,SPRDOPT(DJ52,DK52,$AD52,$AM52,DN52,DO52,DP52,$D52,$F$20,0))</f>
        <v>0</v>
      </c>
      <c r="DR52" s="75" t="e">
        <f aca="false">IF(DJ52=0,0,SPRDOPT(DJ52,DK52,$AD52,$AM52,DN52,DO52,DP52,$D52,$F$20,1))</f>
        <v>#NAME?</v>
      </c>
      <c r="DS52" s="75" t="e">
        <f aca="false">IF(DK52=0,0,SPRDOPT(DJ52,DK52,$AD52,$AM52,DN52,DO52,DP52,$D52,$F$20,2))</f>
        <v>#NAME?</v>
      </c>
      <c r="DT52" s="75" t="n">
        <f aca="false">IF(DL52=0,0,SPRDOPT(DJ52,DK52,$AD52,$AM52,DN52,DO52,DP52,$D52,$F$20,3)/100)</f>
        <v>0</v>
      </c>
      <c r="DU52" s="75" t="n">
        <f aca="false">IF(DM52=0,0,SPRDOPT(DJ52,DK52,$AD52,$AM52,DN52,DO52,DP52,$D52,$F$20,4)/100)</f>
        <v>0</v>
      </c>
      <c r="DV52" s="75" t="e">
        <f aca="false">IF(DN52=0,0,SPRDOPT(DJ52,DK52,$AD52,$AM52,DN52,DO52,DP52,$D52,$F$20,5)/100)</f>
        <v>#NAME?</v>
      </c>
      <c r="DW52" s="75" t="e">
        <f aca="false">IF(DO52=0,0,SPRDOPT(DJ52,DK52,$AD52,$AM52,DN52,DO52,DP52,$D52,$F$20,6)/100)</f>
        <v>#NAME?</v>
      </c>
      <c r="DX52" s="75" t="e">
        <f aca="false">IF(DP52=0,0,SPRDOPT(DJ52,DK52,$AD52,$AM52,DN52,DO52,DP52,$D52,$F$20,7)/100)</f>
        <v>#NAME?</v>
      </c>
      <c r="DY52" s="75" t="n">
        <f aca="false">IF(DQ52=0,0,SPRDOPT(DJ52,DK52,$AD52,$AM52,DN52,DO52,DP52,$D52,$F$20,9)/365)</f>
        <v>0</v>
      </c>
      <c r="DZ52" s="75" t="e">
        <f aca="false">DR52+DS52</f>
        <v>#NAME?</v>
      </c>
      <c r="EA52" s="75" t="n">
        <f aca="false">DU52-DT52</f>
        <v>0</v>
      </c>
      <c r="EB52" s="75" t="e">
        <f aca="false">((DN52/DO52)*DV52)+DW52</f>
        <v>#NAME?</v>
      </c>
      <c r="EC52" s="75" t="n">
        <f aca="false">DP52*DI52</f>
        <v>0</v>
      </c>
      <c r="ED52" s="75"/>
      <c r="EE52" s="37" t="n">
        <f aca="false">DI52*DQ52</f>
        <v>0</v>
      </c>
      <c r="EF52" s="37" t="e">
        <f aca="false">DI52*DR52</f>
        <v>#NAME?</v>
      </c>
      <c r="EG52" s="37" t="e">
        <f aca="false">DI52*DS52</f>
        <v>#NAME?</v>
      </c>
      <c r="EH52" s="37" t="n">
        <f aca="false">DI52*DT52</f>
        <v>0</v>
      </c>
      <c r="EI52" s="37" t="n">
        <f aca="false">DI52*DU52</f>
        <v>0</v>
      </c>
      <c r="EJ52" s="37" t="e">
        <f aca="false">DI52*DV52</f>
        <v>#NAME?</v>
      </c>
      <c r="EK52" s="37" t="e">
        <f aca="false">DI52*DW52</f>
        <v>#NAME?</v>
      </c>
      <c r="EL52" s="37" t="e">
        <f aca="false">DI52*DX52</f>
        <v>#NAME?</v>
      </c>
      <c r="EM52" s="37" t="n">
        <f aca="false">DI52*DY52</f>
        <v>0</v>
      </c>
      <c r="EN52" s="37" t="e">
        <f aca="false">DI52*DZ52</f>
        <v>#NAME?</v>
      </c>
      <c r="EO52" s="37" t="n">
        <f aca="false">DI52*EA52</f>
        <v>0</v>
      </c>
      <c r="EP52" s="37" t="e">
        <f aca="false">DI52*EB52</f>
        <v>#NAME?</v>
      </c>
      <c r="ER52" s="73" t="n">
        <f aca="false">IF($A52&gt;=ET$32,IF($A52&lt;=ET$33,$AN52,0),0)</f>
        <v>0</v>
      </c>
      <c r="ES52" s="41" t="n">
        <f aca="false">$B52+$AF52+$H$12</f>
        <v>2.997</v>
      </c>
      <c r="ET52" s="41" t="n">
        <f aca="false">$B52+$AG52+$H$13</f>
        <v>3.247</v>
      </c>
      <c r="EU52" s="41" t="n">
        <f aca="false">ES52*ER52</f>
        <v>0</v>
      </c>
      <c r="EV52" s="41" t="n">
        <f aca="false">ET52*ER52</f>
        <v>0</v>
      </c>
      <c r="EW52" s="74" t="n">
        <f aca="false">($C52*$AH52)+AL52+$H$14</f>
        <v>0.4775</v>
      </c>
      <c r="EX52" s="74" t="n">
        <f aca="false">($C52*$AI52)+$H$15</f>
        <v>0.4775</v>
      </c>
      <c r="EY52" s="65" t="n">
        <f aca="false">$AJ52+$H$16</f>
        <v>0.99</v>
      </c>
      <c r="EZ52" s="75" t="n">
        <f aca="false">IF(ER52=0,0,SPRDOPT(ES52,ET52,$AK52,$AM52,EW52,EX52,EY52,$D52,$H$20,0))</f>
        <v>0</v>
      </c>
      <c r="FA52" s="75" t="e">
        <f aca="false">IF(ES52=0,0,SPRDOPT(ES52,ET52,$AK52,$AM52,EW52,EX52,EY52,$D52,$H$20,1))</f>
        <v>#NAME?</v>
      </c>
      <c r="FB52" s="75" t="e">
        <f aca="false">IF(ET52=0,0,SPRDOPT(ES52,ET52,$AK52,$AM52,EW52,EX52,EY52,$D52,$H$20,2))</f>
        <v>#NAME?</v>
      </c>
      <c r="FC52" s="75" t="n">
        <f aca="false">IF(EU52=0,0,SPRDOPT(ES52,ET52,$AK52,$AM52,EW52,EX52,EY52,$D52,$H$20,3)/100)</f>
        <v>0</v>
      </c>
      <c r="FD52" s="75" t="n">
        <f aca="false">IF(EV52=0,0,SPRDOPT(ES52,ET52,$AK52,$AM52,EW52,EX52,EY52,$D52,$H$20,4)/100)</f>
        <v>0</v>
      </c>
      <c r="FE52" s="75" t="e">
        <f aca="false">IF(EW52=0,0,SPRDOPT(ES52,ET52,$AK52,$AM52,EW52,EX52,EY52,$D52,$H$20,5)/100)</f>
        <v>#NAME?</v>
      </c>
      <c r="FF52" s="75" t="e">
        <f aca="false">IF(EX52=0,0,SPRDOPT(ES52,ET52,$AK52,$AM52,EW52,EX52,EY52,$D52,$H$20,6)/100)</f>
        <v>#NAME?</v>
      </c>
      <c r="FG52" s="75" t="e">
        <f aca="false">IF(EY52=0,0,SPRDOPT(ES52,ET52,$AK52,$AM52,EW52,EX52,EY52,$D52,$H$20,7)/100)</f>
        <v>#NAME?</v>
      </c>
      <c r="FH52" s="75" t="n">
        <f aca="false">IF(EZ52=0,0,SPRDOPT(ES52,ET52,$AK52,$AM52,EW52,EX52,EY52,$D52,$H$20,9)/365)</f>
        <v>0</v>
      </c>
      <c r="FI52" s="75" t="e">
        <f aca="false">FA52+FB52</f>
        <v>#NAME?</v>
      </c>
      <c r="FJ52" s="75" t="n">
        <f aca="false">FD52-FC52</f>
        <v>0</v>
      </c>
      <c r="FK52" s="75" t="e">
        <f aca="false">((EW52/EX52)*FE52)+FF52</f>
        <v>#NAME?</v>
      </c>
      <c r="FL52" s="75" t="n">
        <f aca="false">EY52*ER52</f>
        <v>0</v>
      </c>
      <c r="FM52" s="75"/>
      <c r="FN52" s="37" t="n">
        <f aca="false">$ER52*EZ52</f>
        <v>0</v>
      </c>
      <c r="FO52" s="37" t="e">
        <f aca="false">$ER52*FA52</f>
        <v>#NAME?</v>
      </c>
      <c r="FP52" s="37" t="e">
        <f aca="false">$ER52*FB52</f>
        <v>#NAME?</v>
      </c>
      <c r="FQ52" s="37" t="n">
        <f aca="false">$ER52*FC52</f>
        <v>0</v>
      </c>
      <c r="FR52" s="37" t="n">
        <f aca="false">$ER52*FD52</f>
        <v>0</v>
      </c>
      <c r="FS52" s="37" t="e">
        <f aca="false">$ER52*FE52</f>
        <v>#NAME?</v>
      </c>
      <c r="FT52" s="37" t="e">
        <f aca="false">$ER52*FF52</f>
        <v>#NAME?</v>
      </c>
      <c r="FU52" s="37" t="e">
        <f aca="false">$ER52*FG52</f>
        <v>#NAME?</v>
      </c>
      <c r="FV52" s="37" t="n">
        <f aca="false">$ER52*FH52</f>
        <v>0</v>
      </c>
      <c r="FW52" s="37" t="e">
        <f aca="false">$ER52*FI52</f>
        <v>#NAME?</v>
      </c>
      <c r="FX52" s="37" t="n">
        <f aca="false">$ER52*FJ52</f>
        <v>0</v>
      </c>
      <c r="FY52" s="37" t="e">
        <f aca="false">$ER52*FK52</f>
        <v>#NAME?</v>
      </c>
      <c r="GA52" s="77" t="e">
        <f aca="false">VLOOKUP(A52,skewmonthlook,2,FALSE())</f>
        <v>#REF!</v>
      </c>
      <c r="GB52" s="0" t="e">
        <f aca="false">CONCATENATE(B$3,$GA52)</f>
        <v>#REF!</v>
      </c>
      <c r="GC52" s="0" t="e">
        <f aca="false">CONCATENATE(D$3,$GA52)</f>
        <v>#REF!</v>
      </c>
      <c r="GD52" s="0" t="e">
        <f aca="false">CONCATENATE(F$3,$GA52)</f>
        <v>#REF!</v>
      </c>
      <c r="GE52" s="0" t="e">
        <f aca="false">CONCATENATE(H$3,$GA52)</f>
        <v>#REF!</v>
      </c>
      <c r="GG52" s="65" t="e">
        <f aca="false">VLOOKUP(GB52,skewlook,HLOOKUP($P52,skewlook,2),FALSE())</f>
        <v>#REF!</v>
      </c>
      <c r="GH52" s="65" t="e">
        <f aca="false">VLOOKUP(GC52,skewlook,HLOOKUP($W52,skewlook,2),FALSE())</f>
        <v>#REF!</v>
      </c>
      <c r="GI52" s="65" t="e">
        <f aca="false">VLOOKUP(GD52,skewlook,HLOOKUP($AD52,skewlook,2),FALSE())</f>
        <v>#REF!</v>
      </c>
      <c r="GJ52" s="65" t="e">
        <f aca="false">VLOOKUP(GE52,skewlook,HLOOKUP($AK52,skewlook,2),FALSE())</f>
        <v>#REF!</v>
      </c>
    </row>
    <row r="53" customFormat="false" ht="12.75" hidden="false" customHeight="false" outlineLevel="0" collapsed="false">
      <c r="A53" s="62" t="n">
        <f aca="false">DATE(YEAR(A52),MONTH(A52)+1,1)</f>
        <v>37712</v>
      </c>
      <c r="B53" s="63" t="n">
        <f aca="false">VLOOKUP(A53,STRADDLE,5,FALSE())</f>
        <v>3.092</v>
      </c>
      <c r="C53" s="4" t="n">
        <f aca="false">VLOOKUP(A53,STRADDLE,8,FALSE())</f>
        <v>0.3875</v>
      </c>
      <c r="D53" s="64" t="n">
        <f aca="false">VLOOKUP(A53,expiration,2,FALSE())-$B$2</f>
        <v>-8220</v>
      </c>
      <c r="E53" s="65" t="e">
        <f aca="false">AY53</f>
        <v>#NAME?</v>
      </c>
      <c r="F53" s="65" t="e">
        <f aca="false">CI53</f>
        <v>#NAME?</v>
      </c>
      <c r="G53" s="65" t="e">
        <f aca="false">DR53</f>
        <v>#NAME?</v>
      </c>
      <c r="H53" s="65" t="e">
        <f aca="false">FA53</f>
        <v>#NAME?</v>
      </c>
      <c r="I53" s="66" t="e">
        <f aca="false">G53-H53</f>
        <v>#NAME?</v>
      </c>
      <c r="J53" s="67"/>
      <c r="K53" s="63" t="n">
        <f aca="false">IF($B$3="NYMEX",0,VLOOKUP($A53,curvesettle,HLOOKUP($B$3,curvesettle,2,FALSE()),FALSE()))</f>
        <v>-0.15</v>
      </c>
      <c r="L53" s="63" t="n">
        <f aca="false">IF($B$4="NYMEX",0,VLOOKUP($A53,curvesettle,HLOOKUP($B$4,curvesettle,2,FALSE()),FALSE()))</f>
        <v>0</v>
      </c>
      <c r="M53" s="65" t="n">
        <f aca="false">IF(ISNUMBER(VLOOKUP($A53,VOLCURVES,HLOOKUP($B$3,VOLCURVES,2,FALSE()),FALSE())),VLOOKUP($A53,VOLCURVES,HLOOKUP($B$3,VOLCURVES,2,FALSE()),FALSE()),1)</f>
        <v>1</v>
      </c>
      <c r="N53" s="65" t="n">
        <f aca="false">IF(ISNUMBER(VLOOKUP($A53,VOLCURVES,HLOOKUP($B$4,VOLCURVES,2,FALSE()),FALSE())),VLOOKUP($A53,VOLCURVES,HLOOKUP($B$4,VOLCURVES,2,FALSE()),FALSE()),1)</f>
        <v>1</v>
      </c>
      <c r="O53" s="65" t="n">
        <f aca="false">IF(ISNUMBER(VLOOKUP($A53,CORETABLE,HLOOKUP($B$3,CORETABLE,2,FALSE()),FALSE())),VLOOKUP($A53,CORETABLE,HLOOKUP($B$3,CORETABLE,2,FALSE()),FALSE()),0.99)</f>
        <v>0.9945</v>
      </c>
      <c r="P53" s="68" t="n">
        <f aca="false">B$19</f>
        <v>-0.2</v>
      </c>
      <c r="Q53" s="69" t="n">
        <f aca="false">IF($B$18=1,IF(ISNUMBER($GG53),$GG53,0),0)</f>
        <v>0</v>
      </c>
      <c r="R53" s="70" t="n">
        <f aca="false">IF($D$3="NYMEX",0,VLOOKUP($A53,curvesettle,HLOOKUP($D$3,curvesettle,2,FALSE()),FALSE()))</f>
        <v>0.14</v>
      </c>
      <c r="S53" s="63" t="n">
        <f aca="false">IF($D$4="NYMEX",0,VLOOKUP($A53,curvesettle,HLOOKUP($D$4,curvesettle,2,FALSE()),FALSE()))</f>
        <v>0</v>
      </c>
      <c r="T53" s="65" t="n">
        <f aca="false">IF(ISNUMBER(VLOOKUP($A53,VOLCURVES,HLOOKUP($D$3,VOLCURVES,2,FALSE()),FALSE())),VLOOKUP($A53,VOLCURVES,HLOOKUP($D$3,VOLCURVES,2,FALSE()),FALSE()),1)</f>
        <v>1</v>
      </c>
      <c r="U53" s="65" t="n">
        <f aca="false">IF(ISNUMBER(VLOOKUP($A53,VOLCURVES,HLOOKUP($D$4,VOLCURVES,2,FALSE()),FALSE())),VLOOKUP($A53,VOLCURVES,HLOOKUP($D$4,VOLCURVES,2,FALSE()),FALSE()),1)</f>
        <v>1</v>
      </c>
      <c r="V53" s="65" t="n">
        <f aca="false">IF(ISNUMBER(VLOOKUP($A53,CORETABLE,HLOOKUP($D$3,CORETABLE,2,FALSE()),FALSE())),VLOOKUP($A53,CORETABLE,HLOOKUP($D$3,CORETABLE,2,FALSE()),FALSE()),0.99)</f>
        <v>0.99</v>
      </c>
      <c r="W53" s="68" t="n">
        <f aca="false">D$19</f>
        <v>0</v>
      </c>
      <c r="X53" s="69" t="n">
        <f aca="false">IF($D$18=1,IF(ISNUMBER($GH53),$GH53,0),0)</f>
        <v>0</v>
      </c>
      <c r="Y53" s="71" t="n">
        <f aca="false">IF($F$3="NYMEX",0,VLOOKUP($A53,curvesettle,HLOOKUP($F$3,curvesettle,2,FALSE()),FALSE()))</f>
        <v>-0.435</v>
      </c>
      <c r="Z53" s="63" t="n">
        <f aca="false">IF($F$4="NYMEX",0,VLOOKUP($A53,curvesettle,HLOOKUP($F$4,curvesettle,2,FALSE()),FALSE()))</f>
        <v>0</v>
      </c>
      <c r="AA53" s="65" t="n">
        <v>1</v>
      </c>
      <c r="AB53" s="65" t="n">
        <f aca="false">IF(ISNUMBER(VLOOKUP($A53,VOLCURVES,HLOOKUP($F$4,VOLCURVES,2,FALSE()),FALSE())),VLOOKUP($A53,VOLCURVES,HLOOKUP($F$4,VOLCURVES,2,FALSE()),FALSE()),1)</f>
        <v>1</v>
      </c>
      <c r="AC53" s="65" t="n">
        <f aca="false">IF(ISNUMBER(VLOOKUP($A53,CORETABLE,HLOOKUP($F$3,CORETABLE,2,FALSE()),FALSE())),VLOOKUP($A53,CORETABLE,HLOOKUP($F$3,CORETABLE,2,FALSE()),FALSE()),0.99)</f>
        <v>0.99</v>
      </c>
      <c r="AD53" s="68" t="n">
        <f aca="false">F$19</f>
        <v>-0.6</v>
      </c>
      <c r="AE53" s="69" t="n">
        <f aca="false">IF($F$18=1,IF(ISNUMBER($GI53),$GI53,0),0)</f>
        <v>0</v>
      </c>
      <c r="AF53" s="63" t="n">
        <f aca="false">IF($H$3="NYMEX",0,VLOOKUP($A53,curvesettle,HLOOKUP($H$3,curvesettle,2,FALSE()),FALSE()))</f>
        <v>-0.435</v>
      </c>
      <c r="AG53" s="63" t="n">
        <f aca="false">IF($H$4="NYMEX",0,VLOOKUP($A53,curvesettle,HLOOKUP($H$4,curvesettle,2,FALSE()),FALSE()))</f>
        <v>0</v>
      </c>
      <c r="AH53" s="65" t="n">
        <f aca="false">IF(ISNUMBER(VLOOKUP($A53,VOLCURVES,HLOOKUP($H$3,VOLCURVES,2,FALSE()),FALSE())),VLOOKUP($A53,VOLCURVES,HLOOKUP($H$3,VOLCURVES,2,FALSE()),FALSE()),1)</f>
        <v>1</v>
      </c>
      <c r="AI53" s="65" t="n">
        <f aca="false">IF(ISNUMBER(VLOOKUP($A53,VOLCURVES,HLOOKUP($H$4,VOLCURVES,2,FALSE()),FALSE())),VLOOKUP($A53,VOLCURVES,HLOOKUP($H$4,VOLCURVES,2,FALSE()),FALSE()),1)</f>
        <v>1</v>
      </c>
      <c r="AJ53" s="65" t="n">
        <f aca="false">IF(ISNUMBER(VLOOKUP($A53,CORETABLE,HLOOKUP($H$3,CORETABLE,2,FALSE()),FALSE())),VLOOKUP($A53,CORETABLE,HLOOKUP($H$3,CORETABLE,2,FALSE()),FALSE()),0.99)</f>
        <v>0.99</v>
      </c>
      <c r="AK53" s="68" t="n">
        <f aca="false">H$19</f>
        <v>-0.45</v>
      </c>
      <c r="AL53" s="69" t="n">
        <f aca="false">IF($H$18=1,IF(ISNUMBER($GJ53),$GJ53,0),0)</f>
        <v>0</v>
      </c>
      <c r="AM53" s="4" t="n">
        <f aca="false">VLOOKUP($A53,STRADDLE,14,FALSE())</f>
        <v>0.0263622508614558</v>
      </c>
      <c r="AN53" s="72" t="n">
        <f aca="false">A54-A53</f>
        <v>30</v>
      </c>
      <c r="AO53" s="1" t="n">
        <f aca="false">AO52+1</f>
        <v>16</v>
      </c>
      <c r="AP53" s="73" t="n">
        <f aca="false">IF($A53&gt;=AR$32,IF($A53&lt;=AR$33,$AN53,0),0)</f>
        <v>30</v>
      </c>
      <c r="AQ53" s="41" t="n">
        <f aca="false">$B53+$K53+$B$12</f>
        <v>2.942</v>
      </c>
      <c r="AR53" s="41" t="n">
        <f aca="false">$B53+$L53+$B$13</f>
        <v>3.092</v>
      </c>
      <c r="AS53" s="41" t="n">
        <f aca="false">AQ53*AP53</f>
        <v>88.26</v>
      </c>
      <c r="AT53" s="41" t="n">
        <f aca="false">AR53*AP53</f>
        <v>92.76</v>
      </c>
      <c r="AU53" s="74" t="n">
        <f aca="false">($C53*$M53)+Q53+$B$14</f>
        <v>0.3875</v>
      </c>
      <c r="AV53" s="74" t="n">
        <f aca="false">($C53*$N53)+$B$15</f>
        <v>0.3875</v>
      </c>
      <c r="AW53" s="65" t="n">
        <f aca="false">O53+B$16</f>
        <v>0.999</v>
      </c>
      <c r="AX53" s="75" t="e">
        <f aca="false">IF(AP53=0,0,SPRDOPT(AQ53,AR53,$P53,$AM53,AU53,AV53,AW53,$D53,$B$20,0))</f>
        <v>#NAME?</v>
      </c>
      <c r="AY53" s="75" t="e">
        <f aca="false">IF(AQ53=0,0,SPRDOPT(AQ53,AR53,$P53,$AM53,AU53,AV53,AW53,$D53,$B$20,1))</f>
        <v>#NAME?</v>
      </c>
      <c r="AZ53" s="75" t="e">
        <f aca="false">IF(AR53=0,0,SPRDOPT(AQ53,AR53,$P53,$AM53,AU53,AV53,AW53,$D53,$B$20,2))</f>
        <v>#NAME?</v>
      </c>
      <c r="BA53" s="75" t="e">
        <f aca="false">IF(AS53=0,0,SPRDOPT(AQ53,AR53,$P53,$AM53,AU53,AV53,AW53,$D53,$B$20,3)/100)</f>
        <v>#NAME?</v>
      </c>
      <c r="BB53" s="75" t="e">
        <f aca="false">IF(AT53=0,0,SPRDOPT(AQ53,AR53,$P53,$AM53,AU53,AV53,AW53,$D53,$B$20,4)/100)</f>
        <v>#NAME?</v>
      </c>
      <c r="BC53" s="75" t="e">
        <f aca="false">IF(AU53=0,0,SPRDOPT(AQ53,AR53,$P53,$AM53,AU53,AV53,AW53,$D53,$B$20,5)/100)</f>
        <v>#NAME?</v>
      </c>
      <c r="BD53" s="75" t="e">
        <f aca="false">IF(AV53=0,0,SPRDOPT(AQ53,AR53,$P53,$AM53,AU53,AV53,AW53,$D53,$B$20,6)/100)</f>
        <v>#NAME?</v>
      </c>
      <c r="BE53" s="75" t="e">
        <f aca="false">IF(AW53=0,0,SPRDOPT(AQ53,AR53,$P53,$AM53,AU53,AV53,AW53,$D53,$B$20,7)/100)</f>
        <v>#NAME?</v>
      </c>
      <c r="BF53" s="75" t="e">
        <f aca="false">IF(AX53=0,0,SPRDOPT(AQ53,AR53,$P53,$AM53,AU53,AV53,AW53,$D53,$B$20,9)/365)</f>
        <v>#NAME?</v>
      </c>
      <c r="BG53" s="75" t="e">
        <f aca="false">AY53+AZ53</f>
        <v>#NAME?</v>
      </c>
      <c r="BH53" s="75" t="e">
        <f aca="false">BB53-BA53</f>
        <v>#NAME?</v>
      </c>
      <c r="BI53" s="75" t="e">
        <f aca="false">((AU53/AV53)*BC53)+BD53</f>
        <v>#NAME?</v>
      </c>
      <c r="BJ53" s="75" t="n">
        <f aca="false">AW53*AP53</f>
        <v>29.97</v>
      </c>
      <c r="BK53" s="76"/>
      <c r="BL53" s="37" t="e">
        <f aca="false">$AP53*AX53</f>
        <v>#NAME?</v>
      </c>
      <c r="BM53" s="37" t="e">
        <f aca="false">$AP53*AY53</f>
        <v>#NAME?</v>
      </c>
      <c r="BN53" s="37" t="e">
        <f aca="false">$AP53*AZ53</f>
        <v>#NAME?</v>
      </c>
      <c r="BO53" s="37" t="e">
        <f aca="false">$AP53*BA53</f>
        <v>#NAME?</v>
      </c>
      <c r="BP53" s="37" t="e">
        <f aca="false">$AP53*BB53</f>
        <v>#NAME?</v>
      </c>
      <c r="BQ53" s="37" t="e">
        <f aca="false">$AP53*BC53</f>
        <v>#NAME?</v>
      </c>
      <c r="BR53" s="37" t="e">
        <f aca="false">$AP53*BD53</f>
        <v>#NAME?</v>
      </c>
      <c r="BS53" s="37" t="e">
        <f aca="false">$AP53*BE53</f>
        <v>#NAME?</v>
      </c>
      <c r="BT53" s="37" t="e">
        <f aca="false">$AP53*BF53</f>
        <v>#NAME?</v>
      </c>
      <c r="BU53" s="37" t="e">
        <f aca="false">$AP53*BG53</f>
        <v>#NAME?</v>
      </c>
      <c r="BV53" s="37" t="e">
        <f aca="false">$AP53*BH53</f>
        <v>#NAME?</v>
      </c>
      <c r="BW53" s="37" t="e">
        <f aca="false">$AP53*BI53</f>
        <v>#NAME?</v>
      </c>
      <c r="BX53" s="37"/>
      <c r="BZ53" s="73" t="n">
        <f aca="false">IF($A53&gt;=CB$32,IF($A53&lt;=CB$33,$AN53,0),0)</f>
        <v>0</v>
      </c>
      <c r="CA53" s="41" t="n">
        <f aca="false">$B53+$R53+$D$12</f>
        <v>3.232</v>
      </c>
      <c r="CB53" s="41" t="n">
        <f aca="false">$B53+$S53+$D$13</f>
        <v>3.092</v>
      </c>
      <c r="CC53" s="41" t="n">
        <f aca="false">CA53*BZ53</f>
        <v>0</v>
      </c>
      <c r="CD53" s="41" t="n">
        <f aca="false">CB53*BZ53</f>
        <v>0</v>
      </c>
      <c r="CE53" s="74" t="n">
        <f aca="false">($C53*$T53)+X53+$D$14</f>
        <v>0.3875</v>
      </c>
      <c r="CF53" s="74" t="n">
        <f aca="false">($C53*$U53)+$D$15</f>
        <v>0.3875</v>
      </c>
      <c r="CG53" s="65" t="n">
        <f aca="false">$V53+D$16</f>
        <v>0.99</v>
      </c>
      <c r="CH53" s="75" t="n">
        <f aca="false">IF(BZ53=0,0,SPRDOPT(CA53,CB53,$W53,$AM53,CE53,CF53,CG53,$D53,$D$20,0))</f>
        <v>0</v>
      </c>
      <c r="CI53" s="75" t="e">
        <f aca="false">IF(CA53=0,0,SPRDOPT(CA53,CB53,$W53,$AM53,CE53,CF53,CG53,$D53,$D$20,1))</f>
        <v>#NAME?</v>
      </c>
      <c r="CJ53" s="75" t="e">
        <f aca="false">IF(CB53=0,0,SPRDOPT(CA53,CB53,$W53,$AM53,CE53,CF53,CG53,$D53,$D$20,2))</f>
        <v>#NAME?</v>
      </c>
      <c r="CK53" s="75" t="n">
        <f aca="false">IF(CC53=0,0,SPRDOPT(CA53,CB53,$W53,$AM53,CE53,CF53,CG53,$D53,$D$20,3)/100)</f>
        <v>0</v>
      </c>
      <c r="CL53" s="75" t="n">
        <f aca="false">IF(CD53=0,0,SPRDOPT(CA53,CB53,$W53,$AM53,CE53,CF53,CG53,$D53,$D$20,4)/100)</f>
        <v>0</v>
      </c>
      <c r="CM53" s="75" t="e">
        <f aca="false">IF(CE53=0,0,SPRDOPT(CA53,CB53,$W53,$AM53,CE53,CF53,CG53,$D53,$D$20,5)/100)</f>
        <v>#NAME?</v>
      </c>
      <c r="CN53" s="75" t="e">
        <f aca="false">IF(CF53=0,0,SPRDOPT(CA53,CB53,$W53,$AM53,CE53,CF53,CG53,$D53,$D$20,6)/100)</f>
        <v>#NAME?</v>
      </c>
      <c r="CO53" s="75" t="e">
        <f aca="false">IF(CG53=0,0,SPRDOPT(CA53,CB53,$W53,$AM53,CE53,CF53,CG53,$D53,$D$20,7)/100)</f>
        <v>#NAME?</v>
      </c>
      <c r="CP53" s="75" t="n">
        <f aca="false">IF(CH53=0,0,SPRDOPT(CA53,CB53,$W53,$AM53,CE53,CF53,CG53,$D53,$D$20,9)/365)</f>
        <v>0</v>
      </c>
      <c r="CQ53" s="75" t="e">
        <f aca="false">CI53+CJ53</f>
        <v>#NAME?</v>
      </c>
      <c r="CR53" s="75" t="n">
        <f aca="false">CL53-CK53</f>
        <v>0</v>
      </c>
      <c r="CS53" s="75" t="e">
        <f aca="false">((CE53/CF53)*CM53)+CN53</f>
        <v>#NAME?</v>
      </c>
      <c r="CT53" s="75" t="n">
        <f aca="false">CG53*BZ53</f>
        <v>0</v>
      </c>
      <c r="CU53" s="76"/>
      <c r="CV53" s="37" t="n">
        <f aca="false">BZ53*CH53</f>
        <v>0</v>
      </c>
      <c r="CW53" s="37" t="e">
        <f aca="false">BZ53*CI53</f>
        <v>#NAME?</v>
      </c>
      <c r="CX53" s="37" t="e">
        <f aca="false">BZ53*CJ53</f>
        <v>#NAME?</v>
      </c>
      <c r="CY53" s="37" t="n">
        <f aca="false">BZ53*CK53</f>
        <v>0</v>
      </c>
      <c r="CZ53" s="37" t="n">
        <f aca="false">BZ53*CL53</f>
        <v>0</v>
      </c>
      <c r="DA53" s="37" t="e">
        <f aca="false">BZ53*CM53</f>
        <v>#NAME?</v>
      </c>
      <c r="DB53" s="37" t="e">
        <f aca="false">BZ53*CN53</f>
        <v>#NAME?</v>
      </c>
      <c r="DC53" s="37" t="e">
        <f aca="false">BZ53*CO53</f>
        <v>#NAME?</v>
      </c>
      <c r="DD53" s="37" t="n">
        <f aca="false">BZ53*CP53</f>
        <v>0</v>
      </c>
      <c r="DE53" s="37" t="e">
        <f aca="false">BZ53*CQ53</f>
        <v>#NAME?</v>
      </c>
      <c r="DF53" s="37" t="n">
        <f aca="false">BZ53*CR53</f>
        <v>0</v>
      </c>
      <c r="DG53" s="37" t="e">
        <f aca="false">BZ53*CS53</f>
        <v>#NAME?</v>
      </c>
      <c r="DI53" s="73" t="n">
        <f aca="false">IF($A53&gt;=DK$32,IF($A53&lt;=DK$33,$AN53,0),0)</f>
        <v>0</v>
      </c>
      <c r="DJ53" s="41" t="n">
        <f aca="false">$B53+$Y53+$F$12</f>
        <v>2.657</v>
      </c>
      <c r="DK53" s="41" t="n">
        <f aca="false">$B53+$Z53+$F$13</f>
        <v>3.092</v>
      </c>
      <c r="DL53" s="41" t="n">
        <f aca="false">DJ53*DI53</f>
        <v>0</v>
      </c>
      <c r="DM53" s="41" t="n">
        <f aca="false">DK53*DI53</f>
        <v>0</v>
      </c>
      <c r="DN53" s="74" t="n">
        <f aca="false">($C53*$AA53)+AE53+$F$14</f>
        <v>0.3875</v>
      </c>
      <c r="DO53" s="74" t="n">
        <f aca="false">($C53*$AB53)+$F$15</f>
        <v>0.3875</v>
      </c>
      <c r="DP53" s="65" t="n">
        <f aca="false">$AC53+$F$16</f>
        <v>0.99</v>
      </c>
      <c r="DQ53" s="75" t="n">
        <f aca="false">IF(DI53=0,0,SPRDOPT(DJ53,DK53,$AD53,$AM53,DN53,DO53,DP53,$D53,$F$20,0))</f>
        <v>0</v>
      </c>
      <c r="DR53" s="75" t="e">
        <f aca="false">IF(DJ53=0,0,SPRDOPT(DJ53,DK53,$AD53,$AM53,DN53,DO53,DP53,$D53,$F$20,1))</f>
        <v>#NAME?</v>
      </c>
      <c r="DS53" s="75" t="e">
        <f aca="false">IF(DK53=0,0,SPRDOPT(DJ53,DK53,$AD53,$AM53,DN53,DO53,DP53,$D53,$F$20,2))</f>
        <v>#NAME?</v>
      </c>
      <c r="DT53" s="75" t="n">
        <f aca="false">IF(DL53=0,0,SPRDOPT(DJ53,DK53,$AD53,$AM53,DN53,DO53,DP53,$D53,$F$20,3)/100)</f>
        <v>0</v>
      </c>
      <c r="DU53" s="75" t="n">
        <f aca="false">IF(DM53=0,0,SPRDOPT(DJ53,DK53,$AD53,$AM53,DN53,DO53,DP53,$D53,$F$20,4)/100)</f>
        <v>0</v>
      </c>
      <c r="DV53" s="75" t="e">
        <f aca="false">IF(DN53=0,0,SPRDOPT(DJ53,DK53,$AD53,$AM53,DN53,DO53,DP53,$D53,$F$20,5)/100)</f>
        <v>#NAME?</v>
      </c>
      <c r="DW53" s="75" t="e">
        <f aca="false">IF(DO53=0,0,SPRDOPT(DJ53,DK53,$AD53,$AM53,DN53,DO53,DP53,$D53,$F$20,6)/100)</f>
        <v>#NAME?</v>
      </c>
      <c r="DX53" s="75" t="e">
        <f aca="false">IF(DP53=0,0,SPRDOPT(DJ53,DK53,$AD53,$AM53,DN53,DO53,DP53,$D53,$F$20,7)/100)</f>
        <v>#NAME?</v>
      </c>
      <c r="DY53" s="75" t="n">
        <f aca="false">IF(DQ53=0,0,SPRDOPT(DJ53,DK53,$AD53,$AM53,DN53,DO53,DP53,$D53,$F$20,9)/365)</f>
        <v>0</v>
      </c>
      <c r="DZ53" s="75" t="e">
        <f aca="false">DR53+DS53</f>
        <v>#NAME?</v>
      </c>
      <c r="EA53" s="75" t="n">
        <f aca="false">DU53-DT53</f>
        <v>0</v>
      </c>
      <c r="EB53" s="75" t="e">
        <f aca="false">((DN53/DO53)*DV53)+DW53</f>
        <v>#NAME?</v>
      </c>
      <c r="EC53" s="75" t="n">
        <f aca="false">DP53*DI53</f>
        <v>0</v>
      </c>
      <c r="ED53" s="75"/>
      <c r="EE53" s="37" t="n">
        <f aca="false">DI53*DQ53</f>
        <v>0</v>
      </c>
      <c r="EF53" s="37" t="e">
        <f aca="false">DI53*DR53</f>
        <v>#NAME?</v>
      </c>
      <c r="EG53" s="37" t="e">
        <f aca="false">DI53*DS53</f>
        <v>#NAME?</v>
      </c>
      <c r="EH53" s="37" t="n">
        <f aca="false">DI53*DT53</f>
        <v>0</v>
      </c>
      <c r="EI53" s="37" t="n">
        <f aca="false">DI53*DU53</f>
        <v>0</v>
      </c>
      <c r="EJ53" s="37" t="e">
        <f aca="false">DI53*DV53</f>
        <v>#NAME?</v>
      </c>
      <c r="EK53" s="37" t="e">
        <f aca="false">DI53*DW53</f>
        <v>#NAME?</v>
      </c>
      <c r="EL53" s="37" t="e">
        <f aca="false">DI53*DX53</f>
        <v>#NAME?</v>
      </c>
      <c r="EM53" s="37" t="n">
        <f aca="false">DI53*DY53</f>
        <v>0</v>
      </c>
      <c r="EN53" s="37" t="e">
        <f aca="false">DI53*DZ53</f>
        <v>#NAME?</v>
      </c>
      <c r="EO53" s="37" t="n">
        <f aca="false">DI53*EA53</f>
        <v>0</v>
      </c>
      <c r="EP53" s="37" t="e">
        <f aca="false">DI53*EB53</f>
        <v>#NAME?</v>
      </c>
      <c r="ER53" s="73" t="n">
        <f aca="false">IF($A53&gt;=ET$32,IF($A53&lt;=ET$33,$AN53,0),0)</f>
        <v>0</v>
      </c>
      <c r="ES53" s="41" t="n">
        <f aca="false">$B53+$AF53+$H$12</f>
        <v>2.717</v>
      </c>
      <c r="ET53" s="41" t="n">
        <f aca="false">$B53+$AG53+$H$13</f>
        <v>3.092</v>
      </c>
      <c r="EU53" s="41" t="n">
        <f aca="false">ES53*ER53</f>
        <v>0</v>
      </c>
      <c r="EV53" s="41" t="n">
        <f aca="false">ET53*ER53</f>
        <v>0</v>
      </c>
      <c r="EW53" s="74" t="n">
        <f aca="false">($C53*$AH53)+AL53+$H$14</f>
        <v>0.3875</v>
      </c>
      <c r="EX53" s="74" t="n">
        <f aca="false">($C53*$AI53)+$H$15</f>
        <v>0.3875</v>
      </c>
      <c r="EY53" s="65" t="n">
        <f aca="false">$AJ53+$H$16</f>
        <v>0.99</v>
      </c>
      <c r="EZ53" s="75" t="n">
        <f aca="false">IF(ER53=0,0,SPRDOPT(ES53,ET53,$AK53,$AM53,EW53,EX53,EY53,$D53,$H$20,0))</f>
        <v>0</v>
      </c>
      <c r="FA53" s="75" t="e">
        <f aca="false">IF(ES53=0,0,SPRDOPT(ES53,ET53,$AK53,$AM53,EW53,EX53,EY53,$D53,$H$20,1))</f>
        <v>#NAME?</v>
      </c>
      <c r="FB53" s="75" t="e">
        <f aca="false">IF(ET53=0,0,SPRDOPT(ES53,ET53,$AK53,$AM53,EW53,EX53,EY53,$D53,$H$20,2))</f>
        <v>#NAME?</v>
      </c>
      <c r="FC53" s="75" t="n">
        <f aca="false">IF(EU53=0,0,SPRDOPT(ES53,ET53,$AK53,$AM53,EW53,EX53,EY53,$D53,$H$20,3)/100)</f>
        <v>0</v>
      </c>
      <c r="FD53" s="75" t="n">
        <f aca="false">IF(EV53=0,0,SPRDOPT(ES53,ET53,$AK53,$AM53,EW53,EX53,EY53,$D53,$H$20,4)/100)</f>
        <v>0</v>
      </c>
      <c r="FE53" s="75" t="e">
        <f aca="false">IF(EW53=0,0,SPRDOPT(ES53,ET53,$AK53,$AM53,EW53,EX53,EY53,$D53,$H$20,5)/100)</f>
        <v>#NAME?</v>
      </c>
      <c r="FF53" s="75" t="e">
        <f aca="false">IF(EX53=0,0,SPRDOPT(ES53,ET53,$AK53,$AM53,EW53,EX53,EY53,$D53,$H$20,6)/100)</f>
        <v>#NAME?</v>
      </c>
      <c r="FG53" s="75" t="e">
        <f aca="false">IF(EY53=0,0,SPRDOPT(ES53,ET53,$AK53,$AM53,EW53,EX53,EY53,$D53,$H$20,7)/100)</f>
        <v>#NAME?</v>
      </c>
      <c r="FH53" s="75" t="n">
        <f aca="false">IF(EZ53=0,0,SPRDOPT(ES53,ET53,$AK53,$AM53,EW53,EX53,EY53,$D53,$H$20,9)/365)</f>
        <v>0</v>
      </c>
      <c r="FI53" s="75" t="e">
        <f aca="false">FA53+FB53</f>
        <v>#NAME?</v>
      </c>
      <c r="FJ53" s="75" t="n">
        <f aca="false">FD53-FC53</f>
        <v>0</v>
      </c>
      <c r="FK53" s="75" t="e">
        <f aca="false">((EW53/EX53)*FE53)+FF53</f>
        <v>#NAME?</v>
      </c>
      <c r="FL53" s="75" t="n">
        <f aca="false">EY53*ER53</f>
        <v>0</v>
      </c>
      <c r="FM53" s="75"/>
      <c r="FN53" s="37" t="n">
        <f aca="false">$ER53*EZ53</f>
        <v>0</v>
      </c>
      <c r="FO53" s="37" t="e">
        <f aca="false">$ER53*FA53</f>
        <v>#NAME?</v>
      </c>
      <c r="FP53" s="37" t="e">
        <f aca="false">$ER53*FB53</f>
        <v>#NAME?</v>
      </c>
      <c r="FQ53" s="37" t="n">
        <f aca="false">$ER53*FC53</f>
        <v>0</v>
      </c>
      <c r="FR53" s="37" t="n">
        <f aca="false">$ER53*FD53</f>
        <v>0</v>
      </c>
      <c r="FS53" s="37" t="e">
        <f aca="false">$ER53*FE53</f>
        <v>#NAME?</v>
      </c>
      <c r="FT53" s="37" t="e">
        <f aca="false">$ER53*FF53</f>
        <v>#NAME?</v>
      </c>
      <c r="FU53" s="37" t="e">
        <f aca="false">$ER53*FG53</f>
        <v>#NAME?</v>
      </c>
      <c r="FV53" s="37" t="n">
        <f aca="false">$ER53*FH53</f>
        <v>0</v>
      </c>
      <c r="FW53" s="37" t="e">
        <f aca="false">$ER53*FI53</f>
        <v>#NAME?</v>
      </c>
      <c r="FX53" s="37" t="n">
        <f aca="false">$ER53*FJ53</f>
        <v>0</v>
      </c>
      <c r="FY53" s="37" t="e">
        <f aca="false">$ER53*FK53</f>
        <v>#NAME?</v>
      </c>
      <c r="GA53" s="77" t="e">
        <f aca="false">VLOOKUP(A53,skewmonthlook,2,FALSE())</f>
        <v>#REF!</v>
      </c>
      <c r="GB53" s="0" t="e">
        <f aca="false">CONCATENATE(B$3,$GA53)</f>
        <v>#REF!</v>
      </c>
      <c r="GC53" s="0" t="e">
        <f aca="false">CONCATENATE(D$3,$GA53)</f>
        <v>#REF!</v>
      </c>
      <c r="GD53" s="0" t="e">
        <f aca="false">CONCATENATE(F$3,$GA53)</f>
        <v>#REF!</v>
      </c>
      <c r="GE53" s="0" t="e">
        <f aca="false">CONCATENATE(H$3,$GA53)</f>
        <v>#REF!</v>
      </c>
      <c r="GG53" s="65" t="e">
        <f aca="false">VLOOKUP(GB53,skewlook,HLOOKUP($P53,skewlook,2),FALSE())</f>
        <v>#REF!</v>
      </c>
      <c r="GH53" s="65" t="e">
        <f aca="false">VLOOKUP(GC53,skewlook,HLOOKUP($W53,skewlook,2),FALSE())</f>
        <v>#REF!</v>
      </c>
      <c r="GI53" s="65" t="e">
        <f aca="false">VLOOKUP(GD53,skewlook,HLOOKUP($AD53,skewlook,2),FALSE())</f>
        <v>#REF!</v>
      </c>
      <c r="GJ53" s="65" t="e">
        <f aca="false">VLOOKUP(GE53,skewlook,HLOOKUP($AK53,skewlook,2),FALSE())</f>
        <v>#REF!</v>
      </c>
    </row>
    <row r="54" customFormat="false" ht="12.75" hidden="false" customHeight="false" outlineLevel="0" collapsed="false">
      <c r="A54" s="62" t="n">
        <f aca="false">DATE(YEAR(A53),MONTH(A53)+1,1)</f>
        <v>37742</v>
      </c>
      <c r="B54" s="63" t="n">
        <f aca="false">VLOOKUP(A54,STRADDLE,5,FALSE())</f>
        <v>3.1</v>
      </c>
      <c r="C54" s="4" t="n">
        <f aca="false">VLOOKUP(A54,STRADDLE,8,FALSE())</f>
        <v>0.3725</v>
      </c>
      <c r="D54" s="64" t="n">
        <f aca="false">VLOOKUP(A54,expiration,2,FALSE())-$B$2</f>
        <v>-8188</v>
      </c>
      <c r="E54" s="65" t="e">
        <f aca="false">AY54</f>
        <v>#NAME?</v>
      </c>
      <c r="F54" s="65" t="e">
        <f aca="false">CI54</f>
        <v>#NAME?</v>
      </c>
      <c r="G54" s="65" t="e">
        <f aca="false">DR54</f>
        <v>#NAME?</v>
      </c>
      <c r="H54" s="65" t="e">
        <f aca="false">FA54</f>
        <v>#NAME?</v>
      </c>
      <c r="I54" s="66" t="e">
        <f aca="false">G54-H54</f>
        <v>#NAME?</v>
      </c>
      <c r="J54" s="67"/>
      <c r="K54" s="63" t="n">
        <f aca="false">IF($B$3="NYMEX",0,VLOOKUP($A54,curvesettle,HLOOKUP($B$3,curvesettle,2,FALSE()),FALSE()))</f>
        <v>-0.15</v>
      </c>
      <c r="L54" s="63" t="n">
        <f aca="false">IF($B$4="NYMEX",0,VLOOKUP($A54,curvesettle,HLOOKUP($B$4,curvesettle,2,FALSE()),FALSE()))</f>
        <v>0</v>
      </c>
      <c r="M54" s="65" t="n">
        <f aca="false">IF(ISNUMBER(VLOOKUP($A54,VOLCURVES,HLOOKUP($B$3,VOLCURVES,2,FALSE()),FALSE())),VLOOKUP($A54,VOLCURVES,HLOOKUP($B$3,VOLCURVES,2,FALSE()),FALSE()),1)</f>
        <v>1</v>
      </c>
      <c r="N54" s="65" t="n">
        <f aca="false">IF(ISNUMBER(VLOOKUP($A54,VOLCURVES,HLOOKUP($B$4,VOLCURVES,2,FALSE()),FALSE())),VLOOKUP($A54,VOLCURVES,HLOOKUP($B$4,VOLCURVES,2,FALSE()),FALSE()),1)</f>
        <v>1</v>
      </c>
      <c r="O54" s="65" t="n">
        <f aca="false">IF(ISNUMBER(VLOOKUP($A54,CORETABLE,HLOOKUP($B$3,CORETABLE,2,FALSE()),FALSE())),VLOOKUP($A54,CORETABLE,HLOOKUP($B$3,CORETABLE,2,FALSE()),FALSE()),0.99)</f>
        <v>0.9945</v>
      </c>
      <c r="P54" s="68" t="n">
        <f aca="false">B$19</f>
        <v>-0.2</v>
      </c>
      <c r="Q54" s="69" t="n">
        <f aca="false">IF($B$18=1,IF(ISNUMBER($GG54),$GG54,0),0)</f>
        <v>0</v>
      </c>
      <c r="R54" s="70" t="n">
        <f aca="false">IF($D$3="NYMEX",0,VLOOKUP($A54,curvesettle,HLOOKUP($D$3,curvesettle,2,FALSE()),FALSE()))</f>
        <v>0.14</v>
      </c>
      <c r="S54" s="63" t="n">
        <f aca="false">IF($D$4="NYMEX",0,VLOOKUP($A54,curvesettle,HLOOKUP($D$4,curvesettle,2,FALSE()),FALSE()))</f>
        <v>0</v>
      </c>
      <c r="T54" s="65" t="n">
        <f aca="false">IF(ISNUMBER(VLOOKUP($A54,VOLCURVES,HLOOKUP($D$3,VOLCURVES,2,FALSE()),FALSE())),VLOOKUP($A54,VOLCURVES,HLOOKUP($D$3,VOLCURVES,2,FALSE()),FALSE()),1)</f>
        <v>1</v>
      </c>
      <c r="U54" s="65" t="n">
        <f aca="false">IF(ISNUMBER(VLOOKUP($A54,VOLCURVES,HLOOKUP($D$4,VOLCURVES,2,FALSE()),FALSE())),VLOOKUP($A54,VOLCURVES,HLOOKUP($D$4,VOLCURVES,2,FALSE()),FALSE()),1)</f>
        <v>1</v>
      </c>
      <c r="V54" s="65" t="n">
        <f aca="false">IF(ISNUMBER(VLOOKUP($A54,CORETABLE,HLOOKUP($D$3,CORETABLE,2,FALSE()),FALSE())),VLOOKUP($A54,CORETABLE,HLOOKUP($D$3,CORETABLE,2,FALSE()),FALSE()),0.99)</f>
        <v>0.99</v>
      </c>
      <c r="W54" s="68" t="n">
        <f aca="false">D$19</f>
        <v>0</v>
      </c>
      <c r="X54" s="69" t="n">
        <f aca="false">IF($D$18=1,IF(ISNUMBER($GH54),$GH54,0),0)</f>
        <v>0</v>
      </c>
      <c r="Y54" s="71" t="n">
        <f aca="false">IF($F$3="NYMEX",0,VLOOKUP($A54,curvesettle,HLOOKUP($F$3,curvesettle,2,FALSE()),FALSE()))</f>
        <v>-0.435</v>
      </c>
      <c r="Z54" s="63" t="n">
        <f aca="false">IF($F$4="NYMEX",0,VLOOKUP($A54,curvesettle,HLOOKUP($F$4,curvesettle,2,FALSE()),FALSE()))</f>
        <v>0</v>
      </c>
      <c r="AA54" s="65" t="n">
        <f aca="false">IF(ISNUMBER(VLOOKUP($A54,VOLCURVES,HLOOKUP($F$3,VOLCURVES,2,FALSE()),FALSE())),VLOOKUP($A54,VOLCURVES,HLOOKUP($F$3,VOLCURVES,2,FALSE()),FALSE()),1)</f>
        <v>1</v>
      </c>
      <c r="AB54" s="65" t="n">
        <f aca="false">IF(ISNUMBER(VLOOKUP($A54,VOLCURVES,HLOOKUP($F$4,VOLCURVES,2,FALSE()),FALSE())),VLOOKUP($A54,VOLCURVES,HLOOKUP($F$4,VOLCURVES,2,FALSE()),FALSE()),1)</f>
        <v>1</v>
      </c>
      <c r="AC54" s="65" t="n">
        <f aca="false">IF(ISNUMBER(VLOOKUP($A54,CORETABLE,HLOOKUP($F$3,CORETABLE,2,FALSE()),FALSE())),VLOOKUP($A54,CORETABLE,HLOOKUP($F$3,CORETABLE,2,FALSE()),FALSE()),0.99)</f>
        <v>0.99</v>
      </c>
      <c r="AD54" s="68" t="n">
        <f aca="false">F$19</f>
        <v>-0.6</v>
      </c>
      <c r="AE54" s="69" t="n">
        <f aca="false">IF($F$18=1,IF(ISNUMBER($GI54),$GI54,0),0)</f>
        <v>0</v>
      </c>
      <c r="AF54" s="63" t="n">
        <f aca="false">IF($H$3="NYMEX",0,VLOOKUP($A54,curvesettle,HLOOKUP($H$3,curvesettle,2,FALSE()),FALSE()))</f>
        <v>-0.435</v>
      </c>
      <c r="AG54" s="63" t="n">
        <f aca="false">IF($H$4="NYMEX",0,VLOOKUP($A54,curvesettle,HLOOKUP($H$4,curvesettle,2,FALSE()),FALSE()))</f>
        <v>0</v>
      </c>
      <c r="AH54" s="65" t="n">
        <f aca="false">IF(ISNUMBER(VLOOKUP($A54,VOLCURVES,HLOOKUP($H$3,VOLCURVES,2,FALSE()),FALSE())),VLOOKUP($A54,VOLCURVES,HLOOKUP($H$3,VOLCURVES,2,FALSE()),FALSE()),1)</f>
        <v>1</v>
      </c>
      <c r="AI54" s="65" t="n">
        <f aca="false">IF(ISNUMBER(VLOOKUP($A54,VOLCURVES,HLOOKUP($H$4,VOLCURVES,2,FALSE()),FALSE())),VLOOKUP($A54,VOLCURVES,HLOOKUP($H$4,VOLCURVES,2,FALSE()),FALSE()),1)</f>
        <v>1</v>
      </c>
      <c r="AJ54" s="65" t="n">
        <f aca="false">IF(ISNUMBER(VLOOKUP($A54,CORETABLE,HLOOKUP($H$3,CORETABLE,2,FALSE()),FALSE())),VLOOKUP($A54,CORETABLE,HLOOKUP($H$3,CORETABLE,2,FALSE()),FALSE()),0.99)</f>
        <v>0.99</v>
      </c>
      <c r="AK54" s="68" t="n">
        <f aca="false">H$19</f>
        <v>-0.45</v>
      </c>
      <c r="AL54" s="69" t="n">
        <f aca="false">IF($H$18=1,IF(ISNUMBER($GJ54),$GJ54,0),0)</f>
        <v>0</v>
      </c>
      <c r="AM54" s="4" t="n">
        <f aca="false">VLOOKUP($A54,STRADDLE,14,FALSE())</f>
        <v>0.0272889724476766</v>
      </c>
      <c r="AN54" s="72" t="n">
        <f aca="false">A55-A54</f>
        <v>31</v>
      </c>
      <c r="AO54" s="1" t="n">
        <f aca="false">AO53+1</f>
        <v>17</v>
      </c>
      <c r="AP54" s="73" t="n">
        <f aca="false">IF($A54&gt;=AR$32,IF($A54&lt;=AR$33,$AN54,0),0)</f>
        <v>31</v>
      </c>
      <c r="AQ54" s="41" t="n">
        <f aca="false">$B54+$K54+$B$12</f>
        <v>2.95</v>
      </c>
      <c r="AR54" s="41" t="n">
        <f aca="false">$B54+$L54+$B$13</f>
        <v>3.1</v>
      </c>
      <c r="AS54" s="41" t="n">
        <f aca="false">AQ54*AP54</f>
        <v>91.45</v>
      </c>
      <c r="AT54" s="41" t="n">
        <f aca="false">AR54*AP54</f>
        <v>96.1</v>
      </c>
      <c r="AU54" s="74" t="n">
        <f aca="false">($C54*$M54)+Q54+$B$14</f>
        <v>0.3725</v>
      </c>
      <c r="AV54" s="74" t="n">
        <f aca="false">($C54*$N54)+$B$15</f>
        <v>0.3725</v>
      </c>
      <c r="AW54" s="65" t="n">
        <f aca="false">O54+B$16</f>
        <v>0.999</v>
      </c>
      <c r="AX54" s="75" t="e">
        <f aca="false">IF(AP54=0,0,SPRDOPT(AQ54,AR54,$P54,$AM54,AU54,AV54,AW54,$D54,$B$20,0))</f>
        <v>#NAME?</v>
      </c>
      <c r="AY54" s="75" t="e">
        <f aca="false">IF(AQ54=0,0,SPRDOPT(AQ54,AR54,$P54,$AM54,AU54,AV54,AW54,$D54,$B$20,1))</f>
        <v>#NAME?</v>
      </c>
      <c r="AZ54" s="75" t="e">
        <f aca="false">IF(AR54=0,0,SPRDOPT(AQ54,AR54,$P54,$AM54,AU54,AV54,AW54,$D54,$B$20,2))</f>
        <v>#NAME?</v>
      </c>
      <c r="BA54" s="75" t="e">
        <f aca="false">IF(AS54=0,0,SPRDOPT(AQ54,AR54,$P54,$AM54,AU54,AV54,AW54,$D54,$B$20,3)/100)</f>
        <v>#NAME?</v>
      </c>
      <c r="BB54" s="75" t="e">
        <f aca="false">IF(AT54=0,0,SPRDOPT(AQ54,AR54,$P54,$AM54,AU54,AV54,AW54,$D54,$B$20,4)/100)</f>
        <v>#NAME?</v>
      </c>
      <c r="BC54" s="75" t="e">
        <f aca="false">IF(AU54=0,0,SPRDOPT(AQ54,AR54,$P54,$AM54,AU54,AV54,AW54,$D54,$B$20,5)/100)</f>
        <v>#NAME?</v>
      </c>
      <c r="BD54" s="75" t="e">
        <f aca="false">IF(AV54=0,0,SPRDOPT(AQ54,AR54,$P54,$AM54,AU54,AV54,AW54,$D54,$B$20,6)/100)</f>
        <v>#NAME?</v>
      </c>
      <c r="BE54" s="75" t="e">
        <f aca="false">IF(AW54=0,0,SPRDOPT(AQ54,AR54,$P54,$AM54,AU54,AV54,AW54,$D54,$B$20,7)/100)</f>
        <v>#NAME?</v>
      </c>
      <c r="BF54" s="75" t="e">
        <f aca="false">IF(AX54=0,0,SPRDOPT(AQ54,AR54,$P54,$AM54,AU54,AV54,AW54,$D54,$B$20,9)/365)</f>
        <v>#NAME?</v>
      </c>
      <c r="BG54" s="75" t="e">
        <f aca="false">AY54+AZ54</f>
        <v>#NAME?</v>
      </c>
      <c r="BH54" s="75" t="e">
        <f aca="false">BB54-BA54</f>
        <v>#NAME?</v>
      </c>
      <c r="BI54" s="75" t="e">
        <f aca="false">((AU54/AV54)*BC54)+BD54</f>
        <v>#NAME?</v>
      </c>
      <c r="BJ54" s="75" t="n">
        <f aca="false">AW54*AP54</f>
        <v>30.969</v>
      </c>
      <c r="BK54" s="76"/>
      <c r="BL54" s="37" t="e">
        <f aca="false">$AP54*AX54</f>
        <v>#NAME?</v>
      </c>
      <c r="BM54" s="37" t="e">
        <f aca="false">$AP54*AY54</f>
        <v>#NAME?</v>
      </c>
      <c r="BN54" s="37" t="e">
        <f aca="false">$AP54*AZ54</f>
        <v>#NAME?</v>
      </c>
      <c r="BO54" s="37" t="e">
        <f aca="false">$AP54*BA54</f>
        <v>#NAME?</v>
      </c>
      <c r="BP54" s="37" t="e">
        <f aca="false">$AP54*BB54</f>
        <v>#NAME?</v>
      </c>
      <c r="BQ54" s="37" t="e">
        <f aca="false">$AP54*BC54</f>
        <v>#NAME?</v>
      </c>
      <c r="BR54" s="37" t="e">
        <f aca="false">$AP54*BD54</f>
        <v>#NAME?</v>
      </c>
      <c r="BS54" s="37" t="e">
        <f aca="false">$AP54*BE54</f>
        <v>#NAME?</v>
      </c>
      <c r="BT54" s="37" t="e">
        <f aca="false">$AP54*BF54</f>
        <v>#NAME?</v>
      </c>
      <c r="BU54" s="37" t="e">
        <f aca="false">$AP54*BG54</f>
        <v>#NAME?</v>
      </c>
      <c r="BV54" s="37" t="e">
        <f aca="false">$AP54*BH54</f>
        <v>#NAME?</v>
      </c>
      <c r="BW54" s="37" t="e">
        <f aca="false">$AP54*BI54</f>
        <v>#NAME?</v>
      </c>
      <c r="BX54" s="37"/>
      <c r="BZ54" s="73" t="n">
        <f aca="false">IF($A54&gt;=CB$32,IF($A54&lt;=CB$33,$AN54,0),0)</f>
        <v>0</v>
      </c>
      <c r="CA54" s="41" t="n">
        <f aca="false">$B54+$R54+$D$12</f>
        <v>3.24</v>
      </c>
      <c r="CB54" s="41" t="n">
        <f aca="false">$B54+$S54+$D$13</f>
        <v>3.1</v>
      </c>
      <c r="CC54" s="41" t="n">
        <f aca="false">CA54*BZ54</f>
        <v>0</v>
      </c>
      <c r="CD54" s="41" t="n">
        <f aca="false">CB54*BZ54</f>
        <v>0</v>
      </c>
      <c r="CE54" s="74" t="n">
        <f aca="false">($C54*$T54)+X54+$D$14</f>
        <v>0.3725</v>
      </c>
      <c r="CF54" s="74" t="n">
        <f aca="false">($C54*$U54)+$D$15</f>
        <v>0.3725</v>
      </c>
      <c r="CG54" s="65" t="n">
        <f aca="false">$V54+D$16</f>
        <v>0.99</v>
      </c>
      <c r="CH54" s="75" t="n">
        <f aca="false">IF(BZ54=0,0,SPRDOPT(CA54,CB54,$W54,$AM54,CE54,CF54,CG54,$D54,$D$20,0))</f>
        <v>0</v>
      </c>
      <c r="CI54" s="75" t="e">
        <f aca="false">IF(CA54=0,0,SPRDOPT(CA54,CB54,$W54,$AM54,CE54,CF54,CG54,$D54,$D$20,1))</f>
        <v>#NAME?</v>
      </c>
      <c r="CJ54" s="75" t="e">
        <f aca="false">IF(CB54=0,0,SPRDOPT(CA54,CB54,$W54,$AM54,CE54,CF54,CG54,$D54,$D$20,2))</f>
        <v>#NAME?</v>
      </c>
      <c r="CK54" s="75" t="n">
        <f aca="false">IF(CC54=0,0,SPRDOPT(CA54,CB54,$W54,$AM54,CE54,CF54,CG54,$D54,$D$20,3)/100)</f>
        <v>0</v>
      </c>
      <c r="CL54" s="75" t="n">
        <f aca="false">IF(CD54=0,0,SPRDOPT(CA54,CB54,$W54,$AM54,CE54,CF54,CG54,$D54,$D$20,4)/100)</f>
        <v>0</v>
      </c>
      <c r="CM54" s="75" t="e">
        <f aca="false">IF(CE54=0,0,SPRDOPT(CA54,CB54,$W54,$AM54,CE54,CF54,CG54,$D54,$D$20,5)/100)</f>
        <v>#NAME?</v>
      </c>
      <c r="CN54" s="75" t="e">
        <f aca="false">IF(CF54=0,0,SPRDOPT(CA54,CB54,$W54,$AM54,CE54,CF54,CG54,$D54,$D$20,6)/100)</f>
        <v>#NAME?</v>
      </c>
      <c r="CO54" s="75" t="e">
        <f aca="false">IF(CG54=0,0,SPRDOPT(CA54,CB54,$W54,$AM54,CE54,CF54,CG54,$D54,$D$20,7)/100)</f>
        <v>#NAME?</v>
      </c>
      <c r="CP54" s="75" t="n">
        <f aca="false">IF(CH54=0,0,SPRDOPT(CA54,CB54,$W54,$AM54,CE54,CF54,CG54,$D54,$D$20,9)/365)</f>
        <v>0</v>
      </c>
      <c r="CQ54" s="75" t="e">
        <f aca="false">CI54+CJ54</f>
        <v>#NAME?</v>
      </c>
      <c r="CR54" s="75" t="n">
        <f aca="false">CL54-CK54</f>
        <v>0</v>
      </c>
      <c r="CS54" s="75" t="e">
        <f aca="false">((CE54/CF54)*CM54)+CN54</f>
        <v>#NAME?</v>
      </c>
      <c r="CT54" s="75" t="n">
        <f aca="false">CG54*BZ54</f>
        <v>0</v>
      </c>
      <c r="CU54" s="76"/>
      <c r="CV54" s="37" t="n">
        <f aca="false">BZ54*CH54</f>
        <v>0</v>
      </c>
      <c r="CW54" s="37" t="e">
        <f aca="false">BZ54*CI54</f>
        <v>#NAME?</v>
      </c>
      <c r="CX54" s="37" t="e">
        <f aca="false">BZ54*CJ54</f>
        <v>#NAME?</v>
      </c>
      <c r="CY54" s="37" t="n">
        <f aca="false">BZ54*CK54</f>
        <v>0</v>
      </c>
      <c r="CZ54" s="37" t="n">
        <f aca="false">BZ54*CL54</f>
        <v>0</v>
      </c>
      <c r="DA54" s="37" t="e">
        <f aca="false">BZ54*CM54</f>
        <v>#NAME?</v>
      </c>
      <c r="DB54" s="37" t="e">
        <f aca="false">BZ54*CN54</f>
        <v>#NAME?</v>
      </c>
      <c r="DC54" s="37" t="e">
        <f aca="false">BZ54*CO54</f>
        <v>#NAME?</v>
      </c>
      <c r="DD54" s="37" t="n">
        <f aca="false">BZ54*CP54</f>
        <v>0</v>
      </c>
      <c r="DE54" s="37" t="e">
        <f aca="false">BZ54*CQ54</f>
        <v>#NAME?</v>
      </c>
      <c r="DF54" s="37" t="n">
        <f aca="false">BZ54*CR54</f>
        <v>0</v>
      </c>
      <c r="DG54" s="37" t="e">
        <f aca="false">BZ54*CS54</f>
        <v>#NAME?</v>
      </c>
      <c r="DI54" s="73" t="n">
        <f aca="false">IF($A54&gt;=DK$32,IF($A54&lt;=DK$33,$AN54,0),0)</f>
        <v>0</v>
      </c>
      <c r="DJ54" s="41" t="n">
        <f aca="false">$B54+$Y54+$F$12</f>
        <v>2.665</v>
      </c>
      <c r="DK54" s="41" t="n">
        <f aca="false">$B54+$Z54+$F$13</f>
        <v>3.1</v>
      </c>
      <c r="DL54" s="41" t="n">
        <f aca="false">DJ54*DI54</f>
        <v>0</v>
      </c>
      <c r="DM54" s="41" t="n">
        <f aca="false">DK54*DI54</f>
        <v>0</v>
      </c>
      <c r="DN54" s="74" t="n">
        <f aca="false">($C54*$AA54)+AE54+$F$14</f>
        <v>0.3725</v>
      </c>
      <c r="DO54" s="74" t="n">
        <f aca="false">($C54*$AB54)+$F$15</f>
        <v>0.3725</v>
      </c>
      <c r="DP54" s="65" t="n">
        <f aca="false">$AC54+$F$16</f>
        <v>0.99</v>
      </c>
      <c r="DQ54" s="75" t="n">
        <f aca="false">IF(DI54=0,0,SPRDOPT(DJ54,DK54,$AD54,$AM54,DN54,DO54,DP54,$D54,$F$20,0))</f>
        <v>0</v>
      </c>
      <c r="DR54" s="75" t="e">
        <f aca="false">IF(DJ54=0,0,SPRDOPT(DJ54,DK54,$AD54,$AM54,DN54,DO54,DP54,$D54,$F$20,1))</f>
        <v>#NAME?</v>
      </c>
      <c r="DS54" s="75" t="e">
        <f aca="false">IF(DK54=0,0,SPRDOPT(DJ54,DK54,$AD54,$AM54,DN54,DO54,DP54,$D54,$F$20,2))</f>
        <v>#NAME?</v>
      </c>
      <c r="DT54" s="75" t="n">
        <f aca="false">IF(DL54=0,0,SPRDOPT(DJ54,DK54,$AD54,$AM54,DN54,DO54,DP54,$D54,$F$20,3)/100)</f>
        <v>0</v>
      </c>
      <c r="DU54" s="75" t="n">
        <f aca="false">IF(DM54=0,0,SPRDOPT(DJ54,DK54,$AD54,$AM54,DN54,DO54,DP54,$D54,$F$20,4)/100)</f>
        <v>0</v>
      </c>
      <c r="DV54" s="75" t="e">
        <f aca="false">IF(DN54=0,0,SPRDOPT(DJ54,DK54,$AD54,$AM54,DN54,DO54,DP54,$D54,$F$20,5)/100)</f>
        <v>#NAME?</v>
      </c>
      <c r="DW54" s="75" t="e">
        <f aca="false">IF(DO54=0,0,SPRDOPT(DJ54,DK54,$AD54,$AM54,DN54,DO54,DP54,$D54,$F$20,6)/100)</f>
        <v>#NAME?</v>
      </c>
      <c r="DX54" s="75" t="e">
        <f aca="false">IF(DP54=0,0,SPRDOPT(DJ54,DK54,$AD54,$AM54,DN54,DO54,DP54,$D54,$F$20,7)/100)</f>
        <v>#NAME?</v>
      </c>
      <c r="DY54" s="75" t="n">
        <f aca="false">IF(DQ54=0,0,SPRDOPT(DJ54,DK54,$AD54,$AM54,DN54,DO54,DP54,$D54,$F$20,9)/365)</f>
        <v>0</v>
      </c>
      <c r="DZ54" s="75" t="e">
        <f aca="false">DR54+DS54</f>
        <v>#NAME?</v>
      </c>
      <c r="EA54" s="75" t="n">
        <f aca="false">DU54-DT54</f>
        <v>0</v>
      </c>
      <c r="EB54" s="75" t="e">
        <f aca="false">((DN54/DO54)*DV54)+DW54</f>
        <v>#NAME?</v>
      </c>
      <c r="EC54" s="75" t="n">
        <f aca="false">DP54*DI54</f>
        <v>0</v>
      </c>
      <c r="ED54" s="75"/>
      <c r="EE54" s="37" t="n">
        <f aca="false">DI54*DQ54</f>
        <v>0</v>
      </c>
      <c r="EF54" s="37" t="e">
        <f aca="false">DI54*DR54</f>
        <v>#NAME?</v>
      </c>
      <c r="EG54" s="37" t="e">
        <f aca="false">DI54*DS54</f>
        <v>#NAME?</v>
      </c>
      <c r="EH54" s="37" t="n">
        <f aca="false">DI54*DT54</f>
        <v>0</v>
      </c>
      <c r="EI54" s="37" t="n">
        <f aca="false">DI54*DU54</f>
        <v>0</v>
      </c>
      <c r="EJ54" s="37" t="e">
        <f aca="false">DI54*DV54</f>
        <v>#NAME?</v>
      </c>
      <c r="EK54" s="37" t="e">
        <f aca="false">DI54*DW54</f>
        <v>#NAME?</v>
      </c>
      <c r="EL54" s="37" t="e">
        <f aca="false">DI54*DX54</f>
        <v>#NAME?</v>
      </c>
      <c r="EM54" s="37" t="n">
        <f aca="false">DI54*DY54</f>
        <v>0</v>
      </c>
      <c r="EN54" s="37" t="e">
        <f aca="false">DI54*DZ54</f>
        <v>#NAME?</v>
      </c>
      <c r="EO54" s="37" t="n">
        <f aca="false">DI54*EA54</f>
        <v>0</v>
      </c>
      <c r="EP54" s="37" t="e">
        <f aca="false">DI54*EB54</f>
        <v>#NAME?</v>
      </c>
      <c r="ER54" s="73" t="n">
        <f aca="false">IF($A54&gt;=ET$32,IF($A54&lt;=ET$33,$AN54,0),0)</f>
        <v>0</v>
      </c>
      <c r="ES54" s="41" t="n">
        <f aca="false">$B54+$AF54+$H$12</f>
        <v>2.725</v>
      </c>
      <c r="ET54" s="41" t="n">
        <f aca="false">$B54+$AG54+$H$13</f>
        <v>3.1</v>
      </c>
      <c r="EU54" s="41" t="n">
        <f aca="false">ES54*ER54</f>
        <v>0</v>
      </c>
      <c r="EV54" s="41" t="n">
        <f aca="false">ET54*ER54</f>
        <v>0</v>
      </c>
      <c r="EW54" s="74" t="n">
        <f aca="false">($C54*$AH54)+AL54+$H$14</f>
        <v>0.3725</v>
      </c>
      <c r="EX54" s="74" t="n">
        <f aca="false">($C54*$AI54)+$H$15</f>
        <v>0.3725</v>
      </c>
      <c r="EY54" s="65" t="n">
        <f aca="false">$AJ54+$H$16</f>
        <v>0.99</v>
      </c>
      <c r="EZ54" s="75" t="n">
        <f aca="false">IF(ER54=0,0,SPRDOPT(ES54,ET54,$AK54,$AM54,EW54,EX54,EY54,$D54,$H$20,0))</f>
        <v>0</v>
      </c>
      <c r="FA54" s="75" t="e">
        <f aca="false">IF(ES54=0,0,SPRDOPT(ES54,ET54,$AK54,$AM54,EW54,EX54,EY54,$D54,$H$20,1))</f>
        <v>#NAME?</v>
      </c>
      <c r="FB54" s="75" t="e">
        <f aca="false">IF(ET54=0,0,SPRDOPT(ES54,ET54,$AK54,$AM54,EW54,EX54,EY54,$D54,$H$20,2))</f>
        <v>#NAME?</v>
      </c>
      <c r="FC54" s="75" t="n">
        <f aca="false">IF(EU54=0,0,SPRDOPT(ES54,ET54,$AK54,$AM54,EW54,EX54,EY54,$D54,$H$20,3)/100)</f>
        <v>0</v>
      </c>
      <c r="FD54" s="75" t="n">
        <f aca="false">IF(EV54=0,0,SPRDOPT(ES54,ET54,$AK54,$AM54,EW54,EX54,EY54,$D54,$H$20,4)/100)</f>
        <v>0</v>
      </c>
      <c r="FE54" s="75" t="e">
        <f aca="false">IF(EW54=0,0,SPRDOPT(ES54,ET54,$AK54,$AM54,EW54,EX54,EY54,$D54,$H$20,5)/100)</f>
        <v>#NAME?</v>
      </c>
      <c r="FF54" s="75" t="e">
        <f aca="false">IF(EX54=0,0,SPRDOPT(ES54,ET54,$AK54,$AM54,EW54,EX54,EY54,$D54,$H$20,6)/100)</f>
        <v>#NAME?</v>
      </c>
      <c r="FG54" s="75" t="e">
        <f aca="false">IF(EY54=0,0,SPRDOPT(ES54,ET54,$AK54,$AM54,EW54,EX54,EY54,$D54,$H$20,7)/100)</f>
        <v>#NAME?</v>
      </c>
      <c r="FH54" s="75" t="n">
        <f aca="false">IF(EZ54=0,0,SPRDOPT(ES54,ET54,$AK54,$AM54,EW54,EX54,EY54,$D54,$H$20,9)/365)</f>
        <v>0</v>
      </c>
      <c r="FI54" s="75" t="e">
        <f aca="false">FA54+FB54</f>
        <v>#NAME?</v>
      </c>
      <c r="FJ54" s="75" t="n">
        <f aca="false">FD54-FC54</f>
        <v>0</v>
      </c>
      <c r="FK54" s="75" t="e">
        <f aca="false">((EW54/EX54)*FE54)+FF54</f>
        <v>#NAME?</v>
      </c>
      <c r="FL54" s="75" t="n">
        <f aca="false">EY54*ER54</f>
        <v>0</v>
      </c>
      <c r="FM54" s="75"/>
      <c r="FN54" s="37" t="n">
        <f aca="false">$ER54*EZ54</f>
        <v>0</v>
      </c>
      <c r="FO54" s="37" t="e">
        <f aca="false">$ER54*FA54</f>
        <v>#NAME?</v>
      </c>
      <c r="FP54" s="37" t="e">
        <f aca="false">$ER54*FB54</f>
        <v>#NAME?</v>
      </c>
      <c r="FQ54" s="37" t="n">
        <f aca="false">$ER54*FC54</f>
        <v>0</v>
      </c>
      <c r="FR54" s="37" t="n">
        <f aca="false">$ER54*FD54</f>
        <v>0</v>
      </c>
      <c r="FS54" s="37" t="e">
        <f aca="false">$ER54*FE54</f>
        <v>#NAME?</v>
      </c>
      <c r="FT54" s="37" t="e">
        <f aca="false">$ER54*FF54</f>
        <v>#NAME?</v>
      </c>
      <c r="FU54" s="37" t="e">
        <f aca="false">$ER54*FG54</f>
        <v>#NAME?</v>
      </c>
      <c r="FV54" s="37" t="n">
        <f aca="false">$ER54*FH54</f>
        <v>0</v>
      </c>
      <c r="FW54" s="37" t="e">
        <f aca="false">$ER54*FI54</f>
        <v>#NAME?</v>
      </c>
      <c r="FX54" s="37" t="n">
        <f aca="false">$ER54*FJ54</f>
        <v>0</v>
      </c>
      <c r="FY54" s="37" t="e">
        <f aca="false">$ER54*FK54</f>
        <v>#NAME?</v>
      </c>
      <c r="GA54" s="77" t="e">
        <f aca="false">VLOOKUP(A54,skewmonthlook,2,FALSE())</f>
        <v>#REF!</v>
      </c>
      <c r="GB54" s="0" t="e">
        <f aca="false">CONCATENATE(B$3,$GA54)</f>
        <v>#REF!</v>
      </c>
      <c r="GC54" s="0" t="e">
        <f aca="false">CONCATENATE(D$3,$GA54)</f>
        <v>#REF!</v>
      </c>
      <c r="GD54" s="0" t="e">
        <f aca="false">CONCATENATE(F$3,$GA54)</f>
        <v>#REF!</v>
      </c>
      <c r="GE54" s="0" t="e">
        <f aca="false">CONCATENATE(H$3,$GA54)</f>
        <v>#REF!</v>
      </c>
      <c r="GG54" s="65" t="e">
        <f aca="false">VLOOKUP(GB54,skewlook,HLOOKUP($P54,skewlook,2),FALSE())</f>
        <v>#REF!</v>
      </c>
      <c r="GH54" s="65" t="e">
        <f aca="false">VLOOKUP(GC54,skewlook,HLOOKUP($W54,skewlook,2),FALSE())</f>
        <v>#REF!</v>
      </c>
      <c r="GI54" s="65" t="e">
        <f aca="false">VLOOKUP(GD54,skewlook,HLOOKUP($AD54,skewlook,2),FALSE())</f>
        <v>#REF!</v>
      </c>
      <c r="GJ54" s="65" t="e">
        <f aca="false">VLOOKUP(GE54,skewlook,HLOOKUP($AK54,skewlook,2),FALSE())</f>
        <v>#REF!</v>
      </c>
    </row>
    <row r="55" customFormat="false" ht="12.75" hidden="false" customHeight="false" outlineLevel="0" collapsed="false">
      <c r="A55" s="62" t="n">
        <f aca="false">DATE(YEAR(A54),MONTH(A54)+1,1)</f>
        <v>37773</v>
      </c>
      <c r="B55" s="63" t="n">
        <f aca="false">VLOOKUP(A55,STRADDLE,5,FALSE())</f>
        <v>3.135</v>
      </c>
      <c r="C55" s="4" t="n">
        <f aca="false">VLOOKUP(A55,STRADDLE,8,FALSE())</f>
        <v>0.3675</v>
      </c>
      <c r="D55" s="64" t="n">
        <f aca="false">VLOOKUP(A55,expiration,2,FALSE())-$B$2</f>
        <v>-8158</v>
      </c>
      <c r="E55" s="65" t="e">
        <f aca="false">AY55</f>
        <v>#NAME?</v>
      </c>
      <c r="F55" s="65" t="e">
        <f aca="false">CI55</f>
        <v>#NAME?</v>
      </c>
      <c r="G55" s="65" t="e">
        <f aca="false">DR55</f>
        <v>#NAME?</v>
      </c>
      <c r="H55" s="65" t="e">
        <f aca="false">FA55</f>
        <v>#NAME?</v>
      </c>
      <c r="I55" s="66" t="e">
        <f aca="false">G55-H55</f>
        <v>#NAME?</v>
      </c>
      <c r="J55" s="67"/>
      <c r="K55" s="63" t="n">
        <f aca="false">IF($B$3="NYMEX",0,VLOOKUP($A55,curvesettle,HLOOKUP($B$3,curvesettle,2,FALSE()),FALSE()))</f>
        <v>-0.15</v>
      </c>
      <c r="L55" s="63" t="n">
        <f aca="false">IF($B$4="NYMEX",0,VLOOKUP($A55,curvesettle,HLOOKUP($B$4,curvesettle,2,FALSE()),FALSE()))</f>
        <v>0</v>
      </c>
      <c r="M55" s="65" t="n">
        <f aca="false">IF(ISNUMBER(VLOOKUP($A55,VOLCURVES,HLOOKUP($B$3,VOLCURVES,2,FALSE()),FALSE())),VLOOKUP($A55,VOLCURVES,HLOOKUP($B$3,VOLCURVES,2,FALSE()),FALSE()),1)</f>
        <v>1</v>
      </c>
      <c r="N55" s="65" t="n">
        <f aca="false">IF(ISNUMBER(VLOOKUP($A55,VOLCURVES,HLOOKUP($B$4,VOLCURVES,2,FALSE()),FALSE())),VLOOKUP($A55,VOLCURVES,HLOOKUP($B$4,VOLCURVES,2,FALSE()),FALSE()),1)</f>
        <v>1</v>
      </c>
      <c r="O55" s="65" t="n">
        <f aca="false">IF(ISNUMBER(VLOOKUP($A55,CORETABLE,HLOOKUP($B$3,CORETABLE,2,FALSE()),FALSE())),VLOOKUP($A55,CORETABLE,HLOOKUP($B$3,CORETABLE,2,FALSE()),FALSE()),0.99)</f>
        <v>0.9945</v>
      </c>
      <c r="P55" s="68" t="n">
        <f aca="false">B$19</f>
        <v>-0.2</v>
      </c>
      <c r="Q55" s="69" t="n">
        <f aca="false">IF($B$18=1,IF(ISNUMBER($GG55),$GG55,0),0)</f>
        <v>0</v>
      </c>
      <c r="R55" s="70" t="n">
        <f aca="false">IF($D$3="NYMEX",0,VLOOKUP($A55,curvesettle,HLOOKUP($D$3,curvesettle,2,FALSE()),FALSE()))</f>
        <v>0.14</v>
      </c>
      <c r="S55" s="63" t="n">
        <f aca="false">IF($D$4="NYMEX",0,VLOOKUP($A55,curvesettle,HLOOKUP($D$4,curvesettle,2,FALSE()),FALSE()))</f>
        <v>0</v>
      </c>
      <c r="T55" s="65" t="n">
        <f aca="false">IF(ISNUMBER(VLOOKUP($A55,VOLCURVES,HLOOKUP($D$3,VOLCURVES,2,FALSE()),FALSE())),VLOOKUP($A55,VOLCURVES,HLOOKUP($D$3,VOLCURVES,2,FALSE()),FALSE()),1)</f>
        <v>1</v>
      </c>
      <c r="U55" s="65" t="n">
        <f aca="false">IF(ISNUMBER(VLOOKUP($A55,VOLCURVES,HLOOKUP($D$4,VOLCURVES,2,FALSE()),FALSE())),VLOOKUP($A55,VOLCURVES,HLOOKUP($D$4,VOLCURVES,2,FALSE()),FALSE()),1)</f>
        <v>1</v>
      </c>
      <c r="V55" s="65" t="n">
        <f aca="false">IF(ISNUMBER(VLOOKUP($A55,CORETABLE,HLOOKUP($D$3,CORETABLE,2,FALSE()),FALSE())),VLOOKUP($A55,CORETABLE,HLOOKUP($D$3,CORETABLE,2,FALSE()),FALSE()),0.99)</f>
        <v>0.99</v>
      </c>
      <c r="W55" s="68" t="n">
        <f aca="false">D$19</f>
        <v>0</v>
      </c>
      <c r="X55" s="69" t="n">
        <f aca="false">IF($D$18=1,IF(ISNUMBER($GH55),$GH55,0),0)</f>
        <v>0</v>
      </c>
      <c r="Y55" s="71" t="n">
        <f aca="false">IF($F$3="NYMEX",0,VLOOKUP($A55,curvesettle,HLOOKUP($F$3,curvesettle,2,FALSE()),FALSE()))</f>
        <v>-0.435</v>
      </c>
      <c r="Z55" s="63" t="n">
        <f aca="false">IF($F$4="NYMEX",0,VLOOKUP($A55,curvesettle,HLOOKUP($F$4,curvesettle,2,FALSE()),FALSE()))</f>
        <v>0</v>
      </c>
      <c r="AA55" s="65" t="n">
        <f aca="false">IF(ISNUMBER(VLOOKUP($A55,VOLCURVES,HLOOKUP($F$3,VOLCURVES,2,FALSE()),FALSE())),VLOOKUP($A55,VOLCURVES,HLOOKUP($F$3,VOLCURVES,2,FALSE()),FALSE()),1)</f>
        <v>1</v>
      </c>
      <c r="AB55" s="65" t="n">
        <f aca="false">IF(ISNUMBER(VLOOKUP($A55,VOLCURVES,HLOOKUP($F$4,VOLCURVES,2,FALSE()),FALSE())),VLOOKUP($A55,VOLCURVES,HLOOKUP($F$4,VOLCURVES,2,FALSE()),FALSE()),1)</f>
        <v>1</v>
      </c>
      <c r="AC55" s="65" t="n">
        <f aca="false">IF(ISNUMBER(VLOOKUP($A55,CORETABLE,HLOOKUP($F$3,CORETABLE,2,FALSE()),FALSE())),VLOOKUP($A55,CORETABLE,HLOOKUP($F$3,CORETABLE,2,FALSE()),FALSE()),0.99)</f>
        <v>0.99</v>
      </c>
      <c r="AD55" s="68" t="n">
        <f aca="false">F$19</f>
        <v>-0.6</v>
      </c>
      <c r="AE55" s="69" t="n">
        <f aca="false">IF($F$18=1,IF(ISNUMBER($GI55),$GI55,0),0)</f>
        <v>0</v>
      </c>
      <c r="AF55" s="63" t="n">
        <f aca="false">IF($H$3="NYMEX",0,VLOOKUP($A55,curvesettle,HLOOKUP($H$3,curvesettle,2,FALSE()),FALSE()))</f>
        <v>-0.435</v>
      </c>
      <c r="AG55" s="63" t="n">
        <f aca="false">IF($H$4="NYMEX",0,VLOOKUP($A55,curvesettle,HLOOKUP($H$4,curvesettle,2,FALSE()),FALSE()))</f>
        <v>0</v>
      </c>
      <c r="AH55" s="65" t="n">
        <f aca="false">IF(ISNUMBER(VLOOKUP($A55,VOLCURVES,HLOOKUP($H$3,VOLCURVES,2,FALSE()),FALSE())),VLOOKUP($A55,VOLCURVES,HLOOKUP($H$3,VOLCURVES,2,FALSE()),FALSE()),1)</f>
        <v>1</v>
      </c>
      <c r="AI55" s="65" t="n">
        <f aca="false">IF(ISNUMBER(VLOOKUP($A55,VOLCURVES,HLOOKUP($H$4,VOLCURVES,2,FALSE()),FALSE())),VLOOKUP($A55,VOLCURVES,HLOOKUP($H$4,VOLCURVES,2,FALSE()),FALSE()),1)</f>
        <v>1</v>
      </c>
      <c r="AJ55" s="65" t="n">
        <f aca="false">IF(ISNUMBER(VLOOKUP($A55,CORETABLE,HLOOKUP($H$3,CORETABLE,2,FALSE()),FALSE())),VLOOKUP($A55,CORETABLE,HLOOKUP($H$3,CORETABLE,2,FALSE()),FALSE()),0.99)</f>
        <v>0.99</v>
      </c>
      <c r="AK55" s="68" t="n">
        <f aca="false">H$19</f>
        <v>-0.45</v>
      </c>
      <c r="AL55" s="69" t="n">
        <f aca="false">IF($H$18=1,IF(ISNUMBER($GJ55),$GJ55,0),0)</f>
        <v>0</v>
      </c>
      <c r="AM55" s="4" t="n">
        <f aca="false">VLOOKUP($A55,STRADDLE,14,FALSE())</f>
        <v>0.0282465850580524</v>
      </c>
      <c r="AN55" s="72" t="n">
        <f aca="false">A56-A55</f>
        <v>30</v>
      </c>
      <c r="AO55" s="1" t="n">
        <f aca="false">AO54+1</f>
        <v>18</v>
      </c>
      <c r="AP55" s="73" t="n">
        <f aca="false">IF($A55&gt;=AR$32,IF($A55&lt;=AR$33,$AN55,0),0)</f>
        <v>30</v>
      </c>
      <c r="AQ55" s="41" t="n">
        <f aca="false">$B55+$K55+$B$12</f>
        <v>2.985</v>
      </c>
      <c r="AR55" s="41" t="n">
        <f aca="false">$B55+$L55+$B$13</f>
        <v>3.135</v>
      </c>
      <c r="AS55" s="41" t="n">
        <f aca="false">AQ55*AP55</f>
        <v>89.55</v>
      </c>
      <c r="AT55" s="41" t="n">
        <f aca="false">AR55*AP55</f>
        <v>94.05</v>
      </c>
      <c r="AU55" s="74" t="n">
        <f aca="false">($C55*$M55)+Q55+$B$14</f>
        <v>0.3675</v>
      </c>
      <c r="AV55" s="74" t="n">
        <f aca="false">($C55*$N55)+$B$15</f>
        <v>0.3675</v>
      </c>
      <c r="AW55" s="65" t="n">
        <f aca="false">O55+B$16</f>
        <v>0.999</v>
      </c>
      <c r="AX55" s="75" t="e">
        <f aca="false">IF(AP55=0,0,SPRDOPT(AQ55,AR55,$P55,$AM55,AU55,AV55,AW55,$D55,$B$20,0))</f>
        <v>#NAME?</v>
      </c>
      <c r="AY55" s="75" t="e">
        <f aca="false">IF(AQ55=0,0,SPRDOPT(AQ55,AR55,$P55,$AM55,AU55,AV55,AW55,$D55,$B$20,1))</f>
        <v>#NAME?</v>
      </c>
      <c r="AZ55" s="75" t="e">
        <f aca="false">IF(AR55=0,0,SPRDOPT(AQ55,AR55,$P55,$AM55,AU55,AV55,AW55,$D55,$B$20,2))</f>
        <v>#NAME?</v>
      </c>
      <c r="BA55" s="75" t="e">
        <f aca="false">IF(AS55=0,0,SPRDOPT(AQ55,AR55,$P55,$AM55,AU55,AV55,AW55,$D55,$B$20,3)/100)</f>
        <v>#NAME?</v>
      </c>
      <c r="BB55" s="75" t="e">
        <f aca="false">IF(AT55=0,0,SPRDOPT(AQ55,AR55,$P55,$AM55,AU55,AV55,AW55,$D55,$B$20,4)/100)</f>
        <v>#NAME?</v>
      </c>
      <c r="BC55" s="75" t="e">
        <f aca="false">IF(AU55=0,0,SPRDOPT(AQ55,AR55,$P55,$AM55,AU55,AV55,AW55,$D55,$B$20,5)/100)</f>
        <v>#NAME?</v>
      </c>
      <c r="BD55" s="75" t="e">
        <f aca="false">IF(AV55=0,0,SPRDOPT(AQ55,AR55,$P55,$AM55,AU55,AV55,AW55,$D55,$B$20,6)/100)</f>
        <v>#NAME?</v>
      </c>
      <c r="BE55" s="75" t="e">
        <f aca="false">IF(AW55=0,0,SPRDOPT(AQ55,AR55,$P55,$AM55,AU55,AV55,AW55,$D55,$B$20,7)/100)</f>
        <v>#NAME?</v>
      </c>
      <c r="BF55" s="75" t="e">
        <f aca="false">IF(AX55=0,0,SPRDOPT(AQ55,AR55,$P55,$AM55,AU55,AV55,AW55,$D55,$B$20,9)/365)</f>
        <v>#NAME?</v>
      </c>
      <c r="BG55" s="75" t="e">
        <f aca="false">AY55+AZ55</f>
        <v>#NAME?</v>
      </c>
      <c r="BH55" s="75" t="e">
        <f aca="false">BB55-BA55</f>
        <v>#NAME?</v>
      </c>
      <c r="BI55" s="75" t="e">
        <f aca="false">((AU55/AV55)*BC55)+BD55</f>
        <v>#NAME?</v>
      </c>
      <c r="BJ55" s="75" t="n">
        <f aca="false">AW55*AP55</f>
        <v>29.97</v>
      </c>
      <c r="BK55" s="76"/>
      <c r="BL55" s="37" t="e">
        <f aca="false">$AP55*AX55</f>
        <v>#NAME?</v>
      </c>
      <c r="BM55" s="37" t="e">
        <f aca="false">$AP55*AY55</f>
        <v>#NAME?</v>
      </c>
      <c r="BN55" s="37" t="e">
        <f aca="false">$AP55*AZ55</f>
        <v>#NAME?</v>
      </c>
      <c r="BO55" s="37" t="e">
        <f aca="false">$AP55*BA55</f>
        <v>#NAME?</v>
      </c>
      <c r="BP55" s="37" t="e">
        <f aca="false">$AP55*BB55</f>
        <v>#NAME?</v>
      </c>
      <c r="BQ55" s="37" t="e">
        <f aca="false">$AP55*BC55</f>
        <v>#NAME?</v>
      </c>
      <c r="BR55" s="37" t="e">
        <f aca="false">$AP55*BD55</f>
        <v>#NAME?</v>
      </c>
      <c r="BS55" s="37" t="e">
        <f aca="false">$AP55*BE55</f>
        <v>#NAME?</v>
      </c>
      <c r="BT55" s="37" t="e">
        <f aca="false">$AP55*BF55</f>
        <v>#NAME?</v>
      </c>
      <c r="BU55" s="37" t="e">
        <f aca="false">$AP55*BG55</f>
        <v>#NAME?</v>
      </c>
      <c r="BV55" s="37" t="e">
        <f aca="false">$AP55*BH55</f>
        <v>#NAME?</v>
      </c>
      <c r="BW55" s="37" t="e">
        <f aca="false">$AP55*BI55</f>
        <v>#NAME?</v>
      </c>
      <c r="BX55" s="37"/>
      <c r="BZ55" s="73" t="n">
        <f aca="false">IF($A55&gt;=CB$32,IF($A55&lt;=CB$33,$AN55,0),0)</f>
        <v>0</v>
      </c>
      <c r="CA55" s="41" t="n">
        <f aca="false">$B55+$R55+$D$12</f>
        <v>3.275</v>
      </c>
      <c r="CB55" s="41" t="n">
        <f aca="false">$B55+$S55+$D$13</f>
        <v>3.135</v>
      </c>
      <c r="CC55" s="41" t="n">
        <f aca="false">CA55*BZ55</f>
        <v>0</v>
      </c>
      <c r="CD55" s="41" t="n">
        <f aca="false">CB55*BZ55</f>
        <v>0</v>
      </c>
      <c r="CE55" s="74" t="n">
        <f aca="false">($C55*$T55)+X55+$D$14</f>
        <v>0.3675</v>
      </c>
      <c r="CF55" s="74" t="n">
        <f aca="false">($C55*$U55)+$D$15</f>
        <v>0.3675</v>
      </c>
      <c r="CG55" s="65" t="n">
        <f aca="false">$V55+D$16</f>
        <v>0.99</v>
      </c>
      <c r="CH55" s="75" t="n">
        <f aca="false">IF(BZ55=0,0,SPRDOPT(CA55,CB55,$W55,$AM55,CE55,CF55,CG55,$D55,$D$20,0))</f>
        <v>0</v>
      </c>
      <c r="CI55" s="75" t="e">
        <f aca="false">IF(CA55=0,0,SPRDOPT(CA55,CB55,$W55,$AM55,CE55,CF55,CG55,$D55,$D$20,1))</f>
        <v>#NAME?</v>
      </c>
      <c r="CJ55" s="75" t="e">
        <f aca="false">IF(CB55=0,0,SPRDOPT(CA55,CB55,$W55,$AM55,CE55,CF55,CG55,$D55,$D$20,2))</f>
        <v>#NAME?</v>
      </c>
      <c r="CK55" s="75" t="n">
        <f aca="false">IF(CC55=0,0,SPRDOPT(CA55,CB55,$W55,$AM55,CE55,CF55,CG55,$D55,$D$20,3)/100)</f>
        <v>0</v>
      </c>
      <c r="CL55" s="75" t="n">
        <f aca="false">IF(CD55=0,0,SPRDOPT(CA55,CB55,$W55,$AM55,CE55,CF55,CG55,$D55,$D$20,4)/100)</f>
        <v>0</v>
      </c>
      <c r="CM55" s="75" t="e">
        <f aca="false">IF(CE55=0,0,SPRDOPT(CA55,CB55,$W55,$AM55,CE55,CF55,CG55,$D55,$D$20,5)/100)</f>
        <v>#NAME?</v>
      </c>
      <c r="CN55" s="75" t="e">
        <f aca="false">IF(CF55=0,0,SPRDOPT(CA55,CB55,$W55,$AM55,CE55,CF55,CG55,$D55,$D$20,6)/100)</f>
        <v>#NAME?</v>
      </c>
      <c r="CO55" s="75" t="e">
        <f aca="false">IF(CG55=0,0,SPRDOPT(CA55,CB55,$W55,$AM55,CE55,CF55,CG55,$D55,$D$20,7)/100)</f>
        <v>#NAME?</v>
      </c>
      <c r="CP55" s="75" t="n">
        <f aca="false">IF(CH55=0,0,SPRDOPT(CA55,CB55,$W55,$AM55,CE55,CF55,CG55,$D55,$D$20,9)/365)</f>
        <v>0</v>
      </c>
      <c r="CQ55" s="75" t="e">
        <f aca="false">CI55+CJ55</f>
        <v>#NAME?</v>
      </c>
      <c r="CR55" s="75" t="n">
        <f aca="false">CL55-CK55</f>
        <v>0</v>
      </c>
      <c r="CS55" s="75" t="e">
        <f aca="false">((CE55/CF55)*CM55)+CN55</f>
        <v>#NAME?</v>
      </c>
      <c r="CT55" s="75" t="n">
        <f aca="false">CG55*BZ55</f>
        <v>0</v>
      </c>
      <c r="CU55" s="76"/>
      <c r="CV55" s="37" t="n">
        <f aca="false">BZ55*CH55</f>
        <v>0</v>
      </c>
      <c r="CW55" s="37" t="e">
        <f aca="false">BZ55*CI55</f>
        <v>#NAME?</v>
      </c>
      <c r="CX55" s="37" t="e">
        <f aca="false">BZ55*CJ55</f>
        <v>#NAME?</v>
      </c>
      <c r="CY55" s="37" t="n">
        <f aca="false">BZ55*CK55</f>
        <v>0</v>
      </c>
      <c r="CZ55" s="37" t="n">
        <f aca="false">BZ55*CL55</f>
        <v>0</v>
      </c>
      <c r="DA55" s="37" t="e">
        <f aca="false">BZ55*CM55</f>
        <v>#NAME?</v>
      </c>
      <c r="DB55" s="37" t="e">
        <f aca="false">BZ55*CN55</f>
        <v>#NAME?</v>
      </c>
      <c r="DC55" s="37" t="e">
        <f aca="false">BZ55*CO55</f>
        <v>#NAME?</v>
      </c>
      <c r="DD55" s="37" t="n">
        <f aca="false">BZ55*CP55</f>
        <v>0</v>
      </c>
      <c r="DE55" s="37" t="e">
        <f aca="false">BZ55*CQ55</f>
        <v>#NAME?</v>
      </c>
      <c r="DF55" s="37" t="n">
        <f aca="false">BZ55*CR55</f>
        <v>0</v>
      </c>
      <c r="DG55" s="37" t="e">
        <f aca="false">BZ55*CS55</f>
        <v>#NAME?</v>
      </c>
      <c r="DI55" s="73" t="n">
        <f aca="false">IF($A55&gt;=DK$32,IF($A55&lt;=DK$33,$AN55,0),0)</f>
        <v>0</v>
      </c>
      <c r="DJ55" s="41" t="n">
        <f aca="false">$B55+$Y55+$F$12</f>
        <v>2.7</v>
      </c>
      <c r="DK55" s="41" t="n">
        <f aca="false">$B55+$Z55+$F$13</f>
        <v>3.135</v>
      </c>
      <c r="DL55" s="41" t="n">
        <f aca="false">DJ55*DI55</f>
        <v>0</v>
      </c>
      <c r="DM55" s="41" t="n">
        <f aca="false">DK55*DI55</f>
        <v>0</v>
      </c>
      <c r="DN55" s="74" t="n">
        <f aca="false">($C55*$AA55)+AE55+$F$14</f>
        <v>0.3675</v>
      </c>
      <c r="DO55" s="74" t="n">
        <f aca="false">($C55*$AB55)+$F$15</f>
        <v>0.3675</v>
      </c>
      <c r="DP55" s="65" t="n">
        <f aca="false">$AC55+$F$16</f>
        <v>0.99</v>
      </c>
      <c r="DQ55" s="75" t="n">
        <f aca="false">IF(DI55=0,0,SPRDOPT(DJ55,DK55,$AD55,$AM55,DN55,DO55,DP55,$D55,$F$20,0))</f>
        <v>0</v>
      </c>
      <c r="DR55" s="75" t="e">
        <f aca="false">IF(DJ55=0,0,SPRDOPT(DJ55,DK55,$AD55,$AM55,DN55,DO55,DP55,$D55,$F$20,1))</f>
        <v>#NAME?</v>
      </c>
      <c r="DS55" s="75" t="e">
        <f aca="false">IF(DK55=0,0,SPRDOPT(DJ55,DK55,$AD55,$AM55,DN55,DO55,DP55,$D55,$F$20,2))</f>
        <v>#NAME?</v>
      </c>
      <c r="DT55" s="75" t="n">
        <f aca="false">IF(DL55=0,0,SPRDOPT(DJ55,DK55,$AD55,$AM55,DN55,DO55,DP55,$D55,$F$20,3)/100)</f>
        <v>0</v>
      </c>
      <c r="DU55" s="75" t="n">
        <f aca="false">IF(DM55=0,0,SPRDOPT(DJ55,DK55,$AD55,$AM55,DN55,DO55,DP55,$D55,$F$20,4)/100)</f>
        <v>0</v>
      </c>
      <c r="DV55" s="75" t="e">
        <f aca="false">IF(DN55=0,0,SPRDOPT(DJ55,DK55,$AD55,$AM55,DN55,DO55,DP55,$D55,$F$20,5)/100)</f>
        <v>#NAME?</v>
      </c>
      <c r="DW55" s="75" t="e">
        <f aca="false">IF(DO55=0,0,SPRDOPT(DJ55,DK55,$AD55,$AM55,DN55,DO55,DP55,$D55,$F$20,6)/100)</f>
        <v>#NAME?</v>
      </c>
      <c r="DX55" s="75" t="e">
        <f aca="false">IF(DP55=0,0,SPRDOPT(DJ55,DK55,$AD55,$AM55,DN55,DO55,DP55,$D55,$F$20,7)/100)</f>
        <v>#NAME?</v>
      </c>
      <c r="DY55" s="75" t="n">
        <f aca="false">IF(DQ55=0,0,SPRDOPT(DJ55,DK55,$AD55,$AM55,DN55,DO55,DP55,$D55,$F$20,9)/365)</f>
        <v>0</v>
      </c>
      <c r="DZ55" s="75" t="e">
        <f aca="false">DR55+DS55</f>
        <v>#NAME?</v>
      </c>
      <c r="EA55" s="75" t="n">
        <f aca="false">DU55-DT55</f>
        <v>0</v>
      </c>
      <c r="EB55" s="75" t="e">
        <f aca="false">((DN55/DO55)*DV55)+DW55</f>
        <v>#NAME?</v>
      </c>
      <c r="EC55" s="75" t="n">
        <f aca="false">DP55*DI55</f>
        <v>0</v>
      </c>
      <c r="ED55" s="75"/>
      <c r="EE55" s="37" t="n">
        <f aca="false">DI55*DQ55</f>
        <v>0</v>
      </c>
      <c r="EF55" s="37" t="e">
        <f aca="false">DI55*DR55</f>
        <v>#NAME?</v>
      </c>
      <c r="EG55" s="37" t="e">
        <f aca="false">DI55*DS55</f>
        <v>#NAME?</v>
      </c>
      <c r="EH55" s="37" t="n">
        <f aca="false">DI55*DT55</f>
        <v>0</v>
      </c>
      <c r="EI55" s="37" t="n">
        <f aca="false">DI55*DU55</f>
        <v>0</v>
      </c>
      <c r="EJ55" s="37" t="e">
        <f aca="false">DI55*DV55</f>
        <v>#NAME?</v>
      </c>
      <c r="EK55" s="37" t="e">
        <f aca="false">DI55*DW55</f>
        <v>#NAME?</v>
      </c>
      <c r="EL55" s="37" t="e">
        <f aca="false">DI55*DX55</f>
        <v>#NAME?</v>
      </c>
      <c r="EM55" s="37" t="n">
        <f aca="false">DI55*DY55</f>
        <v>0</v>
      </c>
      <c r="EN55" s="37" t="e">
        <f aca="false">DI55*DZ55</f>
        <v>#NAME?</v>
      </c>
      <c r="EO55" s="37" t="n">
        <f aca="false">DI55*EA55</f>
        <v>0</v>
      </c>
      <c r="EP55" s="37" t="e">
        <f aca="false">DI55*EB55</f>
        <v>#NAME?</v>
      </c>
      <c r="ER55" s="73" t="n">
        <f aca="false">IF($A55&gt;=ET$32,IF($A55&lt;=ET$33,$AN55,0),0)</f>
        <v>0</v>
      </c>
      <c r="ES55" s="41" t="n">
        <f aca="false">$B55+$AF55+$H$12</f>
        <v>2.76</v>
      </c>
      <c r="ET55" s="41" t="n">
        <f aca="false">$B55+$AG55+$H$13</f>
        <v>3.135</v>
      </c>
      <c r="EU55" s="41" t="n">
        <f aca="false">ES55*ER55</f>
        <v>0</v>
      </c>
      <c r="EV55" s="41" t="n">
        <f aca="false">ET55*ER55</f>
        <v>0</v>
      </c>
      <c r="EW55" s="74" t="n">
        <f aca="false">($C55*$AH55)+AL55+$H$14</f>
        <v>0.3675</v>
      </c>
      <c r="EX55" s="74" t="n">
        <f aca="false">($C55*$AI55)+$H$15</f>
        <v>0.3675</v>
      </c>
      <c r="EY55" s="65" t="n">
        <f aca="false">$AJ55+$H$16</f>
        <v>0.99</v>
      </c>
      <c r="EZ55" s="75" t="n">
        <f aca="false">IF(ER55=0,0,SPRDOPT(ES55,ET55,$AK55,$AM55,EW55,EX55,EY55,$D55,$H$20,0))</f>
        <v>0</v>
      </c>
      <c r="FA55" s="75" t="e">
        <f aca="false">IF(ES55=0,0,SPRDOPT(ES55,ET55,$AK55,$AM55,EW55,EX55,EY55,$D55,$H$20,1))</f>
        <v>#NAME?</v>
      </c>
      <c r="FB55" s="75" t="e">
        <f aca="false">IF(ET55=0,0,SPRDOPT(ES55,ET55,$AK55,$AM55,EW55,EX55,EY55,$D55,$H$20,2))</f>
        <v>#NAME?</v>
      </c>
      <c r="FC55" s="75" t="n">
        <f aca="false">IF(EU55=0,0,SPRDOPT(ES55,ET55,$AK55,$AM55,EW55,EX55,EY55,$D55,$H$20,3)/100)</f>
        <v>0</v>
      </c>
      <c r="FD55" s="75" t="n">
        <f aca="false">IF(EV55=0,0,SPRDOPT(ES55,ET55,$AK55,$AM55,EW55,EX55,EY55,$D55,$H$20,4)/100)</f>
        <v>0</v>
      </c>
      <c r="FE55" s="75" t="e">
        <f aca="false">IF(EW55=0,0,SPRDOPT(ES55,ET55,$AK55,$AM55,EW55,EX55,EY55,$D55,$H$20,5)/100)</f>
        <v>#NAME?</v>
      </c>
      <c r="FF55" s="75" t="e">
        <f aca="false">IF(EX55=0,0,SPRDOPT(ES55,ET55,$AK55,$AM55,EW55,EX55,EY55,$D55,$H$20,6)/100)</f>
        <v>#NAME?</v>
      </c>
      <c r="FG55" s="75" t="e">
        <f aca="false">IF(EY55=0,0,SPRDOPT(ES55,ET55,$AK55,$AM55,EW55,EX55,EY55,$D55,$H$20,7)/100)</f>
        <v>#NAME?</v>
      </c>
      <c r="FH55" s="75" t="n">
        <f aca="false">IF(EZ55=0,0,SPRDOPT(ES55,ET55,$AK55,$AM55,EW55,EX55,EY55,$D55,$H$20,9)/365)</f>
        <v>0</v>
      </c>
      <c r="FI55" s="75" t="e">
        <f aca="false">FA55+FB55</f>
        <v>#NAME?</v>
      </c>
      <c r="FJ55" s="75" t="n">
        <f aca="false">FD55-FC55</f>
        <v>0</v>
      </c>
      <c r="FK55" s="75" t="e">
        <f aca="false">((EW55/EX55)*FE55)+FF55</f>
        <v>#NAME?</v>
      </c>
      <c r="FL55" s="75" t="n">
        <f aca="false">EY55*ER55</f>
        <v>0</v>
      </c>
      <c r="FM55" s="75"/>
      <c r="FN55" s="37" t="n">
        <f aca="false">$ER55*EZ55</f>
        <v>0</v>
      </c>
      <c r="FO55" s="37" t="e">
        <f aca="false">$ER55*FA55</f>
        <v>#NAME?</v>
      </c>
      <c r="FP55" s="37" t="e">
        <f aca="false">$ER55*FB55</f>
        <v>#NAME?</v>
      </c>
      <c r="FQ55" s="37" t="n">
        <f aca="false">$ER55*FC55</f>
        <v>0</v>
      </c>
      <c r="FR55" s="37" t="n">
        <f aca="false">$ER55*FD55</f>
        <v>0</v>
      </c>
      <c r="FS55" s="37" t="e">
        <f aca="false">$ER55*FE55</f>
        <v>#NAME?</v>
      </c>
      <c r="FT55" s="37" t="e">
        <f aca="false">$ER55*FF55</f>
        <v>#NAME?</v>
      </c>
      <c r="FU55" s="37" t="e">
        <f aca="false">$ER55*FG55</f>
        <v>#NAME?</v>
      </c>
      <c r="FV55" s="37" t="n">
        <f aca="false">$ER55*FH55</f>
        <v>0</v>
      </c>
      <c r="FW55" s="37" t="e">
        <f aca="false">$ER55*FI55</f>
        <v>#NAME?</v>
      </c>
      <c r="FX55" s="37" t="n">
        <f aca="false">$ER55*FJ55</f>
        <v>0</v>
      </c>
      <c r="FY55" s="37" t="e">
        <f aca="false">$ER55*FK55</f>
        <v>#NAME?</v>
      </c>
      <c r="GA55" s="77" t="e">
        <f aca="false">VLOOKUP(A55,skewmonthlook,2,FALSE())</f>
        <v>#REF!</v>
      </c>
      <c r="GB55" s="0" t="e">
        <f aca="false">CONCATENATE(B$3,$GA55)</f>
        <v>#REF!</v>
      </c>
      <c r="GC55" s="0" t="e">
        <f aca="false">CONCATENATE(D$3,$GA55)</f>
        <v>#REF!</v>
      </c>
      <c r="GD55" s="0" t="e">
        <f aca="false">CONCATENATE(F$3,$GA55)</f>
        <v>#REF!</v>
      </c>
      <c r="GE55" s="0" t="e">
        <f aca="false">CONCATENATE(H$3,$GA55)</f>
        <v>#REF!</v>
      </c>
      <c r="GG55" s="65" t="e">
        <f aca="false">VLOOKUP(GB55,skewlook,HLOOKUP($P55,skewlook,2),FALSE())</f>
        <v>#REF!</v>
      </c>
      <c r="GH55" s="65" t="e">
        <f aca="false">VLOOKUP(GC55,skewlook,HLOOKUP($W55,skewlook,2),FALSE())</f>
        <v>#REF!</v>
      </c>
      <c r="GI55" s="65" t="e">
        <f aca="false">VLOOKUP(GD55,skewlook,HLOOKUP($AD55,skewlook,2),FALSE())</f>
        <v>#REF!</v>
      </c>
      <c r="GJ55" s="65" t="e">
        <f aca="false">VLOOKUP(GE55,skewlook,HLOOKUP($AK55,skewlook,2),FALSE())</f>
        <v>#REF!</v>
      </c>
    </row>
    <row r="56" customFormat="false" ht="12.75" hidden="false" customHeight="false" outlineLevel="0" collapsed="false">
      <c r="A56" s="62" t="n">
        <f aca="false">DATE(YEAR(A55),MONTH(A55)+1,1)</f>
        <v>37803</v>
      </c>
      <c r="B56" s="63" t="n">
        <f aca="false">VLOOKUP(A56,STRADDLE,5,FALSE())</f>
        <v>3.177</v>
      </c>
      <c r="C56" s="4" t="n">
        <f aca="false">VLOOKUP(A56,STRADDLE,8,FALSE())</f>
        <v>0.3675</v>
      </c>
      <c r="D56" s="64" t="n">
        <f aca="false">VLOOKUP(A56,expiration,2,FALSE())-$B$2</f>
        <v>-8129</v>
      </c>
      <c r="E56" s="65" t="e">
        <f aca="false">AY56</f>
        <v>#NAME?</v>
      </c>
      <c r="F56" s="65" t="e">
        <f aca="false">CI56</f>
        <v>#NAME?</v>
      </c>
      <c r="G56" s="65" t="e">
        <f aca="false">DR56</f>
        <v>#NAME?</v>
      </c>
      <c r="H56" s="65" t="e">
        <f aca="false">FA56</f>
        <v>#NAME?</v>
      </c>
      <c r="I56" s="66" t="e">
        <f aca="false">G56-H56</f>
        <v>#NAME?</v>
      </c>
      <c r="J56" s="67"/>
      <c r="K56" s="63" t="n">
        <f aca="false">IF($B$3="NYMEX",0,VLOOKUP($A56,curvesettle,HLOOKUP($B$3,curvesettle,2,FALSE()),FALSE()))</f>
        <v>-0.15</v>
      </c>
      <c r="L56" s="63" t="n">
        <f aca="false">IF($B$4="NYMEX",0,VLOOKUP($A56,curvesettle,HLOOKUP($B$4,curvesettle,2,FALSE()),FALSE()))</f>
        <v>0</v>
      </c>
      <c r="M56" s="65" t="n">
        <f aca="false">IF(ISNUMBER(VLOOKUP($A56,VOLCURVES,HLOOKUP($B$3,VOLCURVES,2,FALSE()),FALSE())),VLOOKUP($A56,VOLCURVES,HLOOKUP($B$3,VOLCURVES,2,FALSE()),FALSE()),1)</f>
        <v>1</v>
      </c>
      <c r="N56" s="65" t="n">
        <f aca="false">IF(ISNUMBER(VLOOKUP($A56,VOLCURVES,HLOOKUP($B$4,VOLCURVES,2,FALSE()),FALSE())),VLOOKUP($A56,VOLCURVES,HLOOKUP($B$4,VOLCURVES,2,FALSE()),FALSE()),1)</f>
        <v>1</v>
      </c>
      <c r="O56" s="65" t="n">
        <f aca="false">IF(ISNUMBER(VLOOKUP($A56,CORETABLE,HLOOKUP($B$3,CORETABLE,2,FALSE()),FALSE())),VLOOKUP($A56,CORETABLE,HLOOKUP($B$3,CORETABLE,2,FALSE()),FALSE()),0.99)</f>
        <v>0.9945</v>
      </c>
      <c r="P56" s="68" t="n">
        <f aca="false">B$19</f>
        <v>-0.2</v>
      </c>
      <c r="Q56" s="69" t="n">
        <f aca="false">IF($B$18=1,IF(ISNUMBER($GG56),$GG56,0),0)</f>
        <v>0</v>
      </c>
      <c r="R56" s="70" t="n">
        <f aca="false">IF($D$3="NYMEX",0,VLOOKUP($A56,curvesettle,HLOOKUP($D$3,curvesettle,2,FALSE()),FALSE()))</f>
        <v>0.14</v>
      </c>
      <c r="S56" s="63" t="n">
        <f aca="false">IF($D$4="NYMEX",0,VLOOKUP($A56,curvesettle,HLOOKUP($D$4,curvesettle,2,FALSE()),FALSE()))</f>
        <v>0</v>
      </c>
      <c r="T56" s="65" t="n">
        <f aca="false">IF(ISNUMBER(VLOOKUP($A56,VOLCURVES,HLOOKUP($D$3,VOLCURVES,2,FALSE()),FALSE())),VLOOKUP($A56,VOLCURVES,HLOOKUP($D$3,VOLCURVES,2,FALSE()),FALSE()),1)</f>
        <v>1</v>
      </c>
      <c r="U56" s="65" t="n">
        <f aca="false">IF(ISNUMBER(VLOOKUP($A56,VOLCURVES,HLOOKUP($D$4,VOLCURVES,2,FALSE()),FALSE())),VLOOKUP($A56,VOLCURVES,HLOOKUP($D$4,VOLCURVES,2,FALSE()),FALSE()),1)</f>
        <v>1</v>
      </c>
      <c r="V56" s="65" t="n">
        <f aca="false">IF(ISNUMBER(VLOOKUP($A56,CORETABLE,HLOOKUP($D$3,CORETABLE,2,FALSE()),FALSE())),VLOOKUP($A56,CORETABLE,HLOOKUP($D$3,CORETABLE,2,FALSE()),FALSE()),0.99)</f>
        <v>0.99</v>
      </c>
      <c r="W56" s="68" t="n">
        <f aca="false">D$19</f>
        <v>0</v>
      </c>
      <c r="X56" s="69" t="n">
        <f aca="false">IF($D$18=1,IF(ISNUMBER($GH56),$GH56,0),0)</f>
        <v>0</v>
      </c>
      <c r="Y56" s="71" t="n">
        <f aca="false">IF($F$3="NYMEX",0,VLOOKUP($A56,curvesettle,HLOOKUP($F$3,curvesettle,2,FALSE()),FALSE()))</f>
        <v>-0.435</v>
      </c>
      <c r="Z56" s="63" t="n">
        <f aca="false">IF($F$4="NYMEX",0,VLOOKUP($A56,curvesettle,HLOOKUP($F$4,curvesettle,2,FALSE()),FALSE()))</f>
        <v>0</v>
      </c>
      <c r="AA56" s="65" t="n">
        <f aca="false">IF(ISNUMBER(VLOOKUP($A56,VOLCURVES,HLOOKUP($F$3,VOLCURVES,2,FALSE()),FALSE())),VLOOKUP($A56,VOLCURVES,HLOOKUP($F$3,VOLCURVES,2,FALSE()),FALSE()),1)</f>
        <v>1</v>
      </c>
      <c r="AB56" s="65" t="n">
        <f aca="false">IF(ISNUMBER(VLOOKUP($A56,VOLCURVES,HLOOKUP($F$4,VOLCURVES,2,FALSE()),FALSE())),VLOOKUP($A56,VOLCURVES,HLOOKUP($F$4,VOLCURVES,2,FALSE()),FALSE()),1)</f>
        <v>1</v>
      </c>
      <c r="AC56" s="65" t="n">
        <f aca="false">IF(ISNUMBER(VLOOKUP($A56,CORETABLE,HLOOKUP($F$3,CORETABLE,2,FALSE()),FALSE())),VLOOKUP($A56,CORETABLE,HLOOKUP($F$3,CORETABLE,2,FALSE()),FALSE()),0.99)</f>
        <v>0.99</v>
      </c>
      <c r="AD56" s="68" t="n">
        <f aca="false">F$19</f>
        <v>-0.6</v>
      </c>
      <c r="AE56" s="69" t="n">
        <f aca="false">IF($F$18=1,IF(ISNUMBER($GI56),$GI56,0),0)</f>
        <v>0</v>
      </c>
      <c r="AF56" s="63" t="n">
        <f aca="false">IF($H$3="NYMEX",0,VLOOKUP($A56,curvesettle,HLOOKUP($H$3,curvesettle,2,FALSE()),FALSE()))</f>
        <v>-0.435</v>
      </c>
      <c r="AG56" s="63" t="n">
        <f aca="false">IF($H$4="NYMEX",0,VLOOKUP($A56,curvesettle,HLOOKUP($H$4,curvesettle,2,FALSE()),FALSE()))</f>
        <v>0</v>
      </c>
      <c r="AH56" s="65" t="n">
        <f aca="false">IF(ISNUMBER(VLOOKUP($A56,VOLCURVES,HLOOKUP($H$3,VOLCURVES,2,FALSE()),FALSE())),VLOOKUP($A56,VOLCURVES,HLOOKUP($H$3,VOLCURVES,2,FALSE()),FALSE()),1)</f>
        <v>1</v>
      </c>
      <c r="AI56" s="65" t="n">
        <f aca="false">IF(ISNUMBER(VLOOKUP($A56,VOLCURVES,HLOOKUP($H$4,VOLCURVES,2,FALSE()),FALSE())),VLOOKUP($A56,VOLCURVES,HLOOKUP($H$4,VOLCURVES,2,FALSE()),FALSE()),1)</f>
        <v>1</v>
      </c>
      <c r="AJ56" s="65" t="n">
        <f aca="false">IF(ISNUMBER(VLOOKUP($A56,CORETABLE,HLOOKUP($H$3,CORETABLE,2,FALSE()),FALSE())),VLOOKUP($A56,CORETABLE,HLOOKUP($H$3,CORETABLE,2,FALSE()),FALSE()),0.99)</f>
        <v>0.99</v>
      </c>
      <c r="AK56" s="68" t="n">
        <f aca="false">H$19</f>
        <v>-0.45</v>
      </c>
      <c r="AL56" s="69" t="n">
        <f aca="false">IF($H$18=1,IF(ISNUMBER($GJ56),$GJ56,0),0)</f>
        <v>0</v>
      </c>
      <c r="AM56" s="4" t="n">
        <f aca="false">VLOOKUP($A56,STRADDLE,14,FALSE())</f>
        <v>0.0291756224166892</v>
      </c>
      <c r="AN56" s="72" t="n">
        <f aca="false">A57-A56</f>
        <v>31</v>
      </c>
      <c r="AO56" s="1" t="n">
        <f aca="false">AO55+1</f>
        <v>19</v>
      </c>
      <c r="AP56" s="73" t="n">
        <f aca="false">IF($A56&gt;=AR$32,IF($A56&lt;=AR$33,$AN56,0),0)</f>
        <v>31</v>
      </c>
      <c r="AQ56" s="41" t="n">
        <f aca="false">$B56+$K56+$B$12</f>
        <v>3.027</v>
      </c>
      <c r="AR56" s="41" t="n">
        <f aca="false">$B56+$L56+$B$13</f>
        <v>3.177</v>
      </c>
      <c r="AS56" s="41" t="n">
        <f aca="false">AQ56*AP56</f>
        <v>93.837</v>
      </c>
      <c r="AT56" s="41" t="n">
        <f aca="false">AR56*AP56</f>
        <v>98.487</v>
      </c>
      <c r="AU56" s="74" t="n">
        <f aca="false">($C56*$M56)+Q56+$B$14</f>
        <v>0.3675</v>
      </c>
      <c r="AV56" s="74" t="n">
        <f aca="false">($C56*$N56)+$B$15</f>
        <v>0.3675</v>
      </c>
      <c r="AW56" s="65" t="n">
        <f aca="false">O56+B$16</f>
        <v>0.999</v>
      </c>
      <c r="AX56" s="75" t="e">
        <f aca="false">IF(AP56=0,0,SPRDOPT(AQ56,AR56,$P56,$AM56,AU56,AV56,AW56,$D56,$B$20,0))</f>
        <v>#NAME?</v>
      </c>
      <c r="AY56" s="75" t="e">
        <f aca="false">IF(AQ56=0,0,SPRDOPT(AQ56,AR56,$P56,$AM56,AU56,AV56,AW56,$D56,$B$20,1))</f>
        <v>#NAME?</v>
      </c>
      <c r="AZ56" s="75" t="e">
        <f aca="false">IF(AR56=0,0,SPRDOPT(AQ56,AR56,$P56,$AM56,AU56,AV56,AW56,$D56,$B$20,2))</f>
        <v>#NAME?</v>
      </c>
      <c r="BA56" s="75" t="e">
        <f aca="false">IF(AS56=0,0,SPRDOPT(AQ56,AR56,$P56,$AM56,AU56,AV56,AW56,$D56,$B$20,3)/100)</f>
        <v>#NAME?</v>
      </c>
      <c r="BB56" s="75" t="e">
        <f aca="false">IF(AT56=0,0,SPRDOPT(AQ56,AR56,$P56,$AM56,AU56,AV56,AW56,$D56,$B$20,4)/100)</f>
        <v>#NAME?</v>
      </c>
      <c r="BC56" s="75" t="e">
        <f aca="false">IF(AU56=0,0,SPRDOPT(AQ56,AR56,$P56,$AM56,AU56,AV56,AW56,$D56,$B$20,5)/100)</f>
        <v>#NAME?</v>
      </c>
      <c r="BD56" s="75" t="e">
        <f aca="false">IF(AV56=0,0,SPRDOPT(AQ56,AR56,$P56,$AM56,AU56,AV56,AW56,$D56,$B$20,6)/100)</f>
        <v>#NAME?</v>
      </c>
      <c r="BE56" s="75" t="e">
        <f aca="false">IF(AW56=0,0,SPRDOPT(AQ56,AR56,$P56,$AM56,AU56,AV56,AW56,$D56,$B$20,7)/100)</f>
        <v>#NAME?</v>
      </c>
      <c r="BF56" s="75" t="e">
        <f aca="false">IF(AX56=0,0,SPRDOPT(AQ56,AR56,$P56,$AM56,AU56,AV56,AW56,$D56,$B$20,9)/365)</f>
        <v>#NAME?</v>
      </c>
      <c r="BG56" s="75" t="e">
        <f aca="false">AY56+AZ56</f>
        <v>#NAME?</v>
      </c>
      <c r="BH56" s="75" t="e">
        <f aca="false">BB56-BA56</f>
        <v>#NAME?</v>
      </c>
      <c r="BI56" s="75" t="e">
        <f aca="false">((AU56/AV56)*BC56)+BD56</f>
        <v>#NAME?</v>
      </c>
      <c r="BJ56" s="75" t="n">
        <f aca="false">AW56*AP56</f>
        <v>30.969</v>
      </c>
      <c r="BK56" s="76"/>
      <c r="BL56" s="37" t="e">
        <f aca="false">$AP56*AX56</f>
        <v>#NAME?</v>
      </c>
      <c r="BM56" s="37" t="e">
        <f aca="false">$AP56*AY56</f>
        <v>#NAME?</v>
      </c>
      <c r="BN56" s="37" t="e">
        <f aca="false">$AP56*AZ56</f>
        <v>#NAME?</v>
      </c>
      <c r="BO56" s="37" t="e">
        <f aca="false">$AP56*BA56</f>
        <v>#NAME?</v>
      </c>
      <c r="BP56" s="37" t="e">
        <f aca="false">$AP56*BB56</f>
        <v>#NAME?</v>
      </c>
      <c r="BQ56" s="37" t="e">
        <f aca="false">$AP56*BC56</f>
        <v>#NAME?</v>
      </c>
      <c r="BR56" s="37" t="e">
        <f aca="false">$AP56*BD56</f>
        <v>#NAME?</v>
      </c>
      <c r="BS56" s="37" t="e">
        <f aca="false">$AP56*BE56</f>
        <v>#NAME?</v>
      </c>
      <c r="BT56" s="37" t="e">
        <f aca="false">$AP56*BF56</f>
        <v>#NAME?</v>
      </c>
      <c r="BU56" s="37" t="e">
        <f aca="false">$AP56*BG56</f>
        <v>#NAME?</v>
      </c>
      <c r="BV56" s="37" t="e">
        <f aca="false">$AP56*BH56</f>
        <v>#NAME?</v>
      </c>
      <c r="BW56" s="37" t="e">
        <f aca="false">$AP56*BI56</f>
        <v>#NAME?</v>
      </c>
      <c r="BX56" s="37"/>
      <c r="BZ56" s="73" t="n">
        <f aca="false">IF($A56&gt;=CB$32,IF($A56&lt;=CB$33,$AN56,0),0)</f>
        <v>0</v>
      </c>
      <c r="CA56" s="41" t="n">
        <f aca="false">$B56+$R56+$D$12</f>
        <v>3.317</v>
      </c>
      <c r="CB56" s="41" t="n">
        <f aca="false">$B56+$S56+$D$13</f>
        <v>3.177</v>
      </c>
      <c r="CC56" s="41" t="n">
        <f aca="false">CA56*BZ56</f>
        <v>0</v>
      </c>
      <c r="CD56" s="41" t="n">
        <f aca="false">CB56*BZ56</f>
        <v>0</v>
      </c>
      <c r="CE56" s="74" t="n">
        <f aca="false">($C56*$T56)+X56+$D$14</f>
        <v>0.3675</v>
      </c>
      <c r="CF56" s="74" t="n">
        <f aca="false">($C56*$U56)+$D$15</f>
        <v>0.3675</v>
      </c>
      <c r="CG56" s="65" t="n">
        <f aca="false">$V56+D$16</f>
        <v>0.99</v>
      </c>
      <c r="CH56" s="75" t="n">
        <f aca="false">IF(BZ56=0,0,SPRDOPT(CA56,CB56,$W56,$AM56,CE56,CF56,CG56,$D56,$D$20,0))</f>
        <v>0</v>
      </c>
      <c r="CI56" s="75" t="e">
        <f aca="false">IF(CA56=0,0,SPRDOPT(CA56,CB56,$W56,$AM56,CE56,CF56,CG56,$D56,$D$20,1))</f>
        <v>#NAME?</v>
      </c>
      <c r="CJ56" s="75" t="e">
        <f aca="false">IF(CB56=0,0,SPRDOPT(CA56,CB56,$W56,$AM56,CE56,CF56,CG56,$D56,$D$20,2))</f>
        <v>#NAME?</v>
      </c>
      <c r="CK56" s="75" t="n">
        <f aca="false">IF(CC56=0,0,SPRDOPT(CA56,CB56,$W56,$AM56,CE56,CF56,CG56,$D56,$D$20,3)/100)</f>
        <v>0</v>
      </c>
      <c r="CL56" s="75" t="n">
        <f aca="false">IF(CD56=0,0,SPRDOPT(CA56,CB56,$W56,$AM56,CE56,CF56,CG56,$D56,$D$20,4)/100)</f>
        <v>0</v>
      </c>
      <c r="CM56" s="75" t="e">
        <f aca="false">IF(CE56=0,0,SPRDOPT(CA56,CB56,$W56,$AM56,CE56,CF56,CG56,$D56,$D$20,5)/100)</f>
        <v>#NAME?</v>
      </c>
      <c r="CN56" s="75" t="e">
        <f aca="false">IF(CF56=0,0,SPRDOPT(CA56,CB56,$W56,$AM56,CE56,CF56,CG56,$D56,$D$20,6)/100)</f>
        <v>#NAME?</v>
      </c>
      <c r="CO56" s="75" t="e">
        <f aca="false">IF(CG56=0,0,SPRDOPT(CA56,CB56,$W56,$AM56,CE56,CF56,CG56,$D56,$D$20,7)/100)</f>
        <v>#NAME?</v>
      </c>
      <c r="CP56" s="75" t="n">
        <f aca="false">IF(CH56=0,0,SPRDOPT(CA56,CB56,$W56,$AM56,CE56,CF56,CG56,$D56,$D$20,9)/365)</f>
        <v>0</v>
      </c>
      <c r="CQ56" s="75" t="e">
        <f aca="false">CI56+CJ56</f>
        <v>#NAME?</v>
      </c>
      <c r="CR56" s="75" t="n">
        <f aca="false">CL56-CK56</f>
        <v>0</v>
      </c>
      <c r="CS56" s="75" t="e">
        <f aca="false">((CE56/CF56)*CM56)+CN56</f>
        <v>#NAME?</v>
      </c>
      <c r="CT56" s="75" t="n">
        <f aca="false">CG56*BZ56</f>
        <v>0</v>
      </c>
      <c r="CU56" s="76"/>
      <c r="CV56" s="37" t="n">
        <f aca="false">BZ56*CH56</f>
        <v>0</v>
      </c>
      <c r="CW56" s="37" t="e">
        <f aca="false">BZ56*CI56</f>
        <v>#NAME?</v>
      </c>
      <c r="CX56" s="37" t="e">
        <f aca="false">BZ56*CJ56</f>
        <v>#NAME?</v>
      </c>
      <c r="CY56" s="37" t="n">
        <f aca="false">BZ56*CK56</f>
        <v>0</v>
      </c>
      <c r="CZ56" s="37" t="n">
        <f aca="false">BZ56*CL56</f>
        <v>0</v>
      </c>
      <c r="DA56" s="37" t="e">
        <f aca="false">BZ56*CM56</f>
        <v>#NAME?</v>
      </c>
      <c r="DB56" s="37" t="e">
        <f aca="false">BZ56*CN56</f>
        <v>#NAME?</v>
      </c>
      <c r="DC56" s="37" t="e">
        <f aca="false">BZ56*CO56</f>
        <v>#NAME?</v>
      </c>
      <c r="DD56" s="37" t="n">
        <f aca="false">BZ56*CP56</f>
        <v>0</v>
      </c>
      <c r="DE56" s="37" t="e">
        <f aca="false">BZ56*CQ56</f>
        <v>#NAME?</v>
      </c>
      <c r="DF56" s="37" t="n">
        <f aca="false">BZ56*CR56</f>
        <v>0</v>
      </c>
      <c r="DG56" s="37" t="e">
        <f aca="false">BZ56*CS56</f>
        <v>#NAME?</v>
      </c>
      <c r="DI56" s="73" t="n">
        <f aca="false">IF($A56&gt;=DK$32,IF($A56&lt;=DK$33,$AN56,0),0)</f>
        <v>0</v>
      </c>
      <c r="DJ56" s="41" t="n">
        <f aca="false">$B56+$Y56+$F$12</f>
        <v>2.742</v>
      </c>
      <c r="DK56" s="41" t="n">
        <f aca="false">$B56+$Z56+$F$13</f>
        <v>3.177</v>
      </c>
      <c r="DL56" s="41" t="n">
        <f aca="false">DJ56*DI56</f>
        <v>0</v>
      </c>
      <c r="DM56" s="41" t="n">
        <f aca="false">DK56*DI56</f>
        <v>0</v>
      </c>
      <c r="DN56" s="74" t="n">
        <f aca="false">($C56*$AA56)+AE56+$F$14</f>
        <v>0.3675</v>
      </c>
      <c r="DO56" s="74" t="n">
        <f aca="false">($C56*$AB56)+$F$15</f>
        <v>0.3675</v>
      </c>
      <c r="DP56" s="65" t="n">
        <f aca="false">$AC56+$F$16</f>
        <v>0.99</v>
      </c>
      <c r="DQ56" s="75" t="n">
        <f aca="false">IF(DI56=0,0,SPRDOPT(DJ56,DK56,$AD56,$AM56,DN56,DO56,DP56,$D56,$F$20,0))</f>
        <v>0</v>
      </c>
      <c r="DR56" s="75" t="e">
        <f aca="false">IF(DJ56=0,0,SPRDOPT(DJ56,DK56,$AD56,$AM56,DN56,DO56,DP56,$D56,$F$20,1))</f>
        <v>#NAME?</v>
      </c>
      <c r="DS56" s="75" t="e">
        <f aca="false">IF(DK56=0,0,SPRDOPT(DJ56,DK56,$AD56,$AM56,DN56,DO56,DP56,$D56,$F$20,2))</f>
        <v>#NAME?</v>
      </c>
      <c r="DT56" s="75" t="n">
        <f aca="false">IF(DL56=0,0,SPRDOPT(DJ56,DK56,$AD56,$AM56,DN56,DO56,DP56,$D56,$F$20,3)/100)</f>
        <v>0</v>
      </c>
      <c r="DU56" s="75" t="n">
        <f aca="false">IF(DM56=0,0,SPRDOPT(DJ56,DK56,$AD56,$AM56,DN56,DO56,DP56,$D56,$F$20,4)/100)</f>
        <v>0</v>
      </c>
      <c r="DV56" s="75" t="e">
        <f aca="false">IF(DN56=0,0,SPRDOPT(DJ56,DK56,$AD56,$AM56,DN56,DO56,DP56,$D56,$F$20,5)/100)</f>
        <v>#NAME?</v>
      </c>
      <c r="DW56" s="75" t="e">
        <f aca="false">IF(DO56=0,0,SPRDOPT(DJ56,DK56,$AD56,$AM56,DN56,DO56,DP56,$D56,$F$20,6)/100)</f>
        <v>#NAME?</v>
      </c>
      <c r="DX56" s="75" t="e">
        <f aca="false">IF(DP56=0,0,SPRDOPT(DJ56,DK56,$AD56,$AM56,DN56,DO56,DP56,$D56,$F$20,7)/100)</f>
        <v>#NAME?</v>
      </c>
      <c r="DY56" s="75" t="n">
        <f aca="false">IF(DQ56=0,0,SPRDOPT(DJ56,DK56,$AD56,$AM56,DN56,DO56,DP56,$D56,$F$20,9)/365)</f>
        <v>0</v>
      </c>
      <c r="DZ56" s="75" t="e">
        <f aca="false">DR56+DS56</f>
        <v>#NAME?</v>
      </c>
      <c r="EA56" s="75" t="n">
        <f aca="false">DU56-DT56</f>
        <v>0</v>
      </c>
      <c r="EB56" s="75" t="e">
        <f aca="false">((DN56/DO56)*DV56)+DW56</f>
        <v>#NAME?</v>
      </c>
      <c r="EC56" s="75" t="n">
        <f aca="false">DP56*DI56</f>
        <v>0</v>
      </c>
      <c r="ED56" s="75"/>
      <c r="EE56" s="37" t="n">
        <f aca="false">DI56*DQ56</f>
        <v>0</v>
      </c>
      <c r="EF56" s="37" t="e">
        <f aca="false">DI56*DR56</f>
        <v>#NAME?</v>
      </c>
      <c r="EG56" s="37" t="e">
        <f aca="false">DI56*DS56</f>
        <v>#NAME?</v>
      </c>
      <c r="EH56" s="37" t="n">
        <f aca="false">DI56*DT56</f>
        <v>0</v>
      </c>
      <c r="EI56" s="37" t="n">
        <f aca="false">DI56*DU56</f>
        <v>0</v>
      </c>
      <c r="EJ56" s="37" t="e">
        <f aca="false">DI56*DV56</f>
        <v>#NAME?</v>
      </c>
      <c r="EK56" s="37" t="e">
        <f aca="false">DI56*DW56</f>
        <v>#NAME?</v>
      </c>
      <c r="EL56" s="37" t="e">
        <f aca="false">DI56*DX56</f>
        <v>#NAME?</v>
      </c>
      <c r="EM56" s="37" t="n">
        <f aca="false">DI56*DY56</f>
        <v>0</v>
      </c>
      <c r="EN56" s="37" t="e">
        <f aca="false">DI56*DZ56</f>
        <v>#NAME?</v>
      </c>
      <c r="EO56" s="37" t="n">
        <f aca="false">DI56*EA56</f>
        <v>0</v>
      </c>
      <c r="EP56" s="37" t="e">
        <f aca="false">DI56*EB56</f>
        <v>#NAME?</v>
      </c>
      <c r="ER56" s="73" t="n">
        <f aca="false">IF($A56&gt;=ET$32,IF($A56&lt;=ET$33,$AN56,0),0)</f>
        <v>0</v>
      </c>
      <c r="ES56" s="41" t="n">
        <f aca="false">$B56+$AF56+$H$12</f>
        <v>2.802</v>
      </c>
      <c r="ET56" s="41" t="n">
        <f aca="false">$B56+$AG56+$H$13</f>
        <v>3.177</v>
      </c>
      <c r="EU56" s="41" t="n">
        <f aca="false">ES56*ER56</f>
        <v>0</v>
      </c>
      <c r="EV56" s="41" t="n">
        <f aca="false">ET56*ER56</f>
        <v>0</v>
      </c>
      <c r="EW56" s="74" t="n">
        <f aca="false">($C56*$AH56)+AL56+$H$14</f>
        <v>0.3675</v>
      </c>
      <c r="EX56" s="74" t="n">
        <f aca="false">($C56*$AI56)+$H$15</f>
        <v>0.3675</v>
      </c>
      <c r="EY56" s="65" t="n">
        <f aca="false">$AJ56+$H$16</f>
        <v>0.99</v>
      </c>
      <c r="EZ56" s="75" t="n">
        <f aca="false">IF(ER56=0,0,SPRDOPT(ES56,ET56,$AK56,$AM56,EW56,EX56,EY56,$D56,$H$20,0))</f>
        <v>0</v>
      </c>
      <c r="FA56" s="75" t="e">
        <f aca="false">IF(ES56=0,0,SPRDOPT(ES56,ET56,$AK56,$AM56,EW56,EX56,EY56,$D56,$H$20,1))</f>
        <v>#NAME?</v>
      </c>
      <c r="FB56" s="75" t="e">
        <f aca="false">IF(ET56=0,0,SPRDOPT(ES56,ET56,$AK56,$AM56,EW56,EX56,EY56,$D56,$H$20,2))</f>
        <v>#NAME?</v>
      </c>
      <c r="FC56" s="75" t="n">
        <f aca="false">IF(EU56=0,0,SPRDOPT(ES56,ET56,$AK56,$AM56,EW56,EX56,EY56,$D56,$H$20,3)/100)</f>
        <v>0</v>
      </c>
      <c r="FD56" s="75" t="n">
        <f aca="false">IF(EV56=0,0,SPRDOPT(ES56,ET56,$AK56,$AM56,EW56,EX56,EY56,$D56,$H$20,4)/100)</f>
        <v>0</v>
      </c>
      <c r="FE56" s="75" t="e">
        <f aca="false">IF(EW56=0,0,SPRDOPT(ES56,ET56,$AK56,$AM56,EW56,EX56,EY56,$D56,$H$20,5)/100)</f>
        <v>#NAME?</v>
      </c>
      <c r="FF56" s="75" t="e">
        <f aca="false">IF(EX56=0,0,SPRDOPT(ES56,ET56,$AK56,$AM56,EW56,EX56,EY56,$D56,$H$20,6)/100)</f>
        <v>#NAME?</v>
      </c>
      <c r="FG56" s="75" t="e">
        <f aca="false">IF(EY56=0,0,SPRDOPT(ES56,ET56,$AK56,$AM56,EW56,EX56,EY56,$D56,$H$20,7)/100)</f>
        <v>#NAME?</v>
      </c>
      <c r="FH56" s="75" t="n">
        <f aca="false">IF(EZ56=0,0,SPRDOPT(ES56,ET56,$AK56,$AM56,EW56,EX56,EY56,$D56,$H$20,9)/365)</f>
        <v>0</v>
      </c>
      <c r="FI56" s="75" t="e">
        <f aca="false">FA56+FB56</f>
        <v>#NAME?</v>
      </c>
      <c r="FJ56" s="75" t="n">
        <f aca="false">FD56-FC56</f>
        <v>0</v>
      </c>
      <c r="FK56" s="75" t="e">
        <f aca="false">((EW56/EX56)*FE56)+FF56</f>
        <v>#NAME?</v>
      </c>
      <c r="FL56" s="75" t="n">
        <f aca="false">EY56*ER56</f>
        <v>0</v>
      </c>
      <c r="FM56" s="75"/>
      <c r="FN56" s="37" t="n">
        <f aca="false">$ER56*EZ56</f>
        <v>0</v>
      </c>
      <c r="FO56" s="37" t="e">
        <f aca="false">$ER56*FA56</f>
        <v>#NAME?</v>
      </c>
      <c r="FP56" s="37" t="e">
        <f aca="false">$ER56*FB56</f>
        <v>#NAME?</v>
      </c>
      <c r="FQ56" s="37" t="n">
        <f aca="false">$ER56*FC56</f>
        <v>0</v>
      </c>
      <c r="FR56" s="37" t="n">
        <f aca="false">$ER56*FD56</f>
        <v>0</v>
      </c>
      <c r="FS56" s="37" t="e">
        <f aca="false">$ER56*FE56</f>
        <v>#NAME?</v>
      </c>
      <c r="FT56" s="37" t="e">
        <f aca="false">$ER56*FF56</f>
        <v>#NAME?</v>
      </c>
      <c r="FU56" s="37" t="e">
        <f aca="false">$ER56*FG56</f>
        <v>#NAME?</v>
      </c>
      <c r="FV56" s="37" t="n">
        <f aca="false">$ER56*FH56</f>
        <v>0</v>
      </c>
      <c r="FW56" s="37" t="e">
        <f aca="false">$ER56*FI56</f>
        <v>#NAME?</v>
      </c>
      <c r="FX56" s="37" t="n">
        <f aca="false">$ER56*FJ56</f>
        <v>0</v>
      </c>
      <c r="FY56" s="37" t="e">
        <f aca="false">$ER56*FK56</f>
        <v>#NAME?</v>
      </c>
      <c r="GA56" s="77" t="e">
        <f aca="false">VLOOKUP(A56,skewmonthlook,2,FALSE())</f>
        <v>#REF!</v>
      </c>
      <c r="GB56" s="0" t="e">
        <f aca="false">CONCATENATE(B$3,$GA56)</f>
        <v>#REF!</v>
      </c>
      <c r="GC56" s="0" t="e">
        <f aca="false">CONCATENATE(D$3,$GA56)</f>
        <v>#REF!</v>
      </c>
      <c r="GD56" s="0" t="e">
        <f aca="false">CONCATENATE(F$3,$GA56)</f>
        <v>#REF!</v>
      </c>
      <c r="GE56" s="0" t="e">
        <f aca="false">CONCATENATE(H$3,$GA56)</f>
        <v>#REF!</v>
      </c>
      <c r="GG56" s="65" t="e">
        <f aca="false">VLOOKUP(GB56,skewlook,HLOOKUP($P56,skewlook,2),FALSE())</f>
        <v>#REF!</v>
      </c>
      <c r="GH56" s="65" t="e">
        <f aca="false">VLOOKUP(GC56,skewlook,HLOOKUP($W56,skewlook,2),FALSE())</f>
        <v>#REF!</v>
      </c>
      <c r="GI56" s="65" t="e">
        <f aca="false">VLOOKUP(GD56,skewlook,HLOOKUP($AD56,skewlook,2),FALSE())</f>
        <v>#REF!</v>
      </c>
      <c r="GJ56" s="65" t="e">
        <f aca="false">VLOOKUP(GE56,skewlook,HLOOKUP($AK56,skewlook,2),FALSE())</f>
        <v>#REF!</v>
      </c>
    </row>
    <row r="57" customFormat="false" ht="12.75" hidden="false" customHeight="false" outlineLevel="0" collapsed="false">
      <c r="A57" s="62" t="n">
        <f aca="false">DATE(YEAR(A56),MONTH(A56)+1,1)</f>
        <v>37834</v>
      </c>
      <c r="B57" s="63" t="n">
        <f aca="false">VLOOKUP(A57,STRADDLE,5,FALSE())</f>
        <v>3.225</v>
      </c>
      <c r="C57" s="4" t="n">
        <f aca="false">VLOOKUP(A57,STRADDLE,8,FALSE())</f>
        <v>0.3675</v>
      </c>
      <c r="D57" s="64" t="n">
        <f aca="false">VLOOKUP(A57,expiration,2,FALSE())-$B$2</f>
        <v>-8096</v>
      </c>
      <c r="E57" s="65" t="e">
        <f aca="false">AY57</f>
        <v>#NAME?</v>
      </c>
      <c r="F57" s="65" t="e">
        <f aca="false">CI57</f>
        <v>#NAME?</v>
      </c>
      <c r="G57" s="65" t="e">
        <f aca="false">DR57</f>
        <v>#NAME?</v>
      </c>
      <c r="H57" s="65" t="e">
        <f aca="false">FA57</f>
        <v>#NAME?</v>
      </c>
      <c r="I57" s="66"/>
      <c r="J57" s="67"/>
      <c r="K57" s="63" t="n">
        <f aca="false">IF($B$3="NYMEX",0,VLOOKUP($A57,curvesettle,HLOOKUP($B$3,curvesettle,2,FALSE()),FALSE()))</f>
        <v>-0.15</v>
      </c>
      <c r="L57" s="63" t="n">
        <f aca="false">IF($B$4="NYMEX",0,VLOOKUP($A57,curvesettle,HLOOKUP($B$4,curvesettle,2,FALSE()),FALSE()))</f>
        <v>0</v>
      </c>
      <c r="M57" s="65" t="n">
        <f aca="false">IF(ISNUMBER(VLOOKUP($A57,VOLCURVES,HLOOKUP($B$3,VOLCURVES,2,FALSE()),FALSE())),VLOOKUP($A57,VOLCURVES,HLOOKUP($B$3,VOLCURVES,2,FALSE()),FALSE()),1)</f>
        <v>1</v>
      </c>
      <c r="N57" s="65" t="n">
        <f aca="false">IF(ISNUMBER(VLOOKUP($A57,VOLCURVES,HLOOKUP($B$4,VOLCURVES,2,FALSE()),FALSE())),VLOOKUP($A57,VOLCURVES,HLOOKUP($B$4,VOLCURVES,2,FALSE()),FALSE()),1)</f>
        <v>1</v>
      </c>
      <c r="O57" s="65" t="n">
        <f aca="false">IF(ISNUMBER(VLOOKUP($A57,CORETABLE,HLOOKUP($B$3,CORETABLE,2,FALSE()),FALSE())),VLOOKUP($A57,CORETABLE,HLOOKUP($B$3,CORETABLE,2,FALSE()),FALSE()),0.99)</f>
        <v>0.9945</v>
      </c>
      <c r="P57" s="68" t="n">
        <f aca="false">B$19</f>
        <v>-0.2</v>
      </c>
      <c r="Q57" s="69" t="n">
        <f aca="false">IF($B$18=1,IF(ISNUMBER($GG57),$GG57,0),0)</f>
        <v>0</v>
      </c>
      <c r="R57" s="70" t="n">
        <f aca="false">IF($D$3="NYMEX",0,VLOOKUP($A57,curvesettle,HLOOKUP($D$3,curvesettle,2,FALSE()),FALSE()))</f>
        <v>0.14</v>
      </c>
      <c r="S57" s="63" t="n">
        <f aca="false">IF($D$4="NYMEX",0,VLOOKUP($A57,curvesettle,HLOOKUP($D$4,curvesettle,2,FALSE()),FALSE()))</f>
        <v>0</v>
      </c>
      <c r="T57" s="65" t="n">
        <f aca="false">IF(ISNUMBER(VLOOKUP($A57,VOLCURVES,HLOOKUP($D$3,VOLCURVES,2,FALSE()),FALSE())),VLOOKUP($A57,VOLCURVES,HLOOKUP($D$3,VOLCURVES,2,FALSE()),FALSE()),1)</f>
        <v>1</v>
      </c>
      <c r="U57" s="65" t="n">
        <f aca="false">IF(ISNUMBER(VLOOKUP($A57,VOLCURVES,HLOOKUP($D$4,VOLCURVES,2,FALSE()),FALSE())),VLOOKUP($A57,VOLCURVES,HLOOKUP($D$4,VOLCURVES,2,FALSE()),FALSE()),1)</f>
        <v>1</v>
      </c>
      <c r="V57" s="65" t="n">
        <f aca="false">IF(ISNUMBER(VLOOKUP($A57,CORETABLE,HLOOKUP($D$3,CORETABLE,2,FALSE()),FALSE())),VLOOKUP($A57,CORETABLE,HLOOKUP($D$3,CORETABLE,2,FALSE()),FALSE()),0.99)</f>
        <v>0.99</v>
      </c>
      <c r="W57" s="68" t="n">
        <f aca="false">D$19</f>
        <v>0</v>
      </c>
      <c r="X57" s="69" t="n">
        <f aca="false">IF($D$18=1,IF(ISNUMBER($GH57),$GH57,0),0)</f>
        <v>0</v>
      </c>
      <c r="Y57" s="71" t="n">
        <f aca="false">IF($F$3="NYMEX",0,VLOOKUP($A57,curvesettle,HLOOKUP($F$3,curvesettle,2,FALSE()),FALSE()))</f>
        <v>-0.435</v>
      </c>
      <c r="Z57" s="63" t="n">
        <f aca="false">IF($F$4="NYMEX",0,VLOOKUP($A57,curvesettle,HLOOKUP($F$4,curvesettle,2,FALSE()),FALSE()))</f>
        <v>0</v>
      </c>
      <c r="AA57" s="65" t="n">
        <f aca="false">IF(ISNUMBER(VLOOKUP($A57,VOLCURVES,HLOOKUP($F$3,VOLCURVES,2,FALSE()),FALSE())),VLOOKUP($A57,VOLCURVES,HLOOKUP($F$3,VOLCURVES,2,FALSE()),FALSE()),1)</f>
        <v>1</v>
      </c>
      <c r="AB57" s="65" t="n">
        <f aca="false">IF(ISNUMBER(VLOOKUP($A57,VOLCURVES,HLOOKUP($F$4,VOLCURVES,2,FALSE()),FALSE())),VLOOKUP($A57,VOLCURVES,HLOOKUP($F$4,VOLCURVES,2,FALSE()),FALSE()),1)</f>
        <v>1</v>
      </c>
      <c r="AC57" s="65" t="n">
        <f aca="false">IF(ISNUMBER(VLOOKUP($A57,CORETABLE,HLOOKUP($F$3,CORETABLE,2,FALSE()),FALSE())),VLOOKUP($A57,CORETABLE,HLOOKUP($F$3,CORETABLE,2,FALSE()),FALSE()),0.99)</f>
        <v>0.99</v>
      </c>
      <c r="AD57" s="68" t="n">
        <f aca="false">F$19</f>
        <v>-0.6</v>
      </c>
      <c r="AE57" s="69" t="n">
        <f aca="false">IF($F$18=1,IF(ISNUMBER($GI57),$GI57,0),0)</f>
        <v>0</v>
      </c>
      <c r="AF57" s="63" t="n">
        <f aca="false">IF($H$3="NYMEX",0,VLOOKUP($A57,curvesettle,HLOOKUP($H$3,curvesettle,2,FALSE()),FALSE()))</f>
        <v>-0.435</v>
      </c>
      <c r="AG57" s="63" t="n">
        <f aca="false">IF($H$4="NYMEX",0,VLOOKUP($A57,curvesettle,HLOOKUP($H$4,curvesettle,2,FALSE()),FALSE()))</f>
        <v>0</v>
      </c>
      <c r="AH57" s="65" t="n">
        <f aca="false">IF(ISNUMBER(VLOOKUP($A57,VOLCURVES,HLOOKUP($H$3,VOLCURVES,2,FALSE()),FALSE())),VLOOKUP($A57,VOLCURVES,HLOOKUP($H$3,VOLCURVES,2,FALSE()),FALSE()),1)</f>
        <v>1</v>
      </c>
      <c r="AI57" s="65" t="n">
        <f aca="false">IF(ISNUMBER(VLOOKUP($A57,VOLCURVES,HLOOKUP($H$4,VOLCURVES,2,FALSE()),FALSE())),VLOOKUP($A57,VOLCURVES,HLOOKUP($H$4,VOLCURVES,2,FALSE()),FALSE()),1)</f>
        <v>1</v>
      </c>
      <c r="AJ57" s="65" t="n">
        <f aca="false">IF(ISNUMBER(VLOOKUP($A57,CORETABLE,HLOOKUP($H$3,CORETABLE,2,FALSE()),FALSE())),VLOOKUP($A57,CORETABLE,HLOOKUP($H$3,CORETABLE,2,FALSE()),FALSE()),0.99)</f>
        <v>0.99</v>
      </c>
      <c r="AK57" s="68" t="n">
        <f aca="false">H$19</f>
        <v>-0.45</v>
      </c>
      <c r="AL57" s="69" t="n">
        <f aca="false">IF($H$18=1,IF(ISNUMBER($GJ57),$GJ57,0),0)</f>
        <v>0</v>
      </c>
      <c r="AM57" s="4" t="n">
        <f aca="false">VLOOKUP($A57,STRADDLE,14,FALSE())</f>
        <v>0.0301389675554917</v>
      </c>
      <c r="AN57" s="72" t="n">
        <f aca="false">A58-A57</f>
        <v>31</v>
      </c>
      <c r="AO57" s="1" t="n">
        <f aca="false">AO56+1</f>
        <v>20</v>
      </c>
      <c r="AP57" s="73" t="n">
        <f aca="false">IF($A57&gt;=AR$32,IF($A57&lt;=AR$33,$AN57,0),0)</f>
        <v>31</v>
      </c>
      <c r="AQ57" s="41" t="n">
        <f aca="false">$B57+$K57+$B$12</f>
        <v>3.075</v>
      </c>
      <c r="AR57" s="41" t="n">
        <f aca="false">$B57+$L57+$B$13</f>
        <v>3.225</v>
      </c>
      <c r="AS57" s="41" t="n">
        <f aca="false">AQ57*AP57</f>
        <v>95.325</v>
      </c>
      <c r="AT57" s="41" t="n">
        <f aca="false">AR57*AP57</f>
        <v>99.975</v>
      </c>
      <c r="AU57" s="74" t="n">
        <f aca="false">($C57*$M57)+Q57+$B$14</f>
        <v>0.3675</v>
      </c>
      <c r="AV57" s="74" t="n">
        <f aca="false">($C57*$N57)+$B$15</f>
        <v>0.3675</v>
      </c>
      <c r="AW57" s="65" t="n">
        <f aca="false">O57+B$16</f>
        <v>0.999</v>
      </c>
      <c r="AX57" s="75" t="e">
        <f aca="false">IF(AP57=0,0,SPRDOPT(AQ57,AR57,$P57,$AM57,AU57,AV57,AW57,$D57,$B$20,0))</f>
        <v>#NAME?</v>
      </c>
      <c r="AY57" s="75" t="e">
        <f aca="false">IF(AQ57=0,0,SPRDOPT(AQ57,AR57,$P57,$AM57,AU57,AV57,AW57,$D57,$B$20,1))</f>
        <v>#NAME?</v>
      </c>
      <c r="AZ57" s="75" t="e">
        <f aca="false">IF(AR57=0,0,SPRDOPT(AQ57,AR57,$P57,$AM57,AU57,AV57,AW57,$D57,$B$20,2))</f>
        <v>#NAME?</v>
      </c>
      <c r="BA57" s="75" t="e">
        <f aca="false">IF(AS57=0,0,SPRDOPT(AQ57,AR57,$P57,$AM57,AU57,AV57,AW57,$D57,$B$20,3)/100)</f>
        <v>#NAME?</v>
      </c>
      <c r="BB57" s="75" t="e">
        <f aca="false">IF(AT57=0,0,SPRDOPT(AQ57,AR57,$P57,$AM57,AU57,AV57,AW57,$D57,$B$20,4)/100)</f>
        <v>#NAME?</v>
      </c>
      <c r="BC57" s="75" t="e">
        <f aca="false">IF(AU57=0,0,SPRDOPT(AQ57,AR57,$P57,$AM57,AU57,AV57,AW57,$D57,$B$20,5)/100)</f>
        <v>#NAME?</v>
      </c>
      <c r="BD57" s="75" t="e">
        <f aca="false">IF(AV57=0,0,SPRDOPT(AQ57,AR57,$P57,$AM57,AU57,AV57,AW57,$D57,$B$20,6)/100)</f>
        <v>#NAME?</v>
      </c>
      <c r="BE57" s="75" t="e">
        <f aca="false">IF(AW57=0,0,SPRDOPT(AQ57,AR57,$P57,$AM57,AU57,AV57,AW57,$D57,$B$20,7)/100)</f>
        <v>#NAME?</v>
      </c>
      <c r="BF57" s="75" t="e">
        <f aca="false">IF(AX57=0,0,SPRDOPT(AQ57,AR57,$P57,$AM57,AU57,AV57,AW57,$D57,$B$20,9)/365)</f>
        <v>#NAME?</v>
      </c>
      <c r="BG57" s="75" t="e">
        <f aca="false">AY57+AZ57</f>
        <v>#NAME?</v>
      </c>
      <c r="BH57" s="75" t="e">
        <f aca="false">BB57-BA57</f>
        <v>#NAME?</v>
      </c>
      <c r="BI57" s="75" t="e">
        <f aca="false">((AU57/AV57)*BC57)+BD57</f>
        <v>#NAME?</v>
      </c>
      <c r="BJ57" s="75" t="n">
        <f aca="false">AW57*AP57</f>
        <v>30.969</v>
      </c>
      <c r="BK57" s="76"/>
      <c r="BL57" s="37" t="e">
        <f aca="false">$AP57*AX57</f>
        <v>#NAME?</v>
      </c>
      <c r="BM57" s="37" t="e">
        <f aca="false">$AP57*AY57</f>
        <v>#NAME?</v>
      </c>
      <c r="BN57" s="37" t="e">
        <f aca="false">$AP57*AZ57</f>
        <v>#NAME?</v>
      </c>
      <c r="BO57" s="37" t="e">
        <f aca="false">$AP57*BA57</f>
        <v>#NAME?</v>
      </c>
      <c r="BP57" s="37" t="e">
        <f aca="false">$AP57*BB57</f>
        <v>#NAME?</v>
      </c>
      <c r="BQ57" s="37" t="e">
        <f aca="false">$AP57*BC57</f>
        <v>#NAME?</v>
      </c>
      <c r="BR57" s="37" t="e">
        <f aca="false">$AP57*BD57</f>
        <v>#NAME?</v>
      </c>
      <c r="BS57" s="37" t="e">
        <f aca="false">$AP57*BE57</f>
        <v>#NAME?</v>
      </c>
      <c r="BT57" s="37" t="e">
        <f aca="false">$AP57*BF57</f>
        <v>#NAME?</v>
      </c>
      <c r="BU57" s="37" t="e">
        <f aca="false">$AP57*BG57</f>
        <v>#NAME?</v>
      </c>
      <c r="BV57" s="37" t="e">
        <f aca="false">$AP57*BH57</f>
        <v>#NAME?</v>
      </c>
      <c r="BW57" s="37" t="e">
        <f aca="false">$AP57*BI57</f>
        <v>#NAME?</v>
      </c>
      <c r="BX57" s="37"/>
      <c r="BZ57" s="73" t="n">
        <f aca="false">IF($A57&gt;=CB$32,IF($A57&lt;=CB$33,$AN57,0),0)</f>
        <v>0</v>
      </c>
      <c r="CA57" s="41" t="n">
        <f aca="false">$B57+$R57+$D$12</f>
        <v>3.365</v>
      </c>
      <c r="CB57" s="41" t="n">
        <f aca="false">$B57+$S57+$D$13</f>
        <v>3.225</v>
      </c>
      <c r="CC57" s="41" t="n">
        <f aca="false">CA57*BZ57</f>
        <v>0</v>
      </c>
      <c r="CD57" s="41" t="n">
        <f aca="false">CB57*BZ57</f>
        <v>0</v>
      </c>
      <c r="CE57" s="74" t="n">
        <f aca="false">($C57*$T57)+X57+$D$14</f>
        <v>0.3675</v>
      </c>
      <c r="CF57" s="74" t="n">
        <f aca="false">($C57*$U57)+$D$15</f>
        <v>0.3675</v>
      </c>
      <c r="CG57" s="65" t="n">
        <f aca="false">$V57+D$16</f>
        <v>0.99</v>
      </c>
      <c r="CH57" s="75" t="n">
        <f aca="false">IF(BZ57=0,0,SPRDOPT(CA57,CB57,$W57,$AM57,CE57,CF57,CG57,$D57,$D$20,0))</f>
        <v>0</v>
      </c>
      <c r="CI57" s="75" t="e">
        <f aca="false">IF(CA57=0,0,SPRDOPT(CA57,CB57,$W57,$AM57,CE57,CF57,CG57,$D57,$D$20,1))</f>
        <v>#NAME?</v>
      </c>
      <c r="CJ57" s="75" t="e">
        <f aca="false">IF(CB57=0,0,SPRDOPT(CA57,CB57,$W57,$AM57,CE57,CF57,CG57,$D57,$D$20,2))</f>
        <v>#NAME?</v>
      </c>
      <c r="CK57" s="75" t="n">
        <f aca="false">IF(CC57=0,0,SPRDOPT(CA57,CB57,$W57,$AM57,CE57,CF57,CG57,$D57,$D$20,3)/100)</f>
        <v>0</v>
      </c>
      <c r="CL57" s="75" t="n">
        <f aca="false">IF(CD57=0,0,SPRDOPT(CA57,CB57,$W57,$AM57,CE57,CF57,CG57,$D57,$D$20,4)/100)</f>
        <v>0</v>
      </c>
      <c r="CM57" s="75" t="e">
        <f aca="false">IF(CE57=0,0,SPRDOPT(CA57,CB57,$W57,$AM57,CE57,CF57,CG57,$D57,$D$20,5)/100)</f>
        <v>#NAME?</v>
      </c>
      <c r="CN57" s="75" t="e">
        <f aca="false">IF(CF57=0,0,SPRDOPT(CA57,CB57,$W57,$AM57,CE57,CF57,CG57,$D57,$D$20,6)/100)</f>
        <v>#NAME?</v>
      </c>
      <c r="CO57" s="75" t="e">
        <f aca="false">IF(CG57=0,0,SPRDOPT(CA57,CB57,$W57,$AM57,CE57,CF57,CG57,$D57,$D$20,7)/100)</f>
        <v>#NAME?</v>
      </c>
      <c r="CP57" s="75" t="n">
        <f aca="false">IF(CH57=0,0,SPRDOPT(CA57,CB57,$W57,$AM57,CE57,CF57,CG57,$D57,$D$20,9)/365)</f>
        <v>0</v>
      </c>
      <c r="CQ57" s="75" t="e">
        <f aca="false">CI57+CJ57</f>
        <v>#NAME?</v>
      </c>
      <c r="CR57" s="75" t="n">
        <f aca="false">CL57-CK57</f>
        <v>0</v>
      </c>
      <c r="CS57" s="75" t="e">
        <f aca="false">((CE57/CF57)*CM57)+CN57</f>
        <v>#NAME?</v>
      </c>
      <c r="CT57" s="75" t="n">
        <f aca="false">CG57*BZ57</f>
        <v>0</v>
      </c>
      <c r="CU57" s="76"/>
      <c r="CV57" s="37" t="n">
        <f aca="false">BZ57*CH57</f>
        <v>0</v>
      </c>
      <c r="CW57" s="37" t="e">
        <f aca="false">BZ57*CI57</f>
        <v>#NAME?</v>
      </c>
      <c r="CX57" s="37" t="e">
        <f aca="false">BZ57*CJ57</f>
        <v>#NAME?</v>
      </c>
      <c r="CY57" s="37" t="n">
        <f aca="false">BZ57*CK57</f>
        <v>0</v>
      </c>
      <c r="CZ57" s="37" t="n">
        <f aca="false">BZ57*CL57</f>
        <v>0</v>
      </c>
      <c r="DA57" s="37" t="e">
        <f aca="false">BZ57*CM57</f>
        <v>#NAME?</v>
      </c>
      <c r="DB57" s="37" t="e">
        <f aca="false">BZ57*CN57</f>
        <v>#NAME?</v>
      </c>
      <c r="DC57" s="37" t="e">
        <f aca="false">BZ57*CO57</f>
        <v>#NAME?</v>
      </c>
      <c r="DD57" s="37" t="n">
        <f aca="false">BZ57*CP57</f>
        <v>0</v>
      </c>
      <c r="DE57" s="37" t="e">
        <f aca="false">BZ57*CQ57</f>
        <v>#NAME?</v>
      </c>
      <c r="DF57" s="37" t="n">
        <f aca="false">BZ57*CR57</f>
        <v>0</v>
      </c>
      <c r="DG57" s="37" t="e">
        <f aca="false">BZ57*CS57</f>
        <v>#NAME?</v>
      </c>
      <c r="DI57" s="73" t="n">
        <f aca="false">IF($A57&gt;=DK$32,IF($A57&lt;=DK$33,$AN57,0),0)</f>
        <v>0</v>
      </c>
      <c r="DJ57" s="41" t="n">
        <f aca="false">$B57+$Y57+$F$12</f>
        <v>2.79</v>
      </c>
      <c r="DK57" s="41" t="n">
        <f aca="false">$B57+$Z57+$F$13</f>
        <v>3.225</v>
      </c>
      <c r="DL57" s="41" t="n">
        <f aca="false">DJ57*DI57</f>
        <v>0</v>
      </c>
      <c r="DM57" s="41" t="n">
        <f aca="false">DK57*DI57</f>
        <v>0</v>
      </c>
      <c r="DN57" s="74" t="n">
        <f aca="false">($C57*$AA57)+AE57+$F$14</f>
        <v>0.3675</v>
      </c>
      <c r="DO57" s="74" t="n">
        <f aca="false">($C57*$AB57)+$F$15</f>
        <v>0.3675</v>
      </c>
      <c r="DP57" s="65" t="n">
        <f aca="false">$AC57+$F$16</f>
        <v>0.99</v>
      </c>
      <c r="DQ57" s="75" t="n">
        <f aca="false">IF(DI57=0,0,SPRDOPT(DJ57,DK57,$AD57,$AM57,DN57,DO57,DP57,$D57,$F$20,0))</f>
        <v>0</v>
      </c>
      <c r="DR57" s="75" t="e">
        <f aca="false">IF(DJ57=0,0,SPRDOPT(DJ57,DK57,$AD57,$AM57,DN57,DO57,DP57,$D57,$F$20,1))</f>
        <v>#NAME?</v>
      </c>
      <c r="DS57" s="75" t="e">
        <f aca="false">IF(DK57=0,0,SPRDOPT(DJ57,DK57,$AD57,$AM57,DN57,DO57,DP57,$D57,$F$20,2))</f>
        <v>#NAME?</v>
      </c>
      <c r="DT57" s="75" t="n">
        <f aca="false">IF(DL57=0,0,SPRDOPT(DJ57,DK57,$AD57,$AM57,DN57,DO57,DP57,$D57,$F$20,3)/100)</f>
        <v>0</v>
      </c>
      <c r="DU57" s="75" t="n">
        <f aca="false">IF(DM57=0,0,SPRDOPT(DJ57,DK57,$AD57,$AM57,DN57,DO57,DP57,$D57,$F$20,4)/100)</f>
        <v>0</v>
      </c>
      <c r="DV57" s="75" t="e">
        <f aca="false">IF(DN57=0,0,SPRDOPT(DJ57,DK57,$AD57,$AM57,DN57,DO57,DP57,$D57,$F$20,5)/100)</f>
        <v>#NAME?</v>
      </c>
      <c r="DW57" s="75" t="e">
        <f aca="false">IF(DO57=0,0,SPRDOPT(DJ57,DK57,$AD57,$AM57,DN57,DO57,DP57,$D57,$F$20,6)/100)</f>
        <v>#NAME?</v>
      </c>
      <c r="DX57" s="75" t="e">
        <f aca="false">IF(DP57=0,0,SPRDOPT(DJ57,DK57,$AD57,$AM57,DN57,DO57,DP57,$D57,$F$20,7)/100)</f>
        <v>#NAME?</v>
      </c>
      <c r="DY57" s="75" t="n">
        <f aca="false">IF(DQ57=0,0,SPRDOPT(DJ57,DK57,$AD57,$AM57,DN57,DO57,DP57,$D57,$F$20,9)/365)</f>
        <v>0</v>
      </c>
      <c r="DZ57" s="75" t="e">
        <f aca="false">DR57+DS57</f>
        <v>#NAME?</v>
      </c>
      <c r="EA57" s="75" t="n">
        <f aca="false">DU57-DT57</f>
        <v>0</v>
      </c>
      <c r="EB57" s="75" t="e">
        <f aca="false">((DN57/DO57)*DV57)+DW57</f>
        <v>#NAME?</v>
      </c>
      <c r="EC57" s="75" t="n">
        <f aca="false">DP57*DI57</f>
        <v>0</v>
      </c>
      <c r="ED57" s="75"/>
      <c r="EE57" s="37" t="n">
        <f aca="false">DI57*DQ57</f>
        <v>0</v>
      </c>
      <c r="EF57" s="37" t="e">
        <f aca="false">DI57*DR57</f>
        <v>#NAME?</v>
      </c>
      <c r="EG57" s="37" t="e">
        <f aca="false">DI57*DS57</f>
        <v>#NAME?</v>
      </c>
      <c r="EH57" s="37" t="n">
        <f aca="false">DI57*DT57</f>
        <v>0</v>
      </c>
      <c r="EI57" s="37" t="n">
        <f aca="false">DI57*DU57</f>
        <v>0</v>
      </c>
      <c r="EJ57" s="37" t="e">
        <f aca="false">DI57*DV57</f>
        <v>#NAME?</v>
      </c>
      <c r="EK57" s="37" t="e">
        <f aca="false">DI57*DW57</f>
        <v>#NAME?</v>
      </c>
      <c r="EL57" s="37" t="e">
        <f aca="false">DI57*DX57</f>
        <v>#NAME?</v>
      </c>
      <c r="EM57" s="37" t="n">
        <f aca="false">DI57*DY57</f>
        <v>0</v>
      </c>
      <c r="EN57" s="37" t="e">
        <f aca="false">DI57*DZ57</f>
        <v>#NAME?</v>
      </c>
      <c r="EO57" s="37" t="n">
        <f aca="false">DI57*EA57</f>
        <v>0</v>
      </c>
      <c r="EP57" s="37" t="e">
        <f aca="false">DI57*EB57</f>
        <v>#NAME?</v>
      </c>
      <c r="ER57" s="73" t="n">
        <f aca="false">IF($A57&gt;=ET$32,IF($A57&lt;=ET$33,$AN57,0),0)</f>
        <v>0</v>
      </c>
      <c r="ES57" s="41" t="n">
        <f aca="false">$B57+$AF57+$H$12</f>
        <v>2.85</v>
      </c>
      <c r="ET57" s="41" t="n">
        <f aca="false">$B57+$AG57+$H$13</f>
        <v>3.225</v>
      </c>
      <c r="EU57" s="41" t="n">
        <f aca="false">ES57*ER57</f>
        <v>0</v>
      </c>
      <c r="EV57" s="41" t="n">
        <f aca="false">ET57*ER57</f>
        <v>0</v>
      </c>
      <c r="EW57" s="74" t="n">
        <f aca="false">($C57*$AH57)+AL57+$H$14</f>
        <v>0.3675</v>
      </c>
      <c r="EX57" s="74" t="n">
        <f aca="false">($C57*$AI57)+$H$15</f>
        <v>0.3675</v>
      </c>
      <c r="EY57" s="65" t="n">
        <f aca="false">$AJ57+$H$16</f>
        <v>0.99</v>
      </c>
      <c r="EZ57" s="75" t="n">
        <f aca="false">IF(ER57=0,0,SPRDOPT(ES57,ET57,$AK57,$AM57,EW57,EX57,EY57,$D57,$H$20,0))</f>
        <v>0</v>
      </c>
      <c r="FA57" s="75" t="e">
        <f aca="false">IF(ES57=0,0,SPRDOPT(ES57,ET57,$AK57,$AM57,EW57,EX57,EY57,$D57,$H$20,1))</f>
        <v>#NAME?</v>
      </c>
      <c r="FB57" s="75" t="e">
        <f aca="false">IF(ET57=0,0,SPRDOPT(ES57,ET57,$AK57,$AM57,EW57,EX57,EY57,$D57,$H$20,2))</f>
        <v>#NAME?</v>
      </c>
      <c r="FC57" s="75" t="n">
        <f aca="false">IF(EU57=0,0,SPRDOPT(ES57,ET57,$AK57,$AM57,EW57,EX57,EY57,$D57,$H$20,3)/100)</f>
        <v>0</v>
      </c>
      <c r="FD57" s="75" t="n">
        <f aca="false">IF(EV57=0,0,SPRDOPT(ES57,ET57,$AK57,$AM57,EW57,EX57,EY57,$D57,$H$20,4)/100)</f>
        <v>0</v>
      </c>
      <c r="FE57" s="75" t="e">
        <f aca="false">IF(EW57=0,0,SPRDOPT(ES57,ET57,$AK57,$AM57,EW57,EX57,EY57,$D57,$H$20,5)/100)</f>
        <v>#NAME?</v>
      </c>
      <c r="FF57" s="75" t="e">
        <f aca="false">IF(EX57=0,0,SPRDOPT(ES57,ET57,$AK57,$AM57,EW57,EX57,EY57,$D57,$H$20,6)/100)</f>
        <v>#NAME?</v>
      </c>
      <c r="FG57" s="75" t="e">
        <f aca="false">IF(EY57=0,0,SPRDOPT(ES57,ET57,$AK57,$AM57,EW57,EX57,EY57,$D57,$H$20,7)/100)</f>
        <v>#NAME?</v>
      </c>
      <c r="FH57" s="75" t="n">
        <f aca="false">IF(EZ57=0,0,SPRDOPT(ES57,ET57,$AK57,$AM57,EW57,EX57,EY57,$D57,$H$20,9)/365)</f>
        <v>0</v>
      </c>
      <c r="FI57" s="75" t="e">
        <f aca="false">FA57+FB57</f>
        <v>#NAME?</v>
      </c>
      <c r="FJ57" s="75" t="n">
        <f aca="false">FD57-FC57</f>
        <v>0</v>
      </c>
      <c r="FK57" s="75" t="e">
        <f aca="false">((EW57/EX57)*FE57)+FF57</f>
        <v>#NAME?</v>
      </c>
      <c r="FL57" s="75" t="n">
        <f aca="false">EY57*ER57</f>
        <v>0</v>
      </c>
      <c r="FM57" s="75"/>
      <c r="FN57" s="37" t="n">
        <f aca="false">$ER57*EZ57</f>
        <v>0</v>
      </c>
      <c r="FO57" s="37" t="e">
        <f aca="false">$ER57*FA57</f>
        <v>#NAME?</v>
      </c>
      <c r="FP57" s="37" t="e">
        <f aca="false">$ER57*FB57</f>
        <v>#NAME?</v>
      </c>
      <c r="FQ57" s="37" t="n">
        <f aca="false">$ER57*FC57</f>
        <v>0</v>
      </c>
      <c r="FR57" s="37" t="n">
        <f aca="false">$ER57*FD57</f>
        <v>0</v>
      </c>
      <c r="FS57" s="37" t="e">
        <f aca="false">$ER57*FE57</f>
        <v>#NAME?</v>
      </c>
      <c r="FT57" s="37" t="e">
        <f aca="false">$ER57*FF57</f>
        <v>#NAME?</v>
      </c>
      <c r="FU57" s="37" t="e">
        <f aca="false">$ER57*FG57</f>
        <v>#NAME?</v>
      </c>
      <c r="FV57" s="37" t="n">
        <f aca="false">$ER57*FH57</f>
        <v>0</v>
      </c>
      <c r="FW57" s="37" t="e">
        <f aca="false">$ER57*FI57</f>
        <v>#NAME?</v>
      </c>
      <c r="FX57" s="37" t="n">
        <f aca="false">$ER57*FJ57</f>
        <v>0</v>
      </c>
      <c r="FY57" s="37" t="e">
        <f aca="false">$ER57*FK57</f>
        <v>#NAME?</v>
      </c>
      <c r="GA57" s="77" t="e">
        <f aca="false">VLOOKUP(A57,skewmonthlook,2,FALSE())</f>
        <v>#REF!</v>
      </c>
      <c r="GB57" s="0" t="e">
        <f aca="false">CONCATENATE(B$3,$GA57)</f>
        <v>#REF!</v>
      </c>
      <c r="GC57" s="0" t="e">
        <f aca="false">CONCATENATE(D$3,$GA57)</f>
        <v>#REF!</v>
      </c>
      <c r="GD57" s="0" t="e">
        <f aca="false">CONCATENATE(F$3,$GA57)</f>
        <v>#REF!</v>
      </c>
      <c r="GE57" s="0" t="e">
        <f aca="false">CONCATENATE(H$3,$GA57)</f>
        <v>#REF!</v>
      </c>
      <c r="GG57" s="65" t="e">
        <f aca="false">VLOOKUP(GB57,skewlook,HLOOKUP($P57,skewlook,2),FALSE())</f>
        <v>#REF!</v>
      </c>
      <c r="GH57" s="65" t="e">
        <f aca="false">VLOOKUP(GC57,skewlook,HLOOKUP($W57,skewlook,2),FALSE())</f>
        <v>#REF!</v>
      </c>
      <c r="GI57" s="65" t="e">
        <f aca="false">VLOOKUP(GD57,skewlook,HLOOKUP($AD57,skewlook,2),FALSE())</f>
        <v>#REF!</v>
      </c>
      <c r="GJ57" s="65" t="e">
        <f aca="false">VLOOKUP(GE57,skewlook,HLOOKUP($AK57,skewlook,2),FALSE())</f>
        <v>#REF!</v>
      </c>
    </row>
    <row r="58" customFormat="false" ht="12.75" hidden="false" customHeight="false" outlineLevel="0" collapsed="false">
      <c r="A58" s="62" t="n">
        <f aca="false">DATE(YEAR(A57),MONTH(A57)+1,1)</f>
        <v>37865</v>
      </c>
      <c r="B58" s="63" t="n">
        <f aca="false">VLOOKUP(A58,STRADDLE,5,FALSE())</f>
        <v>3.22</v>
      </c>
      <c r="C58" s="4" t="n">
        <f aca="false">VLOOKUP(A58,STRADDLE,8,FALSE())</f>
        <v>0.365</v>
      </c>
      <c r="D58" s="64" t="n">
        <f aca="false">VLOOKUP(A58,expiration,2,FALSE())-$B$2</f>
        <v>-8067</v>
      </c>
      <c r="E58" s="65" t="e">
        <f aca="false">AY58</f>
        <v>#NAME?</v>
      </c>
      <c r="F58" s="65" t="e">
        <f aca="false">CI58</f>
        <v>#NAME?</v>
      </c>
      <c r="G58" s="65" t="e">
        <f aca="false">DR58</f>
        <v>#NAME?</v>
      </c>
      <c r="H58" s="65" t="e">
        <f aca="false">FA58</f>
        <v>#NAME?</v>
      </c>
      <c r="I58" s="66"/>
      <c r="J58" s="67"/>
      <c r="K58" s="63" t="n">
        <f aca="false">IF($B$3="NYMEX",0,VLOOKUP($A58,curvesettle,HLOOKUP($B$3,curvesettle,2,FALSE()),FALSE()))</f>
        <v>-0.15</v>
      </c>
      <c r="L58" s="63" t="n">
        <f aca="false">IF($B$4="NYMEX",0,VLOOKUP($A58,curvesettle,HLOOKUP($B$4,curvesettle,2,FALSE()),FALSE()))</f>
        <v>0</v>
      </c>
      <c r="M58" s="65" t="n">
        <f aca="false">IF(ISNUMBER(VLOOKUP($A58,VOLCURVES,HLOOKUP($B$3,VOLCURVES,2,FALSE()),FALSE())),VLOOKUP($A58,VOLCURVES,HLOOKUP($B$3,VOLCURVES,2,FALSE()),FALSE()),1)</f>
        <v>1</v>
      </c>
      <c r="N58" s="65" t="n">
        <f aca="false">IF(ISNUMBER(VLOOKUP($A58,VOLCURVES,HLOOKUP($B$4,VOLCURVES,2,FALSE()),FALSE())),VLOOKUP($A58,VOLCURVES,HLOOKUP($B$4,VOLCURVES,2,FALSE()),FALSE()),1)</f>
        <v>1</v>
      </c>
      <c r="O58" s="65" t="n">
        <f aca="false">IF(ISNUMBER(VLOOKUP($A58,CORETABLE,HLOOKUP($B$3,CORETABLE,2,FALSE()),FALSE())),VLOOKUP($A58,CORETABLE,HLOOKUP($B$3,CORETABLE,2,FALSE()),FALSE()),0.99)</f>
        <v>0.9945</v>
      </c>
      <c r="P58" s="68" t="n">
        <f aca="false">B$19</f>
        <v>-0.2</v>
      </c>
      <c r="Q58" s="69" t="n">
        <f aca="false">IF($B$18=1,IF(ISNUMBER($GG58),$GG58,0),0)</f>
        <v>0</v>
      </c>
      <c r="R58" s="70" t="n">
        <f aca="false">IF($D$3="NYMEX",0,VLOOKUP($A58,curvesettle,HLOOKUP($D$3,curvesettle,2,FALSE()),FALSE()))</f>
        <v>0.14</v>
      </c>
      <c r="S58" s="63" t="n">
        <f aca="false">IF($D$4="NYMEX",0,VLOOKUP($A58,curvesettle,HLOOKUP($D$4,curvesettle,2,FALSE()),FALSE()))</f>
        <v>0</v>
      </c>
      <c r="T58" s="65" t="n">
        <f aca="false">IF(ISNUMBER(VLOOKUP($A58,VOLCURVES,HLOOKUP($D$3,VOLCURVES,2,FALSE()),FALSE())),VLOOKUP($A58,VOLCURVES,HLOOKUP($D$3,VOLCURVES,2,FALSE()),FALSE()),1)</f>
        <v>1</v>
      </c>
      <c r="U58" s="65" t="n">
        <f aca="false">IF(ISNUMBER(VLOOKUP($A58,VOLCURVES,HLOOKUP($D$4,VOLCURVES,2,FALSE()),FALSE())),VLOOKUP($A58,VOLCURVES,HLOOKUP($D$4,VOLCURVES,2,FALSE()),FALSE()),1)</f>
        <v>1</v>
      </c>
      <c r="V58" s="65" t="n">
        <f aca="false">IF(ISNUMBER(VLOOKUP($A58,CORETABLE,HLOOKUP($D$3,CORETABLE,2,FALSE()),FALSE())),VLOOKUP($A58,CORETABLE,HLOOKUP($D$3,CORETABLE,2,FALSE()),FALSE()),0.99)</f>
        <v>0.99</v>
      </c>
      <c r="W58" s="68" t="n">
        <f aca="false">D$19</f>
        <v>0</v>
      </c>
      <c r="X58" s="69" t="n">
        <f aca="false">IF($D$18=1,IF(ISNUMBER($GH58),$GH58,0),0)</f>
        <v>0</v>
      </c>
      <c r="Y58" s="71" t="n">
        <f aca="false">IF($F$3="NYMEX",0,VLOOKUP($A58,curvesettle,HLOOKUP($F$3,curvesettle,2,FALSE()),FALSE()))</f>
        <v>-0.435</v>
      </c>
      <c r="Z58" s="63" t="n">
        <f aca="false">IF($F$4="NYMEX",0,VLOOKUP($A58,curvesettle,HLOOKUP($F$4,curvesettle,2,FALSE()),FALSE()))</f>
        <v>0</v>
      </c>
      <c r="AA58" s="65" t="n">
        <f aca="false">IF(ISNUMBER(VLOOKUP($A58,VOLCURVES,HLOOKUP($F$3,VOLCURVES,2,FALSE()),FALSE())),VLOOKUP($A58,VOLCURVES,HLOOKUP($F$3,VOLCURVES,2,FALSE()),FALSE()),1)</f>
        <v>1</v>
      </c>
      <c r="AB58" s="65" t="n">
        <f aca="false">IF(ISNUMBER(VLOOKUP($A58,VOLCURVES,HLOOKUP($F$4,VOLCURVES,2,FALSE()),FALSE())),VLOOKUP($A58,VOLCURVES,HLOOKUP($F$4,VOLCURVES,2,FALSE()),FALSE()),1)</f>
        <v>1</v>
      </c>
      <c r="AC58" s="65" t="n">
        <f aca="false">IF(ISNUMBER(VLOOKUP($A58,CORETABLE,HLOOKUP($F$3,CORETABLE,2,FALSE()),FALSE())),VLOOKUP($A58,CORETABLE,HLOOKUP($F$3,CORETABLE,2,FALSE()),FALSE()),0.99)</f>
        <v>0.99</v>
      </c>
      <c r="AD58" s="68" t="n">
        <f aca="false">F$19</f>
        <v>-0.6</v>
      </c>
      <c r="AE58" s="69" t="n">
        <f aca="false">IF($F$18=1,IF(ISNUMBER($GI58),$GI58,0),0)</f>
        <v>0</v>
      </c>
      <c r="AF58" s="63" t="n">
        <f aca="false">IF($H$3="NYMEX",0,VLOOKUP($A58,curvesettle,HLOOKUP($H$3,curvesettle,2,FALSE()),FALSE()))</f>
        <v>-0.435</v>
      </c>
      <c r="AG58" s="63" t="n">
        <f aca="false">IF($H$4="NYMEX",0,VLOOKUP($A58,curvesettle,HLOOKUP($H$4,curvesettle,2,FALSE()),FALSE()))</f>
        <v>0</v>
      </c>
      <c r="AH58" s="65" t="n">
        <f aca="false">IF(ISNUMBER(VLOOKUP($A58,VOLCURVES,HLOOKUP($H$3,VOLCURVES,2,FALSE()),FALSE())),VLOOKUP($A58,VOLCURVES,HLOOKUP($H$3,VOLCURVES,2,FALSE()),FALSE()),1)</f>
        <v>1</v>
      </c>
      <c r="AI58" s="65" t="n">
        <f aca="false">IF(ISNUMBER(VLOOKUP($A58,VOLCURVES,HLOOKUP($H$4,VOLCURVES,2,FALSE()),FALSE())),VLOOKUP($A58,VOLCURVES,HLOOKUP($H$4,VOLCURVES,2,FALSE()),FALSE()),1)</f>
        <v>1</v>
      </c>
      <c r="AJ58" s="65" t="n">
        <f aca="false">IF(ISNUMBER(VLOOKUP($A58,CORETABLE,HLOOKUP($H$3,CORETABLE,2,FALSE()),FALSE())),VLOOKUP($A58,CORETABLE,HLOOKUP($H$3,CORETABLE,2,FALSE()),FALSE()),0.99)</f>
        <v>0.99</v>
      </c>
      <c r="AK58" s="68" t="n">
        <f aca="false">H$19</f>
        <v>-0.45</v>
      </c>
      <c r="AL58" s="69" t="n">
        <f aca="false">IF($H$18=1,IF(ISNUMBER($GJ58),$GJ58,0),0)</f>
        <v>0</v>
      </c>
      <c r="AM58" s="4" t="n">
        <f aca="false">VLOOKUP($A58,STRADDLE,14,FALSE())</f>
        <v>0.0311023130071817</v>
      </c>
      <c r="AN58" s="72" t="n">
        <f aca="false">A59-A58</f>
        <v>30</v>
      </c>
      <c r="AO58" s="1" t="n">
        <f aca="false">AO57+1</f>
        <v>21</v>
      </c>
      <c r="AP58" s="73" t="n">
        <f aca="false">IF($A58&gt;=AR$32,IF($A58&lt;=AR$33,$AN58,0),0)</f>
        <v>30</v>
      </c>
      <c r="AQ58" s="41" t="n">
        <f aca="false">$B58+$K58+$B$12</f>
        <v>3.07</v>
      </c>
      <c r="AR58" s="41" t="n">
        <f aca="false">$B58+$L58+$B$13</f>
        <v>3.22</v>
      </c>
      <c r="AS58" s="41" t="n">
        <f aca="false">AQ58*AP58</f>
        <v>92.1</v>
      </c>
      <c r="AT58" s="41" t="n">
        <f aca="false">AR58*AP58</f>
        <v>96.6</v>
      </c>
      <c r="AU58" s="74" t="n">
        <f aca="false">($C58*$M58)+Q58+$B$14</f>
        <v>0.365</v>
      </c>
      <c r="AV58" s="74" t="n">
        <f aca="false">($C58*$N58)+$B$15</f>
        <v>0.365</v>
      </c>
      <c r="AW58" s="65" t="n">
        <f aca="false">O58+B$16</f>
        <v>0.999</v>
      </c>
      <c r="AX58" s="75" t="e">
        <f aca="false">IF(AP58=0,0,SPRDOPT(AQ58,AR58,$P58,$AM58,AU58,AV58,AW58,$D58,$B$20,0))</f>
        <v>#NAME?</v>
      </c>
      <c r="AY58" s="75" t="e">
        <f aca="false">IF(AQ58=0,0,SPRDOPT(AQ58,AR58,$P58,$AM58,AU58,AV58,AW58,$D58,$B$20,1))</f>
        <v>#NAME?</v>
      </c>
      <c r="AZ58" s="75" t="e">
        <f aca="false">IF(AR58=0,0,SPRDOPT(AQ58,AR58,$P58,$AM58,AU58,AV58,AW58,$D58,$B$20,2))</f>
        <v>#NAME?</v>
      </c>
      <c r="BA58" s="75" t="e">
        <f aca="false">IF(AS58=0,0,SPRDOPT(AQ58,AR58,$P58,$AM58,AU58,AV58,AW58,$D58,$B$20,3)/100)</f>
        <v>#NAME?</v>
      </c>
      <c r="BB58" s="75" t="e">
        <f aca="false">IF(AT58=0,0,SPRDOPT(AQ58,AR58,$P58,$AM58,AU58,AV58,AW58,$D58,$B$20,4)/100)</f>
        <v>#NAME?</v>
      </c>
      <c r="BC58" s="75" t="e">
        <f aca="false">IF(AU58=0,0,SPRDOPT(AQ58,AR58,$P58,$AM58,AU58,AV58,AW58,$D58,$B$20,5)/100)</f>
        <v>#NAME?</v>
      </c>
      <c r="BD58" s="75" t="e">
        <f aca="false">IF(AV58=0,0,SPRDOPT(AQ58,AR58,$P58,$AM58,AU58,AV58,AW58,$D58,$B$20,6)/100)</f>
        <v>#NAME?</v>
      </c>
      <c r="BE58" s="75" t="e">
        <f aca="false">IF(AW58=0,0,SPRDOPT(AQ58,AR58,$P58,$AM58,AU58,AV58,AW58,$D58,$B$20,7)/100)</f>
        <v>#NAME?</v>
      </c>
      <c r="BF58" s="75" t="e">
        <f aca="false">IF(AX58=0,0,SPRDOPT(AQ58,AR58,$P58,$AM58,AU58,AV58,AW58,$D58,$B$20,9)/365)</f>
        <v>#NAME?</v>
      </c>
      <c r="BG58" s="75" t="e">
        <f aca="false">AY58+AZ58</f>
        <v>#NAME?</v>
      </c>
      <c r="BH58" s="75" t="e">
        <f aca="false">BB58-BA58</f>
        <v>#NAME?</v>
      </c>
      <c r="BI58" s="75" t="e">
        <f aca="false">((AU58/AV58)*BC58)+BD58</f>
        <v>#NAME?</v>
      </c>
      <c r="BJ58" s="75" t="n">
        <f aca="false">AW58*AP58</f>
        <v>29.97</v>
      </c>
      <c r="BK58" s="76"/>
      <c r="BL58" s="37" t="e">
        <f aca="false">$AP58*AX58</f>
        <v>#NAME?</v>
      </c>
      <c r="BM58" s="37" t="e">
        <f aca="false">$AP58*AY58</f>
        <v>#NAME?</v>
      </c>
      <c r="BN58" s="37" t="e">
        <f aca="false">$AP58*AZ58</f>
        <v>#NAME?</v>
      </c>
      <c r="BO58" s="37" t="e">
        <f aca="false">$AP58*BA58</f>
        <v>#NAME?</v>
      </c>
      <c r="BP58" s="37" t="e">
        <f aca="false">$AP58*BB58</f>
        <v>#NAME?</v>
      </c>
      <c r="BQ58" s="37" t="e">
        <f aca="false">$AP58*BC58</f>
        <v>#NAME?</v>
      </c>
      <c r="BR58" s="37" t="e">
        <f aca="false">$AP58*BD58</f>
        <v>#NAME?</v>
      </c>
      <c r="BS58" s="37" t="e">
        <f aca="false">$AP58*BE58</f>
        <v>#NAME?</v>
      </c>
      <c r="BT58" s="37" t="e">
        <f aca="false">$AP58*BF58</f>
        <v>#NAME?</v>
      </c>
      <c r="BU58" s="37" t="e">
        <f aca="false">$AP58*BG58</f>
        <v>#NAME?</v>
      </c>
      <c r="BV58" s="37" t="e">
        <f aca="false">$AP58*BH58</f>
        <v>#NAME?</v>
      </c>
      <c r="BW58" s="37" t="e">
        <f aca="false">$AP58*BI58</f>
        <v>#NAME?</v>
      </c>
      <c r="BX58" s="37"/>
      <c r="BZ58" s="73" t="n">
        <f aca="false">IF($A58&gt;=CB$32,IF($A58&lt;=CB$33,$AN58,0),0)</f>
        <v>0</v>
      </c>
      <c r="CA58" s="41" t="n">
        <f aca="false">$B58+$R58+$D$12</f>
        <v>3.36</v>
      </c>
      <c r="CB58" s="41" t="n">
        <f aca="false">$B58+$S58+$D$13</f>
        <v>3.22</v>
      </c>
      <c r="CC58" s="41" t="n">
        <f aca="false">CA58*BZ58</f>
        <v>0</v>
      </c>
      <c r="CD58" s="41" t="n">
        <f aca="false">CB58*BZ58</f>
        <v>0</v>
      </c>
      <c r="CE58" s="74" t="n">
        <f aca="false">($C58*$T58)+X58+$D$14</f>
        <v>0.365</v>
      </c>
      <c r="CF58" s="74" t="n">
        <f aca="false">($C58*$U58)+$D$15</f>
        <v>0.365</v>
      </c>
      <c r="CG58" s="65" t="n">
        <f aca="false">$V58+D$16</f>
        <v>0.99</v>
      </c>
      <c r="CH58" s="75" t="n">
        <f aca="false">IF(BZ58=0,0,SPRDOPT(CA58,CB58,$W58,$AM58,CE58,CF58,CG58,$D58,$D$20,0))</f>
        <v>0</v>
      </c>
      <c r="CI58" s="75" t="e">
        <f aca="false">IF(CA58=0,0,SPRDOPT(CA58,CB58,$W58,$AM58,CE58,CF58,CG58,$D58,$D$20,1))</f>
        <v>#NAME?</v>
      </c>
      <c r="CJ58" s="75" t="e">
        <f aca="false">IF(CB58=0,0,SPRDOPT(CA58,CB58,$W58,$AM58,CE58,CF58,CG58,$D58,$D$20,2))</f>
        <v>#NAME?</v>
      </c>
      <c r="CK58" s="75" t="n">
        <f aca="false">IF(CC58=0,0,SPRDOPT(CA58,CB58,$W58,$AM58,CE58,CF58,CG58,$D58,$D$20,3)/100)</f>
        <v>0</v>
      </c>
      <c r="CL58" s="75" t="n">
        <f aca="false">IF(CD58=0,0,SPRDOPT(CA58,CB58,$W58,$AM58,CE58,CF58,CG58,$D58,$D$20,4)/100)</f>
        <v>0</v>
      </c>
      <c r="CM58" s="75" t="e">
        <f aca="false">IF(CE58=0,0,SPRDOPT(CA58,CB58,$W58,$AM58,CE58,CF58,CG58,$D58,$D$20,5)/100)</f>
        <v>#NAME?</v>
      </c>
      <c r="CN58" s="75" t="e">
        <f aca="false">IF(CF58=0,0,SPRDOPT(CA58,CB58,$W58,$AM58,CE58,CF58,CG58,$D58,$D$20,6)/100)</f>
        <v>#NAME?</v>
      </c>
      <c r="CO58" s="75" t="e">
        <f aca="false">IF(CG58=0,0,SPRDOPT(CA58,CB58,$W58,$AM58,CE58,CF58,CG58,$D58,$D$20,7)/100)</f>
        <v>#NAME?</v>
      </c>
      <c r="CP58" s="75" t="n">
        <f aca="false">IF(CH58=0,0,SPRDOPT(CA58,CB58,$W58,$AM58,CE58,CF58,CG58,$D58,$D$20,9)/365)</f>
        <v>0</v>
      </c>
      <c r="CQ58" s="75" t="e">
        <f aca="false">CI58+CJ58</f>
        <v>#NAME?</v>
      </c>
      <c r="CR58" s="75" t="n">
        <f aca="false">CL58-CK58</f>
        <v>0</v>
      </c>
      <c r="CS58" s="75" t="e">
        <f aca="false">((CE58/CF58)*CM58)+CN58</f>
        <v>#NAME?</v>
      </c>
      <c r="CT58" s="75" t="n">
        <f aca="false">CG58*BZ58</f>
        <v>0</v>
      </c>
      <c r="CU58" s="76"/>
      <c r="CV58" s="37" t="n">
        <f aca="false">BZ58*CH58</f>
        <v>0</v>
      </c>
      <c r="CW58" s="37" t="e">
        <f aca="false">BZ58*CI58</f>
        <v>#NAME?</v>
      </c>
      <c r="CX58" s="37" t="e">
        <f aca="false">BZ58*CJ58</f>
        <v>#NAME?</v>
      </c>
      <c r="CY58" s="37" t="n">
        <f aca="false">BZ58*CK58</f>
        <v>0</v>
      </c>
      <c r="CZ58" s="37" t="n">
        <f aca="false">BZ58*CL58</f>
        <v>0</v>
      </c>
      <c r="DA58" s="37" t="e">
        <f aca="false">BZ58*CM58</f>
        <v>#NAME?</v>
      </c>
      <c r="DB58" s="37" t="e">
        <f aca="false">BZ58*CN58</f>
        <v>#NAME?</v>
      </c>
      <c r="DC58" s="37" t="e">
        <f aca="false">BZ58*CO58</f>
        <v>#NAME?</v>
      </c>
      <c r="DD58" s="37" t="n">
        <f aca="false">BZ58*CP58</f>
        <v>0</v>
      </c>
      <c r="DE58" s="37" t="e">
        <f aca="false">BZ58*CQ58</f>
        <v>#NAME?</v>
      </c>
      <c r="DF58" s="37" t="n">
        <f aca="false">BZ58*CR58</f>
        <v>0</v>
      </c>
      <c r="DG58" s="37" t="e">
        <f aca="false">BZ58*CS58</f>
        <v>#NAME?</v>
      </c>
      <c r="DI58" s="73" t="n">
        <f aca="false">IF($A58&gt;=DK$32,IF($A58&lt;=DK$33,$AN58,0),0)</f>
        <v>0</v>
      </c>
      <c r="DJ58" s="41" t="n">
        <f aca="false">$B58+$Y58+$F$12</f>
        <v>2.785</v>
      </c>
      <c r="DK58" s="41" t="n">
        <f aca="false">$B58+$Z58+$F$13</f>
        <v>3.22</v>
      </c>
      <c r="DL58" s="41" t="n">
        <f aca="false">DJ58*DI58</f>
        <v>0</v>
      </c>
      <c r="DM58" s="41" t="n">
        <f aca="false">DK58*DI58</f>
        <v>0</v>
      </c>
      <c r="DN58" s="74" t="n">
        <f aca="false">($C58*$AA58)+AE58+$F$14</f>
        <v>0.365</v>
      </c>
      <c r="DO58" s="74" t="n">
        <f aca="false">($C58*$AB58)+$F$15</f>
        <v>0.365</v>
      </c>
      <c r="DP58" s="65" t="n">
        <f aca="false">$AC58+$F$16</f>
        <v>0.99</v>
      </c>
      <c r="DQ58" s="75" t="n">
        <f aca="false">IF(DI58=0,0,SPRDOPT(DJ58,DK58,$AD58,$AM58,DN58,DO58,DP58,$D58,$F$20,0))</f>
        <v>0</v>
      </c>
      <c r="DR58" s="75" t="e">
        <f aca="false">IF(DJ58=0,0,SPRDOPT(DJ58,DK58,$AD58,$AM58,DN58,DO58,DP58,$D58,$F$20,1))</f>
        <v>#NAME?</v>
      </c>
      <c r="DS58" s="75" t="e">
        <f aca="false">IF(DK58=0,0,SPRDOPT(DJ58,DK58,$AD58,$AM58,DN58,DO58,DP58,$D58,$F$20,2))</f>
        <v>#NAME?</v>
      </c>
      <c r="DT58" s="75" t="n">
        <f aca="false">IF(DL58=0,0,SPRDOPT(DJ58,DK58,$AD58,$AM58,DN58,DO58,DP58,$D58,$F$20,3)/100)</f>
        <v>0</v>
      </c>
      <c r="DU58" s="75" t="n">
        <f aca="false">IF(DM58=0,0,SPRDOPT(DJ58,DK58,$AD58,$AM58,DN58,DO58,DP58,$D58,$F$20,4)/100)</f>
        <v>0</v>
      </c>
      <c r="DV58" s="75" t="e">
        <f aca="false">IF(DN58=0,0,SPRDOPT(DJ58,DK58,$AD58,$AM58,DN58,DO58,DP58,$D58,$F$20,5)/100)</f>
        <v>#NAME?</v>
      </c>
      <c r="DW58" s="75" t="e">
        <f aca="false">IF(DO58=0,0,SPRDOPT(DJ58,DK58,$AD58,$AM58,DN58,DO58,DP58,$D58,$F$20,6)/100)</f>
        <v>#NAME?</v>
      </c>
      <c r="DX58" s="75" t="e">
        <f aca="false">IF(DP58=0,0,SPRDOPT(DJ58,DK58,$AD58,$AM58,DN58,DO58,DP58,$D58,$F$20,7)/100)</f>
        <v>#NAME?</v>
      </c>
      <c r="DY58" s="75" t="n">
        <f aca="false">IF(DQ58=0,0,SPRDOPT(DJ58,DK58,$AD58,$AM58,DN58,DO58,DP58,$D58,$F$20,9)/365)</f>
        <v>0</v>
      </c>
      <c r="DZ58" s="75" t="e">
        <f aca="false">DR58+DS58</f>
        <v>#NAME?</v>
      </c>
      <c r="EA58" s="75" t="n">
        <f aca="false">DU58-DT58</f>
        <v>0</v>
      </c>
      <c r="EB58" s="75" t="e">
        <f aca="false">((DN58/DO58)*DV58)+DW58</f>
        <v>#NAME?</v>
      </c>
      <c r="EC58" s="75" t="n">
        <f aca="false">DP58*DI58</f>
        <v>0</v>
      </c>
      <c r="ED58" s="75"/>
      <c r="EE58" s="37" t="n">
        <f aca="false">DI58*DQ58</f>
        <v>0</v>
      </c>
      <c r="EF58" s="37" t="e">
        <f aca="false">DI58*DR58</f>
        <v>#NAME?</v>
      </c>
      <c r="EG58" s="37" t="e">
        <f aca="false">DI58*DS58</f>
        <v>#NAME?</v>
      </c>
      <c r="EH58" s="37" t="n">
        <f aca="false">DI58*DT58</f>
        <v>0</v>
      </c>
      <c r="EI58" s="37" t="n">
        <f aca="false">DI58*DU58</f>
        <v>0</v>
      </c>
      <c r="EJ58" s="37" t="e">
        <f aca="false">DI58*DV58</f>
        <v>#NAME?</v>
      </c>
      <c r="EK58" s="37" t="e">
        <f aca="false">DI58*DW58</f>
        <v>#NAME?</v>
      </c>
      <c r="EL58" s="37" t="e">
        <f aca="false">DI58*DX58</f>
        <v>#NAME?</v>
      </c>
      <c r="EM58" s="37" t="n">
        <f aca="false">DI58*DY58</f>
        <v>0</v>
      </c>
      <c r="EN58" s="37" t="e">
        <f aca="false">DI58*DZ58</f>
        <v>#NAME?</v>
      </c>
      <c r="EO58" s="37" t="n">
        <f aca="false">DI58*EA58</f>
        <v>0</v>
      </c>
      <c r="EP58" s="37" t="e">
        <f aca="false">DI58*EB58</f>
        <v>#NAME?</v>
      </c>
      <c r="ER58" s="73" t="n">
        <f aca="false">IF($A58&gt;=ET$32,IF($A58&lt;=ET$33,$AN58,0),0)</f>
        <v>0</v>
      </c>
      <c r="ES58" s="41" t="n">
        <f aca="false">$B58+$AF58+$H$12</f>
        <v>2.845</v>
      </c>
      <c r="ET58" s="41" t="n">
        <f aca="false">$B58+$AG58+$H$13</f>
        <v>3.22</v>
      </c>
      <c r="EU58" s="41" t="n">
        <f aca="false">ES58*ER58</f>
        <v>0</v>
      </c>
      <c r="EV58" s="41" t="n">
        <f aca="false">ET58*ER58</f>
        <v>0</v>
      </c>
      <c r="EW58" s="74" t="n">
        <f aca="false">($C58*$AH58)+AL58+$H$14</f>
        <v>0.365</v>
      </c>
      <c r="EX58" s="74" t="n">
        <f aca="false">($C58*$AI58)+$H$15</f>
        <v>0.365</v>
      </c>
      <c r="EY58" s="65" t="n">
        <f aca="false">$AJ58+$H$16</f>
        <v>0.99</v>
      </c>
      <c r="EZ58" s="75" t="n">
        <f aca="false">IF(ER58=0,0,SPRDOPT(ES58,ET58,$AK58,$AM58,EW58,EX58,EY58,$D58,$H$20,0))</f>
        <v>0</v>
      </c>
      <c r="FA58" s="75" t="e">
        <f aca="false">IF(ES58=0,0,SPRDOPT(ES58,ET58,$AK58,$AM58,EW58,EX58,EY58,$D58,$H$20,1))</f>
        <v>#NAME?</v>
      </c>
      <c r="FB58" s="75" t="e">
        <f aca="false">IF(ET58=0,0,SPRDOPT(ES58,ET58,$AK58,$AM58,EW58,EX58,EY58,$D58,$H$20,2))</f>
        <v>#NAME?</v>
      </c>
      <c r="FC58" s="75" t="n">
        <f aca="false">IF(EU58=0,0,SPRDOPT(ES58,ET58,$AK58,$AM58,EW58,EX58,EY58,$D58,$H$20,3)/100)</f>
        <v>0</v>
      </c>
      <c r="FD58" s="75" t="n">
        <f aca="false">IF(EV58=0,0,SPRDOPT(ES58,ET58,$AK58,$AM58,EW58,EX58,EY58,$D58,$H$20,4)/100)</f>
        <v>0</v>
      </c>
      <c r="FE58" s="75" t="e">
        <f aca="false">IF(EW58=0,0,SPRDOPT(ES58,ET58,$AK58,$AM58,EW58,EX58,EY58,$D58,$H$20,5)/100)</f>
        <v>#NAME?</v>
      </c>
      <c r="FF58" s="75" t="e">
        <f aca="false">IF(EX58=0,0,SPRDOPT(ES58,ET58,$AK58,$AM58,EW58,EX58,EY58,$D58,$H$20,6)/100)</f>
        <v>#NAME?</v>
      </c>
      <c r="FG58" s="75" t="e">
        <f aca="false">IF(EY58=0,0,SPRDOPT(ES58,ET58,$AK58,$AM58,EW58,EX58,EY58,$D58,$H$20,7)/100)</f>
        <v>#NAME?</v>
      </c>
      <c r="FH58" s="75" t="n">
        <f aca="false">IF(EZ58=0,0,SPRDOPT(ES58,ET58,$AK58,$AM58,EW58,EX58,EY58,$D58,$H$20,9)/365)</f>
        <v>0</v>
      </c>
      <c r="FI58" s="75" t="e">
        <f aca="false">FA58+FB58</f>
        <v>#NAME?</v>
      </c>
      <c r="FJ58" s="75" t="n">
        <f aca="false">FD58-FC58</f>
        <v>0</v>
      </c>
      <c r="FK58" s="75" t="e">
        <f aca="false">((EW58/EX58)*FE58)+FF58</f>
        <v>#NAME?</v>
      </c>
      <c r="FL58" s="75" t="n">
        <f aca="false">EY58*ER58</f>
        <v>0</v>
      </c>
      <c r="FM58" s="75"/>
      <c r="FN58" s="37" t="n">
        <f aca="false">$ER58*EZ58</f>
        <v>0</v>
      </c>
      <c r="FO58" s="37" t="e">
        <f aca="false">$ER58*FA58</f>
        <v>#NAME?</v>
      </c>
      <c r="FP58" s="37" t="e">
        <f aca="false">$ER58*FB58</f>
        <v>#NAME?</v>
      </c>
      <c r="FQ58" s="37" t="n">
        <f aca="false">$ER58*FC58</f>
        <v>0</v>
      </c>
      <c r="FR58" s="37" t="n">
        <f aca="false">$ER58*FD58</f>
        <v>0</v>
      </c>
      <c r="FS58" s="37" t="e">
        <f aca="false">$ER58*FE58</f>
        <v>#NAME?</v>
      </c>
      <c r="FT58" s="37" t="e">
        <f aca="false">$ER58*FF58</f>
        <v>#NAME?</v>
      </c>
      <c r="FU58" s="37" t="e">
        <f aca="false">$ER58*FG58</f>
        <v>#NAME?</v>
      </c>
      <c r="FV58" s="37" t="n">
        <f aca="false">$ER58*FH58</f>
        <v>0</v>
      </c>
      <c r="FW58" s="37" t="e">
        <f aca="false">$ER58*FI58</f>
        <v>#NAME?</v>
      </c>
      <c r="FX58" s="37" t="n">
        <f aca="false">$ER58*FJ58</f>
        <v>0</v>
      </c>
      <c r="FY58" s="37" t="e">
        <f aca="false">$ER58*FK58</f>
        <v>#NAME?</v>
      </c>
      <c r="GA58" s="77" t="e">
        <f aca="false">VLOOKUP(A58,skewmonthlook,2,FALSE())</f>
        <v>#REF!</v>
      </c>
      <c r="GB58" s="0" t="e">
        <f aca="false">CONCATENATE(B$3,$GA58)</f>
        <v>#REF!</v>
      </c>
      <c r="GC58" s="0" t="e">
        <f aca="false">CONCATENATE(D$3,$GA58)</f>
        <v>#REF!</v>
      </c>
      <c r="GD58" s="0" t="e">
        <f aca="false">CONCATENATE(F$3,$GA58)</f>
        <v>#REF!</v>
      </c>
      <c r="GE58" s="0" t="e">
        <f aca="false">CONCATENATE(H$3,$GA58)</f>
        <v>#REF!</v>
      </c>
      <c r="GG58" s="65" t="e">
        <f aca="false">VLOOKUP(GB58,skewlook,HLOOKUP($P58,skewlook,2),FALSE())</f>
        <v>#REF!</v>
      </c>
      <c r="GH58" s="65" t="e">
        <f aca="false">VLOOKUP(GC58,skewlook,HLOOKUP($W58,skewlook,2),FALSE())</f>
        <v>#REF!</v>
      </c>
      <c r="GI58" s="65" t="e">
        <f aca="false">VLOOKUP(GD58,skewlook,HLOOKUP($AD58,skewlook,2),FALSE())</f>
        <v>#REF!</v>
      </c>
      <c r="GJ58" s="65" t="e">
        <f aca="false">VLOOKUP(GE58,skewlook,HLOOKUP($AK58,skewlook,2),FALSE())</f>
        <v>#REF!</v>
      </c>
    </row>
    <row r="59" customFormat="false" ht="12.75" hidden="false" customHeight="false" outlineLevel="0" collapsed="false">
      <c r="A59" s="62" t="n">
        <f aca="false">DATE(YEAR(A58),MONTH(A58)+1,1)</f>
        <v>37895</v>
      </c>
      <c r="B59" s="63" t="n">
        <f aca="false">VLOOKUP(A59,STRADDLE,5,FALSE())</f>
        <v>3.24</v>
      </c>
      <c r="C59" s="4" t="n">
        <f aca="false">VLOOKUP(A59,STRADDLE,8,FALSE())</f>
        <v>0.3675</v>
      </c>
      <c r="D59" s="64" t="n">
        <f aca="false">VLOOKUP(A59,expiration,2,FALSE())-$B$2</f>
        <v>-8037</v>
      </c>
      <c r="E59" s="65" t="e">
        <f aca="false">AY59</f>
        <v>#NAME?</v>
      </c>
      <c r="F59" s="65" t="e">
        <f aca="false">CI59</f>
        <v>#NAME?</v>
      </c>
      <c r="G59" s="65" t="e">
        <f aca="false">DR59</f>
        <v>#NAME?</v>
      </c>
      <c r="H59" s="65" t="e">
        <f aca="false">FA59</f>
        <v>#NAME?</v>
      </c>
      <c r="I59" s="66"/>
      <c r="J59" s="67"/>
      <c r="K59" s="63" t="n">
        <f aca="false">IF($B$3="NYMEX",0,VLOOKUP($A59,curvesettle,HLOOKUP($B$3,curvesettle,2,FALSE()),FALSE()))</f>
        <v>-0.15</v>
      </c>
      <c r="L59" s="63" t="n">
        <f aca="false">IF($B$4="NYMEX",0,VLOOKUP($A59,curvesettle,HLOOKUP($B$4,curvesettle,2,FALSE()),FALSE()))</f>
        <v>0</v>
      </c>
      <c r="M59" s="65" t="n">
        <f aca="false">IF(ISNUMBER(VLOOKUP($A59,VOLCURVES,HLOOKUP($B$3,VOLCURVES,2,FALSE()),FALSE())),VLOOKUP($A59,VOLCURVES,HLOOKUP($B$3,VOLCURVES,2,FALSE()),FALSE()),1)</f>
        <v>1</v>
      </c>
      <c r="N59" s="65" t="n">
        <f aca="false">IF(ISNUMBER(VLOOKUP($A59,VOLCURVES,HLOOKUP($B$4,VOLCURVES,2,FALSE()),FALSE())),VLOOKUP($A59,VOLCURVES,HLOOKUP($B$4,VOLCURVES,2,FALSE()),FALSE()),1)</f>
        <v>1</v>
      </c>
      <c r="O59" s="65" t="n">
        <f aca="false">IF(ISNUMBER(VLOOKUP($A59,CORETABLE,HLOOKUP($B$3,CORETABLE,2,FALSE()),FALSE())),VLOOKUP($A59,CORETABLE,HLOOKUP($B$3,CORETABLE,2,FALSE()),FALSE()),0.99)</f>
        <v>0.9945</v>
      </c>
      <c r="P59" s="68" t="n">
        <f aca="false">B$19</f>
        <v>-0.2</v>
      </c>
      <c r="Q59" s="69" t="n">
        <f aca="false">IF($B$18=1,IF(ISNUMBER($GG59),$GG59,0),0)</f>
        <v>0</v>
      </c>
      <c r="R59" s="70" t="n">
        <f aca="false">IF($D$3="NYMEX",0,VLOOKUP($A59,curvesettle,HLOOKUP($D$3,curvesettle,2,FALSE()),FALSE()))</f>
        <v>0.14</v>
      </c>
      <c r="S59" s="63" t="n">
        <f aca="false">IF($D$4="NYMEX",0,VLOOKUP($A59,curvesettle,HLOOKUP($D$4,curvesettle,2,FALSE()),FALSE()))</f>
        <v>0</v>
      </c>
      <c r="T59" s="65" t="n">
        <f aca="false">IF(ISNUMBER(VLOOKUP($A59,VOLCURVES,HLOOKUP($D$3,VOLCURVES,2,FALSE()),FALSE())),VLOOKUP($A59,VOLCURVES,HLOOKUP($D$3,VOLCURVES,2,FALSE()),FALSE()),1)</f>
        <v>1</v>
      </c>
      <c r="U59" s="65" t="n">
        <f aca="false">IF(ISNUMBER(VLOOKUP($A59,VOLCURVES,HLOOKUP($D$4,VOLCURVES,2,FALSE()),FALSE())),VLOOKUP($A59,VOLCURVES,HLOOKUP($D$4,VOLCURVES,2,FALSE()),FALSE()),1)</f>
        <v>1</v>
      </c>
      <c r="V59" s="65" t="n">
        <f aca="false">IF(ISNUMBER(VLOOKUP($A59,CORETABLE,HLOOKUP($D$3,CORETABLE,2,FALSE()),FALSE())),VLOOKUP($A59,CORETABLE,HLOOKUP($D$3,CORETABLE,2,FALSE()),FALSE()),0.99)</f>
        <v>0.99</v>
      </c>
      <c r="W59" s="68" t="n">
        <f aca="false">D$19</f>
        <v>0</v>
      </c>
      <c r="X59" s="69" t="n">
        <f aca="false">IF($D$18=1,IF(ISNUMBER($GH59),$GH59,0),0)</f>
        <v>0</v>
      </c>
      <c r="Y59" s="71" t="n">
        <f aca="false">IF($F$3="NYMEX",0,VLOOKUP($A59,curvesettle,HLOOKUP($F$3,curvesettle,2,FALSE()),FALSE()))</f>
        <v>-0.435</v>
      </c>
      <c r="Z59" s="63" t="n">
        <f aca="false">IF($F$4="NYMEX",0,VLOOKUP($A59,curvesettle,HLOOKUP($F$4,curvesettle,2,FALSE()),FALSE()))</f>
        <v>0</v>
      </c>
      <c r="AA59" s="65" t="n">
        <f aca="false">IF(ISNUMBER(VLOOKUP($A59,VOLCURVES,HLOOKUP($F$3,VOLCURVES,2,FALSE()),FALSE())),VLOOKUP($A59,VOLCURVES,HLOOKUP($F$3,VOLCURVES,2,FALSE()),FALSE()),1)</f>
        <v>1</v>
      </c>
      <c r="AB59" s="65" t="n">
        <f aca="false">IF(ISNUMBER(VLOOKUP($A59,VOLCURVES,HLOOKUP($F$4,VOLCURVES,2,FALSE()),FALSE())),VLOOKUP($A59,VOLCURVES,HLOOKUP($F$4,VOLCURVES,2,FALSE()),FALSE()),1)</f>
        <v>1</v>
      </c>
      <c r="AC59" s="65" t="n">
        <f aca="false">IF(ISNUMBER(VLOOKUP($A59,CORETABLE,HLOOKUP($F$3,CORETABLE,2,FALSE()),FALSE())),VLOOKUP($A59,CORETABLE,HLOOKUP($F$3,CORETABLE,2,FALSE()),FALSE()),0.99)</f>
        <v>0.99</v>
      </c>
      <c r="AD59" s="68" t="n">
        <f aca="false">F$19</f>
        <v>-0.6</v>
      </c>
      <c r="AE59" s="69" t="n">
        <f aca="false">IF($F$18=1,IF(ISNUMBER($GI59),$GI59,0),0)</f>
        <v>0</v>
      </c>
      <c r="AF59" s="63" t="n">
        <f aca="false">IF($H$3="NYMEX",0,VLOOKUP($A59,curvesettle,HLOOKUP($H$3,curvesettle,2,FALSE()),FALSE()))</f>
        <v>-0.435</v>
      </c>
      <c r="AG59" s="63" t="n">
        <f aca="false">IF($H$4="NYMEX",0,VLOOKUP($A59,curvesettle,HLOOKUP($H$4,curvesettle,2,FALSE()),FALSE()))</f>
        <v>0</v>
      </c>
      <c r="AH59" s="65" t="n">
        <f aca="false">IF(ISNUMBER(VLOOKUP($A59,VOLCURVES,HLOOKUP($H$3,VOLCURVES,2,FALSE()),FALSE())),VLOOKUP($A59,VOLCURVES,HLOOKUP($H$3,VOLCURVES,2,FALSE()),FALSE()),1)</f>
        <v>1</v>
      </c>
      <c r="AI59" s="65" t="n">
        <f aca="false">IF(ISNUMBER(VLOOKUP($A59,VOLCURVES,HLOOKUP($H$4,VOLCURVES,2,FALSE()),FALSE())),VLOOKUP($A59,VOLCURVES,HLOOKUP($H$4,VOLCURVES,2,FALSE()),FALSE()),1)</f>
        <v>1</v>
      </c>
      <c r="AJ59" s="65" t="n">
        <f aca="false">IF(ISNUMBER(VLOOKUP($A59,CORETABLE,HLOOKUP($H$3,CORETABLE,2,FALSE()),FALSE())),VLOOKUP($A59,CORETABLE,HLOOKUP($H$3,CORETABLE,2,FALSE()),FALSE()),0.99)</f>
        <v>0.99</v>
      </c>
      <c r="AK59" s="68" t="n">
        <f aca="false">H$19</f>
        <v>-0.45</v>
      </c>
      <c r="AL59" s="69" t="n">
        <f aca="false">IF($H$18=1,IF(ISNUMBER($GJ59),$GJ59,0),0)</f>
        <v>0</v>
      </c>
      <c r="AM59" s="4" t="n">
        <f aca="false">VLOOKUP($A59,STRADDLE,14,FALSE())</f>
        <v>0.0320061320910012</v>
      </c>
      <c r="AN59" s="72" t="n">
        <f aca="false">A60-A59</f>
        <v>31</v>
      </c>
      <c r="AO59" s="1" t="n">
        <f aca="false">AO58+1</f>
        <v>22</v>
      </c>
      <c r="AP59" s="73" t="n">
        <f aca="false">IF($A59&gt;=AR$32,IF($A59&lt;=AR$33,$AN59,0),0)</f>
        <v>31</v>
      </c>
      <c r="AQ59" s="41" t="n">
        <f aca="false">$B59+$K59+$B$12</f>
        <v>3.09</v>
      </c>
      <c r="AR59" s="41" t="n">
        <f aca="false">$B59+$L59+$B$13</f>
        <v>3.24</v>
      </c>
      <c r="AS59" s="41" t="n">
        <f aca="false">AQ59*AP59</f>
        <v>95.79</v>
      </c>
      <c r="AT59" s="41" t="n">
        <f aca="false">AR59*AP59</f>
        <v>100.44</v>
      </c>
      <c r="AU59" s="74" t="n">
        <f aca="false">($C59*$M59)+Q59+$B$14</f>
        <v>0.3675</v>
      </c>
      <c r="AV59" s="74" t="n">
        <f aca="false">($C59*$N59)+$B$15</f>
        <v>0.3675</v>
      </c>
      <c r="AW59" s="65" t="n">
        <f aca="false">O59+B$16</f>
        <v>0.999</v>
      </c>
      <c r="AX59" s="75" t="e">
        <f aca="false">IF(AP59=0,0,SPRDOPT(AQ59,AR59,$P59,$AM59,AU59,AV59,AW59,$D59,$B$20,0))</f>
        <v>#NAME?</v>
      </c>
      <c r="AY59" s="75" t="e">
        <f aca="false">IF(AQ59=0,0,SPRDOPT(AQ59,AR59,$P59,$AM59,AU59,AV59,AW59,$D59,$B$20,1))</f>
        <v>#NAME?</v>
      </c>
      <c r="AZ59" s="75" t="e">
        <f aca="false">IF(AR59=0,0,SPRDOPT(AQ59,AR59,$P59,$AM59,AU59,AV59,AW59,$D59,$B$20,2))</f>
        <v>#NAME?</v>
      </c>
      <c r="BA59" s="75" t="e">
        <f aca="false">IF(AS59=0,0,SPRDOPT(AQ59,AR59,$P59,$AM59,AU59,AV59,AW59,$D59,$B$20,3)/100)</f>
        <v>#NAME?</v>
      </c>
      <c r="BB59" s="75" t="e">
        <f aca="false">IF(AT59=0,0,SPRDOPT(AQ59,AR59,$P59,$AM59,AU59,AV59,AW59,$D59,$B$20,4)/100)</f>
        <v>#NAME?</v>
      </c>
      <c r="BC59" s="75" t="e">
        <f aca="false">IF(AU59=0,0,SPRDOPT(AQ59,AR59,$P59,$AM59,AU59,AV59,AW59,$D59,$B$20,5)/100)</f>
        <v>#NAME?</v>
      </c>
      <c r="BD59" s="75" t="e">
        <f aca="false">IF(AV59=0,0,SPRDOPT(AQ59,AR59,$P59,$AM59,AU59,AV59,AW59,$D59,$B$20,6)/100)</f>
        <v>#NAME?</v>
      </c>
      <c r="BE59" s="75" t="e">
        <f aca="false">IF(AW59=0,0,SPRDOPT(AQ59,AR59,$P59,$AM59,AU59,AV59,AW59,$D59,$B$20,7)/100)</f>
        <v>#NAME?</v>
      </c>
      <c r="BF59" s="75" t="e">
        <f aca="false">IF(AX59=0,0,SPRDOPT(AQ59,AR59,$P59,$AM59,AU59,AV59,AW59,$D59,$B$20,9)/365)</f>
        <v>#NAME?</v>
      </c>
      <c r="BG59" s="75" t="e">
        <f aca="false">AY59+AZ59</f>
        <v>#NAME?</v>
      </c>
      <c r="BH59" s="75" t="e">
        <f aca="false">BB59-BA59</f>
        <v>#NAME?</v>
      </c>
      <c r="BI59" s="75" t="e">
        <f aca="false">((AU59/AV59)*BC59)+BD59</f>
        <v>#NAME?</v>
      </c>
      <c r="BJ59" s="75" t="n">
        <f aca="false">AW59*AP59</f>
        <v>30.969</v>
      </c>
      <c r="BK59" s="76"/>
      <c r="BL59" s="37" t="e">
        <f aca="false">$AP59*AX59</f>
        <v>#NAME?</v>
      </c>
      <c r="BM59" s="37" t="e">
        <f aca="false">$AP59*AY59</f>
        <v>#NAME?</v>
      </c>
      <c r="BN59" s="37" t="e">
        <f aca="false">$AP59*AZ59</f>
        <v>#NAME?</v>
      </c>
      <c r="BO59" s="37" t="e">
        <f aca="false">$AP59*BA59</f>
        <v>#NAME?</v>
      </c>
      <c r="BP59" s="37" t="e">
        <f aca="false">$AP59*BB59</f>
        <v>#NAME?</v>
      </c>
      <c r="BQ59" s="37" t="e">
        <f aca="false">$AP59*BC59</f>
        <v>#NAME?</v>
      </c>
      <c r="BR59" s="37" t="e">
        <f aca="false">$AP59*BD59</f>
        <v>#NAME?</v>
      </c>
      <c r="BS59" s="37" t="e">
        <f aca="false">$AP59*BE59</f>
        <v>#NAME?</v>
      </c>
      <c r="BT59" s="37" t="e">
        <f aca="false">$AP59*BF59</f>
        <v>#NAME?</v>
      </c>
      <c r="BU59" s="37" t="e">
        <f aca="false">$AP59*BG59</f>
        <v>#NAME?</v>
      </c>
      <c r="BV59" s="37" t="e">
        <f aca="false">$AP59*BH59</f>
        <v>#NAME?</v>
      </c>
      <c r="BW59" s="37" t="e">
        <f aca="false">$AP59*BI59</f>
        <v>#NAME?</v>
      </c>
      <c r="BX59" s="37"/>
      <c r="BZ59" s="73" t="n">
        <f aca="false">IF($A59&gt;=CB$32,IF($A59&lt;=CB$33,$AN59,0),0)</f>
        <v>0</v>
      </c>
      <c r="CA59" s="41" t="n">
        <f aca="false">$B59+$R59+$D$12</f>
        <v>3.38</v>
      </c>
      <c r="CB59" s="41" t="n">
        <f aca="false">$B59+$S59+$D$13</f>
        <v>3.24</v>
      </c>
      <c r="CC59" s="41" t="n">
        <f aca="false">CA59*BZ59</f>
        <v>0</v>
      </c>
      <c r="CD59" s="41" t="n">
        <f aca="false">CB59*BZ59</f>
        <v>0</v>
      </c>
      <c r="CE59" s="74" t="n">
        <f aca="false">($C59*$T59)+X59+$D$14</f>
        <v>0.3675</v>
      </c>
      <c r="CF59" s="74" t="n">
        <f aca="false">($C59*$U59)+$D$15</f>
        <v>0.3675</v>
      </c>
      <c r="CG59" s="65" t="n">
        <f aca="false">$V59+D$16</f>
        <v>0.99</v>
      </c>
      <c r="CH59" s="75" t="n">
        <f aca="false">IF(BZ59=0,0,SPRDOPT(CA59,CB59,$W59,$AM59,CE59,CF59,CG59,$D59,$D$20,0))</f>
        <v>0</v>
      </c>
      <c r="CI59" s="75" t="e">
        <f aca="false">IF(CA59=0,0,SPRDOPT(CA59,CB59,$W59,$AM59,CE59,CF59,CG59,$D59,$D$20,1))</f>
        <v>#NAME?</v>
      </c>
      <c r="CJ59" s="75" t="e">
        <f aca="false">IF(CB59=0,0,SPRDOPT(CA59,CB59,$W59,$AM59,CE59,CF59,CG59,$D59,$D$20,2))</f>
        <v>#NAME?</v>
      </c>
      <c r="CK59" s="75" t="n">
        <f aca="false">IF(CC59=0,0,SPRDOPT(CA59,CB59,$W59,$AM59,CE59,CF59,CG59,$D59,$D$20,3)/100)</f>
        <v>0</v>
      </c>
      <c r="CL59" s="75" t="n">
        <f aca="false">IF(CD59=0,0,SPRDOPT(CA59,CB59,$W59,$AM59,CE59,CF59,CG59,$D59,$D$20,4)/100)</f>
        <v>0</v>
      </c>
      <c r="CM59" s="75" t="e">
        <f aca="false">IF(CE59=0,0,SPRDOPT(CA59,CB59,$W59,$AM59,CE59,CF59,CG59,$D59,$D$20,5)/100)</f>
        <v>#NAME?</v>
      </c>
      <c r="CN59" s="75" t="e">
        <f aca="false">IF(CF59=0,0,SPRDOPT(CA59,CB59,$W59,$AM59,CE59,CF59,CG59,$D59,$D$20,6)/100)</f>
        <v>#NAME?</v>
      </c>
      <c r="CO59" s="75" t="e">
        <f aca="false">IF(CG59=0,0,SPRDOPT(CA59,CB59,$W59,$AM59,CE59,CF59,CG59,$D59,$D$20,7)/100)</f>
        <v>#NAME?</v>
      </c>
      <c r="CP59" s="75" t="n">
        <f aca="false">IF(CH59=0,0,SPRDOPT(CA59,CB59,$W59,$AM59,CE59,CF59,CG59,$D59,$D$20,9)/365)</f>
        <v>0</v>
      </c>
      <c r="CQ59" s="75" t="e">
        <f aca="false">CI59+CJ59</f>
        <v>#NAME?</v>
      </c>
      <c r="CR59" s="75" t="n">
        <f aca="false">CL59-CK59</f>
        <v>0</v>
      </c>
      <c r="CS59" s="75" t="e">
        <f aca="false">((CE59/CF59)*CM59)+CN59</f>
        <v>#NAME?</v>
      </c>
      <c r="CT59" s="75" t="n">
        <f aca="false">CG59*BZ59</f>
        <v>0</v>
      </c>
      <c r="CU59" s="76"/>
      <c r="CV59" s="37" t="n">
        <f aca="false">BZ59*CH59</f>
        <v>0</v>
      </c>
      <c r="CW59" s="37" t="e">
        <f aca="false">BZ59*CI59</f>
        <v>#NAME?</v>
      </c>
      <c r="CX59" s="37" t="e">
        <f aca="false">BZ59*CJ59</f>
        <v>#NAME?</v>
      </c>
      <c r="CY59" s="37" t="n">
        <f aca="false">BZ59*CK59</f>
        <v>0</v>
      </c>
      <c r="CZ59" s="37" t="n">
        <f aca="false">BZ59*CL59</f>
        <v>0</v>
      </c>
      <c r="DA59" s="37" t="e">
        <f aca="false">BZ59*CM59</f>
        <v>#NAME?</v>
      </c>
      <c r="DB59" s="37" t="e">
        <f aca="false">BZ59*CN59</f>
        <v>#NAME?</v>
      </c>
      <c r="DC59" s="37" t="e">
        <f aca="false">BZ59*CO59</f>
        <v>#NAME?</v>
      </c>
      <c r="DD59" s="37" t="n">
        <f aca="false">BZ59*CP59</f>
        <v>0</v>
      </c>
      <c r="DE59" s="37" t="e">
        <f aca="false">BZ59*CQ59</f>
        <v>#NAME?</v>
      </c>
      <c r="DF59" s="37" t="n">
        <f aca="false">BZ59*CR59</f>
        <v>0</v>
      </c>
      <c r="DG59" s="37" t="e">
        <f aca="false">BZ59*CS59</f>
        <v>#NAME?</v>
      </c>
      <c r="DI59" s="73" t="n">
        <f aca="false">IF($A59&gt;=DK$32,IF($A59&lt;=DK$33,$AN59,0),0)</f>
        <v>0</v>
      </c>
      <c r="DJ59" s="41" t="n">
        <f aca="false">$B59+$Y59+$F$12</f>
        <v>2.805</v>
      </c>
      <c r="DK59" s="41" t="n">
        <f aca="false">$B59+$Z59+$F$13</f>
        <v>3.24</v>
      </c>
      <c r="DL59" s="41" t="n">
        <f aca="false">DJ59*DI59</f>
        <v>0</v>
      </c>
      <c r="DM59" s="41" t="n">
        <f aca="false">DK59*DI59</f>
        <v>0</v>
      </c>
      <c r="DN59" s="74" t="n">
        <f aca="false">($C59*$AA59)+AE59+$F$14</f>
        <v>0.3675</v>
      </c>
      <c r="DO59" s="74" t="n">
        <f aca="false">($C59*$AB59)+$F$15</f>
        <v>0.3675</v>
      </c>
      <c r="DP59" s="65" t="n">
        <f aca="false">$AC59+$F$16</f>
        <v>0.99</v>
      </c>
      <c r="DQ59" s="75" t="n">
        <f aca="false">IF(DI59=0,0,SPRDOPT(DJ59,DK59,$AD59,$AM59,DN59,DO59,DP59,$D59,$F$20,0))</f>
        <v>0</v>
      </c>
      <c r="DR59" s="75" t="e">
        <f aca="false">IF(DJ59=0,0,SPRDOPT(DJ59,DK59,$AD59,$AM59,DN59,DO59,DP59,$D59,$F$20,1))</f>
        <v>#NAME?</v>
      </c>
      <c r="DS59" s="75" t="e">
        <f aca="false">IF(DK59=0,0,SPRDOPT(DJ59,DK59,$AD59,$AM59,DN59,DO59,DP59,$D59,$F$20,2))</f>
        <v>#NAME?</v>
      </c>
      <c r="DT59" s="75" t="n">
        <f aca="false">IF(DL59=0,0,SPRDOPT(DJ59,DK59,$AD59,$AM59,DN59,DO59,DP59,$D59,$F$20,3)/100)</f>
        <v>0</v>
      </c>
      <c r="DU59" s="75" t="n">
        <f aca="false">IF(DM59=0,0,SPRDOPT(DJ59,DK59,$AD59,$AM59,DN59,DO59,DP59,$D59,$F$20,4)/100)</f>
        <v>0</v>
      </c>
      <c r="DV59" s="75" t="e">
        <f aca="false">IF(DN59=0,0,SPRDOPT(DJ59,DK59,$AD59,$AM59,DN59,DO59,DP59,$D59,$F$20,5)/100)</f>
        <v>#NAME?</v>
      </c>
      <c r="DW59" s="75" t="e">
        <f aca="false">IF(DO59=0,0,SPRDOPT(DJ59,DK59,$AD59,$AM59,DN59,DO59,DP59,$D59,$F$20,6)/100)</f>
        <v>#NAME?</v>
      </c>
      <c r="DX59" s="75" t="e">
        <f aca="false">IF(DP59=0,0,SPRDOPT(DJ59,DK59,$AD59,$AM59,DN59,DO59,DP59,$D59,$F$20,7)/100)</f>
        <v>#NAME?</v>
      </c>
      <c r="DY59" s="75" t="n">
        <f aca="false">IF(DQ59=0,0,SPRDOPT(DJ59,DK59,$AD59,$AM59,DN59,DO59,DP59,$D59,$F$20,9)/365)</f>
        <v>0</v>
      </c>
      <c r="DZ59" s="75" t="e">
        <f aca="false">DR59+DS59</f>
        <v>#NAME?</v>
      </c>
      <c r="EA59" s="75" t="n">
        <f aca="false">DU59-DT59</f>
        <v>0</v>
      </c>
      <c r="EB59" s="75" t="e">
        <f aca="false">((DN59/DO59)*DV59)+DW59</f>
        <v>#NAME?</v>
      </c>
      <c r="EC59" s="75" t="n">
        <f aca="false">DP59*DI59</f>
        <v>0</v>
      </c>
      <c r="ED59" s="75"/>
      <c r="EE59" s="37" t="n">
        <f aca="false">DI59*DQ59</f>
        <v>0</v>
      </c>
      <c r="EF59" s="37" t="e">
        <f aca="false">DI59*DR59</f>
        <v>#NAME?</v>
      </c>
      <c r="EG59" s="37" t="e">
        <f aca="false">DI59*DS59</f>
        <v>#NAME?</v>
      </c>
      <c r="EH59" s="37" t="n">
        <f aca="false">DI59*DT59</f>
        <v>0</v>
      </c>
      <c r="EI59" s="37" t="n">
        <f aca="false">DI59*DU59</f>
        <v>0</v>
      </c>
      <c r="EJ59" s="37" t="e">
        <f aca="false">DI59*DV59</f>
        <v>#NAME?</v>
      </c>
      <c r="EK59" s="37" t="e">
        <f aca="false">DI59*DW59</f>
        <v>#NAME?</v>
      </c>
      <c r="EL59" s="37" t="e">
        <f aca="false">DI59*DX59</f>
        <v>#NAME?</v>
      </c>
      <c r="EM59" s="37" t="n">
        <f aca="false">DI59*DY59</f>
        <v>0</v>
      </c>
      <c r="EN59" s="37" t="e">
        <f aca="false">DI59*DZ59</f>
        <v>#NAME?</v>
      </c>
      <c r="EO59" s="37" t="n">
        <f aca="false">DI59*EA59</f>
        <v>0</v>
      </c>
      <c r="EP59" s="37" t="e">
        <f aca="false">DI59*EB59</f>
        <v>#NAME?</v>
      </c>
      <c r="ER59" s="73" t="n">
        <f aca="false">IF($A59&gt;=ET$32,IF($A59&lt;=ET$33,$AN59,0),0)</f>
        <v>0</v>
      </c>
      <c r="ES59" s="41" t="n">
        <f aca="false">$B59+$AF59+$H$12</f>
        <v>2.865</v>
      </c>
      <c r="ET59" s="41" t="n">
        <f aca="false">$B59+$AG59+$H$13</f>
        <v>3.24</v>
      </c>
      <c r="EU59" s="41" t="n">
        <f aca="false">ES59*ER59</f>
        <v>0</v>
      </c>
      <c r="EV59" s="41" t="n">
        <f aca="false">ET59*ER59</f>
        <v>0</v>
      </c>
      <c r="EW59" s="74" t="n">
        <f aca="false">($C59*$AH59)+AL59+$H$14</f>
        <v>0.3675</v>
      </c>
      <c r="EX59" s="74" t="n">
        <f aca="false">($C59*$AI59)+$H$15</f>
        <v>0.3675</v>
      </c>
      <c r="EY59" s="65" t="n">
        <f aca="false">$AJ59+$H$16</f>
        <v>0.99</v>
      </c>
      <c r="EZ59" s="75" t="n">
        <f aca="false">IF(ER59=0,0,SPRDOPT(ES59,ET59,$AK59,$AM59,EW59,EX59,EY59,$D59,$H$20,0))</f>
        <v>0</v>
      </c>
      <c r="FA59" s="75" t="e">
        <f aca="false">IF(ES59=0,0,SPRDOPT(ES59,ET59,$AK59,$AM59,EW59,EX59,EY59,$D59,$H$20,1))</f>
        <v>#NAME?</v>
      </c>
      <c r="FB59" s="75" t="e">
        <f aca="false">IF(ET59=0,0,SPRDOPT(ES59,ET59,$AK59,$AM59,EW59,EX59,EY59,$D59,$H$20,2))</f>
        <v>#NAME?</v>
      </c>
      <c r="FC59" s="75" t="n">
        <f aca="false">IF(EU59=0,0,SPRDOPT(ES59,ET59,$AK59,$AM59,EW59,EX59,EY59,$D59,$H$20,3)/100)</f>
        <v>0</v>
      </c>
      <c r="FD59" s="75" t="n">
        <f aca="false">IF(EV59=0,0,SPRDOPT(ES59,ET59,$AK59,$AM59,EW59,EX59,EY59,$D59,$H$20,4)/100)</f>
        <v>0</v>
      </c>
      <c r="FE59" s="75" t="e">
        <f aca="false">IF(EW59=0,0,SPRDOPT(ES59,ET59,$AK59,$AM59,EW59,EX59,EY59,$D59,$H$20,5)/100)</f>
        <v>#NAME?</v>
      </c>
      <c r="FF59" s="75" t="e">
        <f aca="false">IF(EX59=0,0,SPRDOPT(ES59,ET59,$AK59,$AM59,EW59,EX59,EY59,$D59,$H$20,6)/100)</f>
        <v>#NAME?</v>
      </c>
      <c r="FG59" s="75" t="e">
        <f aca="false">IF(EY59=0,0,SPRDOPT(ES59,ET59,$AK59,$AM59,EW59,EX59,EY59,$D59,$H$20,7)/100)</f>
        <v>#NAME?</v>
      </c>
      <c r="FH59" s="75" t="n">
        <f aca="false">IF(EZ59=0,0,SPRDOPT(ES59,ET59,$AK59,$AM59,EW59,EX59,EY59,$D59,$H$20,9)/365)</f>
        <v>0</v>
      </c>
      <c r="FI59" s="75" t="e">
        <f aca="false">FA59+FB59</f>
        <v>#NAME?</v>
      </c>
      <c r="FJ59" s="75" t="n">
        <f aca="false">FD59-FC59</f>
        <v>0</v>
      </c>
      <c r="FK59" s="75" t="e">
        <f aca="false">((EW59/EX59)*FE59)+FF59</f>
        <v>#NAME?</v>
      </c>
      <c r="FL59" s="75" t="n">
        <f aca="false">EY59*ER59</f>
        <v>0</v>
      </c>
      <c r="FM59" s="75"/>
      <c r="FN59" s="37" t="n">
        <f aca="false">$ER59*EZ59</f>
        <v>0</v>
      </c>
      <c r="FO59" s="37" t="e">
        <f aca="false">$ER59*FA59</f>
        <v>#NAME?</v>
      </c>
      <c r="FP59" s="37" t="e">
        <f aca="false">$ER59*FB59</f>
        <v>#NAME?</v>
      </c>
      <c r="FQ59" s="37" t="n">
        <f aca="false">$ER59*FC59</f>
        <v>0</v>
      </c>
      <c r="FR59" s="37" t="n">
        <f aca="false">$ER59*FD59</f>
        <v>0</v>
      </c>
      <c r="FS59" s="37" t="e">
        <f aca="false">$ER59*FE59</f>
        <v>#NAME?</v>
      </c>
      <c r="FT59" s="37" t="e">
        <f aca="false">$ER59*FF59</f>
        <v>#NAME?</v>
      </c>
      <c r="FU59" s="37" t="e">
        <f aca="false">$ER59*FG59</f>
        <v>#NAME?</v>
      </c>
      <c r="FV59" s="37" t="n">
        <f aca="false">$ER59*FH59</f>
        <v>0</v>
      </c>
      <c r="FW59" s="37" t="e">
        <f aca="false">$ER59*FI59</f>
        <v>#NAME?</v>
      </c>
      <c r="FX59" s="37" t="n">
        <f aca="false">$ER59*FJ59</f>
        <v>0</v>
      </c>
      <c r="FY59" s="37" t="e">
        <f aca="false">$ER59*FK59</f>
        <v>#NAME?</v>
      </c>
      <c r="GA59" s="77" t="e">
        <f aca="false">VLOOKUP(A59,skewmonthlook,2,FALSE())</f>
        <v>#REF!</v>
      </c>
      <c r="GB59" s="0" t="e">
        <f aca="false">CONCATENATE(B$3,$GA59)</f>
        <v>#REF!</v>
      </c>
      <c r="GC59" s="0" t="e">
        <f aca="false">CONCATENATE(D$3,$GA59)</f>
        <v>#REF!</v>
      </c>
      <c r="GD59" s="0" t="e">
        <f aca="false">CONCATENATE(F$3,$GA59)</f>
        <v>#REF!</v>
      </c>
      <c r="GE59" s="0" t="e">
        <f aca="false">CONCATENATE(H$3,$GA59)</f>
        <v>#REF!</v>
      </c>
      <c r="GG59" s="65" t="e">
        <f aca="false">VLOOKUP(GB59,skewlook,HLOOKUP($P59,skewlook,2),FALSE())</f>
        <v>#REF!</v>
      </c>
      <c r="GH59" s="65" t="e">
        <f aca="false">VLOOKUP(GC59,skewlook,HLOOKUP($W59,skewlook,2),FALSE())</f>
        <v>#REF!</v>
      </c>
      <c r="GI59" s="65" t="e">
        <f aca="false">VLOOKUP(GD59,skewlook,HLOOKUP($AD59,skewlook,2),FALSE())</f>
        <v>#REF!</v>
      </c>
      <c r="GJ59" s="65" t="e">
        <f aca="false">VLOOKUP(GE59,skewlook,HLOOKUP($AK59,skewlook,2),FALSE())</f>
        <v>#REF!</v>
      </c>
    </row>
    <row r="60" customFormat="false" ht="12.75" hidden="false" customHeight="false" outlineLevel="0" collapsed="false">
      <c r="A60" s="62" t="n">
        <f aca="false">DATE(YEAR(A59),MONTH(A59)+1,1)</f>
        <v>37926</v>
      </c>
      <c r="B60" s="63" t="n">
        <f aca="false">VLOOKUP(A60,STRADDLE,5,FALSE())</f>
        <v>3.375</v>
      </c>
      <c r="C60" s="4" t="n">
        <f aca="false">VLOOKUP(A60,STRADDLE,8,FALSE())</f>
        <v>0.37</v>
      </c>
      <c r="D60" s="64" t="n">
        <f aca="false">VLOOKUP(A60,expiration,2,FALSE())-$B$2</f>
        <v>-8004</v>
      </c>
      <c r="E60" s="65" t="e">
        <f aca="false">AY60</f>
        <v>#NAME?</v>
      </c>
      <c r="F60" s="65" t="e">
        <f aca="false">CI60</f>
        <v>#NAME?</v>
      </c>
      <c r="G60" s="65" t="e">
        <f aca="false">DR60</f>
        <v>#NAME?</v>
      </c>
      <c r="H60" s="65" t="e">
        <f aca="false">FA60</f>
        <v>#NAME?</v>
      </c>
      <c r="I60" s="66"/>
      <c r="J60" s="67"/>
      <c r="K60" s="63" t="n">
        <f aca="false">IF($B$3="NYMEX",0,VLOOKUP($A60,curvesettle,HLOOKUP($B$3,curvesettle,2,FALSE()),FALSE()))</f>
        <v>-0.15</v>
      </c>
      <c r="L60" s="63" t="n">
        <f aca="false">IF($B$4="NYMEX",0,VLOOKUP($A60,curvesettle,HLOOKUP($B$4,curvesettle,2,FALSE()),FALSE()))</f>
        <v>0</v>
      </c>
      <c r="M60" s="65" t="n">
        <f aca="false">IF(ISNUMBER(VLOOKUP($A60,VOLCURVES,HLOOKUP($B$3,VOLCURVES,2,FALSE()),FALSE())),VLOOKUP($A60,VOLCURVES,HLOOKUP($B$3,VOLCURVES,2,FALSE()),FALSE()),1)</f>
        <v>1</v>
      </c>
      <c r="N60" s="65" t="n">
        <f aca="false">IF(ISNUMBER(VLOOKUP($A60,VOLCURVES,HLOOKUP($B$4,VOLCURVES,2,FALSE()),FALSE())),VLOOKUP($A60,VOLCURVES,HLOOKUP($B$4,VOLCURVES,2,FALSE()),FALSE()),1)</f>
        <v>1</v>
      </c>
      <c r="O60" s="65" t="n">
        <f aca="false">IF(ISNUMBER(VLOOKUP($A60,CORETABLE,HLOOKUP($B$3,CORETABLE,2,FALSE()),FALSE())),VLOOKUP($A60,CORETABLE,HLOOKUP($B$3,CORETABLE,2,FALSE()),FALSE()),0.99)</f>
        <v>0.9945</v>
      </c>
      <c r="P60" s="68" t="n">
        <f aca="false">B$19</f>
        <v>-0.2</v>
      </c>
      <c r="Q60" s="69" t="n">
        <f aca="false">IF($B$18=1,IF(ISNUMBER($GG60),$GG60,0),0)</f>
        <v>0</v>
      </c>
      <c r="R60" s="70" t="n">
        <f aca="false">IF($D$3="NYMEX",0,VLOOKUP($A60,curvesettle,HLOOKUP($D$3,curvesettle,2,FALSE()),FALSE()))</f>
        <v>0.17</v>
      </c>
      <c r="S60" s="63" t="n">
        <f aca="false">IF($D$4="NYMEX",0,VLOOKUP($A60,curvesettle,HLOOKUP($D$4,curvesettle,2,FALSE()),FALSE()))</f>
        <v>0</v>
      </c>
      <c r="T60" s="65" t="n">
        <f aca="false">IF(ISNUMBER(VLOOKUP($A60,VOLCURVES,HLOOKUP($D$3,VOLCURVES,2,FALSE()),FALSE())),VLOOKUP($A60,VOLCURVES,HLOOKUP($D$3,VOLCURVES,2,FALSE()),FALSE()),1)</f>
        <v>1</v>
      </c>
      <c r="U60" s="65" t="n">
        <f aca="false">IF(ISNUMBER(VLOOKUP($A60,VOLCURVES,HLOOKUP($D$4,VOLCURVES,2,FALSE()),FALSE())),VLOOKUP($A60,VOLCURVES,HLOOKUP($D$4,VOLCURVES,2,FALSE()),FALSE()),1)</f>
        <v>1</v>
      </c>
      <c r="V60" s="65" t="n">
        <f aca="false">IF(ISNUMBER(VLOOKUP($A60,CORETABLE,HLOOKUP($D$3,CORETABLE,2,FALSE()),FALSE())),VLOOKUP($A60,CORETABLE,HLOOKUP($D$3,CORETABLE,2,FALSE()),FALSE()),0.99)</f>
        <v>0.99</v>
      </c>
      <c r="W60" s="68" t="n">
        <f aca="false">D$19</f>
        <v>0</v>
      </c>
      <c r="X60" s="69" t="n">
        <f aca="false">IF($D$18=1,IF(ISNUMBER($GH60),$GH60,0),0)</f>
        <v>0</v>
      </c>
      <c r="Y60" s="71" t="n">
        <f aca="false">IF($F$3="NYMEX",0,VLOOKUP($A60,curvesettle,HLOOKUP($F$3,curvesettle,2,FALSE()),FALSE()))</f>
        <v>-0.25</v>
      </c>
      <c r="Z60" s="63" t="n">
        <f aca="false">IF($F$4="NYMEX",0,VLOOKUP($A60,curvesettle,HLOOKUP($F$4,curvesettle,2,FALSE()),FALSE()))</f>
        <v>0</v>
      </c>
      <c r="AA60" s="65" t="n">
        <f aca="false">IF(ISNUMBER(VLOOKUP($A60,VOLCURVES,HLOOKUP($F$3,VOLCURVES,2,FALSE()),FALSE())),VLOOKUP($A60,VOLCURVES,HLOOKUP($F$3,VOLCURVES,2,FALSE()),FALSE()),1)</f>
        <v>1</v>
      </c>
      <c r="AB60" s="65" t="n">
        <f aca="false">IF(ISNUMBER(VLOOKUP($A60,VOLCURVES,HLOOKUP($F$4,VOLCURVES,2,FALSE()),FALSE())),VLOOKUP($A60,VOLCURVES,HLOOKUP($F$4,VOLCURVES,2,FALSE()),FALSE()),1)</f>
        <v>1</v>
      </c>
      <c r="AC60" s="65" t="n">
        <f aca="false">IF(ISNUMBER(VLOOKUP($A60,CORETABLE,HLOOKUP($F$3,CORETABLE,2,FALSE()),FALSE())),VLOOKUP($A60,CORETABLE,HLOOKUP($F$3,CORETABLE,2,FALSE()),FALSE()),0.99)</f>
        <v>0.99</v>
      </c>
      <c r="AD60" s="68" t="n">
        <f aca="false">F$19</f>
        <v>-0.6</v>
      </c>
      <c r="AE60" s="69" t="n">
        <f aca="false">IF($F$18=1,IF(ISNUMBER($GI60),$GI60,0),0)</f>
        <v>0</v>
      </c>
      <c r="AF60" s="63" t="n">
        <f aca="false">IF($H$3="NYMEX",0,VLOOKUP($A60,curvesettle,HLOOKUP($H$3,curvesettle,2,FALSE()),FALSE()))</f>
        <v>-0.25</v>
      </c>
      <c r="AG60" s="63" t="n">
        <f aca="false">IF($H$4="NYMEX",0,VLOOKUP($A60,curvesettle,HLOOKUP($H$4,curvesettle,2,FALSE()),FALSE()))</f>
        <v>0</v>
      </c>
      <c r="AH60" s="65" t="n">
        <f aca="false">IF(ISNUMBER(VLOOKUP($A60,VOLCURVES,HLOOKUP($H$3,VOLCURVES,2,FALSE()),FALSE())),VLOOKUP($A60,VOLCURVES,HLOOKUP($H$3,VOLCURVES,2,FALSE()),FALSE()),1)</f>
        <v>1</v>
      </c>
      <c r="AI60" s="65" t="n">
        <f aca="false">IF(ISNUMBER(VLOOKUP($A60,VOLCURVES,HLOOKUP($H$4,VOLCURVES,2,FALSE()),FALSE())),VLOOKUP($A60,VOLCURVES,HLOOKUP($H$4,VOLCURVES,2,FALSE()),FALSE()),1)</f>
        <v>1</v>
      </c>
      <c r="AJ60" s="65" t="n">
        <f aca="false">IF(ISNUMBER(VLOOKUP($A60,CORETABLE,HLOOKUP($H$3,CORETABLE,2,FALSE()),FALSE())),VLOOKUP($A60,CORETABLE,HLOOKUP($H$3,CORETABLE,2,FALSE()),FALSE()),0.99)</f>
        <v>0.99</v>
      </c>
      <c r="AK60" s="68" t="n">
        <f aca="false">H$19</f>
        <v>-0.45</v>
      </c>
      <c r="AL60" s="69" t="n">
        <f aca="false">IF($H$18=1,IF(ISNUMBER($GJ60),$GJ60,0),0)</f>
        <v>0</v>
      </c>
      <c r="AM60" s="4" t="n">
        <f aca="false">VLOOKUP($A60,STRADDLE,14,FALSE())</f>
        <v>0.032904487442281</v>
      </c>
      <c r="AN60" s="72" t="n">
        <f aca="false">A61-A60</f>
        <v>30</v>
      </c>
      <c r="AO60" s="1" t="n">
        <f aca="false">AO59+1</f>
        <v>23</v>
      </c>
      <c r="AP60" s="73" t="n">
        <f aca="false">IF($A60&gt;=AR$32,IF($A60&lt;=AR$33,$AN60,0),0)</f>
        <v>30</v>
      </c>
      <c r="AQ60" s="41" t="n">
        <f aca="false">$B60+$K60+$B$12</f>
        <v>3.225</v>
      </c>
      <c r="AR60" s="41" t="n">
        <f aca="false">$B60+$L60+$B$13</f>
        <v>3.375</v>
      </c>
      <c r="AS60" s="41" t="n">
        <f aca="false">AQ60*AP60</f>
        <v>96.75</v>
      </c>
      <c r="AT60" s="41" t="n">
        <f aca="false">AR60*AP60</f>
        <v>101.25</v>
      </c>
      <c r="AU60" s="74" t="n">
        <f aca="false">($C60*$M60)+Q60+$B$14</f>
        <v>0.37</v>
      </c>
      <c r="AV60" s="74" t="n">
        <f aca="false">($C60*$N60)+$B$15</f>
        <v>0.37</v>
      </c>
      <c r="AW60" s="65" t="n">
        <f aca="false">O60+B$16</f>
        <v>0.999</v>
      </c>
      <c r="AX60" s="75" t="e">
        <f aca="false">IF(AP60=0,0,SPRDOPT(AQ60,AR60,$P60,$AM60,AU60,AV60,AW60,$D60,$B$20,0))</f>
        <v>#NAME?</v>
      </c>
      <c r="AY60" s="75" t="e">
        <f aca="false">IF(AQ60=0,0,SPRDOPT(AQ60,AR60,$P60,$AM60,AU60,AV60,AW60,$D60,$B$20,1))</f>
        <v>#NAME?</v>
      </c>
      <c r="AZ60" s="75" t="e">
        <f aca="false">IF(AR60=0,0,SPRDOPT(AQ60,AR60,$P60,$AM60,AU60,AV60,AW60,$D60,$B$20,2))</f>
        <v>#NAME?</v>
      </c>
      <c r="BA60" s="75" t="e">
        <f aca="false">IF(AS60=0,0,SPRDOPT(AQ60,AR60,$P60,$AM60,AU60,AV60,AW60,$D60,$B$20,3)/100)</f>
        <v>#NAME?</v>
      </c>
      <c r="BB60" s="75" t="e">
        <f aca="false">IF(AT60=0,0,SPRDOPT(AQ60,AR60,$P60,$AM60,AU60,AV60,AW60,$D60,$B$20,4)/100)</f>
        <v>#NAME?</v>
      </c>
      <c r="BC60" s="75" t="e">
        <f aca="false">IF(AU60=0,0,SPRDOPT(AQ60,AR60,$P60,$AM60,AU60,AV60,AW60,$D60,$B$20,5)/100)</f>
        <v>#NAME?</v>
      </c>
      <c r="BD60" s="75" t="e">
        <f aca="false">IF(AV60=0,0,SPRDOPT(AQ60,AR60,$P60,$AM60,AU60,AV60,AW60,$D60,$B$20,6)/100)</f>
        <v>#NAME?</v>
      </c>
      <c r="BE60" s="75" t="e">
        <f aca="false">IF(AW60=0,0,SPRDOPT(AQ60,AR60,$P60,$AM60,AU60,AV60,AW60,$D60,$B$20,7)/100)</f>
        <v>#NAME?</v>
      </c>
      <c r="BF60" s="75" t="e">
        <f aca="false">IF(AX60=0,0,SPRDOPT(AQ60,AR60,$P60,$AM60,AU60,AV60,AW60,$D60,$B$20,9)/365)</f>
        <v>#NAME?</v>
      </c>
      <c r="BG60" s="75" t="e">
        <f aca="false">AY60+AZ60</f>
        <v>#NAME?</v>
      </c>
      <c r="BH60" s="75" t="e">
        <f aca="false">BB60-BA60</f>
        <v>#NAME?</v>
      </c>
      <c r="BI60" s="75" t="e">
        <f aca="false">((AU60/AV60)*BC60)+BD60</f>
        <v>#NAME?</v>
      </c>
      <c r="BJ60" s="75" t="n">
        <f aca="false">AW60*AP60</f>
        <v>29.97</v>
      </c>
      <c r="BK60" s="76"/>
      <c r="BL60" s="37" t="e">
        <f aca="false">$AP60*AX60</f>
        <v>#NAME?</v>
      </c>
      <c r="BM60" s="37" t="e">
        <f aca="false">$AP60*AY60</f>
        <v>#NAME?</v>
      </c>
      <c r="BN60" s="37" t="e">
        <f aca="false">$AP60*AZ60</f>
        <v>#NAME?</v>
      </c>
      <c r="BO60" s="37" t="e">
        <f aca="false">$AP60*BA60</f>
        <v>#NAME?</v>
      </c>
      <c r="BP60" s="37" t="e">
        <f aca="false">$AP60*BB60</f>
        <v>#NAME?</v>
      </c>
      <c r="BQ60" s="37" t="e">
        <f aca="false">$AP60*BC60</f>
        <v>#NAME?</v>
      </c>
      <c r="BR60" s="37" t="e">
        <f aca="false">$AP60*BD60</f>
        <v>#NAME?</v>
      </c>
      <c r="BS60" s="37" t="e">
        <f aca="false">$AP60*BE60</f>
        <v>#NAME?</v>
      </c>
      <c r="BT60" s="37" t="e">
        <f aca="false">$AP60*BF60</f>
        <v>#NAME?</v>
      </c>
      <c r="BU60" s="37" t="e">
        <f aca="false">$AP60*BG60</f>
        <v>#NAME?</v>
      </c>
      <c r="BV60" s="37" t="e">
        <f aca="false">$AP60*BH60</f>
        <v>#NAME?</v>
      </c>
      <c r="BW60" s="37" t="e">
        <f aca="false">$AP60*BI60</f>
        <v>#NAME?</v>
      </c>
      <c r="BX60" s="37"/>
      <c r="BZ60" s="73" t="n">
        <f aca="false">IF($A60&gt;=CB$32,IF($A60&lt;=CB$33,$AN60,0),0)</f>
        <v>0</v>
      </c>
      <c r="CA60" s="41" t="n">
        <f aca="false">$B60+$R60+$D$12</f>
        <v>3.545</v>
      </c>
      <c r="CB60" s="41" t="n">
        <f aca="false">$B60+$S60+$D$13</f>
        <v>3.375</v>
      </c>
      <c r="CC60" s="41" t="n">
        <f aca="false">CA60*BZ60</f>
        <v>0</v>
      </c>
      <c r="CD60" s="41" t="n">
        <f aca="false">CB60*BZ60</f>
        <v>0</v>
      </c>
      <c r="CE60" s="74" t="n">
        <f aca="false">($C60*$T60)+X60+$D$14</f>
        <v>0.37</v>
      </c>
      <c r="CF60" s="74" t="n">
        <f aca="false">($C60*$U60)+$D$15</f>
        <v>0.37</v>
      </c>
      <c r="CG60" s="65" t="n">
        <f aca="false">$V60+D$16</f>
        <v>0.99</v>
      </c>
      <c r="CH60" s="75" t="n">
        <f aca="false">IF(BZ60=0,0,SPRDOPT(CA60,CB60,$W60,$AM60,CE60,CF60,CG60,$D60,$D$20,0))</f>
        <v>0</v>
      </c>
      <c r="CI60" s="75" t="e">
        <f aca="false">IF(CA60=0,0,SPRDOPT(CA60,CB60,$W60,$AM60,CE60,CF60,CG60,$D60,$D$20,1))</f>
        <v>#NAME?</v>
      </c>
      <c r="CJ60" s="75" t="e">
        <f aca="false">IF(CB60=0,0,SPRDOPT(CA60,CB60,$W60,$AM60,CE60,CF60,CG60,$D60,$D$20,2))</f>
        <v>#NAME?</v>
      </c>
      <c r="CK60" s="75" t="n">
        <f aca="false">IF(CC60=0,0,SPRDOPT(CA60,CB60,$W60,$AM60,CE60,CF60,CG60,$D60,$D$20,3)/100)</f>
        <v>0</v>
      </c>
      <c r="CL60" s="75" t="n">
        <f aca="false">IF(CD60=0,0,SPRDOPT(CA60,CB60,$W60,$AM60,CE60,CF60,CG60,$D60,$D$20,4)/100)</f>
        <v>0</v>
      </c>
      <c r="CM60" s="75" t="e">
        <f aca="false">IF(CE60=0,0,SPRDOPT(CA60,CB60,$W60,$AM60,CE60,CF60,CG60,$D60,$D$20,5)/100)</f>
        <v>#NAME?</v>
      </c>
      <c r="CN60" s="75" t="e">
        <f aca="false">IF(CF60=0,0,SPRDOPT(CA60,CB60,$W60,$AM60,CE60,CF60,CG60,$D60,$D$20,6)/100)</f>
        <v>#NAME?</v>
      </c>
      <c r="CO60" s="75" t="e">
        <f aca="false">IF(CG60=0,0,SPRDOPT(CA60,CB60,$W60,$AM60,CE60,CF60,CG60,$D60,$D$20,7)/100)</f>
        <v>#NAME?</v>
      </c>
      <c r="CP60" s="75" t="n">
        <f aca="false">IF(CH60=0,0,SPRDOPT(CA60,CB60,$W60,$AM60,CE60,CF60,CG60,$D60,$D$20,9)/365)</f>
        <v>0</v>
      </c>
      <c r="CQ60" s="75" t="e">
        <f aca="false">CI60+CJ60</f>
        <v>#NAME?</v>
      </c>
      <c r="CR60" s="75" t="n">
        <f aca="false">CL60-CK60</f>
        <v>0</v>
      </c>
      <c r="CS60" s="75" t="e">
        <f aca="false">((CE60/CF60)*CM60)+CN60</f>
        <v>#NAME?</v>
      </c>
      <c r="CT60" s="75" t="n">
        <f aca="false">CG60*BZ60</f>
        <v>0</v>
      </c>
      <c r="CU60" s="76"/>
      <c r="CV60" s="37" t="n">
        <f aca="false">BZ60*CH60</f>
        <v>0</v>
      </c>
      <c r="CW60" s="37" t="e">
        <f aca="false">BZ60*CI60</f>
        <v>#NAME?</v>
      </c>
      <c r="CX60" s="37" t="e">
        <f aca="false">BZ60*CJ60</f>
        <v>#NAME?</v>
      </c>
      <c r="CY60" s="37" t="n">
        <f aca="false">BZ60*CK60</f>
        <v>0</v>
      </c>
      <c r="CZ60" s="37" t="n">
        <f aca="false">BZ60*CL60</f>
        <v>0</v>
      </c>
      <c r="DA60" s="37" t="e">
        <f aca="false">BZ60*CM60</f>
        <v>#NAME?</v>
      </c>
      <c r="DB60" s="37" t="e">
        <f aca="false">BZ60*CN60</f>
        <v>#NAME?</v>
      </c>
      <c r="DC60" s="37" t="e">
        <f aca="false">BZ60*CO60</f>
        <v>#NAME?</v>
      </c>
      <c r="DD60" s="37" t="n">
        <f aca="false">BZ60*CP60</f>
        <v>0</v>
      </c>
      <c r="DE60" s="37" t="e">
        <f aca="false">BZ60*CQ60</f>
        <v>#NAME?</v>
      </c>
      <c r="DF60" s="37" t="n">
        <f aca="false">BZ60*CR60</f>
        <v>0</v>
      </c>
      <c r="DG60" s="37" t="e">
        <f aca="false">BZ60*CS60</f>
        <v>#NAME?</v>
      </c>
      <c r="DI60" s="73" t="n">
        <f aca="false">IF($A60&gt;=DK$32,IF($A60&lt;=DK$33,$AN60,0),0)</f>
        <v>0</v>
      </c>
      <c r="DJ60" s="41" t="n">
        <f aca="false">$B60+$Y60+$F$12</f>
        <v>3.125</v>
      </c>
      <c r="DK60" s="41" t="n">
        <f aca="false">$B60+$Z60+$F$13</f>
        <v>3.375</v>
      </c>
      <c r="DL60" s="41" t="n">
        <f aca="false">DJ60*DI60</f>
        <v>0</v>
      </c>
      <c r="DM60" s="41" t="n">
        <f aca="false">DK60*DI60</f>
        <v>0</v>
      </c>
      <c r="DN60" s="74" t="n">
        <f aca="false">($C60*$AA60)+AE60+$F$14</f>
        <v>0.37</v>
      </c>
      <c r="DO60" s="74" t="n">
        <f aca="false">($C60*$AB60)+$F$15</f>
        <v>0.37</v>
      </c>
      <c r="DP60" s="65" t="n">
        <f aca="false">$AC60+$F$16</f>
        <v>0.99</v>
      </c>
      <c r="DQ60" s="75" t="n">
        <f aca="false">IF(DI60=0,0,SPRDOPT(DJ60,DK60,$AD60,$AM60,DN60,DO60,DP60,$D60,$F$20,0))</f>
        <v>0</v>
      </c>
      <c r="DR60" s="75" t="e">
        <f aca="false">IF(DJ60=0,0,SPRDOPT(DJ60,DK60,$AD60,$AM60,DN60,DO60,DP60,$D60,$F$20,1))</f>
        <v>#NAME?</v>
      </c>
      <c r="DS60" s="75" t="e">
        <f aca="false">IF(DK60=0,0,SPRDOPT(DJ60,DK60,$AD60,$AM60,DN60,DO60,DP60,$D60,$F$20,2))</f>
        <v>#NAME?</v>
      </c>
      <c r="DT60" s="75" t="n">
        <f aca="false">IF(DL60=0,0,SPRDOPT(DJ60,DK60,$AD60,$AM60,DN60,DO60,DP60,$D60,$F$20,3)/100)</f>
        <v>0</v>
      </c>
      <c r="DU60" s="75" t="n">
        <f aca="false">IF(DM60=0,0,SPRDOPT(DJ60,DK60,$AD60,$AM60,DN60,DO60,DP60,$D60,$F$20,4)/100)</f>
        <v>0</v>
      </c>
      <c r="DV60" s="75" t="e">
        <f aca="false">IF(DN60=0,0,SPRDOPT(DJ60,DK60,$AD60,$AM60,DN60,DO60,DP60,$D60,$F$20,5)/100)</f>
        <v>#NAME?</v>
      </c>
      <c r="DW60" s="75" t="e">
        <f aca="false">IF(DO60=0,0,SPRDOPT(DJ60,DK60,$AD60,$AM60,DN60,DO60,DP60,$D60,$F$20,6)/100)</f>
        <v>#NAME?</v>
      </c>
      <c r="DX60" s="75" t="e">
        <f aca="false">IF(DP60=0,0,SPRDOPT(DJ60,DK60,$AD60,$AM60,DN60,DO60,DP60,$D60,$F$20,7)/100)</f>
        <v>#NAME?</v>
      </c>
      <c r="DY60" s="75" t="n">
        <f aca="false">IF(DQ60=0,0,SPRDOPT(DJ60,DK60,$AD60,$AM60,DN60,DO60,DP60,$D60,$F$20,9)/365)</f>
        <v>0</v>
      </c>
      <c r="DZ60" s="75" t="e">
        <f aca="false">DR60+DS60</f>
        <v>#NAME?</v>
      </c>
      <c r="EA60" s="75" t="n">
        <f aca="false">DU60-DT60</f>
        <v>0</v>
      </c>
      <c r="EB60" s="75" t="e">
        <f aca="false">((DN60/DO60)*DV60)+DW60</f>
        <v>#NAME?</v>
      </c>
      <c r="EC60" s="75" t="n">
        <f aca="false">DP60*DI60</f>
        <v>0</v>
      </c>
      <c r="ED60" s="75"/>
      <c r="EE60" s="37" t="n">
        <f aca="false">DI60*DQ60</f>
        <v>0</v>
      </c>
      <c r="EF60" s="37" t="e">
        <f aca="false">DI60*DR60</f>
        <v>#NAME?</v>
      </c>
      <c r="EG60" s="37" t="e">
        <f aca="false">DI60*DS60</f>
        <v>#NAME?</v>
      </c>
      <c r="EH60" s="37" t="n">
        <f aca="false">DI60*DT60</f>
        <v>0</v>
      </c>
      <c r="EI60" s="37" t="n">
        <f aca="false">DI60*DU60</f>
        <v>0</v>
      </c>
      <c r="EJ60" s="37" t="e">
        <f aca="false">DI60*DV60</f>
        <v>#NAME?</v>
      </c>
      <c r="EK60" s="37" t="e">
        <f aca="false">DI60*DW60</f>
        <v>#NAME?</v>
      </c>
      <c r="EL60" s="37" t="e">
        <f aca="false">DI60*DX60</f>
        <v>#NAME?</v>
      </c>
      <c r="EM60" s="37" t="n">
        <f aca="false">DI60*DY60</f>
        <v>0</v>
      </c>
      <c r="EN60" s="37" t="e">
        <f aca="false">DI60*DZ60</f>
        <v>#NAME?</v>
      </c>
      <c r="EO60" s="37" t="n">
        <f aca="false">DI60*EA60</f>
        <v>0</v>
      </c>
      <c r="EP60" s="37" t="e">
        <f aca="false">DI60*EB60</f>
        <v>#NAME?</v>
      </c>
      <c r="ER60" s="73" t="n">
        <f aca="false">IF($A60&gt;=ET$32,IF($A60&lt;=ET$33,$AN60,0),0)</f>
        <v>0</v>
      </c>
      <c r="ES60" s="41" t="n">
        <f aca="false">$B60+$AF60+$H$12</f>
        <v>3.185</v>
      </c>
      <c r="ET60" s="41" t="n">
        <f aca="false">$B60+$AG60+$H$13</f>
        <v>3.375</v>
      </c>
      <c r="EU60" s="41" t="n">
        <f aca="false">ES60*ER60</f>
        <v>0</v>
      </c>
      <c r="EV60" s="41" t="n">
        <f aca="false">ET60*ER60</f>
        <v>0</v>
      </c>
      <c r="EW60" s="74" t="n">
        <f aca="false">($C60*$AH60)+AL60+$H$14</f>
        <v>0.37</v>
      </c>
      <c r="EX60" s="74" t="n">
        <f aca="false">($C60*$AI60)+$H$15</f>
        <v>0.37</v>
      </c>
      <c r="EY60" s="65" t="n">
        <f aca="false">$AJ60+$H$16</f>
        <v>0.99</v>
      </c>
      <c r="EZ60" s="75" t="n">
        <f aca="false">IF(ER60=0,0,SPRDOPT(ES60,ET60,$AK60,$AM60,EW60,EX60,EY60,$D60,$H$20,0))</f>
        <v>0</v>
      </c>
      <c r="FA60" s="75" t="e">
        <f aca="false">IF(ES60=0,0,SPRDOPT(ES60,ET60,$AK60,$AM60,EW60,EX60,EY60,$D60,$H$20,1))</f>
        <v>#NAME?</v>
      </c>
      <c r="FB60" s="75" t="e">
        <f aca="false">IF(ET60=0,0,SPRDOPT(ES60,ET60,$AK60,$AM60,EW60,EX60,EY60,$D60,$H$20,2))</f>
        <v>#NAME?</v>
      </c>
      <c r="FC60" s="75" t="n">
        <f aca="false">IF(EU60=0,0,SPRDOPT(ES60,ET60,$AK60,$AM60,EW60,EX60,EY60,$D60,$H$20,3)/100)</f>
        <v>0</v>
      </c>
      <c r="FD60" s="75" t="n">
        <f aca="false">IF(EV60=0,0,SPRDOPT(ES60,ET60,$AK60,$AM60,EW60,EX60,EY60,$D60,$H$20,4)/100)</f>
        <v>0</v>
      </c>
      <c r="FE60" s="75" t="e">
        <f aca="false">IF(EW60=0,0,SPRDOPT(ES60,ET60,$AK60,$AM60,EW60,EX60,EY60,$D60,$H$20,5)/100)</f>
        <v>#NAME?</v>
      </c>
      <c r="FF60" s="75" t="e">
        <f aca="false">IF(EX60=0,0,SPRDOPT(ES60,ET60,$AK60,$AM60,EW60,EX60,EY60,$D60,$H$20,6)/100)</f>
        <v>#NAME?</v>
      </c>
      <c r="FG60" s="75" t="e">
        <f aca="false">IF(EY60=0,0,SPRDOPT(ES60,ET60,$AK60,$AM60,EW60,EX60,EY60,$D60,$H$20,7)/100)</f>
        <v>#NAME?</v>
      </c>
      <c r="FH60" s="75" t="n">
        <f aca="false">IF(EZ60=0,0,SPRDOPT(ES60,ET60,$AK60,$AM60,EW60,EX60,EY60,$D60,$H$20,9)/365)</f>
        <v>0</v>
      </c>
      <c r="FI60" s="75" t="e">
        <f aca="false">FA60+FB60</f>
        <v>#NAME?</v>
      </c>
      <c r="FJ60" s="75" t="n">
        <f aca="false">FD60-FC60</f>
        <v>0</v>
      </c>
      <c r="FK60" s="75" t="e">
        <f aca="false">((EW60/EX60)*FE60)+FF60</f>
        <v>#NAME?</v>
      </c>
      <c r="FL60" s="75" t="n">
        <f aca="false">EY60*ER60</f>
        <v>0</v>
      </c>
      <c r="FM60" s="75"/>
      <c r="FN60" s="37" t="n">
        <f aca="false">$ER60*EZ60</f>
        <v>0</v>
      </c>
      <c r="FO60" s="37" t="e">
        <f aca="false">$ER60*FA60</f>
        <v>#NAME?</v>
      </c>
      <c r="FP60" s="37" t="e">
        <f aca="false">$ER60*FB60</f>
        <v>#NAME?</v>
      </c>
      <c r="FQ60" s="37" t="n">
        <f aca="false">$ER60*FC60</f>
        <v>0</v>
      </c>
      <c r="FR60" s="37" t="n">
        <f aca="false">$ER60*FD60</f>
        <v>0</v>
      </c>
      <c r="FS60" s="37" t="e">
        <f aca="false">$ER60*FE60</f>
        <v>#NAME?</v>
      </c>
      <c r="FT60" s="37" t="e">
        <f aca="false">$ER60*FF60</f>
        <v>#NAME?</v>
      </c>
      <c r="FU60" s="37" t="e">
        <f aca="false">$ER60*FG60</f>
        <v>#NAME?</v>
      </c>
      <c r="FV60" s="37" t="n">
        <f aca="false">$ER60*FH60</f>
        <v>0</v>
      </c>
      <c r="FW60" s="37" t="e">
        <f aca="false">$ER60*FI60</f>
        <v>#NAME?</v>
      </c>
      <c r="FX60" s="37" t="n">
        <f aca="false">$ER60*FJ60</f>
        <v>0</v>
      </c>
      <c r="FY60" s="37" t="e">
        <f aca="false">$ER60*FK60</f>
        <v>#NAME?</v>
      </c>
      <c r="GA60" s="77" t="e">
        <f aca="false">VLOOKUP(A60,skewmonthlook,2,FALSE())</f>
        <v>#REF!</v>
      </c>
      <c r="GB60" s="0" t="e">
        <f aca="false">CONCATENATE(B$3,$GA60)</f>
        <v>#REF!</v>
      </c>
      <c r="GC60" s="0" t="e">
        <f aca="false">CONCATENATE(D$3,$GA60)</f>
        <v>#REF!</v>
      </c>
      <c r="GD60" s="0" t="e">
        <f aca="false">CONCATENATE(F$3,$GA60)</f>
        <v>#REF!</v>
      </c>
      <c r="GE60" s="0" t="e">
        <f aca="false">CONCATENATE(H$3,$GA60)</f>
        <v>#REF!</v>
      </c>
      <c r="GG60" s="65" t="e">
        <f aca="false">VLOOKUP(GB60,skewlook,HLOOKUP($P60,skewlook,2),FALSE())</f>
        <v>#REF!</v>
      </c>
      <c r="GH60" s="65" t="e">
        <f aca="false">VLOOKUP(GC60,skewlook,HLOOKUP($W60,skewlook,2),FALSE())</f>
        <v>#REF!</v>
      </c>
      <c r="GI60" s="65" t="e">
        <f aca="false">VLOOKUP(GD60,skewlook,HLOOKUP($AD60,skewlook,2),FALSE())</f>
        <v>#REF!</v>
      </c>
      <c r="GJ60" s="65" t="e">
        <f aca="false">VLOOKUP(GE60,skewlook,HLOOKUP($AK60,skewlook,2),FALSE())</f>
        <v>#REF!</v>
      </c>
    </row>
    <row r="61" customFormat="false" ht="12.75" hidden="false" customHeight="false" outlineLevel="0" collapsed="false">
      <c r="A61" s="62" t="n">
        <f aca="false">DATE(YEAR(A60),MONTH(A60)+1,1)</f>
        <v>37956</v>
      </c>
      <c r="B61" s="63" t="n">
        <f aca="false">VLOOKUP(A61,STRADDLE,5,FALSE())</f>
        <v>3.51</v>
      </c>
      <c r="C61" s="4" t="n">
        <f aca="false">VLOOKUP(A61,STRADDLE,8,FALSE())</f>
        <v>0.37</v>
      </c>
      <c r="D61" s="64" t="n">
        <f aca="false">VLOOKUP(A61,expiration,2,FALSE())-$B$2</f>
        <v>-7977</v>
      </c>
      <c r="E61" s="65" t="e">
        <f aca="false">AY61</f>
        <v>#NAME?</v>
      </c>
      <c r="F61" s="65" t="e">
        <f aca="false">CI61</f>
        <v>#NAME?</v>
      </c>
      <c r="G61" s="65" t="e">
        <f aca="false">DR61</f>
        <v>#NAME?</v>
      </c>
      <c r="H61" s="65" t="e">
        <f aca="false">FA61</f>
        <v>#NAME?</v>
      </c>
      <c r="I61" s="66"/>
      <c r="J61" s="67"/>
      <c r="K61" s="63" t="n">
        <f aca="false">IF($B$3="NYMEX",0,VLOOKUP($A61,curvesettle,HLOOKUP($B$3,curvesettle,2,FALSE()),FALSE()))</f>
        <v>-0.1525</v>
      </c>
      <c r="L61" s="63" t="n">
        <f aca="false">IF($B$4="NYMEX",0,VLOOKUP($A61,curvesettle,HLOOKUP($B$4,curvesettle,2,FALSE()),FALSE()))</f>
        <v>0</v>
      </c>
      <c r="M61" s="65" t="n">
        <f aca="false">IF(ISNUMBER(VLOOKUP($A61,VOLCURVES,HLOOKUP($B$3,VOLCURVES,2,FALSE()),FALSE())),VLOOKUP($A61,VOLCURVES,HLOOKUP($B$3,VOLCURVES,2,FALSE()),FALSE()),1)</f>
        <v>1</v>
      </c>
      <c r="N61" s="65" t="n">
        <f aca="false">IF(ISNUMBER(VLOOKUP($A61,VOLCURVES,HLOOKUP($B$4,VOLCURVES,2,FALSE()),FALSE())),VLOOKUP($A61,VOLCURVES,HLOOKUP($B$4,VOLCURVES,2,FALSE()),FALSE()),1)</f>
        <v>1</v>
      </c>
      <c r="O61" s="65" t="n">
        <f aca="false">IF(ISNUMBER(VLOOKUP($A61,CORETABLE,HLOOKUP($B$3,CORETABLE,2,FALSE()),FALSE())),VLOOKUP($A61,CORETABLE,HLOOKUP($B$3,CORETABLE,2,FALSE()),FALSE()),0.99)</f>
        <v>0.9945</v>
      </c>
      <c r="P61" s="68" t="n">
        <f aca="false">B$19</f>
        <v>-0.2</v>
      </c>
      <c r="Q61" s="69" t="n">
        <f aca="false">IF($B$18=1,IF(ISNUMBER($GG61),$GG61,0),0)</f>
        <v>0</v>
      </c>
      <c r="R61" s="70" t="n">
        <f aca="false">IF($D$3="NYMEX",0,VLOOKUP($A61,curvesettle,HLOOKUP($D$3,curvesettle,2,FALSE()),FALSE()))</f>
        <v>0.17</v>
      </c>
      <c r="S61" s="63" t="n">
        <f aca="false">IF($D$4="NYMEX",0,VLOOKUP($A61,curvesettle,HLOOKUP($D$4,curvesettle,2,FALSE()),FALSE()))</f>
        <v>0</v>
      </c>
      <c r="T61" s="65" t="n">
        <f aca="false">IF(ISNUMBER(VLOOKUP($A61,VOLCURVES,HLOOKUP($D$3,VOLCURVES,2,FALSE()),FALSE())),VLOOKUP($A61,VOLCURVES,HLOOKUP($D$3,VOLCURVES,2,FALSE()),FALSE()),1)</f>
        <v>1</v>
      </c>
      <c r="U61" s="65" t="n">
        <f aca="false">IF(ISNUMBER(VLOOKUP($A61,VOLCURVES,HLOOKUP($D$4,VOLCURVES,2,FALSE()),FALSE())),VLOOKUP($A61,VOLCURVES,HLOOKUP($D$4,VOLCURVES,2,FALSE()),FALSE()),1)</f>
        <v>1</v>
      </c>
      <c r="V61" s="65" t="n">
        <f aca="false">IF(ISNUMBER(VLOOKUP($A61,CORETABLE,HLOOKUP($D$3,CORETABLE,2,FALSE()),FALSE())),VLOOKUP($A61,CORETABLE,HLOOKUP($D$3,CORETABLE,2,FALSE()),FALSE()),0.99)</f>
        <v>0.99</v>
      </c>
      <c r="W61" s="68" t="n">
        <f aca="false">D$19</f>
        <v>0</v>
      </c>
      <c r="X61" s="69" t="n">
        <f aca="false">IF($D$18=1,IF(ISNUMBER($GH61),$GH61,0),0)</f>
        <v>0</v>
      </c>
      <c r="Y61" s="71" t="n">
        <f aca="false">IF($F$3="NYMEX",0,VLOOKUP($A61,curvesettle,HLOOKUP($F$3,curvesettle,2,FALSE()),FALSE()))</f>
        <v>-0.25</v>
      </c>
      <c r="Z61" s="63" t="n">
        <f aca="false">IF($F$4="NYMEX",0,VLOOKUP($A61,curvesettle,HLOOKUP($F$4,curvesettle,2,FALSE()),FALSE()))</f>
        <v>0</v>
      </c>
      <c r="AA61" s="65" t="n">
        <f aca="false">IF(ISNUMBER(VLOOKUP($A61,VOLCURVES,HLOOKUP($F$3,VOLCURVES,2,FALSE()),FALSE())),VLOOKUP($A61,VOLCURVES,HLOOKUP($F$3,VOLCURVES,2,FALSE()),FALSE()),1)</f>
        <v>1</v>
      </c>
      <c r="AB61" s="65" t="n">
        <f aca="false">IF(ISNUMBER(VLOOKUP($A61,VOLCURVES,HLOOKUP($F$4,VOLCURVES,2,FALSE()),FALSE())),VLOOKUP($A61,VOLCURVES,HLOOKUP($F$4,VOLCURVES,2,FALSE()),FALSE()),1)</f>
        <v>1</v>
      </c>
      <c r="AC61" s="65" t="n">
        <f aca="false">IF(ISNUMBER(VLOOKUP($A61,CORETABLE,HLOOKUP($F$3,CORETABLE,2,FALSE()),FALSE())),VLOOKUP($A61,CORETABLE,HLOOKUP($F$3,CORETABLE,2,FALSE()),FALSE()),0.99)</f>
        <v>0.99</v>
      </c>
      <c r="AD61" s="68" t="n">
        <f aca="false">F$19</f>
        <v>-0.6</v>
      </c>
      <c r="AE61" s="69" t="n">
        <f aca="false">IF($F$18=1,IF(ISNUMBER($GI61),$GI61,0),0)</f>
        <v>0</v>
      </c>
      <c r="AF61" s="63" t="n">
        <f aca="false">IF($H$3="NYMEX",0,VLOOKUP($A61,curvesettle,HLOOKUP($H$3,curvesettle,2,FALSE()),FALSE()))</f>
        <v>-0.25</v>
      </c>
      <c r="AG61" s="63" t="n">
        <f aca="false">IF($H$4="NYMEX",0,VLOOKUP($A61,curvesettle,HLOOKUP($H$4,curvesettle,2,FALSE()),FALSE()))</f>
        <v>0</v>
      </c>
      <c r="AH61" s="65" t="n">
        <f aca="false">IF(ISNUMBER(VLOOKUP($A61,VOLCURVES,HLOOKUP($H$3,VOLCURVES,2,FALSE()),FALSE())),VLOOKUP($A61,VOLCURVES,HLOOKUP($H$3,VOLCURVES,2,FALSE()),FALSE()),1)</f>
        <v>1</v>
      </c>
      <c r="AI61" s="65" t="n">
        <f aca="false">IF(ISNUMBER(VLOOKUP($A61,VOLCURVES,HLOOKUP($H$4,VOLCURVES,2,FALSE()),FALSE())),VLOOKUP($A61,VOLCURVES,HLOOKUP($H$4,VOLCURVES,2,FALSE()),FALSE()),1)</f>
        <v>1</v>
      </c>
      <c r="AJ61" s="65" t="n">
        <f aca="false">IF(ISNUMBER(VLOOKUP($A61,CORETABLE,HLOOKUP($H$3,CORETABLE,2,FALSE()),FALSE())),VLOOKUP($A61,CORETABLE,HLOOKUP($H$3,CORETABLE,2,FALSE()),FALSE()),0.99)</f>
        <v>0.99</v>
      </c>
      <c r="AK61" s="68" t="n">
        <f aca="false">H$19</f>
        <v>-0.45</v>
      </c>
      <c r="AL61" s="69" t="n">
        <f aca="false">IF($H$18=1,IF(ISNUMBER($GJ61),$GJ61,0),0)</f>
        <v>0</v>
      </c>
      <c r="AM61" s="4" t="n">
        <f aca="false">VLOOKUP($A61,STRADDLE,14,FALSE())</f>
        <v>0.0337738638474003</v>
      </c>
      <c r="AN61" s="72" t="n">
        <f aca="false">A62-A61</f>
        <v>31</v>
      </c>
      <c r="AO61" s="1" t="n">
        <f aca="false">AO60+1</f>
        <v>24</v>
      </c>
      <c r="AP61" s="73" t="n">
        <f aca="false">IF($A61&gt;=AR$32,IF($A61&lt;=AR$33,$AN61,0),0)</f>
        <v>31</v>
      </c>
      <c r="AQ61" s="41" t="n">
        <f aca="false">$B61+$K61+$B$12</f>
        <v>3.3575</v>
      </c>
      <c r="AR61" s="41" t="n">
        <f aca="false">$B61+$L61+$B$13</f>
        <v>3.51</v>
      </c>
      <c r="AS61" s="41" t="n">
        <f aca="false">AQ61*AP61</f>
        <v>104.0825</v>
      </c>
      <c r="AT61" s="41" t="n">
        <f aca="false">AR61*AP61</f>
        <v>108.81</v>
      </c>
      <c r="AU61" s="74" t="n">
        <f aca="false">($C61*$M61)+Q61+$B$14</f>
        <v>0.37</v>
      </c>
      <c r="AV61" s="74" t="n">
        <f aca="false">($C61*$N61)+$B$15</f>
        <v>0.37</v>
      </c>
      <c r="AW61" s="65" t="n">
        <f aca="false">O61+B$16</f>
        <v>0.999</v>
      </c>
      <c r="AX61" s="75" t="e">
        <f aca="false">IF(AP61=0,0,SPRDOPT(AQ61,AR61,$P61,$AM61,AU61,AV61,AW61,$D61,$B$20,0))</f>
        <v>#NAME?</v>
      </c>
      <c r="AY61" s="75" t="e">
        <f aca="false">IF(AQ61=0,0,SPRDOPT(AQ61,AR61,$P61,$AM61,AU61,AV61,AW61,$D61,$B$20,1))</f>
        <v>#NAME?</v>
      </c>
      <c r="AZ61" s="75" t="e">
        <f aca="false">IF(AR61=0,0,SPRDOPT(AQ61,AR61,$P61,$AM61,AU61,AV61,AW61,$D61,$B$20,2))</f>
        <v>#NAME?</v>
      </c>
      <c r="BA61" s="75" t="e">
        <f aca="false">IF(AS61=0,0,SPRDOPT(AQ61,AR61,$P61,$AM61,AU61,AV61,AW61,$D61,$B$20,3)/100)</f>
        <v>#NAME?</v>
      </c>
      <c r="BB61" s="75" t="e">
        <f aca="false">IF(AT61=0,0,SPRDOPT(AQ61,AR61,$P61,$AM61,AU61,AV61,AW61,$D61,$B$20,4)/100)</f>
        <v>#NAME?</v>
      </c>
      <c r="BC61" s="75" t="e">
        <f aca="false">IF(AU61=0,0,SPRDOPT(AQ61,AR61,$P61,$AM61,AU61,AV61,AW61,$D61,$B$20,5)/100)</f>
        <v>#NAME?</v>
      </c>
      <c r="BD61" s="75" t="e">
        <f aca="false">IF(AV61=0,0,SPRDOPT(AQ61,AR61,$P61,$AM61,AU61,AV61,AW61,$D61,$B$20,6)/100)</f>
        <v>#NAME?</v>
      </c>
      <c r="BE61" s="75" t="e">
        <f aca="false">IF(AW61=0,0,SPRDOPT(AQ61,AR61,$P61,$AM61,AU61,AV61,AW61,$D61,$B$20,7)/100)</f>
        <v>#NAME?</v>
      </c>
      <c r="BF61" s="75" t="e">
        <f aca="false">IF(AX61=0,0,SPRDOPT(AQ61,AR61,$P61,$AM61,AU61,AV61,AW61,$D61,$B$20,9)/365)</f>
        <v>#NAME?</v>
      </c>
      <c r="BG61" s="75" t="e">
        <f aca="false">AY61+AZ61</f>
        <v>#NAME?</v>
      </c>
      <c r="BH61" s="75" t="e">
        <f aca="false">BB61-BA61</f>
        <v>#NAME?</v>
      </c>
      <c r="BI61" s="75" t="e">
        <f aca="false">((AU61/AV61)*BC61)+BD61</f>
        <v>#NAME?</v>
      </c>
      <c r="BJ61" s="75" t="n">
        <f aca="false">AW61*AP61</f>
        <v>30.969</v>
      </c>
      <c r="BK61" s="76"/>
      <c r="BL61" s="37" t="e">
        <f aca="false">$AP61*AX61</f>
        <v>#NAME?</v>
      </c>
      <c r="BM61" s="37" t="e">
        <f aca="false">$AP61*AY61</f>
        <v>#NAME?</v>
      </c>
      <c r="BN61" s="37" t="e">
        <f aca="false">$AP61*AZ61</f>
        <v>#NAME?</v>
      </c>
      <c r="BO61" s="37" t="e">
        <f aca="false">$AP61*BA61</f>
        <v>#NAME?</v>
      </c>
      <c r="BP61" s="37" t="e">
        <f aca="false">$AP61*BB61</f>
        <v>#NAME?</v>
      </c>
      <c r="BQ61" s="37" t="e">
        <f aca="false">$AP61*BC61</f>
        <v>#NAME?</v>
      </c>
      <c r="BR61" s="37" t="e">
        <f aca="false">$AP61*BD61</f>
        <v>#NAME?</v>
      </c>
      <c r="BS61" s="37" t="e">
        <f aca="false">$AP61*BE61</f>
        <v>#NAME?</v>
      </c>
      <c r="BT61" s="37" t="e">
        <f aca="false">$AP61*BF61</f>
        <v>#NAME?</v>
      </c>
      <c r="BU61" s="37" t="e">
        <f aca="false">$AP61*BG61</f>
        <v>#NAME?</v>
      </c>
      <c r="BV61" s="37" t="e">
        <f aca="false">$AP61*BH61</f>
        <v>#NAME?</v>
      </c>
      <c r="BW61" s="37" t="e">
        <f aca="false">$AP61*BI61</f>
        <v>#NAME?</v>
      </c>
      <c r="BX61" s="37"/>
      <c r="BZ61" s="73" t="n">
        <f aca="false">IF($A61&gt;=CB$32,IF($A61&lt;=CB$33,$AN61,0),0)</f>
        <v>0</v>
      </c>
      <c r="CA61" s="41" t="n">
        <f aca="false">$B61+$R61+$D$12</f>
        <v>3.68</v>
      </c>
      <c r="CB61" s="41" t="n">
        <f aca="false">$B61+$S61+$D$13</f>
        <v>3.51</v>
      </c>
      <c r="CC61" s="41" t="n">
        <f aca="false">CA61*BZ61</f>
        <v>0</v>
      </c>
      <c r="CD61" s="41" t="n">
        <f aca="false">CB61*BZ61</f>
        <v>0</v>
      </c>
      <c r="CE61" s="74" t="n">
        <f aca="false">($C61*$T61)+X61+$D$14</f>
        <v>0.37</v>
      </c>
      <c r="CF61" s="74" t="n">
        <f aca="false">($C61*$U61)+$D$15</f>
        <v>0.37</v>
      </c>
      <c r="CG61" s="65" t="n">
        <f aca="false">$V61+D$16</f>
        <v>0.99</v>
      </c>
      <c r="CH61" s="75" t="n">
        <f aca="false">IF(BZ61=0,0,SPRDOPT(CA61,CB61,$W61,$AM61,CE61,CF61,CG61,$D61,$D$20,0))</f>
        <v>0</v>
      </c>
      <c r="CI61" s="75" t="e">
        <f aca="false">IF(CA61=0,0,SPRDOPT(CA61,CB61,$W61,$AM61,CE61,CF61,CG61,$D61,$D$20,1))</f>
        <v>#NAME?</v>
      </c>
      <c r="CJ61" s="75" t="e">
        <f aca="false">IF(CB61=0,0,SPRDOPT(CA61,CB61,$W61,$AM61,CE61,CF61,CG61,$D61,$D$20,2))</f>
        <v>#NAME?</v>
      </c>
      <c r="CK61" s="75" t="n">
        <f aca="false">IF(CC61=0,0,SPRDOPT(CA61,CB61,$W61,$AM61,CE61,CF61,CG61,$D61,$D$20,3)/100)</f>
        <v>0</v>
      </c>
      <c r="CL61" s="75" t="n">
        <f aca="false">IF(CD61=0,0,SPRDOPT(CA61,CB61,$W61,$AM61,CE61,CF61,CG61,$D61,$D$20,4)/100)</f>
        <v>0</v>
      </c>
      <c r="CM61" s="75" t="e">
        <f aca="false">IF(CE61=0,0,SPRDOPT(CA61,CB61,$W61,$AM61,CE61,CF61,CG61,$D61,$D$20,5)/100)</f>
        <v>#NAME?</v>
      </c>
      <c r="CN61" s="75" t="e">
        <f aca="false">IF(CF61=0,0,SPRDOPT(CA61,CB61,$W61,$AM61,CE61,CF61,CG61,$D61,$D$20,6)/100)</f>
        <v>#NAME?</v>
      </c>
      <c r="CO61" s="75" t="e">
        <f aca="false">IF(CG61=0,0,SPRDOPT(CA61,CB61,$W61,$AM61,CE61,CF61,CG61,$D61,$D$20,7)/100)</f>
        <v>#NAME?</v>
      </c>
      <c r="CP61" s="75" t="n">
        <f aca="false">IF(CH61=0,0,SPRDOPT(CA61,CB61,$W61,$AM61,CE61,CF61,CG61,$D61,$D$20,9)/365)</f>
        <v>0</v>
      </c>
      <c r="CQ61" s="75" t="e">
        <f aca="false">CI61+CJ61</f>
        <v>#NAME?</v>
      </c>
      <c r="CR61" s="75" t="n">
        <f aca="false">CL61-CK61</f>
        <v>0</v>
      </c>
      <c r="CS61" s="75" t="e">
        <f aca="false">((CE61/CF61)*CM61)+CN61</f>
        <v>#NAME?</v>
      </c>
      <c r="CT61" s="75" t="n">
        <f aca="false">CG61*BZ61</f>
        <v>0</v>
      </c>
      <c r="CU61" s="76"/>
      <c r="CV61" s="37" t="n">
        <f aca="false">BZ61*CH61</f>
        <v>0</v>
      </c>
      <c r="CW61" s="37" t="e">
        <f aca="false">BZ61*CI61</f>
        <v>#NAME?</v>
      </c>
      <c r="CX61" s="37" t="e">
        <f aca="false">BZ61*CJ61</f>
        <v>#NAME?</v>
      </c>
      <c r="CY61" s="37" t="n">
        <f aca="false">BZ61*CK61</f>
        <v>0</v>
      </c>
      <c r="CZ61" s="37" t="n">
        <f aca="false">BZ61*CL61</f>
        <v>0</v>
      </c>
      <c r="DA61" s="37" t="e">
        <f aca="false">BZ61*CM61</f>
        <v>#NAME?</v>
      </c>
      <c r="DB61" s="37" t="e">
        <f aca="false">BZ61*CN61</f>
        <v>#NAME?</v>
      </c>
      <c r="DC61" s="37" t="e">
        <f aca="false">BZ61*CO61</f>
        <v>#NAME?</v>
      </c>
      <c r="DD61" s="37" t="n">
        <f aca="false">BZ61*CP61</f>
        <v>0</v>
      </c>
      <c r="DE61" s="37" t="e">
        <f aca="false">BZ61*CQ61</f>
        <v>#NAME?</v>
      </c>
      <c r="DF61" s="37" t="n">
        <f aca="false">BZ61*CR61</f>
        <v>0</v>
      </c>
      <c r="DG61" s="37" t="e">
        <f aca="false">BZ61*CS61</f>
        <v>#NAME?</v>
      </c>
      <c r="DI61" s="73" t="n">
        <f aca="false">IF($A61&gt;=DK$32,IF($A61&lt;=DK$33,$AN61,0),0)</f>
        <v>0</v>
      </c>
      <c r="DJ61" s="41" t="n">
        <f aca="false">$B61+$Y61+$F$12</f>
        <v>3.26</v>
      </c>
      <c r="DK61" s="41" t="n">
        <f aca="false">$B61+$Z61+$F$13</f>
        <v>3.51</v>
      </c>
      <c r="DL61" s="41" t="n">
        <f aca="false">DJ61*DI61</f>
        <v>0</v>
      </c>
      <c r="DM61" s="41" t="n">
        <f aca="false">DK61*DI61</f>
        <v>0</v>
      </c>
      <c r="DN61" s="74" t="n">
        <f aca="false">($C61*$AA61)+AE61+$F$14</f>
        <v>0.37</v>
      </c>
      <c r="DO61" s="74" t="n">
        <f aca="false">($C61*$AB61)+$F$15</f>
        <v>0.37</v>
      </c>
      <c r="DP61" s="65" t="n">
        <f aca="false">$AC61+$F$16</f>
        <v>0.99</v>
      </c>
      <c r="DQ61" s="75" t="n">
        <f aca="false">IF(DI61=0,0,SPRDOPT(DJ61,DK61,$AD61,$AM61,DN61,DO61,DP61,$D61,$F$20,0))</f>
        <v>0</v>
      </c>
      <c r="DR61" s="75" t="e">
        <f aca="false">IF(DJ61=0,0,SPRDOPT(DJ61,DK61,$AD61,$AM61,DN61,DO61,DP61,$D61,$F$20,1))</f>
        <v>#NAME?</v>
      </c>
      <c r="DS61" s="75" t="e">
        <f aca="false">IF(DK61=0,0,SPRDOPT(DJ61,DK61,$AD61,$AM61,DN61,DO61,DP61,$D61,$F$20,2))</f>
        <v>#NAME?</v>
      </c>
      <c r="DT61" s="75" t="n">
        <f aca="false">IF(DL61=0,0,SPRDOPT(DJ61,DK61,$AD61,$AM61,DN61,DO61,DP61,$D61,$F$20,3)/100)</f>
        <v>0</v>
      </c>
      <c r="DU61" s="75" t="n">
        <f aca="false">IF(DM61=0,0,SPRDOPT(DJ61,DK61,$AD61,$AM61,DN61,DO61,DP61,$D61,$F$20,4)/100)</f>
        <v>0</v>
      </c>
      <c r="DV61" s="75" t="e">
        <f aca="false">IF(DN61=0,0,SPRDOPT(DJ61,DK61,$AD61,$AM61,DN61,DO61,DP61,$D61,$F$20,5)/100)</f>
        <v>#NAME?</v>
      </c>
      <c r="DW61" s="75" t="e">
        <f aca="false">IF(DO61=0,0,SPRDOPT(DJ61,DK61,$AD61,$AM61,DN61,DO61,DP61,$D61,$F$20,6)/100)</f>
        <v>#NAME?</v>
      </c>
      <c r="DX61" s="75" t="e">
        <f aca="false">IF(DP61=0,0,SPRDOPT(DJ61,DK61,$AD61,$AM61,DN61,DO61,DP61,$D61,$F$20,7)/100)</f>
        <v>#NAME?</v>
      </c>
      <c r="DY61" s="75" t="n">
        <f aca="false">IF(DQ61=0,0,SPRDOPT(DJ61,DK61,$AD61,$AM61,DN61,DO61,DP61,$D61,$F$20,9)/365)</f>
        <v>0</v>
      </c>
      <c r="DZ61" s="75" t="e">
        <f aca="false">DR61+DS61</f>
        <v>#NAME?</v>
      </c>
      <c r="EA61" s="75" t="n">
        <f aca="false">DU61-DT61</f>
        <v>0</v>
      </c>
      <c r="EB61" s="75" t="e">
        <f aca="false">((DN61/DO61)*DV61)+DW61</f>
        <v>#NAME?</v>
      </c>
      <c r="EC61" s="75" t="n">
        <f aca="false">DP61*DI61</f>
        <v>0</v>
      </c>
      <c r="ED61" s="75"/>
      <c r="EE61" s="37" t="n">
        <f aca="false">DI61*DQ61</f>
        <v>0</v>
      </c>
      <c r="EF61" s="37" t="e">
        <f aca="false">DI61*DR61</f>
        <v>#NAME?</v>
      </c>
      <c r="EG61" s="37" t="e">
        <f aca="false">DI61*DS61</f>
        <v>#NAME?</v>
      </c>
      <c r="EH61" s="37" t="n">
        <f aca="false">DI61*DT61</f>
        <v>0</v>
      </c>
      <c r="EI61" s="37" t="n">
        <f aca="false">DI61*DU61</f>
        <v>0</v>
      </c>
      <c r="EJ61" s="37" t="e">
        <f aca="false">DI61*DV61</f>
        <v>#NAME?</v>
      </c>
      <c r="EK61" s="37" t="e">
        <f aca="false">DI61*DW61</f>
        <v>#NAME?</v>
      </c>
      <c r="EL61" s="37" t="e">
        <f aca="false">DI61*DX61</f>
        <v>#NAME?</v>
      </c>
      <c r="EM61" s="37" t="n">
        <f aca="false">DI61*DY61</f>
        <v>0</v>
      </c>
      <c r="EN61" s="37" t="e">
        <f aca="false">DI61*DZ61</f>
        <v>#NAME?</v>
      </c>
      <c r="EO61" s="37" t="n">
        <f aca="false">DI61*EA61</f>
        <v>0</v>
      </c>
      <c r="EP61" s="37" t="e">
        <f aca="false">DI61*EB61</f>
        <v>#NAME?</v>
      </c>
      <c r="ER61" s="73" t="n">
        <f aca="false">IF($A61&gt;=ET$32,IF($A61&lt;=ET$33,$AN61,0),0)</f>
        <v>0</v>
      </c>
      <c r="ES61" s="41" t="n">
        <f aca="false">$B61+$AF61+$H$12</f>
        <v>3.32</v>
      </c>
      <c r="ET61" s="41" t="n">
        <f aca="false">$B61+$AG61+$H$13</f>
        <v>3.51</v>
      </c>
      <c r="EU61" s="41" t="n">
        <f aca="false">ES61*ER61</f>
        <v>0</v>
      </c>
      <c r="EV61" s="41" t="n">
        <f aca="false">ET61*ER61</f>
        <v>0</v>
      </c>
      <c r="EW61" s="74" t="n">
        <f aca="false">($C61*$AH61)+AL61+$H$14</f>
        <v>0.37</v>
      </c>
      <c r="EX61" s="74" t="n">
        <f aca="false">($C61*$AI61)+$H$15</f>
        <v>0.37</v>
      </c>
      <c r="EY61" s="65" t="n">
        <f aca="false">$AJ61+$H$16</f>
        <v>0.99</v>
      </c>
      <c r="EZ61" s="75" t="n">
        <f aca="false">IF(ER61=0,0,SPRDOPT(ES61,ET61,$AK61,$AM61,EW61,EX61,EY61,$D61,$H$20,0))</f>
        <v>0</v>
      </c>
      <c r="FA61" s="75" t="e">
        <f aca="false">IF(ES61=0,0,SPRDOPT(ES61,ET61,$AK61,$AM61,EW61,EX61,EY61,$D61,$H$20,1))</f>
        <v>#NAME?</v>
      </c>
      <c r="FB61" s="75" t="e">
        <f aca="false">IF(ET61=0,0,SPRDOPT(ES61,ET61,$AK61,$AM61,EW61,EX61,EY61,$D61,$H$20,2))</f>
        <v>#NAME?</v>
      </c>
      <c r="FC61" s="75" t="n">
        <f aca="false">IF(EU61=0,0,SPRDOPT(ES61,ET61,$AK61,$AM61,EW61,EX61,EY61,$D61,$H$20,3)/100)</f>
        <v>0</v>
      </c>
      <c r="FD61" s="75" t="n">
        <f aca="false">IF(EV61=0,0,SPRDOPT(ES61,ET61,$AK61,$AM61,EW61,EX61,EY61,$D61,$H$20,4)/100)</f>
        <v>0</v>
      </c>
      <c r="FE61" s="75" t="e">
        <f aca="false">IF(EW61=0,0,SPRDOPT(ES61,ET61,$AK61,$AM61,EW61,EX61,EY61,$D61,$H$20,5)/100)</f>
        <v>#NAME?</v>
      </c>
      <c r="FF61" s="75" t="e">
        <f aca="false">IF(EX61=0,0,SPRDOPT(ES61,ET61,$AK61,$AM61,EW61,EX61,EY61,$D61,$H$20,6)/100)</f>
        <v>#NAME?</v>
      </c>
      <c r="FG61" s="75" t="e">
        <f aca="false">IF(EY61=0,0,SPRDOPT(ES61,ET61,$AK61,$AM61,EW61,EX61,EY61,$D61,$H$20,7)/100)</f>
        <v>#NAME?</v>
      </c>
      <c r="FH61" s="75" t="n">
        <f aca="false">IF(EZ61=0,0,SPRDOPT(ES61,ET61,$AK61,$AM61,EW61,EX61,EY61,$D61,$H$20,9)/365)</f>
        <v>0</v>
      </c>
      <c r="FI61" s="75" t="e">
        <f aca="false">FA61+FB61</f>
        <v>#NAME?</v>
      </c>
      <c r="FJ61" s="75" t="n">
        <f aca="false">FD61-FC61</f>
        <v>0</v>
      </c>
      <c r="FK61" s="75" t="e">
        <f aca="false">((EW61/EX61)*FE61)+FF61</f>
        <v>#NAME?</v>
      </c>
      <c r="FL61" s="75" t="n">
        <f aca="false">EY61*ER61</f>
        <v>0</v>
      </c>
      <c r="FM61" s="75"/>
      <c r="FN61" s="37" t="n">
        <f aca="false">$ER61*EZ61</f>
        <v>0</v>
      </c>
      <c r="FO61" s="37" t="e">
        <f aca="false">$ER61*FA61</f>
        <v>#NAME?</v>
      </c>
      <c r="FP61" s="37" t="e">
        <f aca="false">$ER61*FB61</f>
        <v>#NAME?</v>
      </c>
      <c r="FQ61" s="37" t="n">
        <f aca="false">$ER61*FC61</f>
        <v>0</v>
      </c>
      <c r="FR61" s="37" t="n">
        <f aca="false">$ER61*FD61</f>
        <v>0</v>
      </c>
      <c r="FS61" s="37" t="e">
        <f aca="false">$ER61*FE61</f>
        <v>#NAME?</v>
      </c>
      <c r="FT61" s="37" t="e">
        <f aca="false">$ER61*FF61</f>
        <v>#NAME?</v>
      </c>
      <c r="FU61" s="37" t="e">
        <f aca="false">$ER61*FG61</f>
        <v>#NAME?</v>
      </c>
      <c r="FV61" s="37" t="n">
        <f aca="false">$ER61*FH61</f>
        <v>0</v>
      </c>
      <c r="FW61" s="37" t="e">
        <f aca="false">$ER61*FI61</f>
        <v>#NAME?</v>
      </c>
      <c r="FX61" s="37" t="n">
        <f aca="false">$ER61*FJ61</f>
        <v>0</v>
      </c>
      <c r="FY61" s="37" t="e">
        <f aca="false">$ER61*FK61</f>
        <v>#NAME?</v>
      </c>
      <c r="GA61" s="77" t="e">
        <f aca="false">VLOOKUP(A61,skewmonthlook,2,FALSE())</f>
        <v>#REF!</v>
      </c>
      <c r="GB61" s="0" t="e">
        <f aca="false">CONCATENATE(B$3,$GA61)</f>
        <v>#REF!</v>
      </c>
      <c r="GC61" s="0" t="e">
        <f aca="false">CONCATENATE(D$3,$GA61)</f>
        <v>#REF!</v>
      </c>
      <c r="GD61" s="0" t="e">
        <f aca="false">CONCATENATE(F$3,$GA61)</f>
        <v>#REF!</v>
      </c>
      <c r="GE61" s="0" t="e">
        <f aca="false">CONCATENATE(H$3,$GA61)</f>
        <v>#REF!</v>
      </c>
      <c r="GG61" s="65" t="e">
        <f aca="false">VLOOKUP(GB61,skewlook,HLOOKUP($P61,skewlook,2),FALSE())</f>
        <v>#REF!</v>
      </c>
      <c r="GH61" s="65" t="e">
        <f aca="false">VLOOKUP(GC61,skewlook,HLOOKUP($W61,skewlook,2),FALSE())</f>
        <v>#REF!</v>
      </c>
      <c r="GI61" s="65" t="e">
        <f aca="false">VLOOKUP(GD61,skewlook,HLOOKUP($AD61,skewlook,2),FALSE())</f>
        <v>#REF!</v>
      </c>
      <c r="GJ61" s="65" t="e">
        <f aca="false">VLOOKUP(GE61,skewlook,HLOOKUP($AK61,skewlook,2),FALSE())</f>
        <v>#REF!</v>
      </c>
    </row>
    <row r="62" customFormat="false" ht="12.75" hidden="false" customHeight="false" outlineLevel="0" collapsed="false">
      <c r="A62" s="62" t="n">
        <f aca="false">DATE(YEAR(A61),MONTH(A61)+1,1)</f>
        <v>37987</v>
      </c>
      <c r="B62" s="63" t="n">
        <f aca="false">VLOOKUP(A62,STRADDLE,5,FALSE())</f>
        <v>3.57</v>
      </c>
      <c r="C62" s="4" t="n">
        <f aca="false">VLOOKUP(A62,STRADDLE,8,FALSE())</f>
        <v>0.37</v>
      </c>
      <c r="D62" s="64" t="n">
        <f aca="false">VLOOKUP(A62,expiration,2,FALSE())-$B$2</f>
        <v>-7943</v>
      </c>
      <c r="E62" s="65" t="e">
        <f aca="false">AY62</f>
        <v>#NAME?</v>
      </c>
      <c r="F62" s="65" t="e">
        <f aca="false">CI62</f>
        <v>#NAME?</v>
      </c>
      <c r="G62" s="65" t="e">
        <f aca="false">DR62</f>
        <v>#NAME?</v>
      </c>
      <c r="H62" s="65" t="e">
        <f aca="false">FA62</f>
        <v>#NAME?</v>
      </c>
      <c r="I62" s="66"/>
      <c r="J62" s="67"/>
      <c r="K62" s="63" t="n">
        <f aca="false">IF($B$3="NYMEX",0,VLOOKUP($A62,curvesettle,HLOOKUP($B$3,curvesettle,2,FALSE()),FALSE()))</f>
        <v>-0.155</v>
      </c>
      <c r="L62" s="63" t="n">
        <f aca="false">IF($B$4="NYMEX",0,VLOOKUP($A62,curvesettle,HLOOKUP($B$4,curvesettle,2,FALSE()),FALSE()))</f>
        <v>0</v>
      </c>
      <c r="M62" s="65" t="n">
        <f aca="false">IF(ISNUMBER(VLOOKUP($A62,VOLCURVES,HLOOKUP($B$3,VOLCURVES,2,FALSE()),FALSE())),VLOOKUP($A62,VOLCURVES,HLOOKUP($B$3,VOLCURVES,2,FALSE()),FALSE()),1)</f>
        <v>1</v>
      </c>
      <c r="N62" s="65" t="n">
        <f aca="false">IF(ISNUMBER(VLOOKUP($A62,VOLCURVES,HLOOKUP($B$4,VOLCURVES,2,FALSE()),FALSE())),VLOOKUP($A62,VOLCURVES,HLOOKUP($B$4,VOLCURVES,2,FALSE()),FALSE()),1)</f>
        <v>1</v>
      </c>
      <c r="O62" s="65" t="n">
        <f aca="false">IF(ISNUMBER(VLOOKUP($A62,CORETABLE,HLOOKUP($B$3,CORETABLE,2,FALSE()),FALSE())),VLOOKUP($A62,CORETABLE,HLOOKUP($B$3,CORETABLE,2,FALSE()),FALSE()),0.99)</f>
        <v>0.9945</v>
      </c>
      <c r="P62" s="68" t="n">
        <f aca="false">B$19</f>
        <v>-0.2</v>
      </c>
      <c r="Q62" s="69" t="n">
        <f aca="false">IF($B$18=1,IF(ISNUMBER($GG62),$GG62,0),0)</f>
        <v>0</v>
      </c>
      <c r="R62" s="70" t="n">
        <f aca="false">IF($D$3="NYMEX",0,VLOOKUP($A62,curvesettle,HLOOKUP($D$3,curvesettle,2,FALSE()),FALSE()))</f>
        <v>0.17</v>
      </c>
      <c r="S62" s="63" t="n">
        <f aca="false">IF($D$4="NYMEX",0,VLOOKUP($A62,curvesettle,HLOOKUP($D$4,curvesettle,2,FALSE()),FALSE()))</f>
        <v>0</v>
      </c>
      <c r="T62" s="65" t="n">
        <f aca="false">IF(ISNUMBER(VLOOKUP($A62,VOLCURVES,HLOOKUP($D$3,VOLCURVES,2,FALSE()),FALSE())),VLOOKUP($A62,VOLCURVES,HLOOKUP($D$3,VOLCURVES,2,FALSE()),FALSE()),1)</f>
        <v>1</v>
      </c>
      <c r="U62" s="65" t="n">
        <f aca="false">IF(ISNUMBER(VLOOKUP($A62,VOLCURVES,HLOOKUP($D$4,VOLCURVES,2,FALSE()),FALSE())),VLOOKUP($A62,VOLCURVES,HLOOKUP($D$4,VOLCURVES,2,FALSE()),FALSE()),1)</f>
        <v>1</v>
      </c>
      <c r="V62" s="65" t="n">
        <f aca="false">IF(ISNUMBER(VLOOKUP($A62,CORETABLE,HLOOKUP($D$3,CORETABLE,2,FALSE()),FALSE())),VLOOKUP($A62,CORETABLE,HLOOKUP($D$3,CORETABLE,2,FALSE()),FALSE()),0.99)</f>
        <v>0.99</v>
      </c>
      <c r="W62" s="68" t="n">
        <f aca="false">D$19</f>
        <v>0</v>
      </c>
      <c r="X62" s="69" t="n">
        <f aca="false">IF($D$18=1,IF(ISNUMBER($GH62),$GH62,0),0)</f>
        <v>0</v>
      </c>
      <c r="Y62" s="71" t="n">
        <f aca="false">IF($F$3="NYMEX",0,VLOOKUP($A62,curvesettle,HLOOKUP($F$3,curvesettle,2,FALSE()),FALSE()))</f>
        <v>-0.25</v>
      </c>
      <c r="Z62" s="63" t="n">
        <f aca="false">IF($F$4="NYMEX",0,VLOOKUP($A62,curvesettle,HLOOKUP($F$4,curvesettle,2,FALSE()),FALSE()))</f>
        <v>0</v>
      </c>
      <c r="AA62" s="65" t="n">
        <f aca="false">IF(ISNUMBER(VLOOKUP($A62,VOLCURVES,HLOOKUP($F$3,VOLCURVES,2,FALSE()),FALSE())),VLOOKUP($A62,VOLCURVES,HLOOKUP($F$3,VOLCURVES,2,FALSE()),FALSE()),1)</f>
        <v>1</v>
      </c>
      <c r="AB62" s="65" t="n">
        <f aca="false">IF(ISNUMBER(VLOOKUP($A62,VOLCURVES,HLOOKUP($F$4,VOLCURVES,2,FALSE()),FALSE())),VLOOKUP($A62,VOLCURVES,HLOOKUP($F$4,VOLCURVES,2,FALSE()),FALSE()),1)</f>
        <v>1</v>
      </c>
      <c r="AC62" s="65" t="n">
        <f aca="false">IF(ISNUMBER(VLOOKUP($A62,CORETABLE,HLOOKUP($F$3,CORETABLE,2,FALSE()),FALSE())),VLOOKUP($A62,CORETABLE,HLOOKUP($F$3,CORETABLE,2,FALSE()),FALSE()),0.99)</f>
        <v>0.985</v>
      </c>
      <c r="AD62" s="68" t="n">
        <f aca="false">F$19</f>
        <v>-0.6</v>
      </c>
      <c r="AE62" s="69" t="n">
        <f aca="false">IF($F$18=1,IF(ISNUMBER($GI62),$GI62,0),0)</f>
        <v>0</v>
      </c>
      <c r="AF62" s="63" t="n">
        <f aca="false">IF($H$3="NYMEX",0,VLOOKUP($A62,curvesettle,HLOOKUP($H$3,curvesettle,2,FALSE()),FALSE()))</f>
        <v>-0.25</v>
      </c>
      <c r="AG62" s="63" t="n">
        <f aca="false">IF($H$4="NYMEX",0,VLOOKUP($A62,curvesettle,HLOOKUP($H$4,curvesettle,2,FALSE()),FALSE()))</f>
        <v>0</v>
      </c>
      <c r="AH62" s="65" t="n">
        <f aca="false">IF(ISNUMBER(VLOOKUP($A62,VOLCURVES,HLOOKUP($H$3,VOLCURVES,2,FALSE()),FALSE())),VLOOKUP($A62,VOLCURVES,HLOOKUP($H$3,VOLCURVES,2,FALSE()),FALSE()),1)</f>
        <v>1</v>
      </c>
      <c r="AI62" s="65" t="n">
        <f aca="false">IF(ISNUMBER(VLOOKUP($A62,VOLCURVES,HLOOKUP($H$4,VOLCURVES,2,FALSE()),FALSE())),VLOOKUP($A62,VOLCURVES,HLOOKUP($H$4,VOLCURVES,2,FALSE()),FALSE()),1)</f>
        <v>1</v>
      </c>
      <c r="AJ62" s="65" t="n">
        <f aca="false">IF(ISNUMBER(VLOOKUP($A62,CORETABLE,HLOOKUP($H$3,CORETABLE,2,FALSE()),FALSE())),VLOOKUP($A62,CORETABLE,HLOOKUP($H$3,CORETABLE,2,FALSE()),FALSE()),0.99)</f>
        <v>0.985</v>
      </c>
      <c r="AK62" s="68" t="n">
        <f aca="false">H$19</f>
        <v>-0.45</v>
      </c>
      <c r="AL62" s="69" t="n">
        <f aca="false">IF($H$18=1,IF(ISNUMBER($GJ62),$GJ62,0),0)</f>
        <v>0</v>
      </c>
      <c r="AM62" s="4" t="n">
        <f aca="false">VLOOKUP($A62,STRADDLE,14,FALSE())</f>
        <v>0.0346389566727829</v>
      </c>
      <c r="AN62" s="72" t="n">
        <f aca="false">A63-A62</f>
        <v>31</v>
      </c>
      <c r="AO62" s="1" t="n">
        <f aca="false">AO61+1</f>
        <v>25</v>
      </c>
      <c r="AP62" s="73" t="n">
        <f aca="false">IF($A62&gt;=AR$32,IF($A62&lt;=AR$33,$AN62,0),0)</f>
        <v>31</v>
      </c>
      <c r="AQ62" s="41" t="n">
        <f aca="false">$B62+$K62+$B$12</f>
        <v>3.415</v>
      </c>
      <c r="AR62" s="41" t="n">
        <f aca="false">$B62+$L62+$B$13</f>
        <v>3.57</v>
      </c>
      <c r="AS62" s="41" t="n">
        <f aca="false">AQ62*AP62</f>
        <v>105.865</v>
      </c>
      <c r="AT62" s="41" t="n">
        <f aca="false">AR62*AP62</f>
        <v>110.67</v>
      </c>
      <c r="AU62" s="74" t="n">
        <f aca="false">($C62*$M62)+Q62+$B$14</f>
        <v>0.37</v>
      </c>
      <c r="AV62" s="74" t="n">
        <f aca="false">($C62*$N62)+$B$15</f>
        <v>0.37</v>
      </c>
      <c r="AW62" s="65" t="n">
        <f aca="false">O62+B$16</f>
        <v>0.999</v>
      </c>
      <c r="AX62" s="75" t="e">
        <f aca="false">IF(AP62=0,0,SPRDOPT(AQ62,AR62,$P62,$AM62,AU62,AV62,AW62,$D62,$B$20,0))</f>
        <v>#NAME?</v>
      </c>
      <c r="AY62" s="75" t="e">
        <f aca="false">IF(AQ62=0,0,SPRDOPT(AQ62,AR62,$P62,$AM62,AU62,AV62,AW62,$D62,$B$20,1))</f>
        <v>#NAME?</v>
      </c>
      <c r="AZ62" s="75" t="e">
        <f aca="false">IF(AR62=0,0,SPRDOPT(AQ62,AR62,$P62,$AM62,AU62,AV62,AW62,$D62,$B$20,2))</f>
        <v>#NAME?</v>
      </c>
      <c r="BA62" s="75" t="e">
        <f aca="false">IF(AS62=0,0,SPRDOPT(AQ62,AR62,$P62,$AM62,AU62,AV62,AW62,$D62,$B$20,3)/100)</f>
        <v>#NAME?</v>
      </c>
      <c r="BB62" s="75" t="e">
        <f aca="false">IF(AT62=0,0,SPRDOPT(AQ62,AR62,$P62,$AM62,AU62,AV62,AW62,$D62,$B$20,4)/100)</f>
        <v>#NAME?</v>
      </c>
      <c r="BC62" s="75" t="e">
        <f aca="false">IF(AU62=0,0,SPRDOPT(AQ62,AR62,$P62,$AM62,AU62,AV62,AW62,$D62,$B$20,5)/100)</f>
        <v>#NAME?</v>
      </c>
      <c r="BD62" s="75" t="e">
        <f aca="false">IF(AV62=0,0,SPRDOPT(AQ62,AR62,$P62,$AM62,AU62,AV62,AW62,$D62,$B$20,6)/100)</f>
        <v>#NAME?</v>
      </c>
      <c r="BE62" s="75" t="e">
        <f aca="false">IF(AW62=0,0,SPRDOPT(AQ62,AR62,$P62,$AM62,AU62,AV62,AW62,$D62,$B$20,7)/100)</f>
        <v>#NAME?</v>
      </c>
      <c r="BF62" s="75" t="e">
        <f aca="false">IF(AX62=0,0,SPRDOPT(AQ62,AR62,$P62,$AM62,AU62,AV62,AW62,$D62,$B$20,9)/365)</f>
        <v>#NAME?</v>
      </c>
      <c r="BG62" s="75" t="e">
        <f aca="false">AY62+AZ62</f>
        <v>#NAME?</v>
      </c>
      <c r="BH62" s="75" t="e">
        <f aca="false">BB62-BA62</f>
        <v>#NAME?</v>
      </c>
      <c r="BI62" s="75" t="e">
        <f aca="false">((AU62/AV62)*BC62)+BD62</f>
        <v>#NAME?</v>
      </c>
      <c r="BJ62" s="75" t="n">
        <f aca="false">AW62*AP62</f>
        <v>30.969</v>
      </c>
      <c r="BK62" s="76"/>
      <c r="BL62" s="37" t="e">
        <f aca="false">$AP62*AX62</f>
        <v>#NAME?</v>
      </c>
      <c r="BM62" s="37" t="e">
        <f aca="false">$AP62*AY62</f>
        <v>#NAME?</v>
      </c>
      <c r="BN62" s="37" t="e">
        <f aca="false">$AP62*AZ62</f>
        <v>#NAME?</v>
      </c>
      <c r="BO62" s="37" t="e">
        <f aca="false">$AP62*BA62</f>
        <v>#NAME?</v>
      </c>
      <c r="BP62" s="37" t="e">
        <f aca="false">$AP62*BB62</f>
        <v>#NAME?</v>
      </c>
      <c r="BQ62" s="37" t="e">
        <f aca="false">$AP62*BC62</f>
        <v>#NAME?</v>
      </c>
      <c r="BR62" s="37" t="e">
        <f aca="false">$AP62*BD62</f>
        <v>#NAME?</v>
      </c>
      <c r="BS62" s="37" t="e">
        <f aca="false">$AP62*BE62</f>
        <v>#NAME?</v>
      </c>
      <c r="BT62" s="37" t="e">
        <f aca="false">$AP62*BF62</f>
        <v>#NAME?</v>
      </c>
      <c r="BU62" s="37" t="e">
        <f aca="false">$AP62*BG62</f>
        <v>#NAME?</v>
      </c>
      <c r="BV62" s="37" t="e">
        <f aca="false">$AP62*BH62</f>
        <v>#NAME?</v>
      </c>
      <c r="BW62" s="37" t="e">
        <f aca="false">$AP62*BI62</f>
        <v>#NAME?</v>
      </c>
      <c r="BX62" s="37"/>
      <c r="BZ62" s="73" t="n">
        <f aca="false">IF($A62&gt;=CB$32,IF($A62&lt;=CB$33,$AN62,0),0)</f>
        <v>0</v>
      </c>
      <c r="CA62" s="41" t="n">
        <f aca="false">$B62+$R62+$D$12</f>
        <v>3.74</v>
      </c>
      <c r="CB62" s="41" t="n">
        <f aca="false">$B62+$S62+$D$13</f>
        <v>3.57</v>
      </c>
      <c r="CC62" s="41" t="n">
        <f aca="false">CA62*BZ62</f>
        <v>0</v>
      </c>
      <c r="CD62" s="41" t="n">
        <f aca="false">CB62*BZ62</f>
        <v>0</v>
      </c>
      <c r="CE62" s="74" t="n">
        <f aca="false">($C62*$T62)+X62+$D$14</f>
        <v>0.37</v>
      </c>
      <c r="CF62" s="74" t="n">
        <f aca="false">($C62*$U62)+$D$15</f>
        <v>0.37</v>
      </c>
      <c r="CG62" s="65" t="n">
        <f aca="false">$V62+D$16</f>
        <v>0.99</v>
      </c>
      <c r="CH62" s="75" t="n">
        <f aca="false">IF(BZ62=0,0,SPRDOPT(CA62,CB62,$W62,$AM62,CE62,CF62,CG62,$D62,$D$20,0))</f>
        <v>0</v>
      </c>
      <c r="CI62" s="75" t="e">
        <f aca="false">IF(CA62=0,0,SPRDOPT(CA62,CB62,$W62,$AM62,CE62,CF62,CG62,$D62,$D$20,1))</f>
        <v>#NAME?</v>
      </c>
      <c r="CJ62" s="75" t="e">
        <f aca="false">IF(CB62=0,0,SPRDOPT(CA62,CB62,$W62,$AM62,CE62,CF62,CG62,$D62,$D$20,2))</f>
        <v>#NAME?</v>
      </c>
      <c r="CK62" s="75" t="n">
        <f aca="false">IF(CC62=0,0,SPRDOPT(CA62,CB62,$W62,$AM62,CE62,CF62,CG62,$D62,$D$20,3)/100)</f>
        <v>0</v>
      </c>
      <c r="CL62" s="75" t="n">
        <f aca="false">IF(CD62=0,0,SPRDOPT(CA62,CB62,$W62,$AM62,CE62,CF62,CG62,$D62,$D$20,4)/100)</f>
        <v>0</v>
      </c>
      <c r="CM62" s="75" t="e">
        <f aca="false">IF(CE62=0,0,SPRDOPT(CA62,CB62,$W62,$AM62,CE62,CF62,CG62,$D62,$D$20,5)/100)</f>
        <v>#NAME?</v>
      </c>
      <c r="CN62" s="75" t="e">
        <f aca="false">IF(CF62=0,0,SPRDOPT(CA62,CB62,$W62,$AM62,CE62,CF62,CG62,$D62,$D$20,6)/100)</f>
        <v>#NAME?</v>
      </c>
      <c r="CO62" s="75" t="e">
        <f aca="false">IF(CG62=0,0,SPRDOPT(CA62,CB62,$W62,$AM62,CE62,CF62,CG62,$D62,$D$20,7)/100)</f>
        <v>#NAME?</v>
      </c>
      <c r="CP62" s="75" t="n">
        <f aca="false">IF(CH62=0,0,SPRDOPT(CA62,CB62,$W62,$AM62,CE62,CF62,CG62,$D62,$D$20,9)/365)</f>
        <v>0</v>
      </c>
      <c r="CQ62" s="75" t="e">
        <f aca="false">CI62+CJ62</f>
        <v>#NAME?</v>
      </c>
      <c r="CR62" s="75" t="n">
        <f aca="false">CL62-CK62</f>
        <v>0</v>
      </c>
      <c r="CS62" s="75" t="e">
        <f aca="false">((CE62/CF62)*CM62)+CN62</f>
        <v>#NAME?</v>
      </c>
      <c r="CT62" s="75" t="n">
        <f aca="false">CG62*BZ62</f>
        <v>0</v>
      </c>
      <c r="CU62" s="76"/>
      <c r="CV62" s="37" t="n">
        <f aca="false">BZ62*CH62</f>
        <v>0</v>
      </c>
      <c r="CW62" s="37" t="e">
        <f aca="false">BZ62*CI62</f>
        <v>#NAME?</v>
      </c>
      <c r="CX62" s="37" t="e">
        <f aca="false">BZ62*CJ62</f>
        <v>#NAME?</v>
      </c>
      <c r="CY62" s="37" t="n">
        <f aca="false">BZ62*CK62</f>
        <v>0</v>
      </c>
      <c r="CZ62" s="37" t="n">
        <f aca="false">BZ62*CL62</f>
        <v>0</v>
      </c>
      <c r="DA62" s="37" t="e">
        <f aca="false">BZ62*CM62</f>
        <v>#NAME?</v>
      </c>
      <c r="DB62" s="37" t="e">
        <f aca="false">BZ62*CN62</f>
        <v>#NAME?</v>
      </c>
      <c r="DC62" s="37" t="e">
        <f aca="false">BZ62*CO62</f>
        <v>#NAME?</v>
      </c>
      <c r="DD62" s="37" t="n">
        <f aca="false">BZ62*CP62</f>
        <v>0</v>
      </c>
      <c r="DE62" s="37" t="e">
        <f aca="false">BZ62*CQ62</f>
        <v>#NAME?</v>
      </c>
      <c r="DF62" s="37" t="n">
        <f aca="false">BZ62*CR62</f>
        <v>0</v>
      </c>
      <c r="DG62" s="37" t="e">
        <f aca="false">BZ62*CS62</f>
        <v>#NAME?</v>
      </c>
      <c r="DI62" s="73" t="n">
        <f aca="false">IF($A62&gt;=DK$32,IF($A62&lt;=DK$33,$AN62,0),0)</f>
        <v>0</v>
      </c>
      <c r="DJ62" s="41" t="n">
        <f aca="false">$B62+$Y62+$F$12</f>
        <v>3.32</v>
      </c>
      <c r="DK62" s="41" t="n">
        <f aca="false">$B62+$Z62+$F$13</f>
        <v>3.57</v>
      </c>
      <c r="DL62" s="41" t="n">
        <f aca="false">DJ62*DI62</f>
        <v>0</v>
      </c>
      <c r="DM62" s="41" t="n">
        <f aca="false">DK62*DI62</f>
        <v>0</v>
      </c>
      <c r="DN62" s="74" t="n">
        <f aca="false">($C62*$AA62)+AE62+$F$14</f>
        <v>0.37</v>
      </c>
      <c r="DO62" s="74" t="n">
        <f aca="false">($C62*$AB62)+$F$15</f>
        <v>0.37</v>
      </c>
      <c r="DP62" s="65" t="n">
        <f aca="false">$AC62+$F$16</f>
        <v>0.985</v>
      </c>
      <c r="DQ62" s="75" t="n">
        <f aca="false">IF(DI62=0,0,SPRDOPT(DJ62,DK62,$AD62,$AM62,DN62,DO62,DP62,$D62,$F$20,0))</f>
        <v>0</v>
      </c>
      <c r="DR62" s="75" t="e">
        <f aca="false">IF(DJ62=0,0,SPRDOPT(DJ62,DK62,$AD62,$AM62,DN62,DO62,DP62,$D62,$F$20,1))</f>
        <v>#NAME?</v>
      </c>
      <c r="DS62" s="75" t="e">
        <f aca="false">IF(DK62=0,0,SPRDOPT(DJ62,DK62,$AD62,$AM62,DN62,DO62,DP62,$D62,$F$20,2))</f>
        <v>#NAME?</v>
      </c>
      <c r="DT62" s="75" t="n">
        <f aca="false">IF(DL62=0,0,SPRDOPT(DJ62,DK62,$AD62,$AM62,DN62,DO62,DP62,$D62,$F$20,3)/100)</f>
        <v>0</v>
      </c>
      <c r="DU62" s="75" t="n">
        <f aca="false">IF(DM62=0,0,SPRDOPT(DJ62,DK62,$AD62,$AM62,DN62,DO62,DP62,$D62,$F$20,4)/100)</f>
        <v>0</v>
      </c>
      <c r="DV62" s="75" t="e">
        <f aca="false">IF(DN62=0,0,SPRDOPT(DJ62,DK62,$AD62,$AM62,DN62,DO62,DP62,$D62,$F$20,5)/100)</f>
        <v>#NAME?</v>
      </c>
      <c r="DW62" s="75" t="e">
        <f aca="false">IF(DO62=0,0,SPRDOPT(DJ62,DK62,$AD62,$AM62,DN62,DO62,DP62,$D62,$F$20,6)/100)</f>
        <v>#NAME?</v>
      </c>
      <c r="DX62" s="75" t="e">
        <f aca="false">IF(DP62=0,0,SPRDOPT(DJ62,DK62,$AD62,$AM62,DN62,DO62,DP62,$D62,$F$20,7)/100)</f>
        <v>#NAME?</v>
      </c>
      <c r="DY62" s="75" t="n">
        <f aca="false">IF(DQ62=0,0,SPRDOPT(DJ62,DK62,$AD62,$AM62,DN62,DO62,DP62,$D62,$F$20,9)/365)</f>
        <v>0</v>
      </c>
      <c r="DZ62" s="75" t="e">
        <f aca="false">DR62+DS62</f>
        <v>#NAME?</v>
      </c>
      <c r="EA62" s="75" t="n">
        <f aca="false">DU62-DT62</f>
        <v>0</v>
      </c>
      <c r="EB62" s="75" t="e">
        <f aca="false">((DN62/DO62)*DV62)+DW62</f>
        <v>#NAME?</v>
      </c>
      <c r="EC62" s="75" t="n">
        <f aca="false">DP62*DI62</f>
        <v>0</v>
      </c>
      <c r="ED62" s="75"/>
      <c r="EE62" s="37" t="n">
        <f aca="false">DI62*DQ62</f>
        <v>0</v>
      </c>
      <c r="EF62" s="37" t="e">
        <f aca="false">DI62*DR62</f>
        <v>#NAME?</v>
      </c>
      <c r="EG62" s="37" t="e">
        <f aca="false">DI62*DS62</f>
        <v>#NAME?</v>
      </c>
      <c r="EH62" s="37" t="n">
        <f aca="false">DI62*DT62</f>
        <v>0</v>
      </c>
      <c r="EI62" s="37" t="n">
        <f aca="false">DI62*DU62</f>
        <v>0</v>
      </c>
      <c r="EJ62" s="37" t="e">
        <f aca="false">DI62*DV62</f>
        <v>#NAME?</v>
      </c>
      <c r="EK62" s="37" t="e">
        <f aca="false">DI62*DW62</f>
        <v>#NAME?</v>
      </c>
      <c r="EL62" s="37" t="e">
        <f aca="false">DI62*DX62</f>
        <v>#NAME?</v>
      </c>
      <c r="EM62" s="37" t="n">
        <f aca="false">DI62*DY62</f>
        <v>0</v>
      </c>
      <c r="EN62" s="37" t="e">
        <f aca="false">DI62*DZ62</f>
        <v>#NAME?</v>
      </c>
      <c r="EO62" s="37" t="n">
        <f aca="false">DI62*EA62</f>
        <v>0</v>
      </c>
      <c r="EP62" s="37" t="e">
        <f aca="false">DI62*EB62</f>
        <v>#NAME?</v>
      </c>
      <c r="ER62" s="73" t="n">
        <f aca="false">IF($A62&gt;=ET$32,IF($A62&lt;=ET$33,$AN62,0),0)</f>
        <v>0</v>
      </c>
      <c r="ES62" s="41" t="n">
        <f aca="false">$B62+$AF62+$H$12</f>
        <v>3.38</v>
      </c>
      <c r="ET62" s="41" t="n">
        <f aca="false">$B62+$AG62+$H$13</f>
        <v>3.57</v>
      </c>
      <c r="EU62" s="41" t="n">
        <f aca="false">ES62*ER62</f>
        <v>0</v>
      </c>
      <c r="EV62" s="41" t="n">
        <f aca="false">ET62*ER62</f>
        <v>0</v>
      </c>
      <c r="EW62" s="74" t="n">
        <f aca="false">($C62*$AH62)+AL62+$H$14</f>
        <v>0.37</v>
      </c>
      <c r="EX62" s="74" t="n">
        <f aca="false">($C62*$AI62)+$H$15</f>
        <v>0.37</v>
      </c>
      <c r="EY62" s="65" t="n">
        <f aca="false">$AJ62+$H$16</f>
        <v>0.985</v>
      </c>
      <c r="EZ62" s="75" t="n">
        <f aca="false">IF(ER62=0,0,SPRDOPT(ES62,ET62,$AK62,$AM62,EW62,EX62,EY62,$D62,$H$20,0))</f>
        <v>0</v>
      </c>
      <c r="FA62" s="75" t="e">
        <f aca="false">IF(ES62=0,0,SPRDOPT(ES62,ET62,$AK62,$AM62,EW62,EX62,EY62,$D62,$H$20,1))</f>
        <v>#NAME?</v>
      </c>
      <c r="FB62" s="75" t="e">
        <f aca="false">IF(ET62=0,0,SPRDOPT(ES62,ET62,$AK62,$AM62,EW62,EX62,EY62,$D62,$H$20,2))</f>
        <v>#NAME?</v>
      </c>
      <c r="FC62" s="75" t="n">
        <f aca="false">IF(EU62=0,0,SPRDOPT(ES62,ET62,$AK62,$AM62,EW62,EX62,EY62,$D62,$H$20,3)/100)</f>
        <v>0</v>
      </c>
      <c r="FD62" s="75" t="n">
        <f aca="false">IF(EV62=0,0,SPRDOPT(ES62,ET62,$AK62,$AM62,EW62,EX62,EY62,$D62,$H$20,4)/100)</f>
        <v>0</v>
      </c>
      <c r="FE62" s="75" t="e">
        <f aca="false">IF(EW62=0,0,SPRDOPT(ES62,ET62,$AK62,$AM62,EW62,EX62,EY62,$D62,$H$20,5)/100)</f>
        <v>#NAME?</v>
      </c>
      <c r="FF62" s="75" t="e">
        <f aca="false">IF(EX62=0,0,SPRDOPT(ES62,ET62,$AK62,$AM62,EW62,EX62,EY62,$D62,$H$20,6)/100)</f>
        <v>#NAME?</v>
      </c>
      <c r="FG62" s="75" t="e">
        <f aca="false">IF(EY62=0,0,SPRDOPT(ES62,ET62,$AK62,$AM62,EW62,EX62,EY62,$D62,$H$20,7)/100)</f>
        <v>#NAME?</v>
      </c>
      <c r="FH62" s="75" t="n">
        <f aca="false">IF(EZ62=0,0,SPRDOPT(ES62,ET62,$AK62,$AM62,EW62,EX62,EY62,$D62,$H$20,9)/365)</f>
        <v>0</v>
      </c>
      <c r="FI62" s="75" t="e">
        <f aca="false">FA62+FB62</f>
        <v>#NAME?</v>
      </c>
      <c r="FJ62" s="75" t="n">
        <f aca="false">FD62-FC62</f>
        <v>0</v>
      </c>
      <c r="FK62" s="75" t="e">
        <f aca="false">((EW62/EX62)*FE62)+FF62</f>
        <v>#NAME?</v>
      </c>
      <c r="FL62" s="75" t="n">
        <f aca="false">EY62*ER62</f>
        <v>0</v>
      </c>
      <c r="FM62" s="75"/>
      <c r="FN62" s="37" t="n">
        <f aca="false">$ER62*EZ62</f>
        <v>0</v>
      </c>
      <c r="FO62" s="37" t="e">
        <f aca="false">$ER62*FA62</f>
        <v>#NAME?</v>
      </c>
      <c r="FP62" s="37" t="e">
        <f aca="false">$ER62*FB62</f>
        <v>#NAME?</v>
      </c>
      <c r="FQ62" s="37" t="n">
        <f aca="false">$ER62*FC62</f>
        <v>0</v>
      </c>
      <c r="FR62" s="37" t="n">
        <f aca="false">$ER62*FD62</f>
        <v>0</v>
      </c>
      <c r="FS62" s="37" t="e">
        <f aca="false">$ER62*FE62</f>
        <v>#NAME?</v>
      </c>
      <c r="FT62" s="37" t="e">
        <f aca="false">$ER62*FF62</f>
        <v>#NAME?</v>
      </c>
      <c r="FU62" s="37" t="e">
        <f aca="false">$ER62*FG62</f>
        <v>#NAME?</v>
      </c>
      <c r="FV62" s="37" t="n">
        <f aca="false">$ER62*FH62</f>
        <v>0</v>
      </c>
      <c r="FW62" s="37" t="e">
        <f aca="false">$ER62*FI62</f>
        <v>#NAME?</v>
      </c>
      <c r="FX62" s="37" t="n">
        <f aca="false">$ER62*FJ62</f>
        <v>0</v>
      </c>
      <c r="FY62" s="37" t="e">
        <f aca="false">$ER62*FK62</f>
        <v>#NAME?</v>
      </c>
      <c r="GA62" s="77" t="e">
        <f aca="false">VLOOKUP(A62,skewmonthlook,2,FALSE())</f>
        <v>#REF!</v>
      </c>
      <c r="GB62" s="0" t="e">
        <f aca="false">CONCATENATE(B$3,$GA62)</f>
        <v>#REF!</v>
      </c>
      <c r="GC62" s="0" t="e">
        <f aca="false">CONCATENATE(D$3,$GA62)</f>
        <v>#REF!</v>
      </c>
      <c r="GD62" s="0" t="e">
        <f aca="false">CONCATENATE(F$3,$GA62)</f>
        <v>#REF!</v>
      </c>
      <c r="GE62" s="0" t="e">
        <f aca="false">CONCATENATE(H$3,$GA62)</f>
        <v>#REF!</v>
      </c>
      <c r="GG62" s="65" t="e">
        <f aca="false">VLOOKUP(GB62,skewlook,HLOOKUP($P62,skewlook,2),FALSE())</f>
        <v>#REF!</v>
      </c>
      <c r="GH62" s="65" t="e">
        <f aca="false">VLOOKUP(GC62,skewlook,HLOOKUP($W62,skewlook,2),FALSE())</f>
        <v>#REF!</v>
      </c>
      <c r="GI62" s="65" t="e">
        <f aca="false">VLOOKUP(GD62,skewlook,HLOOKUP($AD62,skewlook,2),FALSE())</f>
        <v>#REF!</v>
      </c>
      <c r="GJ62" s="65" t="e">
        <f aca="false">VLOOKUP(GE62,skewlook,HLOOKUP($AK62,skewlook,2),FALSE())</f>
        <v>#REF!</v>
      </c>
    </row>
    <row r="63" customFormat="false" ht="12.75" hidden="false" customHeight="false" outlineLevel="0" collapsed="false">
      <c r="A63" s="62" t="n">
        <f aca="false">DATE(YEAR(A62),MONTH(A62)+1,1)</f>
        <v>38018</v>
      </c>
      <c r="B63" s="63" t="n">
        <f aca="false">VLOOKUP(A63,STRADDLE,5,FALSE())</f>
        <v>3.485</v>
      </c>
      <c r="C63" s="4" t="n">
        <f aca="false">VLOOKUP(A63,STRADDLE,8,FALSE())</f>
        <v>0.365</v>
      </c>
      <c r="D63" s="64" t="n">
        <f aca="false">VLOOKUP(A63,expiration,2,FALSE())-$B$2</f>
        <v>-7913</v>
      </c>
      <c r="E63" s="65" t="e">
        <f aca="false">AY63</f>
        <v>#NAME?</v>
      </c>
      <c r="F63" s="65" t="e">
        <f aca="false">CI63</f>
        <v>#NAME?</v>
      </c>
      <c r="G63" s="65" t="e">
        <f aca="false">DR63</f>
        <v>#NAME?</v>
      </c>
      <c r="H63" s="65" t="e">
        <f aca="false">FA63</f>
        <v>#NAME?</v>
      </c>
      <c r="I63" s="66"/>
      <c r="J63" s="67"/>
      <c r="K63" s="63" t="n">
        <f aca="false">IF($B$3="NYMEX",0,VLOOKUP($A63,curvesettle,HLOOKUP($B$3,curvesettle,2,FALSE()),FALSE()))</f>
        <v>-0.1475</v>
      </c>
      <c r="L63" s="63" t="n">
        <f aca="false">IF($B$4="NYMEX",0,VLOOKUP($A63,curvesettle,HLOOKUP($B$4,curvesettle,2,FALSE()),FALSE()))</f>
        <v>0</v>
      </c>
      <c r="M63" s="65" t="n">
        <f aca="false">IF(ISNUMBER(VLOOKUP($A63,VOLCURVES,HLOOKUP($B$3,VOLCURVES,2,FALSE()),FALSE())),VLOOKUP($A63,VOLCURVES,HLOOKUP($B$3,VOLCURVES,2,FALSE()),FALSE()),1)</f>
        <v>1</v>
      </c>
      <c r="N63" s="65" t="n">
        <f aca="false">IF(ISNUMBER(VLOOKUP($A63,VOLCURVES,HLOOKUP($B$4,VOLCURVES,2,FALSE()),FALSE())),VLOOKUP($A63,VOLCURVES,HLOOKUP($B$4,VOLCURVES,2,FALSE()),FALSE()),1)</f>
        <v>1</v>
      </c>
      <c r="O63" s="65" t="n">
        <f aca="false">IF(ISNUMBER(VLOOKUP($A63,CORETABLE,HLOOKUP($B$3,CORETABLE,2,FALSE()),FALSE())),VLOOKUP($A63,CORETABLE,HLOOKUP($B$3,CORETABLE,2,FALSE()),FALSE()),0.99)</f>
        <v>0.9945</v>
      </c>
      <c r="P63" s="68" t="n">
        <f aca="false">B$19</f>
        <v>-0.2</v>
      </c>
      <c r="Q63" s="69" t="n">
        <f aca="false">IF($B$18=1,IF(ISNUMBER($GG63),$GG63,0),0)</f>
        <v>0</v>
      </c>
      <c r="R63" s="70" t="n">
        <f aca="false">IF($D$3="NYMEX",0,VLOOKUP($A63,curvesettle,HLOOKUP($D$3,curvesettle,2,FALSE()),FALSE()))</f>
        <v>0.17</v>
      </c>
      <c r="S63" s="63" t="n">
        <f aca="false">IF($D$4="NYMEX",0,VLOOKUP($A63,curvesettle,HLOOKUP($D$4,curvesettle,2,FALSE()),FALSE()))</f>
        <v>0</v>
      </c>
      <c r="T63" s="65" t="n">
        <f aca="false">IF(ISNUMBER(VLOOKUP($A63,VOLCURVES,HLOOKUP($D$3,VOLCURVES,2,FALSE()),FALSE())),VLOOKUP($A63,VOLCURVES,HLOOKUP($D$3,VOLCURVES,2,FALSE()),FALSE()),1)</f>
        <v>1</v>
      </c>
      <c r="U63" s="65" t="n">
        <f aca="false">IF(ISNUMBER(VLOOKUP($A63,VOLCURVES,HLOOKUP($D$4,VOLCURVES,2,FALSE()),FALSE())),VLOOKUP($A63,VOLCURVES,HLOOKUP($D$4,VOLCURVES,2,FALSE()),FALSE()),1)</f>
        <v>1</v>
      </c>
      <c r="V63" s="65" t="n">
        <f aca="false">IF(ISNUMBER(VLOOKUP($A63,CORETABLE,HLOOKUP($D$3,CORETABLE,2,FALSE()),FALSE())),VLOOKUP($A63,CORETABLE,HLOOKUP($D$3,CORETABLE,2,FALSE()),FALSE()),0.99)</f>
        <v>0.99</v>
      </c>
      <c r="W63" s="68" t="n">
        <f aca="false">D$19</f>
        <v>0</v>
      </c>
      <c r="X63" s="69" t="n">
        <f aca="false">IF($D$18=1,IF(ISNUMBER($GH63),$GH63,0),0)</f>
        <v>0</v>
      </c>
      <c r="Y63" s="71" t="n">
        <f aca="false">IF($F$3="NYMEX",0,VLOOKUP($A63,curvesettle,HLOOKUP($F$3,curvesettle,2,FALSE()),FALSE()))</f>
        <v>-0.25</v>
      </c>
      <c r="Z63" s="63" t="n">
        <f aca="false">IF($F$4="NYMEX",0,VLOOKUP($A63,curvesettle,HLOOKUP($F$4,curvesettle,2,FALSE()),FALSE()))</f>
        <v>0</v>
      </c>
      <c r="AA63" s="65" t="n">
        <f aca="false">IF(ISNUMBER(VLOOKUP($A63,VOLCURVES,HLOOKUP($F$3,VOLCURVES,2,FALSE()),FALSE())),VLOOKUP($A63,VOLCURVES,HLOOKUP($F$3,VOLCURVES,2,FALSE()),FALSE()),1)</f>
        <v>1</v>
      </c>
      <c r="AB63" s="65" t="n">
        <f aca="false">IF(ISNUMBER(VLOOKUP($A63,VOLCURVES,HLOOKUP($F$4,VOLCURVES,2,FALSE()),FALSE())),VLOOKUP($A63,VOLCURVES,HLOOKUP($F$4,VOLCURVES,2,FALSE()),FALSE()),1)</f>
        <v>1</v>
      </c>
      <c r="AC63" s="65" t="n">
        <f aca="false">IF(ISNUMBER(VLOOKUP($A63,CORETABLE,HLOOKUP($F$3,CORETABLE,2,FALSE()),FALSE())),VLOOKUP($A63,CORETABLE,HLOOKUP($F$3,CORETABLE,2,FALSE()),FALSE()),0.99)</f>
        <v>0.985</v>
      </c>
      <c r="AD63" s="68" t="n">
        <f aca="false">F$19</f>
        <v>-0.6</v>
      </c>
      <c r="AE63" s="69" t="n">
        <f aca="false">IF($F$18=1,IF(ISNUMBER($GI63),$GI63,0),0)</f>
        <v>0</v>
      </c>
      <c r="AF63" s="63" t="n">
        <f aca="false">IF($H$3="NYMEX",0,VLOOKUP($A63,curvesettle,HLOOKUP($H$3,curvesettle,2,FALSE()),FALSE()))</f>
        <v>-0.25</v>
      </c>
      <c r="AG63" s="63" t="n">
        <f aca="false">IF($H$4="NYMEX",0,VLOOKUP($A63,curvesettle,HLOOKUP($H$4,curvesettle,2,FALSE()),FALSE()))</f>
        <v>0</v>
      </c>
      <c r="AH63" s="65" t="n">
        <f aca="false">IF(ISNUMBER(VLOOKUP($A63,VOLCURVES,HLOOKUP($H$3,VOLCURVES,2,FALSE()),FALSE())),VLOOKUP($A63,VOLCURVES,HLOOKUP($H$3,VOLCURVES,2,FALSE()),FALSE()),1)</f>
        <v>1</v>
      </c>
      <c r="AI63" s="65" t="n">
        <f aca="false">IF(ISNUMBER(VLOOKUP($A63,VOLCURVES,HLOOKUP($H$4,VOLCURVES,2,FALSE()),FALSE())),VLOOKUP($A63,VOLCURVES,HLOOKUP($H$4,VOLCURVES,2,FALSE()),FALSE()),1)</f>
        <v>1</v>
      </c>
      <c r="AJ63" s="65" t="n">
        <f aca="false">IF(ISNUMBER(VLOOKUP($A63,CORETABLE,HLOOKUP($H$3,CORETABLE,2,FALSE()),FALSE())),VLOOKUP($A63,CORETABLE,HLOOKUP($H$3,CORETABLE,2,FALSE()),FALSE()),0.99)</f>
        <v>0.985</v>
      </c>
      <c r="AK63" s="68" t="n">
        <f aca="false">H$19</f>
        <v>-0.45</v>
      </c>
      <c r="AL63" s="69" t="n">
        <f aca="false">IF($H$18=1,IF(ISNUMBER($GJ63),$GJ63,0),0)</f>
        <v>0</v>
      </c>
      <c r="AM63" s="4" t="n">
        <f aca="false">VLOOKUP($A63,STRADDLE,14,FALSE())</f>
        <v>0.0354685691421812</v>
      </c>
      <c r="AN63" s="72" t="n">
        <f aca="false">A64-A63</f>
        <v>29</v>
      </c>
      <c r="AO63" s="1" t="n">
        <f aca="false">AO62+1</f>
        <v>26</v>
      </c>
      <c r="AP63" s="73" t="n">
        <f aca="false">IF($A63&gt;=AR$32,IF($A63&lt;=AR$33,$AN63,0),0)</f>
        <v>29</v>
      </c>
      <c r="AQ63" s="41" t="n">
        <f aca="false">$B63+$K63+$B$12</f>
        <v>3.3375</v>
      </c>
      <c r="AR63" s="41" t="n">
        <f aca="false">$B63+$L63+$B$13</f>
        <v>3.485</v>
      </c>
      <c r="AS63" s="41" t="n">
        <f aca="false">AQ63*AP63</f>
        <v>96.7875</v>
      </c>
      <c r="AT63" s="41" t="n">
        <f aca="false">AR63*AP63</f>
        <v>101.065</v>
      </c>
      <c r="AU63" s="74" t="n">
        <f aca="false">($C63*$M63)+Q63+$B$14</f>
        <v>0.365</v>
      </c>
      <c r="AV63" s="74" t="n">
        <f aca="false">($C63*$N63)+$B$15</f>
        <v>0.365</v>
      </c>
      <c r="AW63" s="65" t="n">
        <f aca="false">O63+B$16</f>
        <v>0.999</v>
      </c>
      <c r="AX63" s="75" t="e">
        <f aca="false">IF(AP63=0,0,SPRDOPT(AQ63,AR63,$P63,$AM63,AU63,AV63,AW63,$D63,$B$20,0))</f>
        <v>#NAME?</v>
      </c>
      <c r="AY63" s="75" t="e">
        <f aca="false">IF(AQ63=0,0,SPRDOPT(AQ63,AR63,$P63,$AM63,AU63,AV63,AW63,$D63,$B$20,1))</f>
        <v>#NAME?</v>
      </c>
      <c r="AZ63" s="75" t="e">
        <f aca="false">IF(AR63=0,0,SPRDOPT(AQ63,AR63,$P63,$AM63,AU63,AV63,AW63,$D63,$B$20,2))</f>
        <v>#NAME?</v>
      </c>
      <c r="BA63" s="75" t="e">
        <f aca="false">IF(AS63=0,0,SPRDOPT(AQ63,AR63,$P63,$AM63,AU63,AV63,AW63,$D63,$B$20,3)/100)</f>
        <v>#NAME?</v>
      </c>
      <c r="BB63" s="75" t="e">
        <f aca="false">IF(AT63=0,0,SPRDOPT(AQ63,AR63,$P63,$AM63,AU63,AV63,AW63,$D63,$B$20,4)/100)</f>
        <v>#NAME?</v>
      </c>
      <c r="BC63" s="75" t="e">
        <f aca="false">IF(AU63=0,0,SPRDOPT(AQ63,AR63,$P63,$AM63,AU63,AV63,AW63,$D63,$B$20,5)/100)</f>
        <v>#NAME?</v>
      </c>
      <c r="BD63" s="75" t="e">
        <f aca="false">IF(AV63=0,0,SPRDOPT(AQ63,AR63,$P63,$AM63,AU63,AV63,AW63,$D63,$B$20,6)/100)</f>
        <v>#NAME?</v>
      </c>
      <c r="BE63" s="75" t="e">
        <f aca="false">IF(AW63=0,0,SPRDOPT(AQ63,AR63,$P63,$AM63,AU63,AV63,AW63,$D63,$B$20,7)/100)</f>
        <v>#NAME?</v>
      </c>
      <c r="BF63" s="75" t="e">
        <f aca="false">IF(AX63=0,0,SPRDOPT(AQ63,AR63,$P63,$AM63,AU63,AV63,AW63,$D63,$B$20,9)/365)</f>
        <v>#NAME?</v>
      </c>
      <c r="BG63" s="75" t="e">
        <f aca="false">AY63+AZ63</f>
        <v>#NAME?</v>
      </c>
      <c r="BH63" s="75" t="e">
        <f aca="false">BB63-BA63</f>
        <v>#NAME?</v>
      </c>
      <c r="BI63" s="75" t="e">
        <f aca="false">((AU63/AV63)*BC63)+BD63</f>
        <v>#NAME?</v>
      </c>
      <c r="BJ63" s="75" t="n">
        <f aca="false">AW63*AP63</f>
        <v>28.971</v>
      </c>
      <c r="BK63" s="76"/>
      <c r="BL63" s="37" t="e">
        <f aca="false">$AP63*AX63</f>
        <v>#NAME?</v>
      </c>
      <c r="BM63" s="37" t="e">
        <f aca="false">$AP63*AY63</f>
        <v>#NAME?</v>
      </c>
      <c r="BN63" s="37" t="e">
        <f aca="false">$AP63*AZ63</f>
        <v>#NAME?</v>
      </c>
      <c r="BO63" s="37" t="e">
        <f aca="false">$AP63*BA63</f>
        <v>#NAME?</v>
      </c>
      <c r="BP63" s="37" t="e">
        <f aca="false">$AP63*BB63</f>
        <v>#NAME?</v>
      </c>
      <c r="BQ63" s="37" t="e">
        <f aca="false">$AP63*BC63</f>
        <v>#NAME?</v>
      </c>
      <c r="BR63" s="37" t="e">
        <f aca="false">$AP63*BD63</f>
        <v>#NAME?</v>
      </c>
      <c r="BS63" s="37" t="e">
        <f aca="false">$AP63*BE63</f>
        <v>#NAME?</v>
      </c>
      <c r="BT63" s="37" t="e">
        <f aca="false">$AP63*BF63</f>
        <v>#NAME?</v>
      </c>
      <c r="BU63" s="37" t="e">
        <f aca="false">$AP63*BG63</f>
        <v>#NAME?</v>
      </c>
      <c r="BV63" s="37" t="e">
        <f aca="false">$AP63*BH63</f>
        <v>#NAME?</v>
      </c>
      <c r="BW63" s="37" t="e">
        <f aca="false">$AP63*BI63</f>
        <v>#NAME?</v>
      </c>
      <c r="BX63" s="37"/>
      <c r="BZ63" s="73" t="n">
        <f aca="false">IF($A63&gt;=CB$32,IF($A63&lt;=CB$33,$AN63,0),0)</f>
        <v>0</v>
      </c>
      <c r="CA63" s="41" t="n">
        <f aca="false">$B63+$R63+$D$12</f>
        <v>3.655</v>
      </c>
      <c r="CB63" s="41" t="n">
        <f aca="false">$B63+$S63+$D$13</f>
        <v>3.485</v>
      </c>
      <c r="CC63" s="41" t="n">
        <f aca="false">CA63*BZ63</f>
        <v>0</v>
      </c>
      <c r="CD63" s="41" t="n">
        <f aca="false">CB63*BZ63</f>
        <v>0</v>
      </c>
      <c r="CE63" s="74" t="n">
        <f aca="false">($C63*$T63)+X63+$D$14</f>
        <v>0.365</v>
      </c>
      <c r="CF63" s="74" t="n">
        <f aca="false">($C63*$U63)+$D$15</f>
        <v>0.365</v>
      </c>
      <c r="CG63" s="65" t="n">
        <f aca="false">$V63+D$16</f>
        <v>0.99</v>
      </c>
      <c r="CH63" s="75" t="n">
        <f aca="false">IF(BZ63=0,0,SPRDOPT(CA63,CB63,$W63,$AM63,CE63,CF63,CG63,$D63,$D$20,0))</f>
        <v>0</v>
      </c>
      <c r="CI63" s="75" t="e">
        <f aca="false">IF(CA63=0,0,SPRDOPT(CA63,CB63,$W63,$AM63,CE63,CF63,CG63,$D63,$D$20,1))</f>
        <v>#NAME?</v>
      </c>
      <c r="CJ63" s="75" t="e">
        <f aca="false">IF(CB63=0,0,SPRDOPT(CA63,CB63,$W63,$AM63,CE63,CF63,CG63,$D63,$D$20,2))</f>
        <v>#NAME?</v>
      </c>
      <c r="CK63" s="75" t="n">
        <f aca="false">IF(CC63=0,0,SPRDOPT(CA63,CB63,$W63,$AM63,CE63,CF63,CG63,$D63,$D$20,3)/100)</f>
        <v>0</v>
      </c>
      <c r="CL63" s="75" t="n">
        <f aca="false">IF(CD63=0,0,SPRDOPT(CA63,CB63,$W63,$AM63,CE63,CF63,CG63,$D63,$D$20,4)/100)</f>
        <v>0</v>
      </c>
      <c r="CM63" s="75" t="e">
        <f aca="false">IF(CE63=0,0,SPRDOPT(CA63,CB63,$W63,$AM63,CE63,CF63,CG63,$D63,$D$20,5)/100)</f>
        <v>#NAME?</v>
      </c>
      <c r="CN63" s="75" t="e">
        <f aca="false">IF(CF63=0,0,SPRDOPT(CA63,CB63,$W63,$AM63,CE63,CF63,CG63,$D63,$D$20,6)/100)</f>
        <v>#NAME?</v>
      </c>
      <c r="CO63" s="75" t="e">
        <f aca="false">IF(CG63=0,0,SPRDOPT(CA63,CB63,$W63,$AM63,CE63,CF63,CG63,$D63,$D$20,7)/100)</f>
        <v>#NAME?</v>
      </c>
      <c r="CP63" s="75" t="n">
        <f aca="false">IF(CH63=0,0,SPRDOPT(CA63,CB63,$W63,$AM63,CE63,CF63,CG63,$D63,$D$20,9)/365)</f>
        <v>0</v>
      </c>
      <c r="CQ63" s="75" t="e">
        <f aca="false">CI63+CJ63</f>
        <v>#NAME?</v>
      </c>
      <c r="CR63" s="75" t="n">
        <f aca="false">CL63-CK63</f>
        <v>0</v>
      </c>
      <c r="CS63" s="75" t="e">
        <f aca="false">((CE63/CF63)*CM63)+CN63</f>
        <v>#NAME?</v>
      </c>
      <c r="CT63" s="75" t="n">
        <f aca="false">CG63*BZ63</f>
        <v>0</v>
      </c>
      <c r="CU63" s="76"/>
      <c r="CV63" s="37" t="n">
        <f aca="false">BZ63*CH63</f>
        <v>0</v>
      </c>
      <c r="CW63" s="37" t="e">
        <f aca="false">BZ63*CI63</f>
        <v>#NAME?</v>
      </c>
      <c r="CX63" s="37" t="e">
        <f aca="false">BZ63*CJ63</f>
        <v>#NAME?</v>
      </c>
      <c r="CY63" s="37" t="n">
        <f aca="false">BZ63*CK63</f>
        <v>0</v>
      </c>
      <c r="CZ63" s="37" t="n">
        <f aca="false">BZ63*CL63</f>
        <v>0</v>
      </c>
      <c r="DA63" s="37" t="e">
        <f aca="false">BZ63*CM63</f>
        <v>#NAME?</v>
      </c>
      <c r="DB63" s="37" t="e">
        <f aca="false">BZ63*CN63</f>
        <v>#NAME?</v>
      </c>
      <c r="DC63" s="37" t="e">
        <f aca="false">BZ63*CO63</f>
        <v>#NAME?</v>
      </c>
      <c r="DD63" s="37" t="n">
        <f aca="false">BZ63*CP63</f>
        <v>0</v>
      </c>
      <c r="DE63" s="37" t="e">
        <f aca="false">BZ63*CQ63</f>
        <v>#NAME?</v>
      </c>
      <c r="DF63" s="37" t="n">
        <f aca="false">BZ63*CR63</f>
        <v>0</v>
      </c>
      <c r="DG63" s="37" t="e">
        <f aca="false">BZ63*CS63</f>
        <v>#NAME?</v>
      </c>
      <c r="DI63" s="73" t="n">
        <f aca="false">IF($A63&gt;=DK$32,IF($A63&lt;=DK$33,$AN63,0),0)</f>
        <v>0</v>
      </c>
      <c r="DJ63" s="41" t="n">
        <f aca="false">$B63+$Y63+$F$12</f>
        <v>3.235</v>
      </c>
      <c r="DK63" s="41" t="n">
        <f aca="false">$B63+$Z63+$F$13</f>
        <v>3.485</v>
      </c>
      <c r="DL63" s="41" t="n">
        <f aca="false">DJ63*DI63</f>
        <v>0</v>
      </c>
      <c r="DM63" s="41" t="n">
        <f aca="false">DK63*DI63</f>
        <v>0</v>
      </c>
      <c r="DN63" s="74" t="n">
        <f aca="false">($C63*$AA63)+AE63+$F$14</f>
        <v>0.365</v>
      </c>
      <c r="DO63" s="74" t="n">
        <f aca="false">($C63*$AB63)+$F$15</f>
        <v>0.365</v>
      </c>
      <c r="DP63" s="65" t="n">
        <f aca="false">$AC63+$F$16</f>
        <v>0.985</v>
      </c>
      <c r="DQ63" s="75" t="n">
        <f aca="false">IF(DI63=0,0,SPRDOPT(DJ63,DK63,$AD63,$AM63,DN63,DO63,DP63,$D63,$F$20,0))</f>
        <v>0</v>
      </c>
      <c r="DR63" s="75" t="e">
        <f aca="false">IF(DJ63=0,0,SPRDOPT(DJ63,DK63,$AD63,$AM63,DN63,DO63,DP63,$D63,$F$20,1))</f>
        <v>#NAME?</v>
      </c>
      <c r="DS63" s="75" t="e">
        <f aca="false">IF(DK63=0,0,SPRDOPT(DJ63,DK63,$AD63,$AM63,DN63,DO63,DP63,$D63,$F$20,2))</f>
        <v>#NAME?</v>
      </c>
      <c r="DT63" s="75" t="n">
        <f aca="false">IF(DL63=0,0,SPRDOPT(DJ63,DK63,$AD63,$AM63,DN63,DO63,DP63,$D63,$F$20,3)/100)</f>
        <v>0</v>
      </c>
      <c r="DU63" s="75" t="n">
        <f aca="false">IF(DM63=0,0,SPRDOPT(DJ63,DK63,$AD63,$AM63,DN63,DO63,DP63,$D63,$F$20,4)/100)</f>
        <v>0</v>
      </c>
      <c r="DV63" s="75" t="e">
        <f aca="false">IF(DN63=0,0,SPRDOPT(DJ63,DK63,$AD63,$AM63,DN63,DO63,DP63,$D63,$F$20,5)/100)</f>
        <v>#NAME?</v>
      </c>
      <c r="DW63" s="75" t="e">
        <f aca="false">IF(DO63=0,0,SPRDOPT(DJ63,DK63,$AD63,$AM63,DN63,DO63,DP63,$D63,$F$20,6)/100)</f>
        <v>#NAME?</v>
      </c>
      <c r="DX63" s="75" t="e">
        <f aca="false">IF(DP63=0,0,SPRDOPT(DJ63,DK63,$AD63,$AM63,DN63,DO63,DP63,$D63,$F$20,7)/100)</f>
        <v>#NAME?</v>
      </c>
      <c r="DY63" s="75" t="n">
        <f aca="false">IF(DQ63=0,0,SPRDOPT(DJ63,DK63,$AD63,$AM63,DN63,DO63,DP63,$D63,$F$20,9)/365)</f>
        <v>0</v>
      </c>
      <c r="DZ63" s="75" t="e">
        <f aca="false">DR63+DS63</f>
        <v>#NAME?</v>
      </c>
      <c r="EA63" s="75" t="n">
        <f aca="false">DU63-DT63</f>
        <v>0</v>
      </c>
      <c r="EB63" s="75" t="e">
        <f aca="false">((DN63/DO63)*DV63)+DW63</f>
        <v>#NAME?</v>
      </c>
      <c r="EC63" s="75" t="n">
        <f aca="false">DP63*DI63</f>
        <v>0</v>
      </c>
      <c r="ED63" s="75"/>
      <c r="EE63" s="37" t="n">
        <f aca="false">DI63*DQ63</f>
        <v>0</v>
      </c>
      <c r="EF63" s="37" t="e">
        <f aca="false">DI63*DR63</f>
        <v>#NAME?</v>
      </c>
      <c r="EG63" s="37" t="e">
        <f aca="false">DI63*DS63</f>
        <v>#NAME?</v>
      </c>
      <c r="EH63" s="37" t="n">
        <f aca="false">DI63*DT63</f>
        <v>0</v>
      </c>
      <c r="EI63" s="37" t="n">
        <f aca="false">DI63*DU63</f>
        <v>0</v>
      </c>
      <c r="EJ63" s="37" t="e">
        <f aca="false">DI63*DV63</f>
        <v>#NAME?</v>
      </c>
      <c r="EK63" s="37" t="e">
        <f aca="false">DI63*DW63</f>
        <v>#NAME?</v>
      </c>
      <c r="EL63" s="37" t="e">
        <f aca="false">DI63*DX63</f>
        <v>#NAME?</v>
      </c>
      <c r="EM63" s="37" t="n">
        <f aca="false">DI63*DY63</f>
        <v>0</v>
      </c>
      <c r="EN63" s="37" t="e">
        <f aca="false">DI63*DZ63</f>
        <v>#NAME?</v>
      </c>
      <c r="EO63" s="37" t="n">
        <f aca="false">DI63*EA63</f>
        <v>0</v>
      </c>
      <c r="EP63" s="37" t="e">
        <f aca="false">DI63*EB63</f>
        <v>#NAME?</v>
      </c>
      <c r="ER63" s="73" t="n">
        <f aca="false">IF($A63&gt;=ET$32,IF($A63&lt;=ET$33,$AN63,0),0)</f>
        <v>0</v>
      </c>
      <c r="ES63" s="41" t="n">
        <f aca="false">$B63+$AF63+$H$12</f>
        <v>3.295</v>
      </c>
      <c r="ET63" s="41" t="n">
        <f aca="false">$B63+$AG63+$H$13</f>
        <v>3.485</v>
      </c>
      <c r="EU63" s="41" t="n">
        <f aca="false">ES63*ER63</f>
        <v>0</v>
      </c>
      <c r="EV63" s="41" t="n">
        <f aca="false">ET63*ER63</f>
        <v>0</v>
      </c>
      <c r="EW63" s="74" t="n">
        <f aca="false">($C63*$AH63)+AL63+$H$14</f>
        <v>0.365</v>
      </c>
      <c r="EX63" s="74" t="n">
        <f aca="false">($C63*$AI63)+$H$15</f>
        <v>0.365</v>
      </c>
      <c r="EY63" s="65" t="n">
        <f aca="false">$AJ63+$H$16</f>
        <v>0.985</v>
      </c>
      <c r="EZ63" s="75" t="n">
        <f aca="false">IF(ER63=0,0,SPRDOPT(ES63,ET63,$AK63,$AM63,EW63,EX63,EY63,$D63,$H$20,0))</f>
        <v>0</v>
      </c>
      <c r="FA63" s="75" t="e">
        <f aca="false">IF(ES63=0,0,SPRDOPT(ES63,ET63,$AK63,$AM63,EW63,EX63,EY63,$D63,$H$20,1))</f>
        <v>#NAME?</v>
      </c>
      <c r="FB63" s="75" t="e">
        <f aca="false">IF(ET63=0,0,SPRDOPT(ES63,ET63,$AK63,$AM63,EW63,EX63,EY63,$D63,$H$20,2))</f>
        <v>#NAME?</v>
      </c>
      <c r="FC63" s="75" t="n">
        <f aca="false">IF(EU63=0,0,SPRDOPT(ES63,ET63,$AK63,$AM63,EW63,EX63,EY63,$D63,$H$20,3)/100)</f>
        <v>0</v>
      </c>
      <c r="FD63" s="75" t="n">
        <f aca="false">IF(EV63=0,0,SPRDOPT(ES63,ET63,$AK63,$AM63,EW63,EX63,EY63,$D63,$H$20,4)/100)</f>
        <v>0</v>
      </c>
      <c r="FE63" s="75" t="e">
        <f aca="false">IF(EW63=0,0,SPRDOPT(ES63,ET63,$AK63,$AM63,EW63,EX63,EY63,$D63,$H$20,5)/100)</f>
        <v>#NAME?</v>
      </c>
      <c r="FF63" s="75" t="e">
        <f aca="false">IF(EX63=0,0,SPRDOPT(ES63,ET63,$AK63,$AM63,EW63,EX63,EY63,$D63,$H$20,6)/100)</f>
        <v>#NAME?</v>
      </c>
      <c r="FG63" s="75" t="e">
        <f aca="false">IF(EY63=0,0,SPRDOPT(ES63,ET63,$AK63,$AM63,EW63,EX63,EY63,$D63,$H$20,7)/100)</f>
        <v>#NAME?</v>
      </c>
      <c r="FH63" s="75" t="n">
        <f aca="false">IF(EZ63=0,0,SPRDOPT(ES63,ET63,$AK63,$AM63,EW63,EX63,EY63,$D63,$H$20,9)/365)</f>
        <v>0</v>
      </c>
      <c r="FI63" s="75" t="e">
        <f aca="false">FA63+FB63</f>
        <v>#NAME?</v>
      </c>
      <c r="FJ63" s="75" t="n">
        <f aca="false">FD63-FC63</f>
        <v>0</v>
      </c>
      <c r="FK63" s="75" t="e">
        <f aca="false">((EW63/EX63)*FE63)+FF63</f>
        <v>#NAME?</v>
      </c>
      <c r="FL63" s="75" t="n">
        <f aca="false">EY63*ER63</f>
        <v>0</v>
      </c>
      <c r="FM63" s="75"/>
      <c r="FN63" s="37" t="n">
        <f aca="false">$ER63*EZ63</f>
        <v>0</v>
      </c>
      <c r="FO63" s="37" t="e">
        <f aca="false">$ER63*FA63</f>
        <v>#NAME?</v>
      </c>
      <c r="FP63" s="37" t="e">
        <f aca="false">$ER63*FB63</f>
        <v>#NAME?</v>
      </c>
      <c r="FQ63" s="37" t="n">
        <f aca="false">$ER63*FC63</f>
        <v>0</v>
      </c>
      <c r="FR63" s="37" t="n">
        <f aca="false">$ER63*FD63</f>
        <v>0</v>
      </c>
      <c r="FS63" s="37" t="e">
        <f aca="false">$ER63*FE63</f>
        <v>#NAME?</v>
      </c>
      <c r="FT63" s="37" t="e">
        <f aca="false">$ER63*FF63</f>
        <v>#NAME?</v>
      </c>
      <c r="FU63" s="37" t="e">
        <f aca="false">$ER63*FG63</f>
        <v>#NAME?</v>
      </c>
      <c r="FV63" s="37" t="n">
        <f aca="false">$ER63*FH63</f>
        <v>0</v>
      </c>
      <c r="FW63" s="37" t="e">
        <f aca="false">$ER63*FI63</f>
        <v>#NAME?</v>
      </c>
      <c r="FX63" s="37" t="n">
        <f aca="false">$ER63*FJ63</f>
        <v>0</v>
      </c>
      <c r="FY63" s="37" t="e">
        <f aca="false">$ER63*FK63</f>
        <v>#NAME?</v>
      </c>
      <c r="GA63" s="77" t="e">
        <f aca="false">VLOOKUP(A63,skewmonthlook,2,FALSE())</f>
        <v>#REF!</v>
      </c>
      <c r="GB63" s="0" t="e">
        <f aca="false">CONCATENATE(B$3,$GA63)</f>
        <v>#REF!</v>
      </c>
      <c r="GC63" s="0" t="e">
        <f aca="false">CONCATENATE(D$3,$GA63)</f>
        <v>#REF!</v>
      </c>
      <c r="GD63" s="0" t="e">
        <f aca="false">CONCATENATE(F$3,$GA63)</f>
        <v>#REF!</v>
      </c>
      <c r="GE63" s="0" t="e">
        <f aca="false">CONCATENATE(H$3,$GA63)</f>
        <v>#REF!</v>
      </c>
      <c r="GG63" s="65" t="e">
        <f aca="false">VLOOKUP(GB63,skewlook,HLOOKUP($P63,skewlook,2),FALSE())</f>
        <v>#REF!</v>
      </c>
      <c r="GH63" s="65" t="e">
        <f aca="false">VLOOKUP(GC63,skewlook,HLOOKUP($W63,skewlook,2),FALSE())</f>
        <v>#REF!</v>
      </c>
      <c r="GI63" s="65" t="e">
        <f aca="false">VLOOKUP(GD63,skewlook,HLOOKUP($AD63,skewlook,2),FALSE())</f>
        <v>#REF!</v>
      </c>
      <c r="GJ63" s="65" t="e">
        <f aca="false">VLOOKUP(GE63,skewlook,HLOOKUP($AK63,skewlook,2),FALSE())</f>
        <v>#REF!</v>
      </c>
    </row>
    <row r="64" customFormat="false" ht="12.75" hidden="false" customHeight="false" outlineLevel="0" collapsed="false">
      <c r="A64" s="62" t="n">
        <f aca="false">DATE(YEAR(A63),MONTH(A63)+1,1)</f>
        <v>38047</v>
      </c>
      <c r="B64" s="63" t="n">
        <f aca="false">VLOOKUP(A64,STRADDLE,5,FALSE())</f>
        <v>3.355</v>
      </c>
      <c r="C64" s="4" t="n">
        <f aca="false">VLOOKUP(A64,STRADDLE,8,FALSE())</f>
        <v>0.35</v>
      </c>
      <c r="D64" s="64" t="n">
        <f aca="false">VLOOKUP(A64,expiration,2,FALSE())-$B$2</f>
        <v>-7885</v>
      </c>
      <c r="E64" s="65" t="e">
        <f aca="false">AY64</f>
        <v>#NAME?</v>
      </c>
      <c r="F64" s="65" t="e">
        <f aca="false">CI64</f>
        <v>#NAME?</v>
      </c>
      <c r="G64" s="65" t="e">
        <f aca="false">DR64</f>
        <v>#NAME?</v>
      </c>
      <c r="H64" s="65" t="e">
        <f aca="false">FA64</f>
        <v>#NAME?</v>
      </c>
      <c r="I64" s="66"/>
      <c r="J64" s="67"/>
      <c r="K64" s="63" t="n">
        <f aca="false">IF($B$3="NYMEX",0,VLOOKUP($A64,curvesettle,HLOOKUP($B$3,curvesettle,2,FALSE()),FALSE()))</f>
        <v>-0.145</v>
      </c>
      <c r="L64" s="63" t="n">
        <f aca="false">IF($B$4="NYMEX",0,VLOOKUP($A64,curvesettle,HLOOKUP($B$4,curvesettle,2,FALSE()),FALSE()))</f>
        <v>0</v>
      </c>
      <c r="M64" s="65" t="n">
        <f aca="false">IF(ISNUMBER(VLOOKUP($A64,VOLCURVES,HLOOKUP($B$3,VOLCURVES,2,FALSE()),FALSE())),VLOOKUP($A64,VOLCURVES,HLOOKUP($B$3,VOLCURVES,2,FALSE()),FALSE()),1)</f>
        <v>1</v>
      </c>
      <c r="N64" s="65" t="n">
        <f aca="false">IF(ISNUMBER(VLOOKUP($A64,VOLCURVES,HLOOKUP($B$4,VOLCURVES,2,FALSE()),FALSE())),VLOOKUP($A64,VOLCURVES,HLOOKUP($B$4,VOLCURVES,2,FALSE()),FALSE()),1)</f>
        <v>1</v>
      </c>
      <c r="O64" s="65" t="n">
        <f aca="false">IF(ISNUMBER(VLOOKUP($A64,CORETABLE,HLOOKUP($B$3,CORETABLE,2,FALSE()),FALSE())),VLOOKUP($A64,CORETABLE,HLOOKUP($B$3,CORETABLE,2,FALSE()),FALSE()),0.99)</f>
        <v>0.9945</v>
      </c>
      <c r="P64" s="68" t="n">
        <f aca="false">B$19</f>
        <v>-0.2</v>
      </c>
      <c r="Q64" s="69" t="n">
        <f aca="false">IF($B$18=1,IF(ISNUMBER($GG64),$GG64,0),0)</f>
        <v>0</v>
      </c>
      <c r="R64" s="70" t="n">
        <f aca="false">IF($D$3="NYMEX",0,VLOOKUP($A64,curvesettle,HLOOKUP($D$3,curvesettle,2,FALSE()),FALSE()))</f>
        <v>0.17</v>
      </c>
      <c r="S64" s="63" t="n">
        <f aca="false">IF($D$4="NYMEX",0,VLOOKUP($A64,curvesettle,HLOOKUP($D$4,curvesettle,2,FALSE()),FALSE()))</f>
        <v>0</v>
      </c>
      <c r="T64" s="65" t="n">
        <f aca="false">IF(ISNUMBER(VLOOKUP($A64,VOLCURVES,HLOOKUP($D$3,VOLCURVES,2,FALSE()),FALSE())),VLOOKUP($A64,VOLCURVES,HLOOKUP($D$3,VOLCURVES,2,FALSE()),FALSE()),1)</f>
        <v>1</v>
      </c>
      <c r="U64" s="65" t="n">
        <f aca="false">IF(ISNUMBER(VLOOKUP($A64,VOLCURVES,HLOOKUP($D$4,VOLCURVES,2,FALSE()),FALSE())),VLOOKUP($A64,VOLCURVES,HLOOKUP($D$4,VOLCURVES,2,FALSE()),FALSE()),1)</f>
        <v>1</v>
      </c>
      <c r="V64" s="65" t="n">
        <f aca="false">IF(ISNUMBER(VLOOKUP($A64,CORETABLE,HLOOKUP($D$3,CORETABLE,2,FALSE()),FALSE())),VLOOKUP($A64,CORETABLE,HLOOKUP($D$3,CORETABLE,2,FALSE()),FALSE()),0.99)</f>
        <v>0.99</v>
      </c>
      <c r="W64" s="68" t="n">
        <f aca="false">D$19</f>
        <v>0</v>
      </c>
      <c r="X64" s="69" t="n">
        <f aca="false">IF($D$18=1,IF(ISNUMBER($GH64),$GH64,0),0)</f>
        <v>0</v>
      </c>
      <c r="Y64" s="71" t="n">
        <f aca="false">IF($F$3="NYMEX",0,VLOOKUP($A64,curvesettle,HLOOKUP($F$3,curvesettle,2,FALSE()),FALSE()))</f>
        <v>-0.25</v>
      </c>
      <c r="Z64" s="63" t="n">
        <f aca="false">IF($F$4="NYMEX",0,VLOOKUP($A64,curvesettle,HLOOKUP($F$4,curvesettle,2,FALSE()),FALSE()))</f>
        <v>0</v>
      </c>
      <c r="AA64" s="65" t="n">
        <f aca="false">IF(ISNUMBER(VLOOKUP($A64,VOLCURVES,HLOOKUP($F$3,VOLCURVES,2,FALSE()),FALSE())),VLOOKUP($A64,VOLCURVES,HLOOKUP($F$3,VOLCURVES,2,FALSE()),FALSE()),1)</f>
        <v>1</v>
      </c>
      <c r="AB64" s="65" t="n">
        <f aca="false">IF(ISNUMBER(VLOOKUP($A64,VOLCURVES,HLOOKUP($F$4,VOLCURVES,2,FALSE()),FALSE())),VLOOKUP($A64,VOLCURVES,HLOOKUP($F$4,VOLCURVES,2,FALSE()),FALSE()),1)</f>
        <v>1</v>
      </c>
      <c r="AC64" s="65" t="n">
        <f aca="false">IF(ISNUMBER(VLOOKUP($A64,CORETABLE,HLOOKUP($F$3,CORETABLE,2,FALSE()),FALSE())),VLOOKUP($A64,CORETABLE,HLOOKUP($F$3,CORETABLE,2,FALSE()),FALSE()),0.99)</f>
        <v>0.985</v>
      </c>
      <c r="AD64" s="68" t="n">
        <f aca="false">F$19</f>
        <v>-0.6</v>
      </c>
      <c r="AE64" s="69" t="n">
        <f aca="false">IF($F$18=1,IF(ISNUMBER($GI64),$GI64,0),0)</f>
        <v>0</v>
      </c>
      <c r="AF64" s="63" t="n">
        <f aca="false">IF($H$3="NYMEX",0,VLOOKUP($A64,curvesettle,HLOOKUP($H$3,curvesettle,2,FALSE()),FALSE()))</f>
        <v>-0.25</v>
      </c>
      <c r="AG64" s="63" t="n">
        <f aca="false">IF($H$4="NYMEX",0,VLOOKUP($A64,curvesettle,HLOOKUP($H$4,curvesettle,2,FALSE()),FALSE()))</f>
        <v>0</v>
      </c>
      <c r="AH64" s="65" t="n">
        <f aca="false">IF(ISNUMBER(VLOOKUP($A64,VOLCURVES,HLOOKUP($H$3,VOLCURVES,2,FALSE()),FALSE())),VLOOKUP($A64,VOLCURVES,HLOOKUP($H$3,VOLCURVES,2,FALSE()),FALSE()),1)</f>
        <v>1</v>
      </c>
      <c r="AI64" s="65" t="n">
        <f aca="false">IF(ISNUMBER(VLOOKUP($A64,VOLCURVES,HLOOKUP($H$4,VOLCURVES,2,FALSE()),FALSE())),VLOOKUP($A64,VOLCURVES,HLOOKUP($H$4,VOLCURVES,2,FALSE()),FALSE()),1)</f>
        <v>1</v>
      </c>
      <c r="AJ64" s="65" t="n">
        <f aca="false">IF(ISNUMBER(VLOOKUP($A64,CORETABLE,HLOOKUP($H$3,CORETABLE,2,FALSE()),FALSE())),VLOOKUP($A64,CORETABLE,HLOOKUP($H$3,CORETABLE,2,FALSE()),FALSE()),0.99)</f>
        <v>0.985</v>
      </c>
      <c r="AK64" s="68" t="n">
        <f aca="false">H$19</f>
        <v>-0.45</v>
      </c>
      <c r="AL64" s="69" t="n">
        <f aca="false">IF($H$18=1,IF(ISNUMBER($GJ64),$GJ64,0),0)</f>
        <v>0</v>
      </c>
      <c r="AM64" s="4" t="n">
        <f aca="false">VLOOKUP($A64,STRADDLE,14,FALSE())</f>
        <v>0.0362446584359817</v>
      </c>
      <c r="AN64" s="72" t="n">
        <f aca="false">A65-A64</f>
        <v>31</v>
      </c>
      <c r="AO64" s="1" t="n">
        <f aca="false">AO63+1</f>
        <v>27</v>
      </c>
      <c r="AP64" s="73" t="n">
        <f aca="false">IF($A64&gt;=AR$32,IF($A64&lt;=AR$33,$AN64,0),0)</f>
        <v>31</v>
      </c>
      <c r="AQ64" s="41" t="n">
        <f aca="false">$B64+$K64+$B$12</f>
        <v>3.21</v>
      </c>
      <c r="AR64" s="41" t="n">
        <f aca="false">$B64+$L64+$B$13</f>
        <v>3.355</v>
      </c>
      <c r="AS64" s="41" t="n">
        <f aca="false">AQ64*AP64</f>
        <v>99.51</v>
      </c>
      <c r="AT64" s="41" t="n">
        <f aca="false">AR64*AP64</f>
        <v>104.005</v>
      </c>
      <c r="AU64" s="74" t="n">
        <f aca="false">($C64*$M64)+Q64+$B$14</f>
        <v>0.35</v>
      </c>
      <c r="AV64" s="74" t="n">
        <f aca="false">($C64*$N64)+$B$15</f>
        <v>0.35</v>
      </c>
      <c r="AW64" s="65" t="n">
        <f aca="false">O64+B$16</f>
        <v>0.999</v>
      </c>
      <c r="AX64" s="75" t="e">
        <f aca="false">IF(AP64=0,0,SPRDOPT(AQ64,AR64,$P64,$AM64,AU64,AV64,AW64,$D64,$B$20,0))</f>
        <v>#NAME?</v>
      </c>
      <c r="AY64" s="75" t="e">
        <f aca="false">IF(AQ64=0,0,SPRDOPT(AQ64,AR64,$P64,$AM64,AU64,AV64,AW64,$D64,$B$20,1))</f>
        <v>#NAME?</v>
      </c>
      <c r="AZ64" s="75" t="e">
        <f aca="false">IF(AR64=0,0,SPRDOPT(AQ64,AR64,$P64,$AM64,AU64,AV64,AW64,$D64,$B$20,2))</f>
        <v>#NAME?</v>
      </c>
      <c r="BA64" s="75" t="e">
        <f aca="false">IF(AS64=0,0,SPRDOPT(AQ64,AR64,$P64,$AM64,AU64,AV64,AW64,$D64,$B$20,3)/100)</f>
        <v>#NAME?</v>
      </c>
      <c r="BB64" s="75" t="e">
        <f aca="false">IF(AT64=0,0,SPRDOPT(AQ64,AR64,$P64,$AM64,AU64,AV64,AW64,$D64,$B$20,4)/100)</f>
        <v>#NAME?</v>
      </c>
      <c r="BC64" s="75" t="e">
        <f aca="false">IF(AU64=0,0,SPRDOPT(AQ64,AR64,$P64,$AM64,AU64,AV64,AW64,$D64,$B$20,5)/100)</f>
        <v>#NAME?</v>
      </c>
      <c r="BD64" s="75" t="e">
        <f aca="false">IF(AV64=0,0,SPRDOPT(AQ64,AR64,$P64,$AM64,AU64,AV64,AW64,$D64,$B$20,6)/100)</f>
        <v>#NAME?</v>
      </c>
      <c r="BE64" s="75" t="e">
        <f aca="false">IF(AW64=0,0,SPRDOPT(AQ64,AR64,$P64,$AM64,AU64,AV64,AW64,$D64,$B$20,7)/100)</f>
        <v>#NAME?</v>
      </c>
      <c r="BF64" s="75" t="e">
        <f aca="false">IF(AX64=0,0,SPRDOPT(AQ64,AR64,$P64,$AM64,AU64,AV64,AW64,$D64,$B$20,9)/365)</f>
        <v>#NAME?</v>
      </c>
      <c r="BG64" s="75" t="e">
        <f aca="false">AY64+AZ64</f>
        <v>#NAME?</v>
      </c>
      <c r="BH64" s="75" t="e">
        <f aca="false">BB64-BA64</f>
        <v>#NAME?</v>
      </c>
      <c r="BI64" s="75" t="e">
        <f aca="false">((AU64/AV64)*BC64)+BD64</f>
        <v>#NAME?</v>
      </c>
      <c r="BJ64" s="75" t="n">
        <f aca="false">AW64*AP64</f>
        <v>30.969</v>
      </c>
      <c r="BK64" s="76"/>
      <c r="BL64" s="37" t="e">
        <f aca="false">$AP64*AX64</f>
        <v>#NAME?</v>
      </c>
      <c r="BM64" s="37" t="e">
        <f aca="false">$AP64*AY64</f>
        <v>#NAME?</v>
      </c>
      <c r="BN64" s="37" t="e">
        <f aca="false">$AP64*AZ64</f>
        <v>#NAME?</v>
      </c>
      <c r="BO64" s="37" t="e">
        <f aca="false">$AP64*BA64</f>
        <v>#NAME?</v>
      </c>
      <c r="BP64" s="37" t="e">
        <f aca="false">$AP64*BB64</f>
        <v>#NAME?</v>
      </c>
      <c r="BQ64" s="37" t="e">
        <f aca="false">$AP64*BC64</f>
        <v>#NAME?</v>
      </c>
      <c r="BR64" s="37" t="e">
        <f aca="false">$AP64*BD64</f>
        <v>#NAME?</v>
      </c>
      <c r="BS64" s="37" t="e">
        <f aca="false">$AP64*BE64</f>
        <v>#NAME?</v>
      </c>
      <c r="BT64" s="37" t="e">
        <f aca="false">$AP64*BF64</f>
        <v>#NAME?</v>
      </c>
      <c r="BU64" s="37" t="e">
        <f aca="false">$AP64*BG64</f>
        <v>#NAME?</v>
      </c>
      <c r="BV64" s="37" t="e">
        <f aca="false">$AP64*BH64</f>
        <v>#NAME?</v>
      </c>
      <c r="BW64" s="37" t="e">
        <f aca="false">$AP64*BI64</f>
        <v>#NAME?</v>
      </c>
      <c r="BX64" s="37"/>
      <c r="BZ64" s="73" t="n">
        <f aca="false">IF($A64&gt;=CB$32,IF($A64&lt;=CB$33,$AN64,0),0)</f>
        <v>0</v>
      </c>
      <c r="CA64" s="41" t="n">
        <f aca="false">$B64+$R64+$D$12</f>
        <v>3.525</v>
      </c>
      <c r="CB64" s="41" t="n">
        <f aca="false">$B64+$S64+$D$13</f>
        <v>3.355</v>
      </c>
      <c r="CC64" s="41" t="n">
        <f aca="false">CA64*BZ64</f>
        <v>0</v>
      </c>
      <c r="CD64" s="41" t="n">
        <f aca="false">CB64*BZ64</f>
        <v>0</v>
      </c>
      <c r="CE64" s="74" t="n">
        <f aca="false">($C64*$T64)+X64+$D$14</f>
        <v>0.35</v>
      </c>
      <c r="CF64" s="74" t="n">
        <f aca="false">($C64*$U64)+$D$15</f>
        <v>0.35</v>
      </c>
      <c r="CG64" s="65" t="n">
        <f aca="false">$V64+D$16</f>
        <v>0.99</v>
      </c>
      <c r="CH64" s="75" t="n">
        <f aca="false">IF(BZ64=0,0,SPRDOPT(CA64,CB64,$W64,$AM64,CE64,CF64,CG64,$D64,$D$20,0))</f>
        <v>0</v>
      </c>
      <c r="CI64" s="75" t="e">
        <f aca="false">IF(CA64=0,0,SPRDOPT(CA64,CB64,$W64,$AM64,CE64,CF64,CG64,$D64,$D$20,1))</f>
        <v>#NAME?</v>
      </c>
      <c r="CJ64" s="75" t="e">
        <f aca="false">IF(CB64=0,0,SPRDOPT(CA64,CB64,$W64,$AM64,CE64,CF64,CG64,$D64,$D$20,2))</f>
        <v>#NAME?</v>
      </c>
      <c r="CK64" s="75" t="n">
        <f aca="false">IF(CC64=0,0,SPRDOPT(CA64,CB64,$W64,$AM64,CE64,CF64,CG64,$D64,$D$20,3)/100)</f>
        <v>0</v>
      </c>
      <c r="CL64" s="75" t="n">
        <f aca="false">IF(CD64=0,0,SPRDOPT(CA64,CB64,$W64,$AM64,CE64,CF64,CG64,$D64,$D$20,4)/100)</f>
        <v>0</v>
      </c>
      <c r="CM64" s="75" t="e">
        <f aca="false">IF(CE64=0,0,SPRDOPT(CA64,CB64,$W64,$AM64,CE64,CF64,CG64,$D64,$D$20,5)/100)</f>
        <v>#NAME?</v>
      </c>
      <c r="CN64" s="75" t="e">
        <f aca="false">IF(CF64=0,0,SPRDOPT(CA64,CB64,$W64,$AM64,CE64,CF64,CG64,$D64,$D$20,6)/100)</f>
        <v>#NAME?</v>
      </c>
      <c r="CO64" s="75" t="e">
        <f aca="false">IF(CG64=0,0,SPRDOPT(CA64,CB64,$W64,$AM64,CE64,CF64,CG64,$D64,$D$20,7)/100)</f>
        <v>#NAME?</v>
      </c>
      <c r="CP64" s="75" t="n">
        <f aca="false">IF(CH64=0,0,SPRDOPT(CA64,CB64,$W64,$AM64,CE64,CF64,CG64,$D64,$D$20,9)/365)</f>
        <v>0</v>
      </c>
      <c r="CQ64" s="75" t="e">
        <f aca="false">CI64+CJ64</f>
        <v>#NAME?</v>
      </c>
      <c r="CR64" s="75" t="n">
        <f aca="false">CL64-CK64</f>
        <v>0</v>
      </c>
      <c r="CS64" s="75" t="e">
        <f aca="false">((CE64/CF64)*CM64)+CN64</f>
        <v>#NAME?</v>
      </c>
      <c r="CT64" s="75" t="n">
        <f aca="false">CG64*BZ64</f>
        <v>0</v>
      </c>
      <c r="CU64" s="76"/>
      <c r="CV64" s="37" t="n">
        <f aca="false">BZ64*CH64</f>
        <v>0</v>
      </c>
      <c r="CW64" s="37" t="e">
        <f aca="false">BZ64*CI64</f>
        <v>#NAME?</v>
      </c>
      <c r="CX64" s="37" t="e">
        <f aca="false">BZ64*CJ64</f>
        <v>#NAME?</v>
      </c>
      <c r="CY64" s="37" t="n">
        <f aca="false">BZ64*CK64</f>
        <v>0</v>
      </c>
      <c r="CZ64" s="37" t="n">
        <f aca="false">BZ64*CL64</f>
        <v>0</v>
      </c>
      <c r="DA64" s="37" t="e">
        <f aca="false">BZ64*CM64</f>
        <v>#NAME?</v>
      </c>
      <c r="DB64" s="37" t="e">
        <f aca="false">BZ64*CN64</f>
        <v>#NAME?</v>
      </c>
      <c r="DC64" s="37" t="e">
        <f aca="false">BZ64*CO64</f>
        <v>#NAME?</v>
      </c>
      <c r="DD64" s="37" t="n">
        <f aca="false">BZ64*CP64</f>
        <v>0</v>
      </c>
      <c r="DE64" s="37" t="e">
        <f aca="false">BZ64*CQ64</f>
        <v>#NAME?</v>
      </c>
      <c r="DF64" s="37" t="n">
        <f aca="false">BZ64*CR64</f>
        <v>0</v>
      </c>
      <c r="DG64" s="37" t="e">
        <f aca="false">BZ64*CS64</f>
        <v>#NAME?</v>
      </c>
      <c r="DI64" s="73" t="n">
        <f aca="false">IF($A64&gt;=DK$32,IF($A64&lt;=DK$33,$AN64,0),0)</f>
        <v>0</v>
      </c>
      <c r="DJ64" s="41" t="n">
        <f aca="false">$B64+$Y64+$F$12</f>
        <v>3.105</v>
      </c>
      <c r="DK64" s="41" t="n">
        <f aca="false">$B64+$Z64+$F$13</f>
        <v>3.355</v>
      </c>
      <c r="DL64" s="41" t="n">
        <f aca="false">DJ64*DI64</f>
        <v>0</v>
      </c>
      <c r="DM64" s="41" t="n">
        <f aca="false">DK64*DI64</f>
        <v>0</v>
      </c>
      <c r="DN64" s="74" t="n">
        <f aca="false">($C64*$AA64)+AE64+$F$14</f>
        <v>0.35</v>
      </c>
      <c r="DO64" s="74" t="n">
        <f aca="false">($C64*$AB64)+$F$15</f>
        <v>0.35</v>
      </c>
      <c r="DP64" s="65" t="n">
        <f aca="false">$AC64+$F$16</f>
        <v>0.985</v>
      </c>
      <c r="DQ64" s="75" t="n">
        <f aca="false">IF(DI64=0,0,SPRDOPT(DJ64,DK64,$AD64,$AM64,DN64,DO64,DP64,$D64,$F$20,0))</f>
        <v>0</v>
      </c>
      <c r="DR64" s="75" t="e">
        <f aca="false">IF(DJ64=0,0,SPRDOPT(DJ64,DK64,$AD64,$AM64,DN64,DO64,DP64,$D64,$F$20,1))</f>
        <v>#NAME?</v>
      </c>
      <c r="DS64" s="75" t="e">
        <f aca="false">IF(DK64=0,0,SPRDOPT(DJ64,DK64,$AD64,$AM64,DN64,DO64,DP64,$D64,$F$20,2))</f>
        <v>#NAME?</v>
      </c>
      <c r="DT64" s="75" t="n">
        <f aca="false">IF(DL64=0,0,SPRDOPT(DJ64,DK64,$AD64,$AM64,DN64,DO64,DP64,$D64,$F$20,3)/100)</f>
        <v>0</v>
      </c>
      <c r="DU64" s="75" t="n">
        <f aca="false">IF(DM64=0,0,SPRDOPT(DJ64,DK64,$AD64,$AM64,DN64,DO64,DP64,$D64,$F$20,4)/100)</f>
        <v>0</v>
      </c>
      <c r="DV64" s="75" t="e">
        <f aca="false">IF(DN64=0,0,SPRDOPT(DJ64,DK64,$AD64,$AM64,DN64,DO64,DP64,$D64,$F$20,5)/100)</f>
        <v>#NAME?</v>
      </c>
      <c r="DW64" s="75" t="e">
        <f aca="false">IF(DO64=0,0,SPRDOPT(DJ64,DK64,$AD64,$AM64,DN64,DO64,DP64,$D64,$F$20,6)/100)</f>
        <v>#NAME?</v>
      </c>
      <c r="DX64" s="75" t="e">
        <f aca="false">IF(DP64=0,0,SPRDOPT(DJ64,DK64,$AD64,$AM64,DN64,DO64,DP64,$D64,$F$20,7)/100)</f>
        <v>#NAME?</v>
      </c>
      <c r="DY64" s="75" t="n">
        <f aca="false">IF(DQ64=0,0,SPRDOPT(DJ64,DK64,$AD64,$AM64,DN64,DO64,DP64,$D64,$F$20,9)/365)</f>
        <v>0</v>
      </c>
      <c r="DZ64" s="75" t="e">
        <f aca="false">DR64+DS64</f>
        <v>#NAME?</v>
      </c>
      <c r="EA64" s="75" t="n">
        <f aca="false">DU64-DT64</f>
        <v>0</v>
      </c>
      <c r="EB64" s="75" t="e">
        <f aca="false">((DN64/DO64)*DV64)+DW64</f>
        <v>#NAME?</v>
      </c>
      <c r="EC64" s="75" t="n">
        <f aca="false">DP64*DI64</f>
        <v>0</v>
      </c>
      <c r="ED64" s="75"/>
      <c r="EE64" s="37" t="n">
        <f aca="false">DI64*DQ64</f>
        <v>0</v>
      </c>
      <c r="EF64" s="37" t="e">
        <f aca="false">DI64*DR64</f>
        <v>#NAME?</v>
      </c>
      <c r="EG64" s="37" t="e">
        <f aca="false">DI64*DS64</f>
        <v>#NAME?</v>
      </c>
      <c r="EH64" s="37" t="n">
        <f aca="false">DI64*DT64</f>
        <v>0</v>
      </c>
      <c r="EI64" s="37" t="n">
        <f aca="false">DI64*DU64</f>
        <v>0</v>
      </c>
      <c r="EJ64" s="37" t="e">
        <f aca="false">DI64*DV64</f>
        <v>#NAME?</v>
      </c>
      <c r="EK64" s="37" t="e">
        <f aca="false">DI64*DW64</f>
        <v>#NAME?</v>
      </c>
      <c r="EL64" s="37" t="e">
        <f aca="false">DI64*DX64</f>
        <v>#NAME?</v>
      </c>
      <c r="EM64" s="37" t="n">
        <f aca="false">DI64*DY64</f>
        <v>0</v>
      </c>
      <c r="EN64" s="37" t="e">
        <f aca="false">DI64*DZ64</f>
        <v>#NAME?</v>
      </c>
      <c r="EO64" s="37" t="n">
        <f aca="false">DI64*EA64</f>
        <v>0</v>
      </c>
      <c r="EP64" s="37" t="e">
        <f aca="false">DI64*EB64</f>
        <v>#NAME?</v>
      </c>
      <c r="ER64" s="73" t="n">
        <f aca="false">IF($A64&gt;=ET$32,IF($A64&lt;=ET$33,$AN64,0),0)</f>
        <v>0</v>
      </c>
      <c r="ES64" s="41" t="n">
        <f aca="false">$B64+$AF64+$H$12</f>
        <v>3.165</v>
      </c>
      <c r="ET64" s="41" t="n">
        <f aca="false">$B64+$AG64+$H$13</f>
        <v>3.355</v>
      </c>
      <c r="EU64" s="41" t="n">
        <f aca="false">ES64*ER64</f>
        <v>0</v>
      </c>
      <c r="EV64" s="41" t="n">
        <f aca="false">ET64*ER64</f>
        <v>0</v>
      </c>
      <c r="EW64" s="74" t="n">
        <f aca="false">($C64*$AH64)+AL64+$H$14</f>
        <v>0.35</v>
      </c>
      <c r="EX64" s="74" t="n">
        <f aca="false">($C64*$AI64)+$H$15</f>
        <v>0.35</v>
      </c>
      <c r="EY64" s="65" t="n">
        <f aca="false">$AJ64+$H$16</f>
        <v>0.985</v>
      </c>
      <c r="EZ64" s="75" t="n">
        <f aca="false">IF(ER64=0,0,SPRDOPT(ES64,ET64,$AK64,$AM64,EW64,EX64,EY64,$D64,$H$20,0))</f>
        <v>0</v>
      </c>
      <c r="FA64" s="75" t="e">
        <f aca="false">IF(ES64=0,0,SPRDOPT(ES64,ET64,$AK64,$AM64,EW64,EX64,EY64,$D64,$H$20,1))</f>
        <v>#NAME?</v>
      </c>
      <c r="FB64" s="75" t="e">
        <f aca="false">IF(ET64=0,0,SPRDOPT(ES64,ET64,$AK64,$AM64,EW64,EX64,EY64,$D64,$H$20,2))</f>
        <v>#NAME?</v>
      </c>
      <c r="FC64" s="75" t="n">
        <f aca="false">IF(EU64=0,0,SPRDOPT(ES64,ET64,$AK64,$AM64,EW64,EX64,EY64,$D64,$H$20,3)/100)</f>
        <v>0</v>
      </c>
      <c r="FD64" s="75" t="n">
        <f aca="false">IF(EV64=0,0,SPRDOPT(ES64,ET64,$AK64,$AM64,EW64,EX64,EY64,$D64,$H$20,4)/100)</f>
        <v>0</v>
      </c>
      <c r="FE64" s="75" t="e">
        <f aca="false">IF(EW64=0,0,SPRDOPT(ES64,ET64,$AK64,$AM64,EW64,EX64,EY64,$D64,$H$20,5)/100)</f>
        <v>#NAME?</v>
      </c>
      <c r="FF64" s="75" t="e">
        <f aca="false">IF(EX64=0,0,SPRDOPT(ES64,ET64,$AK64,$AM64,EW64,EX64,EY64,$D64,$H$20,6)/100)</f>
        <v>#NAME?</v>
      </c>
      <c r="FG64" s="75" t="e">
        <f aca="false">IF(EY64=0,0,SPRDOPT(ES64,ET64,$AK64,$AM64,EW64,EX64,EY64,$D64,$H$20,7)/100)</f>
        <v>#NAME?</v>
      </c>
      <c r="FH64" s="75" t="n">
        <f aca="false">IF(EZ64=0,0,SPRDOPT(ES64,ET64,$AK64,$AM64,EW64,EX64,EY64,$D64,$H$20,9)/365)</f>
        <v>0</v>
      </c>
      <c r="FI64" s="75" t="e">
        <f aca="false">FA64+FB64</f>
        <v>#NAME?</v>
      </c>
      <c r="FJ64" s="75" t="n">
        <f aca="false">FD64-FC64</f>
        <v>0</v>
      </c>
      <c r="FK64" s="75" t="e">
        <f aca="false">((EW64/EX64)*FE64)+FF64</f>
        <v>#NAME?</v>
      </c>
      <c r="FL64" s="75" t="n">
        <f aca="false">EY64*ER64</f>
        <v>0</v>
      </c>
      <c r="FM64" s="75"/>
      <c r="FN64" s="37" t="n">
        <f aca="false">$ER64*EZ64</f>
        <v>0</v>
      </c>
      <c r="FO64" s="37" t="e">
        <f aca="false">$ER64*FA64</f>
        <v>#NAME?</v>
      </c>
      <c r="FP64" s="37" t="e">
        <f aca="false">$ER64*FB64</f>
        <v>#NAME?</v>
      </c>
      <c r="FQ64" s="37" t="n">
        <f aca="false">$ER64*FC64</f>
        <v>0</v>
      </c>
      <c r="FR64" s="37" t="n">
        <f aca="false">$ER64*FD64</f>
        <v>0</v>
      </c>
      <c r="FS64" s="37" t="e">
        <f aca="false">$ER64*FE64</f>
        <v>#NAME?</v>
      </c>
      <c r="FT64" s="37" t="e">
        <f aca="false">$ER64*FF64</f>
        <v>#NAME?</v>
      </c>
      <c r="FU64" s="37" t="e">
        <f aca="false">$ER64*FG64</f>
        <v>#NAME?</v>
      </c>
      <c r="FV64" s="37" t="n">
        <f aca="false">$ER64*FH64</f>
        <v>0</v>
      </c>
      <c r="FW64" s="37" t="e">
        <f aca="false">$ER64*FI64</f>
        <v>#NAME?</v>
      </c>
      <c r="FX64" s="37" t="n">
        <f aca="false">$ER64*FJ64</f>
        <v>0</v>
      </c>
      <c r="FY64" s="37" t="e">
        <f aca="false">$ER64*FK64</f>
        <v>#NAME?</v>
      </c>
      <c r="GA64" s="77" t="e">
        <f aca="false">VLOOKUP(A64,skewmonthlook,2,FALSE())</f>
        <v>#REF!</v>
      </c>
      <c r="GB64" s="0" t="e">
        <f aca="false">CONCATENATE(B$3,$GA64)</f>
        <v>#REF!</v>
      </c>
      <c r="GC64" s="0" t="e">
        <f aca="false">CONCATENATE(D$3,$GA64)</f>
        <v>#REF!</v>
      </c>
      <c r="GD64" s="0" t="e">
        <f aca="false">CONCATENATE(F$3,$GA64)</f>
        <v>#REF!</v>
      </c>
      <c r="GE64" s="0" t="e">
        <f aca="false">CONCATENATE(H$3,$GA64)</f>
        <v>#REF!</v>
      </c>
      <c r="GG64" s="65" t="e">
        <f aca="false">VLOOKUP(GB64,skewlook,HLOOKUP($P64,skewlook,2),FALSE())</f>
        <v>#REF!</v>
      </c>
      <c r="GH64" s="65" t="e">
        <f aca="false">VLOOKUP(GC64,skewlook,HLOOKUP($W64,skewlook,2),FALSE())</f>
        <v>#REF!</v>
      </c>
      <c r="GI64" s="65" t="e">
        <f aca="false">VLOOKUP(GD64,skewlook,HLOOKUP($AD64,skewlook,2),FALSE())</f>
        <v>#REF!</v>
      </c>
      <c r="GJ64" s="65" t="e">
        <f aca="false">VLOOKUP(GE64,skewlook,HLOOKUP($AK64,skewlook,2),FALSE())</f>
        <v>#REF!</v>
      </c>
    </row>
    <row r="65" customFormat="false" ht="12.75" hidden="false" customHeight="false" outlineLevel="0" collapsed="false">
      <c r="A65" s="62" t="n">
        <f aca="false">DATE(YEAR(A64),MONTH(A64)+1,1)</f>
        <v>38078</v>
      </c>
      <c r="B65" s="63" t="n">
        <f aca="false">VLOOKUP(A65,STRADDLE,5,FALSE())</f>
        <v>3.17</v>
      </c>
      <c r="C65" s="4" t="n">
        <f aca="false">VLOOKUP(A65,STRADDLE,8,FALSE())</f>
        <v>0.32</v>
      </c>
      <c r="D65" s="64" t="n">
        <f aca="false">VLOOKUP(A65,expiration,2,FALSE())-$B$2</f>
        <v>-7852</v>
      </c>
      <c r="E65" s="65" t="e">
        <f aca="false">AY65</f>
        <v>#NAME?</v>
      </c>
      <c r="F65" s="65" t="e">
        <f aca="false">CI65</f>
        <v>#NAME?</v>
      </c>
      <c r="G65" s="65" t="e">
        <f aca="false">DR65</f>
        <v>#NAME?</v>
      </c>
      <c r="H65" s="65" t="e">
        <f aca="false">FA65</f>
        <v>#NAME?</v>
      </c>
      <c r="I65" s="66"/>
      <c r="J65" s="67"/>
      <c r="K65" s="63" t="n">
        <f aca="false">IF($B$3="NYMEX",0,VLOOKUP($A65,curvesettle,HLOOKUP($B$3,curvesettle,2,FALSE()),FALSE()))</f>
        <v>-0.15</v>
      </c>
      <c r="L65" s="63" t="n">
        <f aca="false">IF($B$4="NYMEX",0,VLOOKUP($A65,curvesettle,HLOOKUP($B$4,curvesettle,2,FALSE()),FALSE()))</f>
        <v>0</v>
      </c>
      <c r="M65" s="65" t="n">
        <f aca="false">IF(ISNUMBER(VLOOKUP($A65,VOLCURVES,HLOOKUP($B$3,VOLCURVES,2,FALSE()),FALSE())),VLOOKUP($A65,VOLCURVES,HLOOKUP($B$3,VOLCURVES,2,FALSE()),FALSE()),1)</f>
        <v>1</v>
      </c>
      <c r="N65" s="65" t="n">
        <f aca="false">IF(ISNUMBER(VLOOKUP($A65,VOLCURVES,HLOOKUP($B$4,VOLCURVES,2,FALSE()),FALSE())),VLOOKUP($A65,VOLCURVES,HLOOKUP($B$4,VOLCURVES,2,FALSE()),FALSE()),1)</f>
        <v>1</v>
      </c>
      <c r="O65" s="65" t="n">
        <f aca="false">IF(ISNUMBER(VLOOKUP($A65,CORETABLE,HLOOKUP($B$3,CORETABLE,2,FALSE()),FALSE())),VLOOKUP($A65,CORETABLE,HLOOKUP($B$3,CORETABLE,2,FALSE()),FALSE()),0.99)</f>
        <v>0.9945</v>
      </c>
      <c r="P65" s="68" t="n">
        <f aca="false">B$19</f>
        <v>-0.2</v>
      </c>
      <c r="Q65" s="69" t="n">
        <f aca="false">IF($B$18=1,IF(ISNUMBER($GG65),$GG65,0),0)</f>
        <v>0</v>
      </c>
      <c r="R65" s="70" t="n">
        <f aca="false">IF($D$3="NYMEX",0,VLOOKUP($A65,curvesettle,HLOOKUP($D$3,curvesettle,2,FALSE()),FALSE()))</f>
        <v>0.21</v>
      </c>
      <c r="S65" s="63" t="n">
        <f aca="false">IF($D$4="NYMEX",0,VLOOKUP($A65,curvesettle,HLOOKUP($D$4,curvesettle,2,FALSE()),FALSE()))</f>
        <v>0</v>
      </c>
      <c r="T65" s="65" t="n">
        <f aca="false">IF(ISNUMBER(VLOOKUP($A65,VOLCURVES,HLOOKUP($D$3,VOLCURVES,2,FALSE()),FALSE())),VLOOKUP($A65,VOLCURVES,HLOOKUP($D$3,VOLCURVES,2,FALSE()),FALSE()),1)</f>
        <v>1</v>
      </c>
      <c r="U65" s="65" t="n">
        <f aca="false">IF(ISNUMBER(VLOOKUP($A65,VOLCURVES,HLOOKUP($D$4,VOLCURVES,2,FALSE()),FALSE())),VLOOKUP($A65,VOLCURVES,HLOOKUP($D$4,VOLCURVES,2,FALSE()),FALSE()),1)</f>
        <v>1</v>
      </c>
      <c r="V65" s="65" t="n">
        <f aca="false">IF(ISNUMBER(VLOOKUP($A65,CORETABLE,HLOOKUP($D$3,CORETABLE,2,FALSE()),FALSE())),VLOOKUP($A65,CORETABLE,HLOOKUP($D$3,CORETABLE,2,FALSE()),FALSE()),0.99)</f>
        <v>0.98</v>
      </c>
      <c r="W65" s="68" t="n">
        <f aca="false">D$19</f>
        <v>0</v>
      </c>
      <c r="X65" s="69" t="n">
        <f aca="false">IF($D$18=1,IF(ISNUMBER($GH65),$GH65,0),0)</f>
        <v>0</v>
      </c>
      <c r="Y65" s="71" t="n">
        <f aca="false">IF($F$3="NYMEX",0,VLOOKUP($A65,curvesettle,HLOOKUP($F$3,curvesettle,2,FALSE()),FALSE()))</f>
        <v>-0.42</v>
      </c>
      <c r="Z65" s="63" t="n">
        <f aca="false">IF($F$4="NYMEX",0,VLOOKUP($A65,curvesettle,HLOOKUP($F$4,curvesettle,2,FALSE()),FALSE()))</f>
        <v>0</v>
      </c>
      <c r="AA65" s="65" t="n">
        <f aca="false">IF(ISNUMBER(VLOOKUP($A65,VOLCURVES,HLOOKUP($F$3,VOLCURVES,2,FALSE()),FALSE())),VLOOKUP($A65,VOLCURVES,HLOOKUP($F$3,VOLCURVES,2,FALSE()),FALSE()),1)</f>
        <v>1</v>
      </c>
      <c r="AB65" s="65" t="n">
        <f aca="false">IF(ISNUMBER(VLOOKUP($A65,VOLCURVES,HLOOKUP($F$4,VOLCURVES,2,FALSE()),FALSE())),VLOOKUP($A65,VOLCURVES,HLOOKUP($F$4,VOLCURVES,2,FALSE()),FALSE()),1)</f>
        <v>1</v>
      </c>
      <c r="AC65" s="65" t="n">
        <f aca="false">IF(ISNUMBER(VLOOKUP($A65,CORETABLE,HLOOKUP($F$3,CORETABLE,2,FALSE()),FALSE())),VLOOKUP($A65,CORETABLE,HLOOKUP($F$3,CORETABLE,2,FALSE()),FALSE()),0.99)</f>
        <v>0.985</v>
      </c>
      <c r="AD65" s="68" t="n">
        <f aca="false">F$19</f>
        <v>-0.6</v>
      </c>
      <c r="AE65" s="69" t="n">
        <f aca="false">IF($F$18=1,IF(ISNUMBER($GI65),$GI65,0),0)</f>
        <v>0</v>
      </c>
      <c r="AF65" s="63" t="n">
        <f aca="false">IF($H$3="NYMEX",0,VLOOKUP($A65,curvesettle,HLOOKUP($H$3,curvesettle,2,FALSE()),FALSE()))</f>
        <v>-0.42</v>
      </c>
      <c r="AG65" s="63" t="n">
        <f aca="false">IF($H$4="NYMEX",0,VLOOKUP($A65,curvesettle,HLOOKUP($H$4,curvesettle,2,FALSE()),FALSE()))</f>
        <v>0</v>
      </c>
      <c r="AH65" s="65" t="n">
        <f aca="false">IF(ISNUMBER(VLOOKUP($A65,VOLCURVES,HLOOKUP($H$3,VOLCURVES,2,FALSE()),FALSE())),VLOOKUP($A65,VOLCURVES,HLOOKUP($H$3,VOLCURVES,2,FALSE()),FALSE()),1)</f>
        <v>1</v>
      </c>
      <c r="AI65" s="65" t="n">
        <f aca="false">IF(ISNUMBER(VLOOKUP($A65,VOLCURVES,HLOOKUP($H$4,VOLCURVES,2,FALSE()),FALSE())),VLOOKUP($A65,VOLCURVES,HLOOKUP($H$4,VOLCURVES,2,FALSE()),FALSE()),1)</f>
        <v>1</v>
      </c>
      <c r="AJ65" s="65" t="n">
        <f aca="false">IF(ISNUMBER(VLOOKUP($A65,CORETABLE,HLOOKUP($H$3,CORETABLE,2,FALSE()),FALSE())),VLOOKUP($A65,CORETABLE,HLOOKUP($H$3,CORETABLE,2,FALSE()),FALSE()),0.99)</f>
        <v>0.985</v>
      </c>
      <c r="AK65" s="68" t="n">
        <f aca="false">H$19</f>
        <v>-0.45</v>
      </c>
      <c r="AL65" s="69" t="n">
        <f aca="false">IF($H$18=1,IF(ISNUMBER($GJ65),$GJ65,0),0)</f>
        <v>0</v>
      </c>
      <c r="AM65" s="4" t="n">
        <f aca="false">VLOOKUP($A65,STRADDLE,14,FALSE())</f>
        <v>0.0370210690335231</v>
      </c>
      <c r="AN65" s="72" t="n">
        <f aca="false">A66-A65</f>
        <v>30</v>
      </c>
      <c r="AO65" s="1" t="n">
        <f aca="false">AO64+1</f>
        <v>28</v>
      </c>
      <c r="AP65" s="73" t="n">
        <f aca="false">IF($A65&gt;=AR$32,IF($A65&lt;=AR$33,$AN65,0),0)</f>
        <v>30</v>
      </c>
      <c r="AQ65" s="41" t="n">
        <f aca="false">$B65+$K65+$B$12</f>
        <v>3.02</v>
      </c>
      <c r="AR65" s="41" t="n">
        <f aca="false">$B65+$L65+$B$13</f>
        <v>3.17</v>
      </c>
      <c r="AS65" s="41" t="n">
        <f aca="false">AQ65*AP65</f>
        <v>90.6</v>
      </c>
      <c r="AT65" s="41" t="n">
        <f aca="false">AR65*AP65</f>
        <v>95.1</v>
      </c>
      <c r="AU65" s="74" t="n">
        <f aca="false">($C65*$M65)+Q65+$B$14</f>
        <v>0.32</v>
      </c>
      <c r="AV65" s="74" t="n">
        <f aca="false">($C65*$N65)+$B$15</f>
        <v>0.32</v>
      </c>
      <c r="AW65" s="65" t="n">
        <f aca="false">O65+B$16</f>
        <v>0.999</v>
      </c>
      <c r="AX65" s="75" t="e">
        <f aca="false">IF(AP65=0,0,SPRDOPT(AQ65,AR65,$P65,$AM65,AU65,AV65,AW65,$D65,$B$20,0))</f>
        <v>#NAME?</v>
      </c>
      <c r="AY65" s="75" t="e">
        <f aca="false">IF(AQ65=0,0,SPRDOPT(AQ65,AR65,$P65,$AM65,AU65,AV65,AW65,$D65,$B$20,1))</f>
        <v>#NAME?</v>
      </c>
      <c r="AZ65" s="75" t="e">
        <f aca="false">IF(AR65=0,0,SPRDOPT(AQ65,AR65,$P65,$AM65,AU65,AV65,AW65,$D65,$B$20,2))</f>
        <v>#NAME?</v>
      </c>
      <c r="BA65" s="75" t="e">
        <f aca="false">IF(AS65=0,0,SPRDOPT(AQ65,AR65,$P65,$AM65,AU65,AV65,AW65,$D65,$B$20,3)/100)</f>
        <v>#NAME?</v>
      </c>
      <c r="BB65" s="75" t="e">
        <f aca="false">IF(AT65=0,0,SPRDOPT(AQ65,AR65,$P65,$AM65,AU65,AV65,AW65,$D65,$B$20,4)/100)</f>
        <v>#NAME?</v>
      </c>
      <c r="BC65" s="75" t="e">
        <f aca="false">IF(AU65=0,0,SPRDOPT(AQ65,AR65,$P65,$AM65,AU65,AV65,AW65,$D65,$B$20,5)/100)</f>
        <v>#NAME?</v>
      </c>
      <c r="BD65" s="75" t="e">
        <f aca="false">IF(AV65=0,0,SPRDOPT(AQ65,AR65,$P65,$AM65,AU65,AV65,AW65,$D65,$B$20,6)/100)</f>
        <v>#NAME?</v>
      </c>
      <c r="BE65" s="75" t="e">
        <f aca="false">IF(AW65=0,0,SPRDOPT(AQ65,AR65,$P65,$AM65,AU65,AV65,AW65,$D65,$B$20,7)/100)</f>
        <v>#NAME?</v>
      </c>
      <c r="BF65" s="75" t="e">
        <f aca="false">IF(AX65=0,0,SPRDOPT(AQ65,AR65,$P65,$AM65,AU65,AV65,AW65,$D65,$B$20,9)/365)</f>
        <v>#NAME?</v>
      </c>
      <c r="BG65" s="75" t="e">
        <f aca="false">AY65+AZ65</f>
        <v>#NAME?</v>
      </c>
      <c r="BH65" s="75" t="e">
        <f aca="false">BB65-BA65</f>
        <v>#NAME?</v>
      </c>
      <c r="BI65" s="75" t="e">
        <f aca="false">((AU65/AV65)*BC65)+BD65</f>
        <v>#NAME?</v>
      </c>
      <c r="BJ65" s="75" t="n">
        <f aca="false">AW65*AP65</f>
        <v>29.97</v>
      </c>
      <c r="BK65" s="76"/>
      <c r="BL65" s="37" t="e">
        <f aca="false">$AP65*AX65</f>
        <v>#NAME?</v>
      </c>
      <c r="BM65" s="37" t="e">
        <f aca="false">$AP65*AY65</f>
        <v>#NAME?</v>
      </c>
      <c r="BN65" s="37" t="e">
        <f aca="false">$AP65*AZ65</f>
        <v>#NAME?</v>
      </c>
      <c r="BO65" s="37" t="e">
        <f aca="false">$AP65*BA65</f>
        <v>#NAME?</v>
      </c>
      <c r="BP65" s="37" t="e">
        <f aca="false">$AP65*BB65</f>
        <v>#NAME?</v>
      </c>
      <c r="BQ65" s="37" t="e">
        <f aca="false">$AP65*BC65</f>
        <v>#NAME?</v>
      </c>
      <c r="BR65" s="37" t="e">
        <f aca="false">$AP65*BD65</f>
        <v>#NAME?</v>
      </c>
      <c r="BS65" s="37" t="e">
        <f aca="false">$AP65*BE65</f>
        <v>#NAME?</v>
      </c>
      <c r="BT65" s="37" t="e">
        <f aca="false">$AP65*BF65</f>
        <v>#NAME?</v>
      </c>
      <c r="BU65" s="37" t="e">
        <f aca="false">$AP65*BG65</f>
        <v>#NAME?</v>
      </c>
      <c r="BV65" s="37" t="e">
        <f aca="false">$AP65*BH65</f>
        <v>#NAME?</v>
      </c>
      <c r="BW65" s="37" t="e">
        <f aca="false">$AP65*BI65</f>
        <v>#NAME?</v>
      </c>
      <c r="BX65" s="37"/>
      <c r="BZ65" s="73" t="n">
        <f aca="false">IF($A65&gt;=CB$32,IF($A65&lt;=CB$33,$AN65,0),0)</f>
        <v>0</v>
      </c>
      <c r="CA65" s="41" t="n">
        <f aca="false">$B65+$R65+$D$12</f>
        <v>3.38</v>
      </c>
      <c r="CB65" s="41" t="n">
        <f aca="false">$B65+$S65+$D$13</f>
        <v>3.17</v>
      </c>
      <c r="CC65" s="41" t="n">
        <f aca="false">CA65*BZ65</f>
        <v>0</v>
      </c>
      <c r="CD65" s="41" t="n">
        <f aca="false">CB65*BZ65</f>
        <v>0</v>
      </c>
      <c r="CE65" s="74" t="n">
        <f aca="false">($C65*$T65)+X65+$D$14</f>
        <v>0.32</v>
      </c>
      <c r="CF65" s="74" t="n">
        <f aca="false">($C65*$U65)+$D$15</f>
        <v>0.32</v>
      </c>
      <c r="CG65" s="65" t="n">
        <f aca="false">$V65+D$16</f>
        <v>0.98</v>
      </c>
      <c r="CH65" s="75" t="n">
        <f aca="false">IF(BZ65=0,0,SPRDOPT(CA65,CB65,$W65,$AM65,CE65,CF65,CG65,$D65,$D$20,0))</f>
        <v>0</v>
      </c>
      <c r="CI65" s="75" t="e">
        <f aca="false">IF(CA65=0,0,SPRDOPT(CA65,CB65,$W65,$AM65,CE65,CF65,CG65,$D65,$D$20,1))</f>
        <v>#NAME?</v>
      </c>
      <c r="CJ65" s="75" t="e">
        <f aca="false">IF(CB65=0,0,SPRDOPT(CA65,CB65,$W65,$AM65,CE65,CF65,CG65,$D65,$D$20,2))</f>
        <v>#NAME?</v>
      </c>
      <c r="CK65" s="75" t="n">
        <f aca="false">IF(CC65=0,0,SPRDOPT(CA65,CB65,$W65,$AM65,CE65,CF65,CG65,$D65,$D$20,3)/100)</f>
        <v>0</v>
      </c>
      <c r="CL65" s="75" t="n">
        <f aca="false">IF(CD65=0,0,SPRDOPT(CA65,CB65,$W65,$AM65,CE65,CF65,CG65,$D65,$D$20,4)/100)</f>
        <v>0</v>
      </c>
      <c r="CM65" s="75" t="e">
        <f aca="false">IF(CE65=0,0,SPRDOPT(CA65,CB65,$W65,$AM65,CE65,CF65,CG65,$D65,$D$20,5)/100)</f>
        <v>#NAME?</v>
      </c>
      <c r="CN65" s="75" t="e">
        <f aca="false">IF(CF65=0,0,SPRDOPT(CA65,CB65,$W65,$AM65,CE65,CF65,CG65,$D65,$D$20,6)/100)</f>
        <v>#NAME?</v>
      </c>
      <c r="CO65" s="75" t="e">
        <f aca="false">IF(CG65=0,0,SPRDOPT(CA65,CB65,$W65,$AM65,CE65,CF65,CG65,$D65,$D$20,7)/100)</f>
        <v>#NAME?</v>
      </c>
      <c r="CP65" s="75" t="n">
        <f aca="false">IF(CH65=0,0,SPRDOPT(CA65,CB65,$W65,$AM65,CE65,CF65,CG65,$D65,$D$20,9)/365)</f>
        <v>0</v>
      </c>
      <c r="CQ65" s="75" t="e">
        <f aca="false">CI65+CJ65</f>
        <v>#NAME?</v>
      </c>
      <c r="CR65" s="75" t="n">
        <f aca="false">CL65-CK65</f>
        <v>0</v>
      </c>
      <c r="CS65" s="75" t="e">
        <f aca="false">((CE65/CF65)*CM65)+CN65</f>
        <v>#NAME?</v>
      </c>
      <c r="CT65" s="75" t="n">
        <f aca="false">CG65*BZ65</f>
        <v>0</v>
      </c>
      <c r="CU65" s="76"/>
      <c r="CV65" s="37" t="n">
        <f aca="false">BZ65*CH65</f>
        <v>0</v>
      </c>
      <c r="CW65" s="37" t="e">
        <f aca="false">BZ65*CI65</f>
        <v>#NAME?</v>
      </c>
      <c r="CX65" s="37" t="e">
        <f aca="false">BZ65*CJ65</f>
        <v>#NAME?</v>
      </c>
      <c r="CY65" s="37" t="n">
        <f aca="false">BZ65*CK65</f>
        <v>0</v>
      </c>
      <c r="CZ65" s="37" t="n">
        <f aca="false">BZ65*CL65</f>
        <v>0</v>
      </c>
      <c r="DA65" s="37" t="e">
        <f aca="false">BZ65*CM65</f>
        <v>#NAME?</v>
      </c>
      <c r="DB65" s="37" t="e">
        <f aca="false">BZ65*CN65</f>
        <v>#NAME?</v>
      </c>
      <c r="DC65" s="37" t="e">
        <f aca="false">BZ65*CO65</f>
        <v>#NAME?</v>
      </c>
      <c r="DD65" s="37" t="n">
        <f aca="false">BZ65*CP65</f>
        <v>0</v>
      </c>
      <c r="DE65" s="37" t="e">
        <f aca="false">BZ65*CQ65</f>
        <v>#NAME?</v>
      </c>
      <c r="DF65" s="37" t="n">
        <f aca="false">BZ65*CR65</f>
        <v>0</v>
      </c>
      <c r="DG65" s="37" t="e">
        <f aca="false">BZ65*CS65</f>
        <v>#NAME?</v>
      </c>
      <c r="DI65" s="73" t="n">
        <f aca="false">IF($A65&gt;=DK$32,IF($A65&lt;=DK$33,$AN65,0),0)</f>
        <v>0</v>
      </c>
      <c r="DJ65" s="41" t="n">
        <f aca="false">$B65+$Y65+$F$12</f>
        <v>2.75</v>
      </c>
      <c r="DK65" s="41" t="n">
        <f aca="false">$B65+$Z65+$F$13</f>
        <v>3.17</v>
      </c>
      <c r="DL65" s="41" t="n">
        <f aca="false">DJ65*DI65</f>
        <v>0</v>
      </c>
      <c r="DM65" s="41" t="n">
        <f aca="false">DK65*DI65</f>
        <v>0</v>
      </c>
      <c r="DN65" s="74" t="n">
        <f aca="false">($C65*$AA65)+AE65+$F$14</f>
        <v>0.32</v>
      </c>
      <c r="DO65" s="74" t="n">
        <f aca="false">($C65*$AB65)+$F$15</f>
        <v>0.32</v>
      </c>
      <c r="DP65" s="65" t="n">
        <f aca="false">$AC65+$F$16</f>
        <v>0.985</v>
      </c>
      <c r="DQ65" s="75" t="n">
        <f aca="false">IF(DI65=0,0,SPRDOPT(DJ65,DK65,$AD65,$AM65,DN65,DO65,DP65,$D65,$F$20,0))</f>
        <v>0</v>
      </c>
      <c r="DR65" s="75" t="e">
        <f aca="false">IF(DJ65=0,0,SPRDOPT(DJ65,DK65,$AD65,$AM65,DN65,DO65,DP65,$D65,$F$20,1))</f>
        <v>#NAME?</v>
      </c>
      <c r="DS65" s="75" t="e">
        <f aca="false">IF(DK65=0,0,SPRDOPT(DJ65,DK65,$AD65,$AM65,DN65,DO65,DP65,$D65,$F$20,2))</f>
        <v>#NAME?</v>
      </c>
      <c r="DT65" s="75" t="n">
        <f aca="false">IF(DL65=0,0,SPRDOPT(DJ65,DK65,$AD65,$AM65,DN65,DO65,DP65,$D65,$F$20,3)/100)</f>
        <v>0</v>
      </c>
      <c r="DU65" s="75" t="n">
        <f aca="false">IF(DM65=0,0,SPRDOPT(DJ65,DK65,$AD65,$AM65,DN65,DO65,DP65,$D65,$F$20,4)/100)</f>
        <v>0</v>
      </c>
      <c r="DV65" s="75" t="e">
        <f aca="false">IF(DN65=0,0,SPRDOPT(DJ65,DK65,$AD65,$AM65,DN65,DO65,DP65,$D65,$F$20,5)/100)</f>
        <v>#NAME?</v>
      </c>
      <c r="DW65" s="75" t="e">
        <f aca="false">IF(DO65=0,0,SPRDOPT(DJ65,DK65,$AD65,$AM65,DN65,DO65,DP65,$D65,$F$20,6)/100)</f>
        <v>#NAME?</v>
      </c>
      <c r="DX65" s="75" t="e">
        <f aca="false">IF(DP65=0,0,SPRDOPT(DJ65,DK65,$AD65,$AM65,DN65,DO65,DP65,$D65,$F$20,7)/100)</f>
        <v>#NAME?</v>
      </c>
      <c r="DY65" s="75" t="n">
        <f aca="false">IF(DQ65=0,0,SPRDOPT(DJ65,DK65,$AD65,$AM65,DN65,DO65,DP65,$D65,$F$20,9)/365)</f>
        <v>0</v>
      </c>
      <c r="DZ65" s="75" t="e">
        <f aca="false">DR65+DS65</f>
        <v>#NAME?</v>
      </c>
      <c r="EA65" s="75" t="n">
        <f aca="false">DU65-DT65</f>
        <v>0</v>
      </c>
      <c r="EB65" s="75" t="e">
        <f aca="false">((DN65/DO65)*DV65)+DW65</f>
        <v>#NAME?</v>
      </c>
      <c r="EC65" s="75" t="n">
        <f aca="false">DP65*DI65</f>
        <v>0</v>
      </c>
      <c r="ED65" s="75"/>
      <c r="EE65" s="37" t="n">
        <f aca="false">DI65*DQ65</f>
        <v>0</v>
      </c>
      <c r="EF65" s="37" t="e">
        <f aca="false">DI65*DR65</f>
        <v>#NAME?</v>
      </c>
      <c r="EG65" s="37" t="e">
        <f aca="false">DI65*DS65</f>
        <v>#NAME?</v>
      </c>
      <c r="EH65" s="37" t="n">
        <f aca="false">DI65*DT65</f>
        <v>0</v>
      </c>
      <c r="EI65" s="37" t="n">
        <f aca="false">DI65*DU65</f>
        <v>0</v>
      </c>
      <c r="EJ65" s="37" t="e">
        <f aca="false">DI65*DV65</f>
        <v>#NAME?</v>
      </c>
      <c r="EK65" s="37" t="e">
        <f aca="false">DI65*DW65</f>
        <v>#NAME?</v>
      </c>
      <c r="EL65" s="37" t="e">
        <f aca="false">DI65*DX65</f>
        <v>#NAME?</v>
      </c>
      <c r="EM65" s="37" t="n">
        <f aca="false">DI65*DY65</f>
        <v>0</v>
      </c>
      <c r="EN65" s="37" t="e">
        <f aca="false">DI65*DZ65</f>
        <v>#NAME?</v>
      </c>
      <c r="EO65" s="37" t="n">
        <f aca="false">DI65*EA65</f>
        <v>0</v>
      </c>
      <c r="EP65" s="37" t="e">
        <f aca="false">DI65*EB65</f>
        <v>#NAME?</v>
      </c>
      <c r="ER65" s="73" t="n">
        <f aca="false">IF($A65&gt;=ET$32,IF($A65&lt;=ET$33,$AN65,0),0)</f>
        <v>0</v>
      </c>
      <c r="ES65" s="41" t="n">
        <f aca="false">$B65+$AF65+$H$12</f>
        <v>2.81</v>
      </c>
      <c r="ET65" s="41" t="n">
        <f aca="false">$B65+$AG65+$H$13</f>
        <v>3.17</v>
      </c>
      <c r="EU65" s="41" t="n">
        <f aca="false">ES65*ER65</f>
        <v>0</v>
      </c>
      <c r="EV65" s="41" t="n">
        <f aca="false">ET65*ER65</f>
        <v>0</v>
      </c>
      <c r="EW65" s="74" t="n">
        <f aca="false">($C65*$AH65)+AL65+$H$14</f>
        <v>0.32</v>
      </c>
      <c r="EX65" s="74" t="n">
        <f aca="false">($C65*$AI65)+$H$15</f>
        <v>0.32</v>
      </c>
      <c r="EY65" s="65" t="n">
        <f aca="false">$AJ65+$H$16</f>
        <v>0.985</v>
      </c>
      <c r="EZ65" s="75" t="n">
        <f aca="false">IF(ER65=0,0,SPRDOPT(ES65,ET65,$AK65,$AM65,EW65,EX65,EY65,$D65,$H$20,0))</f>
        <v>0</v>
      </c>
      <c r="FA65" s="75" t="e">
        <f aca="false">IF(ES65=0,0,SPRDOPT(ES65,ET65,$AK65,$AM65,EW65,EX65,EY65,$D65,$H$20,1))</f>
        <v>#NAME?</v>
      </c>
      <c r="FB65" s="75" t="e">
        <f aca="false">IF(ET65=0,0,SPRDOPT(ES65,ET65,$AK65,$AM65,EW65,EX65,EY65,$D65,$H$20,2))</f>
        <v>#NAME?</v>
      </c>
      <c r="FC65" s="75" t="n">
        <f aca="false">IF(EU65=0,0,SPRDOPT(ES65,ET65,$AK65,$AM65,EW65,EX65,EY65,$D65,$H$20,3)/100)</f>
        <v>0</v>
      </c>
      <c r="FD65" s="75" t="n">
        <f aca="false">IF(EV65=0,0,SPRDOPT(ES65,ET65,$AK65,$AM65,EW65,EX65,EY65,$D65,$H$20,4)/100)</f>
        <v>0</v>
      </c>
      <c r="FE65" s="75" t="e">
        <f aca="false">IF(EW65=0,0,SPRDOPT(ES65,ET65,$AK65,$AM65,EW65,EX65,EY65,$D65,$H$20,5)/100)</f>
        <v>#NAME?</v>
      </c>
      <c r="FF65" s="75" t="e">
        <f aca="false">IF(EX65=0,0,SPRDOPT(ES65,ET65,$AK65,$AM65,EW65,EX65,EY65,$D65,$H$20,6)/100)</f>
        <v>#NAME?</v>
      </c>
      <c r="FG65" s="75" t="e">
        <f aca="false">IF(EY65=0,0,SPRDOPT(ES65,ET65,$AK65,$AM65,EW65,EX65,EY65,$D65,$H$20,7)/100)</f>
        <v>#NAME?</v>
      </c>
      <c r="FH65" s="75" t="n">
        <f aca="false">IF(EZ65=0,0,SPRDOPT(ES65,ET65,$AK65,$AM65,EW65,EX65,EY65,$D65,$H$20,9)/365)</f>
        <v>0</v>
      </c>
      <c r="FI65" s="75" t="e">
        <f aca="false">FA65+FB65</f>
        <v>#NAME?</v>
      </c>
      <c r="FJ65" s="75" t="n">
        <f aca="false">FD65-FC65</f>
        <v>0</v>
      </c>
      <c r="FK65" s="75" t="e">
        <f aca="false">((EW65/EX65)*FE65)+FF65</f>
        <v>#NAME?</v>
      </c>
      <c r="FL65" s="75" t="n">
        <f aca="false">EY65*ER65</f>
        <v>0</v>
      </c>
      <c r="FM65" s="75"/>
      <c r="FN65" s="37" t="n">
        <f aca="false">$ER65*EZ65</f>
        <v>0</v>
      </c>
      <c r="FO65" s="37" t="e">
        <f aca="false">$ER65*FA65</f>
        <v>#NAME?</v>
      </c>
      <c r="FP65" s="37" t="e">
        <f aca="false">$ER65*FB65</f>
        <v>#NAME?</v>
      </c>
      <c r="FQ65" s="37" t="n">
        <f aca="false">$ER65*FC65</f>
        <v>0</v>
      </c>
      <c r="FR65" s="37" t="n">
        <f aca="false">$ER65*FD65</f>
        <v>0</v>
      </c>
      <c r="FS65" s="37" t="e">
        <f aca="false">$ER65*FE65</f>
        <v>#NAME?</v>
      </c>
      <c r="FT65" s="37" t="e">
        <f aca="false">$ER65*FF65</f>
        <v>#NAME?</v>
      </c>
      <c r="FU65" s="37" t="e">
        <f aca="false">$ER65*FG65</f>
        <v>#NAME?</v>
      </c>
      <c r="FV65" s="37" t="n">
        <f aca="false">$ER65*FH65</f>
        <v>0</v>
      </c>
      <c r="FW65" s="37" t="e">
        <f aca="false">$ER65*FI65</f>
        <v>#NAME?</v>
      </c>
      <c r="FX65" s="37" t="n">
        <f aca="false">$ER65*FJ65</f>
        <v>0</v>
      </c>
      <c r="FY65" s="37" t="e">
        <f aca="false">$ER65*FK65</f>
        <v>#NAME?</v>
      </c>
      <c r="GA65" s="77" t="e">
        <f aca="false">VLOOKUP(A65,skewmonthlook,2,FALSE())</f>
        <v>#REF!</v>
      </c>
      <c r="GB65" s="0" t="e">
        <f aca="false">CONCATENATE(B$3,$GA65)</f>
        <v>#REF!</v>
      </c>
      <c r="GC65" s="0" t="e">
        <f aca="false">CONCATENATE(D$3,$GA65)</f>
        <v>#REF!</v>
      </c>
      <c r="GD65" s="0" t="e">
        <f aca="false">CONCATENATE(F$3,$GA65)</f>
        <v>#REF!</v>
      </c>
      <c r="GE65" s="0" t="e">
        <f aca="false">CONCATENATE(H$3,$GA65)</f>
        <v>#REF!</v>
      </c>
      <c r="GG65" s="65" t="e">
        <f aca="false">VLOOKUP(GB65,skewlook,HLOOKUP($P65,skewlook,2),FALSE())</f>
        <v>#REF!</v>
      </c>
      <c r="GH65" s="65" t="e">
        <f aca="false">VLOOKUP(GC65,skewlook,HLOOKUP($W65,skewlook,2),FALSE())</f>
        <v>#REF!</v>
      </c>
      <c r="GI65" s="65" t="e">
        <f aca="false">VLOOKUP(GD65,skewlook,HLOOKUP($AD65,skewlook,2),FALSE())</f>
        <v>#REF!</v>
      </c>
      <c r="GJ65" s="65" t="e">
        <f aca="false">VLOOKUP(GE65,skewlook,HLOOKUP($AK65,skewlook,2),FALSE())</f>
        <v>#REF!</v>
      </c>
    </row>
    <row r="66" customFormat="false" ht="12.75" hidden="false" customHeight="false" outlineLevel="0" collapsed="false">
      <c r="A66" s="62" t="n">
        <f aca="false">DATE(YEAR(A65),MONTH(A65)+1,1)</f>
        <v>38108</v>
      </c>
      <c r="B66" s="63" t="n">
        <f aca="false">VLOOKUP(A66,STRADDLE,5,FALSE())</f>
        <v>3.165</v>
      </c>
      <c r="C66" s="4" t="n">
        <f aca="false">VLOOKUP(A66,STRADDLE,8,FALSE())</f>
        <v>0.315</v>
      </c>
      <c r="D66" s="64" t="n">
        <f aca="false">VLOOKUP(A66,expiration,2,FALSE())-$B$2</f>
        <v>-7822</v>
      </c>
      <c r="E66" s="65" t="e">
        <f aca="false">AY66</f>
        <v>#NAME?</v>
      </c>
      <c r="F66" s="65" t="e">
        <f aca="false">CI66</f>
        <v>#NAME?</v>
      </c>
      <c r="G66" s="65" t="e">
        <f aca="false">DR66</f>
        <v>#NAME?</v>
      </c>
      <c r="H66" s="65" t="e">
        <f aca="false">FA66</f>
        <v>#NAME?</v>
      </c>
      <c r="I66" s="66"/>
      <c r="J66" s="67"/>
      <c r="K66" s="63" t="n">
        <f aca="false">IF($B$3="NYMEX",0,VLOOKUP($A66,curvesettle,HLOOKUP($B$3,curvesettle,2,FALSE()),FALSE()))</f>
        <v>-0.15</v>
      </c>
      <c r="L66" s="63" t="n">
        <f aca="false">IF($B$4="NYMEX",0,VLOOKUP($A66,curvesettle,HLOOKUP($B$4,curvesettle,2,FALSE()),FALSE()))</f>
        <v>0</v>
      </c>
      <c r="M66" s="65" t="n">
        <f aca="false">IF(ISNUMBER(VLOOKUP($A66,VOLCURVES,HLOOKUP($B$3,VOLCURVES,2,FALSE()),FALSE())),VLOOKUP($A66,VOLCURVES,HLOOKUP($B$3,VOLCURVES,2,FALSE()),FALSE()),1)</f>
        <v>1</v>
      </c>
      <c r="N66" s="65" t="n">
        <f aca="false">IF(ISNUMBER(VLOOKUP($A66,VOLCURVES,HLOOKUP($B$4,VOLCURVES,2,FALSE()),FALSE())),VLOOKUP($A66,VOLCURVES,HLOOKUP($B$4,VOLCURVES,2,FALSE()),FALSE()),1)</f>
        <v>1</v>
      </c>
      <c r="O66" s="65" t="n">
        <f aca="false">IF(ISNUMBER(VLOOKUP($A66,CORETABLE,HLOOKUP($B$3,CORETABLE,2,FALSE()),FALSE())),VLOOKUP($A66,CORETABLE,HLOOKUP($B$3,CORETABLE,2,FALSE()),FALSE()),0.99)</f>
        <v>0.9945</v>
      </c>
      <c r="P66" s="68" t="n">
        <f aca="false">B$19</f>
        <v>-0.2</v>
      </c>
      <c r="Q66" s="69" t="n">
        <f aca="false">IF($B$18=1,IF(ISNUMBER($GG66),$GG66,0),0)</f>
        <v>0</v>
      </c>
      <c r="R66" s="70" t="n">
        <f aca="false">IF($D$3="NYMEX",0,VLOOKUP($A66,curvesettle,HLOOKUP($D$3,curvesettle,2,FALSE()),FALSE()))</f>
        <v>0.21</v>
      </c>
      <c r="S66" s="63" t="n">
        <f aca="false">IF($D$4="NYMEX",0,VLOOKUP($A66,curvesettle,HLOOKUP($D$4,curvesettle,2,FALSE()),FALSE()))</f>
        <v>0</v>
      </c>
      <c r="T66" s="65" t="n">
        <f aca="false">IF(ISNUMBER(VLOOKUP($A66,VOLCURVES,HLOOKUP($D$3,VOLCURVES,2,FALSE()),FALSE())),VLOOKUP($A66,VOLCURVES,HLOOKUP($D$3,VOLCURVES,2,FALSE()),FALSE()),1)</f>
        <v>1</v>
      </c>
      <c r="U66" s="65" t="n">
        <f aca="false">IF(ISNUMBER(VLOOKUP($A66,VOLCURVES,HLOOKUP($D$4,VOLCURVES,2,FALSE()),FALSE())),VLOOKUP($A66,VOLCURVES,HLOOKUP($D$4,VOLCURVES,2,FALSE()),FALSE()),1)</f>
        <v>1</v>
      </c>
      <c r="V66" s="65" t="n">
        <f aca="false">IF(ISNUMBER(VLOOKUP($A66,CORETABLE,HLOOKUP($D$3,CORETABLE,2,FALSE()),FALSE())),VLOOKUP($A66,CORETABLE,HLOOKUP($D$3,CORETABLE,2,FALSE()),FALSE()),0.99)</f>
        <v>0.98</v>
      </c>
      <c r="W66" s="68" t="n">
        <f aca="false">D$19</f>
        <v>0</v>
      </c>
      <c r="X66" s="69" t="n">
        <f aca="false">IF($D$18=1,IF(ISNUMBER($GH66),$GH66,0),0)</f>
        <v>0</v>
      </c>
      <c r="Y66" s="71" t="n">
        <f aca="false">IF($F$3="NYMEX",0,VLOOKUP($A66,curvesettle,HLOOKUP($F$3,curvesettle,2,FALSE()),FALSE()))</f>
        <v>-0.42</v>
      </c>
      <c r="Z66" s="63" t="n">
        <f aca="false">IF($F$4="NYMEX",0,VLOOKUP($A66,curvesettle,HLOOKUP($F$4,curvesettle,2,FALSE()),FALSE()))</f>
        <v>0</v>
      </c>
      <c r="AA66" s="65" t="n">
        <f aca="false">IF(ISNUMBER(VLOOKUP($A66,VOLCURVES,HLOOKUP($F$3,VOLCURVES,2,FALSE()),FALSE())),VLOOKUP($A66,VOLCURVES,HLOOKUP($F$3,VOLCURVES,2,FALSE()),FALSE()),1)</f>
        <v>1</v>
      </c>
      <c r="AB66" s="65" t="n">
        <f aca="false">IF(ISNUMBER(VLOOKUP($A66,VOLCURVES,HLOOKUP($F$4,VOLCURVES,2,FALSE()),FALSE())),VLOOKUP($A66,VOLCURVES,HLOOKUP($F$4,VOLCURVES,2,FALSE()),FALSE()),1)</f>
        <v>1</v>
      </c>
      <c r="AC66" s="65" t="n">
        <f aca="false">IF(ISNUMBER(VLOOKUP($A66,CORETABLE,HLOOKUP($F$3,CORETABLE,2,FALSE()),FALSE())),VLOOKUP($A66,CORETABLE,HLOOKUP($F$3,CORETABLE,2,FALSE()),FALSE()),0.99)</f>
        <v>0.985</v>
      </c>
      <c r="AD66" s="68" t="n">
        <f aca="false">F$19</f>
        <v>-0.6</v>
      </c>
      <c r="AE66" s="69" t="n">
        <f aca="false">IF($F$18=1,IF(ISNUMBER($GI66),$GI66,0),0)</f>
        <v>0</v>
      </c>
      <c r="AF66" s="63" t="n">
        <f aca="false">IF($H$3="NYMEX",0,VLOOKUP($A66,curvesettle,HLOOKUP($H$3,curvesettle,2,FALSE()),FALSE()))</f>
        <v>-0.42</v>
      </c>
      <c r="AG66" s="63" t="n">
        <f aca="false">IF($H$4="NYMEX",0,VLOOKUP($A66,curvesettle,HLOOKUP($H$4,curvesettle,2,FALSE()),FALSE()))</f>
        <v>0</v>
      </c>
      <c r="AH66" s="65" t="n">
        <f aca="false">IF(ISNUMBER(VLOOKUP($A66,VOLCURVES,HLOOKUP($H$3,VOLCURVES,2,FALSE()),FALSE())),VLOOKUP($A66,VOLCURVES,HLOOKUP($H$3,VOLCURVES,2,FALSE()),FALSE()),1)</f>
        <v>1</v>
      </c>
      <c r="AI66" s="65" t="n">
        <f aca="false">IF(ISNUMBER(VLOOKUP($A66,VOLCURVES,HLOOKUP($H$4,VOLCURVES,2,FALSE()),FALSE())),VLOOKUP($A66,VOLCURVES,HLOOKUP($H$4,VOLCURVES,2,FALSE()),FALSE()),1)</f>
        <v>1</v>
      </c>
      <c r="AJ66" s="65" t="n">
        <f aca="false">IF(ISNUMBER(VLOOKUP($A66,CORETABLE,HLOOKUP($H$3,CORETABLE,2,FALSE()),FALSE())),VLOOKUP($A66,CORETABLE,HLOOKUP($H$3,CORETABLE,2,FALSE()),FALSE()),0.99)</f>
        <v>0.985</v>
      </c>
      <c r="AK66" s="68" t="n">
        <f aca="false">H$19</f>
        <v>-0.45</v>
      </c>
      <c r="AL66" s="69" t="n">
        <f aca="false">IF($H$18=1,IF(ISNUMBER($GJ66),$GJ66,0),0)</f>
        <v>0</v>
      </c>
      <c r="AM66" s="4" t="n">
        <f aca="false">VLOOKUP($A66,STRADDLE,14,FALSE())</f>
        <v>0.037717515784331</v>
      </c>
      <c r="AN66" s="72" t="n">
        <f aca="false">A67-A66</f>
        <v>31</v>
      </c>
      <c r="AO66" s="1" t="n">
        <f aca="false">AO65+1</f>
        <v>29</v>
      </c>
      <c r="AP66" s="73" t="n">
        <f aca="false">IF($A66&gt;=AR$32,IF($A66&lt;=AR$33,$AN66,0),0)</f>
        <v>31</v>
      </c>
      <c r="AQ66" s="41" t="n">
        <f aca="false">$B66+$K66+$B$12</f>
        <v>3.015</v>
      </c>
      <c r="AR66" s="41" t="n">
        <f aca="false">$B66+$L66+$B$13</f>
        <v>3.165</v>
      </c>
      <c r="AS66" s="41" t="n">
        <f aca="false">AQ66*AP66</f>
        <v>93.465</v>
      </c>
      <c r="AT66" s="41" t="n">
        <f aca="false">AR66*AP66</f>
        <v>98.115</v>
      </c>
      <c r="AU66" s="74" t="n">
        <f aca="false">($C66*$M66)+Q66+$B$14</f>
        <v>0.315</v>
      </c>
      <c r="AV66" s="74" t="n">
        <f aca="false">($C66*$N66)+$B$15</f>
        <v>0.315</v>
      </c>
      <c r="AW66" s="65" t="n">
        <f aca="false">O66+B$16</f>
        <v>0.999</v>
      </c>
      <c r="AX66" s="75" t="e">
        <f aca="false">IF(AP66=0,0,SPRDOPT(AQ66,AR66,$P66,$AM66,AU66,AV66,AW66,$D66,$B$20,0))</f>
        <v>#NAME?</v>
      </c>
      <c r="AY66" s="75" t="e">
        <f aca="false">IF(AQ66=0,0,SPRDOPT(AQ66,AR66,$P66,$AM66,AU66,AV66,AW66,$D66,$B$20,1))</f>
        <v>#NAME?</v>
      </c>
      <c r="AZ66" s="75" t="e">
        <f aca="false">IF(AR66=0,0,SPRDOPT(AQ66,AR66,$P66,$AM66,AU66,AV66,AW66,$D66,$B$20,2))</f>
        <v>#NAME?</v>
      </c>
      <c r="BA66" s="75" t="e">
        <f aca="false">IF(AS66=0,0,SPRDOPT(AQ66,AR66,$P66,$AM66,AU66,AV66,AW66,$D66,$B$20,3)/100)</f>
        <v>#NAME?</v>
      </c>
      <c r="BB66" s="75" t="e">
        <f aca="false">IF(AT66=0,0,SPRDOPT(AQ66,AR66,$P66,$AM66,AU66,AV66,AW66,$D66,$B$20,4)/100)</f>
        <v>#NAME?</v>
      </c>
      <c r="BC66" s="75" t="e">
        <f aca="false">IF(AU66=0,0,SPRDOPT(AQ66,AR66,$P66,$AM66,AU66,AV66,AW66,$D66,$B$20,5)/100)</f>
        <v>#NAME?</v>
      </c>
      <c r="BD66" s="75" t="e">
        <f aca="false">IF(AV66=0,0,SPRDOPT(AQ66,AR66,$P66,$AM66,AU66,AV66,AW66,$D66,$B$20,6)/100)</f>
        <v>#NAME?</v>
      </c>
      <c r="BE66" s="75" t="e">
        <f aca="false">IF(AW66=0,0,SPRDOPT(AQ66,AR66,$P66,$AM66,AU66,AV66,AW66,$D66,$B$20,7)/100)</f>
        <v>#NAME?</v>
      </c>
      <c r="BF66" s="75" t="e">
        <f aca="false">IF(AX66=0,0,SPRDOPT(AQ66,AR66,$P66,$AM66,AU66,AV66,AW66,$D66,$B$20,9)/365)</f>
        <v>#NAME?</v>
      </c>
      <c r="BG66" s="75" t="e">
        <f aca="false">AY66+AZ66</f>
        <v>#NAME?</v>
      </c>
      <c r="BH66" s="75" t="e">
        <f aca="false">BB66-BA66</f>
        <v>#NAME?</v>
      </c>
      <c r="BI66" s="75" t="e">
        <f aca="false">((AU66/AV66)*BC66)+BD66</f>
        <v>#NAME?</v>
      </c>
      <c r="BJ66" s="75" t="n">
        <f aca="false">AW66*AP66</f>
        <v>30.969</v>
      </c>
      <c r="BK66" s="76"/>
      <c r="BL66" s="37" t="e">
        <f aca="false">$AP66*AX66</f>
        <v>#NAME?</v>
      </c>
      <c r="BM66" s="37" t="e">
        <f aca="false">$AP66*AY66</f>
        <v>#NAME?</v>
      </c>
      <c r="BN66" s="37" t="e">
        <f aca="false">$AP66*AZ66</f>
        <v>#NAME?</v>
      </c>
      <c r="BO66" s="37" t="e">
        <f aca="false">$AP66*BA66</f>
        <v>#NAME?</v>
      </c>
      <c r="BP66" s="37" t="e">
        <f aca="false">$AP66*BB66</f>
        <v>#NAME?</v>
      </c>
      <c r="BQ66" s="37" t="e">
        <f aca="false">$AP66*BC66</f>
        <v>#NAME?</v>
      </c>
      <c r="BR66" s="37" t="e">
        <f aca="false">$AP66*BD66</f>
        <v>#NAME?</v>
      </c>
      <c r="BS66" s="37" t="e">
        <f aca="false">$AP66*BE66</f>
        <v>#NAME?</v>
      </c>
      <c r="BT66" s="37" t="e">
        <f aca="false">$AP66*BF66</f>
        <v>#NAME?</v>
      </c>
      <c r="BU66" s="37" t="e">
        <f aca="false">$AP66*BG66</f>
        <v>#NAME?</v>
      </c>
      <c r="BV66" s="37" t="e">
        <f aca="false">$AP66*BH66</f>
        <v>#NAME?</v>
      </c>
      <c r="BW66" s="37" t="e">
        <f aca="false">$AP66*BI66</f>
        <v>#NAME?</v>
      </c>
      <c r="BX66" s="37"/>
      <c r="BZ66" s="73" t="n">
        <f aca="false">IF($A66&gt;=CB$32,IF($A66&lt;=CB$33,$AN66,0),0)</f>
        <v>0</v>
      </c>
      <c r="CA66" s="41" t="n">
        <f aca="false">$B66+$R66+$D$12</f>
        <v>3.375</v>
      </c>
      <c r="CB66" s="41" t="n">
        <f aca="false">$B66+$S66+$D$13</f>
        <v>3.165</v>
      </c>
      <c r="CC66" s="41" t="n">
        <f aca="false">CA66*BZ66</f>
        <v>0</v>
      </c>
      <c r="CD66" s="41" t="n">
        <f aca="false">CB66*BZ66</f>
        <v>0</v>
      </c>
      <c r="CE66" s="74" t="n">
        <f aca="false">($C66*$T66)+X66+$D$14</f>
        <v>0.315</v>
      </c>
      <c r="CF66" s="74" t="n">
        <f aca="false">($C66*$U66)+$D$15</f>
        <v>0.315</v>
      </c>
      <c r="CG66" s="65" t="n">
        <f aca="false">$V66+D$16</f>
        <v>0.98</v>
      </c>
      <c r="CH66" s="75" t="n">
        <f aca="false">IF(BZ66=0,0,SPRDOPT(CA66,CB66,$W66,$AM66,CE66,CF66,CG66,$D66,$D$20,0))</f>
        <v>0</v>
      </c>
      <c r="CI66" s="75" t="e">
        <f aca="false">IF(CA66=0,0,SPRDOPT(CA66,CB66,$W66,$AM66,CE66,CF66,CG66,$D66,$D$20,1))</f>
        <v>#NAME?</v>
      </c>
      <c r="CJ66" s="75" t="e">
        <f aca="false">IF(CB66=0,0,SPRDOPT(CA66,CB66,$W66,$AM66,CE66,CF66,CG66,$D66,$D$20,2))</f>
        <v>#NAME?</v>
      </c>
      <c r="CK66" s="75" t="n">
        <f aca="false">IF(CC66=0,0,SPRDOPT(CA66,CB66,$W66,$AM66,CE66,CF66,CG66,$D66,$D$20,3)/100)</f>
        <v>0</v>
      </c>
      <c r="CL66" s="75" t="n">
        <f aca="false">IF(CD66=0,0,SPRDOPT(CA66,CB66,$W66,$AM66,CE66,CF66,CG66,$D66,$D$20,4)/100)</f>
        <v>0</v>
      </c>
      <c r="CM66" s="75" t="e">
        <f aca="false">IF(CE66=0,0,SPRDOPT(CA66,CB66,$W66,$AM66,CE66,CF66,CG66,$D66,$D$20,5)/100)</f>
        <v>#NAME?</v>
      </c>
      <c r="CN66" s="75" t="e">
        <f aca="false">IF(CF66=0,0,SPRDOPT(CA66,CB66,$W66,$AM66,CE66,CF66,CG66,$D66,$D$20,6)/100)</f>
        <v>#NAME?</v>
      </c>
      <c r="CO66" s="75" t="e">
        <f aca="false">IF(CG66=0,0,SPRDOPT(CA66,CB66,$W66,$AM66,CE66,CF66,CG66,$D66,$D$20,7)/100)</f>
        <v>#NAME?</v>
      </c>
      <c r="CP66" s="75" t="n">
        <f aca="false">IF(CH66=0,0,SPRDOPT(CA66,CB66,$W66,$AM66,CE66,CF66,CG66,$D66,$D$20,9)/365)</f>
        <v>0</v>
      </c>
      <c r="CQ66" s="75" t="e">
        <f aca="false">CI66+CJ66</f>
        <v>#NAME?</v>
      </c>
      <c r="CR66" s="75" t="n">
        <f aca="false">CL66-CK66</f>
        <v>0</v>
      </c>
      <c r="CS66" s="75" t="e">
        <f aca="false">((CE66/CF66)*CM66)+CN66</f>
        <v>#NAME?</v>
      </c>
      <c r="CT66" s="75" t="n">
        <f aca="false">CG66*BZ66</f>
        <v>0</v>
      </c>
      <c r="CU66" s="76"/>
      <c r="CV66" s="37" t="n">
        <f aca="false">BZ66*CH66</f>
        <v>0</v>
      </c>
      <c r="CW66" s="37" t="e">
        <f aca="false">BZ66*CI66</f>
        <v>#NAME?</v>
      </c>
      <c r="CX66" s="37" t="e">
        <f aca="false">BZ66*CJ66</f>
        <v>#NAME?</v>
      </c>
      <c r="CY66" s="37" t="n">
        <f aca="false">BZ66*CK66</f>
        <v>0</v>
      </c>
      <c r="CZ66" s="37" t="n">
        <f aca="false">BZ66*CL66</f>
        <v>0</v>
      </c>
      <c r="DA66" s="37" t="e">
        <f aca="false">BZ66*CM66</f>
        <v>#NAME?</v>
      </c>
      <c r="DB66" s="37" t="e">
        <f aca="false">BZ66*CN66</f>
        <v>#NAME?</v>
      </c>
      <c r="DC66" s="37" t="e">
        <f aca="false">BZ66*CO66</f>
        <v>#NAME?</v>
      </c>
      <c r="DD66" s="37" t="n">
        <f aca="false">BZ66*CP66</f>
        <v>0</v>
      </c>
      <c r="DE66" s="37" t="e">
        <f aca="false">BZ66*CQ66</f>
        <v>#NAME?</v>
      </c>
      <c r="DF66" s="37" t="n">
        <f aca="false">BZ66*CR66</f>
        <v>0</v>
      </c>
      <c r="DG66" s="37" t="e">
        <f aca="false">BZ66*CS66</f>
        <v>#NAME?</v>
      </c>
      <c r="DI66" s="73" t="n">
        <f aca="false">IF($A66&gt;=DK$32,IF($A66&lt;=DK$33,$AN66,0),0)</f>
        <v>0</v>
      </c>
      <c r="DJ66" s="41" t="n">
        <f aca="false">$B66+$Y66+$F$12</f>
        <v>2.745</v>
      </c>
      <c r="DK66" s="41" t="n">
        <f aca="false">$B66+$Z66+$F$13</f>
        <v>3.165</v>
      </c>
      <c r="DL66" s="41" t="n">
        <f aca="false">DJ66*DI66</f>
        <v>0</v>
      </c>
      <c r="DM66" s="41" t="n">
        <f aca="false">DK66*DI66</f>
        <v>0</v>
      </c>
      <c r="DN66" s="74" t="n">
        <f aca="false">($C66*$AA66)+AE66+$F$14</f>
        <v>0.315</v>
      </c>
      <c r="DO66" s="74" t="n">
        <f aca="false">($C66*$AB66)+$F$15</f>
        <v>0.315</v>
      </c>
      <c r="DP66" s="65" t="n">
        <f aca="false">$AC66+$F$16</f>
        <v>0.985</v>
      </c>
      <c r="DQ66" s="75" t="n">
        <f aca="false">IF(DI66=0,0,SPRDOPT(DJ66,DK66,$AD66,$AM66,DN66,DO66,DP66,$D66,$F$20,0))</f>
        <v>0</v>
      </c>
      <c r="DR66" s="75" t="e">
        <f aca="false">IF(DJ66=0,0,SPRDOPT(DJ66,DK66,$AD66,$AM66,DN66,DO66,DP66,$D66,$F$20,1))</f>
        <v>#NAME?</v>
      </c>
      <c r="DS66" s="75" t="e">
        <f aca="false">IF(DK66=0,0,SPRDOPT(DJ66,DK66,$AD66,$AM66,DN66,DO66,DP66,$D66,$F$20,2))</f>
        <v>#NAME?</v>
      </c>
      <c r="DT66" s="75" t="n">
        <f aca="false">IF(DL66=0,0,SPRDOPT(DJ66,DK66,$AD66,$AM66,DN66,DO66,DP66,$D66,$F$20,3)/100)</f>
        <v>0</v>
      </c>
      <c r="DU66" s="75" t="n">
        <f aca="false">IF(DM66=0,0,SPRDOPT(DJ66,DK66,$AD66,$AM66,DN66,DO66,DP66,$D66,$F$20,4)/100)</f>
        <v>0</v>
      </c>
      <c r="DV66" s="75" t="e">
        <f aca="false">IF(DN66=0,0,SPRDOPT(DJ66,DK66,$AD66,$AM66,DN66,DO66,DP66,$D66,$F$20,5)/100)</f>
        <v>#NAME?</v>
      </c>
      <c r="DW66" s="75" t="e">
        <f aca="false">IF(DO66=0,0,SPRDOPT(DJ66,DK66,$AD66,$AM66,DN66,DO66,DP66,$D66,$F$20,6)/100)</f>
        <v>#NAME?</v>
      </c>
      <c r="DX66" s="75" t="e">
        <f aca="false">IF(DP66=0,0,SPRDOPT(DJ66,DK66,$AD66,$AM66,DN66,DO66,DP66,$D66,$F$20,7)/100)</f>
        <v>#NAME?</v>
      </c>
      <c r="DY66" s="75" t="n">
        <f aca="false">IF(DQ66=0,0,SPRDOPT(DJ66,DK66,$AD66,$AM66,DN66,DO66,DP66,$D66,$F$20,9)/365)</f>
        <v>0</v>
      </c>
      <c r="DZ66" s="75" t="e">
        <f aca="false">DR66+DS66</f>
        <v>#NAME?</v>
      </c>
      <c r="EA66" s="75" t="n">
        <f aca="false">DU66-DT66</f>
        <v>0</v>
      </c>
      <c r="EB66" s="75" t="e">
        <f aca="false">((DN66/DO66)*DV66)+DW66</f>
        <v>#NAME?</v>
      </c>
      <c r="EC66" s="75" t="n">
        <f aca="false">DP66*DI66</f>
        <v>0</v>
      </c>
      <c r="ED66" s="75"/>
      <c r="EE66" s="37" t="n">
        <f aca="false">DI66*DQ66</f>
        <v>0</v>
      </c>
      <c r="EF66" s="37" t="e">
        <f aca="false">DI66*DR66</f>
        <v>#NAME?</v>
      </c>
      <c r="EG66" s="37" t="e">
        <f aca="false">DI66*DS66</f>
        <v>#NAME?</v>
      </c>
      <c r="EH66" s="37" t="n">
        <f aca="false">DI66*DT66</f>
        <v>0</v>
      </c>
      <c r="EI66" s="37" t="n">
        <f aca="false">DI66*DU66</f>
        <v>0</v>
      </c>
      <c r="EJ66" s="37" t="e">
        <f aca="false">DI66*DV66</f>
        <v>#NAME?</v>
      </c>
      <c r="EK66" s="37" t="e">
        <f aca="false">DI66*DW66</f>
        <v>#NAME?</v>
      </c>
      <c r="EL66" s="37" t="e">
        <f aca="false">DI66*DX66</f>
        <v>#NAME?</v>
      </c>
      <c r="EM66" s="37" t="n">
        <f aca="false">DI66*DY66</f>
        <v>0</v>
      </c>
      <c r="EN66" s="37" t="e">
        <f aca="false">DI66*DZ66</f>
        <v>#NAME?</v>
      </c>
      <c r="EO66" s="37" t="n">
        <f aca="false">DI66*EA66</f>
        <v>0</v>
      </c>
      <c r="EP66" s="37" t="e">
        <f aca="false">DI66*EB66</f>
        <v>#NAME?</v>
      </c>
      <c r="ER66" s="73" t="n">
        <f aca="false">IF($A66&gt;=ET$32,IF($A66&lt;=ET$33,$AN66,0),0)</f>
        <v>0</v>
      </c>
      <c r="ES66" s="41" t="n">
        <f aca="false">$B66+$AF66+$H$12</f>
        <v>2.805</v>
      </c>
      <c r="ET66" s="41" t="n">
        <f aca="false">$B66+$AG66+$H$13</f>
        <v>3.165</v>
      </c>
      <c r="EU66" s="41" t="n">
        <f aca="false">ES66*ER66</f>
        <v>0</v>
      </c>
      <c r="EV66" s="41" t="n">
        <f aca="false">ET66*ER66</f>
        <v>0</v>
      </c>
      <c r="EW66" s="74" t="n">
        <f aca="false">($C66*$AH66)+AL66+$H$14</f>
        <v>0.315</v>
      </c>
      <c r="EX66" s="74" t="n">
        <f aca="false">($C66*$AI66)+$H$15</f>
        <v>0.315</v>
      </c>
      <c r="EY66" s="65" t="n">
        <f aca="false">$AJ66+$H$16</f>
        <v>0.985</v>
      </c>
      <c r="EZ66" s="75" t="n">
        <f aca="false">IF(ER66=0,0,SPRDOPT(ES66,ET66,$AK66,$AM66,EW66,EX66,EY66,$D66,$H$20,0))</f>
        <v>0</v>
      </c>
      <c r="FA66" s="75" t="e">
        <f aca="false">IF(ES66=0,0,SPRDOPT(ES66,ET66,$AK66,$AM66,EW66,EX66,EY66,$D66,$H$20,1))</f>
        <v>#NAME?</v>
      </c>
      <c r="FB66" s="75" t="e">
        <f aca="false">IF(ET66=0,0,SPRDOPT(ES66,ET66,$AK66,$AM66,EW66,EX66,EY66,$D66,$H$20,2))</f>
        <v>#NAME?</v>
      </c>
      <c r="FC66" s="75" t="n">
        <f aca="false">IF(EU66=0,0,SPRDOPT(ES66,ET66,$AK66,$AM66,EW66,EX66,EY66,$D66,$H$20,3)/100)</f>
        <v>0</v>
      </c>
      <c r="FD66" s="75" t="n">
        <f aca="false">IF(EV66=0,0,SPRDOPT(ES66,ET66,$AK66,$AM66,EW66,EX66,EY66,$D66,$H$20,4)/100)</f>
        <v>0</v>
      </c>
      <c r="FE66" s="75" t="e">
        <f aca="false">IF(EW66=0,0,SPRDOPT(ES66,ET66,$AK66,$AM66,EW66,EX66,EY66,$D66,$H$20,5)/100)</f>
        <v>#NAME?</v>
      </c>
      <c r="FF66" s="75" t="e">
        <f aca="false">IF(EX66=0,0,SPRDOPT(ES66,ET66,$AK66,$AM66,EW66,EX66,EY66,$D66,$H$20,6)/100)</f>
        <v>#NAME?</v>
      </c>
      <c r="FG66" s="75" t="e">
        <f aca="false">IF(EY66=0,0,SPRDOPT(ES66,ET66,$AK66,$AM66,EW66,EX66,EY66,$D66,$H$20,7)/100)</f>
        <v>#NAME?</v>
      </c>
      <c r="FH66" s="75" t="n">
        <f aca="false">IF(EZ66=0,0,SPRDOPT(ES66,ET66,$AK66,$AM66,EW66,EX66,EY66,$D66,$H$20,9)/365)</f>
        <v>0</v>
      </c>
      <c r="FI66" s="75" t="e">
        <f aca="false">FA66+FB66</f>
        <v>#NAME?</v>
      </c>
      <c r="FJ66" s="75" t="n">
        <f aca="false">FD66-FC66</f>
        <v>0</v>
      </c>
      <c r="FK66" s="75" t="e">
        <f aca="false">((EW66/EX66)*FE66)+FF66</f>
        <v>#NAME?</v>
      </c>
      <c r="FL66" s="75" t="n">
        <f aca="false">EY66*ER66</f>
        <v>0</v>
      </c>
      <c r="FM66" s="75"/>
      <c r="FN66" s="37" t="n">
        <f aca="false">$ER66*EZ66</f>
        <v>0</v>
      </c>
      <c r="FO66" s="37" t="e">
        <f aca="false">$ER66*FA66</f>
        <v>#NAME?</v>
      </c>
      <c r="FP66" s="37" t="e">
        <f aca="false">$ER66*FB66</f>
        <v>#NAME?</v>
      </c>
      <c r="FQ66" s="37" t="n">
        <f aca="false">$ER66*FC66</f>
        <v>0</v>
      </c>
      <c r="FR66" s="37" t="n">
        <f aca="false">$ER66*FD66</f>
        <v>0</v>
      </c>
      <c r="FS66" s="37" t="e">
        <f aca="false">$ER66*FE66</f>
        <v>#NAME?</v>
      </c>
      <c r="FT66" s="37" t="e">
        <f aca="false">$ER66*FF66</f>
        <v>#NAME?</v>
      </c>
      <c r="FU66" s="37" t="e">
        <f aca="false">$ER66*FG66</f>
        <v>#NAME?</v>
      </c>
      <c r="FV66" s="37" t="n">
        <f aca="false">$ER66*FH66</f>
        <v>0</v>
      </c>
      <c r="FW66" s="37" t="e">
        <f aca="false">$ER66*FI66</f>
        <v>#NAME?</v>
      </c>
      <c r="FX66" s="37" t="n">
        <f aca="false">$ER66*FJ66</f>
        <v>0</v>
      </c>
      <c r="FY66" s="37" t="e">
        <f aca="false">$ER66*FK66</f>
        <v>#NAME?</v>
      </c>
      <c r="GA66" s="77" t="e">
        <f aca="false">VLOOKUP(A66,skewmonthlook,2,FALSE())</f>
        <v>#REF!</v>
      </c>
      <c r="GB66" s="0" t="e">
        <f aca="false">CONCATENATE(B$3,$GA66)</f>
        <v>#REF!</v>
      </c>
      <c r="GC66" s="0" t="e">
        <f aca="false">CONCATENATE(D$3,$GA66)</f>
        <v>#REF!</v>
      </c>
      <c r="GD66" s="0" t="e">
        <f aca="false">CONCATENATE(F$3,$GA66)</f>
        <v>#REF!</v>
      </c>
      <c r="GE66" s="0" t="e">
        <f aca="false">CONCATENATE(H$3,$GA66)</f>
        <v>#REF!</v>
      </c>
      <c r="GG66" s="65" t="e">
        <f aca="false">VLOOKUP(GB66,skewlook,HLOOKUP($P66,skewlook,2),FALSE())</f>
        <v>#REF!</v>
      </c>
      <c r="GH66" s="65" t="e">
        <f aca="false">VLOOKUP(GC66,skewlook,HLOOKUP($W66,skewlook,2),FALSE())</f>
        <v>#REF!</v>
      </c>
      <c r="GI66" s="65" t="e">
        <f aca="false">VLOOKUP(GD66,skewlook,HLOOKUP($AD66,skewlook,2),FALSE())</f>
        <v>#REF!</v>
      </c>
      <c r="GJ66" s="65" t="e">
        <f aca="false">VLOOKUP(GE66,skewlook,HLOOKUP($AK66,skewlook,2),FALSE())</f>
        <v>#REF!</v>
      </c>
    </row>
    <row r="67" customFormat="false" ht="12.75" hidden="false" customHeight="false" outlineLevel="0" collapsed="false">
      <c r="A67" s="62" t="n">
        <f aca="false">DATE(YEAR(A66),MONTH(A66)+1,1)</f>
        <v>38139</v>
      </c>
      <c r="B67" s="63" t="n">
        <f aca="false">VLOOKUP(A67,STRADDLE,5,FALSE())</f>
        <v>3.2</v>
      </c>
      <c r="C67" s="4" t="n">
        <f aca="false">VLOOKUP(A67,STRADDLE,8,FALSE())</f>
        <v>0.315</v>
      </c>
      <c r="D67" s="64" t="n">
        <f aca="false">VLOOKUP(A67,expiration,2,FALSE())-$B$2</f>
        <v>-7794</v>
      </c>
      <c r="E67" s="65" t="e">
        <f aca="false">AY67</f>
        <v>#NAME?</v>
      </c>
      <c r="F67" s="65" t="e">
        <f aca="false">CI67</f>
        <v>#NAME?</v>
      </c>
      <c r="G67" s="65" t="e">
        <f aca="false">DR67</f>
        <v>#NAME?</v>
      </c>
      <c r="H67" s="65" t="e">
        <f aca="false">FA67</f>
        <v>#NAME?</v>
      </c>
      <c r="I67" s="66"/>
      <c r="J67" s="67"/>
      <c r="K67" s="63" t="n">
        <f aca="false">IF($B$3="NYMEX",0,VLOOKUP($A67,curvesettle,HLOOKUP($B$3,curvesettle,2,FALSE()),FALSE()))</f>
        <v>-0.15</v>
      </c>
      <c r="L67" s="63" t="n">
        <f aca="false">IF($B$4="NYMEX",0,VLOOKUP($A67,curvesettle,HLOOKUP($B$4,curvesettle,2,FALSE()),FALSE()))</f>
        <v>0</v>
      </c>
      <c r="M67" s="65" t="n">
        <f aca="false">IF(ISNUMBER(VLOOKUP($A67,VOLCURVES,HLOOKUP($B$3,VOLCURVES,2,FALSE()),FALSE())),VLOOKUP($A67,VOLCURVES,HLOOKUP($B$3,VOLCURVES,2,FALSE()),FALSE()),1)</f>
        <v>1</v>
      </c>
      <c r="N67" s="65" t="n">
        <f aca="false">IF(ISNUMBER(VLOOKUP($A67,VOLCURVES,HLOOKUP($B$4,VOLCURVES,2,FALSE()),FALSE())),VLOOKUP($A67,VOLCURVES,HLOOKUP($B$4,VOLCURVES,2,FALSE()),FALSE()),1)</f>
        <v>1</v>
      </c>
      <c r="O67" s="65" t="n">
        <f aca="false">IF(ISNUMBER(VLOOKUP($A67,CORETABLE,HLOOKUP($B$3,CORETABLE,2,FALSE()),FALSE())),VLOOKUP($A67,CORETABLE,HLOOKUP($B$3,CORETABLE,2,FALSE()),FALSE()),0.99)</f>
        <v>0.9945</v>
      </c>
      <c r="P67" s="68" t="n">
        <f aca="false">B$19</f>
        <v>-0.2</v>
      </c>
      <c r="Q67" s="69" t="n">
        <f aca="false">IF($B$18=1,IF(ISNUMBER($GG67),$GG67,0),0)</f>
        <v>0</v>
      </c>
      <c r="R67" s="70" t="n">
        <f aca="false">IF($D$3="NYMEX",0,VLOOKUP($A67,curvesettle,HLOOKUP($D$3,curvesettle,2,FALSE()),FALSE()))</f>
        <v>0.21</v>
      </c>
      <c r="S67" s="63" t="n">
        <f aca="false">IF($D$4="NYMEX",0,VLOOKUP($A67,curvesettle,HLOOKUP($D$4,curvesettle,2,FALSE()),FALSE()))</f>
        <v>0</v>
      </c>
      <c r="T67" s="65" t="n">
        <f aca="false">IF(ISNUMBER(VLOOKUP($A67,VOLCURVES,HLOOKUP($D$3,VOLCURVES,2,FALSE()),FALSE())),VLOOKUP($A67,VOLCURVES,HLOOKUP($D$3,VOLCURVES,2,FALSE()),FALSE()),1)</f>
        <v>1</v>
      </c>
      <c r="U67" s="65" t="n">
        <f aca="false">IF(ISNUMBER(VLOOKUP($A67,VOLCURVES,HLOOKUP($D$4,VOLCURVES,2,FALSE()),FALSE())),VLOOKUP($A67,VOLCURVES,HLOOKUP($D$4,VOLCURVES,2,FALSE()),FALSE()),1)</f>
        <v>1</v>
      </c>
      <c r="V67" s="65" t="n">
        <f aca="false">IF(ISNUMBER(VLOOKUP($A67,CORETABLE,HLOOKUP($D$3,CORETABLE,2,FALSE()),FALSE())),VLOOKUP($A67,CORETABLE,HLOOKUP($D$3,CORETABLE,2,FALSE()),FALSE()),0.99)</f>
        <v>0.98</v>
      </c>
      <c r="W67" s="68" t="n">
        <f aca="false">D$19</f>
        <v>0</v>
      </c>
      <c r="X67" s="69" t="n">
        <f aca="false">IF($D$18=1,IF(ISNUMBER($GH67),$GH67,0),0)</f>
        <v>0</v>
      </c>
      <c r="Y67" s="71" t="n">
        <f aca="false">IF($F$3="NYMEX",0,VLOOKUP($A67,curvesettle,HLOOKUP($F$3,curvesettle,2,FALSE()),FALSE()))</f>
        <v>-0.42</v>
      </c>
      <c r="Z67" s="63" t="n">
        <f aca="false">IF($F$4="NYMEX",0,VLOOKUP($A67,curvesettle,HLOOKUP($F$4,curvesettle,2,FALSE()),FALSE()))</f>
        <v>0</v>
      </c>
      <c r="AA67" s="65" t="n">
        <f aca="false">IF(ISNUMBER(VLOOKUP($A67,VOLCURVES,HLOOKUP($F$3,VOLCURVES,2,FALSE()),FALSE())),VLOOKUP($A67,VOLCURVES,HLOOKUP($F$3,VOLCURVES,2,FALSE()),FALSE()),1)</f>
        <v>1</v>
      </c>
      <c r="AB67" s="65" t="n">
        <f aca="false">IF(ISNUMBER(VLOOKUP($A67,VOLCURVES,HLOOKUP($F$4,VOLCURVES,2,FALSE()),FALSE())),VLOOKUP($A67,VOLCURVES,HLOOKUP($F$4,VOLCURVES,2,FALSE()),FALSE()),1)</f>
        <v>1</v>
      </c>
      <c r="AC67" s="65" t="n">
        <f aca="false">IF(ISNUMBER(VLOOKUP($A67,CORETABLE,HLOOKUP($F$3,CORETABLE,2,FALSE()),FALSE())),VLOOKUP($A67,CORETABLE,HLOOKUP($F$3,CORETABLE,2,FALSE()),FALSE()),0.99)</f>
        <v>0.985</v>
      </c>
      <c r="AD67" s="68" t="n">
        <f aca="false">F$19</f>
        <v>-0.6</v>
      </c>
      <c r="AE67" s="69" t="n">
        <f aca="false">IF($F$18=1,IF(ISNUMBER($GI67),$GI67,0),0)</f>
        <v>0</v>
      </c>
      <c r="AF67" s="63" t="n">
        <f aca="false">IF($H$3="NYMEX",0,VLOOKUP($A67,curvesettle,HLOOKUP($H$3,curvesettle,2,FALSE()),FALSE()))</f>
        <v>-0.42</v>
      </c>
      <c r="AG67" s="63" t="n">
        <f aca="false">IF($H$4="NYMEX",0,VLOOKUP($A67,curvesettle,HLOOKUP($H$4,curvesettle,2,FALSE()),FALSE()))</f>
        <v>0</v>
      </c>
      <c r="AH67" s="65" t="n">
        <f aca="false">IF(ISNUMBER(VLOOKUP($A67,VOLCURVES,HLOOKUP($H$3,VOLCURVES,2,FALSE()),FALSE())),VLOOKUP($A67,VOLCURVES,HLOOKUP($H$3,VOLCURVES,2,FALSE()),FALSE()),1)</f>
        <v>1</v>
      </c>
      <c r="AI67" s="65" t="n">
        <f aca="false">IF(ISNUMBER(VLOOKUP($A67,VOLCURVES,HLOOKUP($H$4,VOLCURVES,2,FALSE()),FALSE())),VLOOKUP($A67,VOLCURVES,HLOOKUP($H$4,VOLCURVES,2,FALSE()),FALSE()),1)</f>
        <v>1</v>
      </c>
      <c r="AJ67" s="65" t="n">
        <f aca="false">IF(ISNUMBER(VLOOKUP($A67,CORETABLE,HLOOKUP($H$3,CORETABLE,2,FALSE()),FALSE())),VLOOKUP($A67,CORETABLE,HLOOKUP($H$3,CORETABLE,2,FALSE()),FALSE()),0.99)</f>
        <v>0.985</v>
      </c>
      <c r="AK67" s="68" t="n">
        <f aca="false">H$19</f>
        <v>-0.45</v>
      </c>
      <c r="AL67" s="69" t="n">
        <f aca="false">IF($H$18=1,IF(ISNUMBER($GJ67),$GJ67,0),0)</f>
        <v>0</v>
      </c>
      <c r="AM67" s="4" t="n">
        <f aca="false">VLOOKUP($A67,STRADDLE,14,FALSE())</f>
        <v>0.038437177597991</v>
      </c>
      <c r="AN67" s="72" t="n">
        <f aca="false">A68-A67</f>
        <v>30</v>
      </c>
      <c r="AO67" s="1" t="n">
        <f aca="false">AO66+1</f>
        <v>30</v>
      </c>
      <c r="AP67" s="73" t="n">
        <f aca="false">IF($A67&gt;=AR$32,IF($A67&lt;=AR$33,$AN67,0),0)</f>
        <v>30</v>
      </c>
      <c r="AQ67" s="41" t="n">
        <f aca="false">$B67+$K67+$B$12</f>
        <v>3.05</v>
      </c>
      <c r="AR67" s="41" t="n">
        <f aca="false">$B67+$L67+$B$13</f>
        <v>3.2</v>
      </c>
      <c r="AS67" s="41" t="n">
        <f aca="false">AQ67*AP67</f>
        <v>91.5</v>
      </c>
      <c r="AT67" s="41" t="n">
        <f aca="false">AR67*AP67</f>
        <v>96</v>
      </c>
      <c r="AU67" s="74" t="n">
        <f aca="false">($C67*$M67)+Q67+$B$14</f>
        <v>0.315</v>
      </c>
      <c r="AV67" s="74" t="n">
        <f aca="false">($C67*$N67)+$B$15</f>
        <v>0.315</v>
      </c>
      <c r="AW67" s="65" t="n">
        <f aca="false">O67+B$16</f>
        <v>0.999</v>
      </c>
      <c r="AX67" s="75" t="e">
        <f aca="false">IF(AP67=0,0,SPRDOPT(AQ67,AR67,$P67,$AM67,AU67,AV67,AW67,$D67,$B$20,0))</f>
        <v>#NAME?</v>
      </c>
      <c r="AY67" s="75" t="e">
        <f aca="false">IF(AQ67=0,0,SPRDOPT(AQ67,AR67,$P67,$AM67,AU67,AV67,AW67,$D67,$B$20,1))</f>
        <v>#NAME?</v>
      </c>
      <c r="AZ67" s="75" t="e">
        <f aca="false">IF(AR67=0,0,SPRDOPT(AQ67,AR67,$P67,$AM67,AU67,AV67,AW67,$D67,$B$20,2))</f>
        <v>#NAME?</v>
      </c>
      <c r="BA67" s="75" t="e">
        <f aca="false">IF(AS67=0,0,SPRDOPT(AQ67,AR67,$P67,$AM67,AU67,AV67,AW67,$D67,$B$20,3)/100)</f>
        <v>#NAME?</v>
      </c>
      <c r="BB67" s="75" t="e">
        <f aca="false">IF(AT67=0,0,SPRDOPT(AQ67,AR67,$P67,$AM67,AU67,AV67,AW67,$D67,$B$20,4)/100)</f>
        <v>#NAME?</v>
      </c>
      <c r="BC67" s="75" t="e">
        <f aca="false">IF(AU67=0,0,SPRDOPT(AQ67,AR67,$P67,$AM67,AU67,AV67,AW67,$D67,$B$20,5)/100)</f>
        <v>#NAME?</v>
      </c>
      <c r="BD67" s="75" t="e">
        <f aca="false">IF(AV67=0,0,SPRDOPT(AQ67,AR67,$P67,$AM67,AU67,AV67,AW67,$D67,$B$20,6)/100)</f>
        <v>#NAME?</v>
      </c>
      <c r="BE67" s="75" t="e">
        <f aca="false">IF(AW67=0,0,SPRDOPT(AQ67,AR67,$P67,$AM67,AU67,AV67,AW67,$D67,$B$20,7)/100)</f>
        <v>#NAME?</v>
      </c>
      <c r="BF67" s="75" t="e">
        <f aca="false">IF(AX67=0,0,SPRDOPT(AQ67,AR67,$P67,$AM67,AU67,AV67,AW67,$D67,$B$20,9)/365)</f>
        <v>#NAME?</v>
      </c>
      <c r="BG67" s="75" t="e">
        <f aca="false">AY67+AZ67</f>
        <v>#NAME?</v>
      </c>
      <c r="BH67" s="75" t="e">
        <f aca="false">BB67-BA67</f>
        <v>#NAME?</v>
      </c>
      <c r="BI67" s="75" t="e">
        <f aca="false">((AU67/AV67)*BC67)+BD67</f>
        <v>#NAME?</v>
      </c>
      <c r="BJ67" s="75" t="n">
        <f aca="false">AW67*AP67</f>
        <v>29.97</v>
      </c>
      <c r="BK67" s="76"/>
      <c r="BL67" s="37" t="e">
        <f aca="false">$AP67*AX67</f>
        <v>#NAME?</v>
      </c>
      <c r="BM67" s="37" t="e">
        <f aca="false">$AP67*AY67</f>
        <v>#NAME?</v>
      </c>
      <c r="BN67" s="37" t="e">
        <f aca="false">$AP67*AZ67</f>
        <v>#NAME?</v>
      </c>
      <c r="BO67" s="37" t="e">
        <f aca="false">$AP67*BA67</f>
        <v>#NAME?</v>
      </c>
      <c r="BP67" s="37" t="e">
        <f aca="false">$AP67*BB67</f>
        <v>#NAME?</v>
      </c>
      <c r="BQ67" s="37" t="e">
        <f aca="false">$AP67*BC67</f>
        <v>#NAME?</v>
      </c>
      <c r="BR67" s="37" t="e">
        <f aca="false">$AP67*BD67</f>
        <v>#NAME?</v>
      </c>
      <c r="BS67" s="37" t="e">
        <f aca="false">$AP67*BE67</f>
        <v>#NAME?</v>
      </c>
      <c r="BT67" s="37" t="e">
        <f aca="false">$AP67*BF67</f>
        <v>#NAME?</v>
      </c>
      <c r="BU67" s="37" t="e">
        <f aca="false">$AP67*BG67</f>
        <v>#NAME?</v>
      </c>
      <c r="BV67" s="37" t="e">
        <f aca="false">$AP67*BH67</f>
        <v>#NAME?</v>
      </c>
      <c r="BW67" s="37" t="e">
        <f aca="false">$AP67*BI67</f>
        <v>#NAME?</v>
      </c>
      <c r="BX67" s="37"/>
      <c r="BZ67" s="73" t="n">
        <f aca="false">IF($A67&gt;=CB$32,IF($A67&lt;=CB$33,$AN67,0),0)</f>
        <v>0</v>
      </c>
      <c r="CA67" s="41" t="n">
        <f aca="false">$B67+$R67+$D$12</f>
        <v>3.41</v>
      </c>
      <c r="CB67" s="41" t="n">
        <f aca="false">$B67+$S67+$D$13</f>
        <v>3.2</v>
      </c>
      <c r="CC67" s="41" t="n">
        <f aca="false">CA67*BZ67</f>
        <v>0</v>
      </c>
      <c r="CD67" s="41" t="n">
        <f aca="false">CB67*BZ67</f>
        <v>0</v>
      </c>
      <c r="CE67" s="74" t="n">
        <f aca="false">($C67*$T67)+X67+$D$14</f>
        <v>0.315</v>
      </c>
      <c r="CF67" s="74" t="n">
        <f aca="false">($C67*$U67)+$D$15</f>
        <v>0.315</v>
      </c>
      <c r="CG67" s="65" t="n">
        <f aca="false">$V67+D$16</f>
        <v>0.98</v>
      </c>
      <c r="CH67" s="75" t="n">
        <f aca="false">IF(BZ67=0,0,SPRDOPT(CA67,CB67,$W67,$AM67,CE67,CF67,CG67,$D67,$D$20,0))</f>
        <v>0</v>
      </c>
      <c r="CI67" s="75" t="e">
        <f aca="false">IF(CA67=0,0,SPRDOPT(CA67,CB67,$W67,$AM67,CE67,CF67,CG67,$D67,$D$20,1))</f>
        <v>#NAME?</v>
      </c>
      <c r="CJ67" s="75" t="e">
        <f aca="false">IF(CB67=0,0,SPRDOPT(CA67,CB67,$W67,$AM67,CE67,CF67,CG67,$D67,$D$20,2))</f>
        <v>#NAME?</v>
      </c>
      <c r="CK67" s="75" t="n">
        <f aca="false">IF(CC67=0,0,SPRDOPT(CA67,CB67,$W67,$AM67,CE67,CF67,CG67,$D67,$D$20,3)/100)</f>
        <v>0</v>
      </c>
      <c r="CL67" s="75" t="n">
        <f aca="false">IF(CD67=0,0,SPRDOPT(CA67,CB67,$W67,$AM67,CE67,CF67,CG67,$D67,$D$20,4)/100)</f>
        <v>0</v>
      </c>
      <c r="CM67" s="75" t="e">
        <f aca="false">IF(CE67=0,0,SPRDOPT(CA67,CB67,$W67,$AM67,CE67,CF67,CG67,$D67,$D$20,5)/100)</f>
        <v>#NAME?</v>
      </c>
      <c r="CN67" s="75" t="e">
        <f aca="false">IF(CF67=0,0,SPRDOPT(CA67,CB67,$W67,$AM67,CE67,CF67,CG67,$D67,$D$20,6)/100)</f>
        <v>#NAME?</v>
      </c>
      <c r="CO67" s="75" t="e">
        <f aca="false">IF(CG67=0,0,SPRDOPT(CA67,CB67,$W67,$AM67,CE67,CF67,CG67,$D67,$D$20,7)/100)</f>
        <v>#NAME?</v>
      </c>
      <c r="CP67" s="75" t="n">
        <f aca="false">IF(CH67=0,0,SPRDOPT(CA67,CB67,$W67,$AM67,CE67,CF67,CG67,$D67,$D$20,9)/365)</f>
        <v>0</v>
      </c>
      <c r="CQ67" s="75" t="e">
        <f aca="false">CI67+CJ67</f>
        <v>#NAME?</v>
      </c>
      <c r="CR67" s="75" t="n">
        <f aca="false">CL67-CK67</f>
        <v>0</v>
      </c>
      <c r="CS67" s="75" t="e">
        <f aca="false">((CE67/CF67)*CM67)+CN67</f>
        <v>#NAME?</v>
      </c>
      <c r="CT67" s="75" t="n">
        <f aca="false">CG67*BZ67</f>
        <v>0</v>
      </c>
      <c r="CU67" s="76"/>
      <c r="CV67" s="37" t="n">
        <f aca="false">BZ67*CH67</f>
        <v>0</v>
      </c>
      <c r="CW67" s="37" t="e">
        <f aca="false">BZ67*CI67</f>
        <v>#NAME?</v>
      </c>
      <c r="CX67" s="37" t="e">
        <f aca="false">BZ67*CJ67</f>
        <v>#NAME?</v>
      </c>
      <c r="CY67" s="37" t="n">
        <f aca="false">BZ67*CK67</f>
        <v>0</v>
      </c>
      <c r="CZ67" s="37" t="n">
        <f aca="false">BZ67*CL67</f>
        <v>0</v>
      </c>
      <c r="DA67" s="37" t="e">
        <f aca="false">BZ67*CM67</f>
        <v>#NAME?</v>
      </c>
      <c r="DB67" s="37" t="e">
        <f aca="false">BZ67*CN67</f>
        <v>#NAME?</v>
      </c>
      <c r="DC67" s="37" t="e">
        <f aca="false">BZ67*CO67</f>
        <v>#NAME?</v>
      </c>
      <c r="DD67" s="37" t="n">
        <f aca="false">BZ67*CP67</f>
        <v>0</v>
      </c>
      <c r="DE67" s="37" t="e">
        <f aca="false">BZ67*CQ67</f>
        <v>#NAME?</v>
      </c>
      <c r="DF67" s="37" t="n">
        <f aca="false">BZ67*CR67</f>
        <v>0</v>
      </c>
      <c r="DG67" s="37" t="e">
        <f aca="false">BZ67*CS67</f>
        <v>#NAME?</v>
      </c>
      <c r="DI67" s="73" t="n">
        <f aca="false">IF($A67&gt;=DK$32,IF($A67&lt;=DK$33,$AN67,0),0)</f>
        <v>0</v>
      </c>
      <c r="DJ67" s="41" t="n">
        <f aca="false">$B67+$Y67+$F$12</f>
        <v>2.78</v>
      </c>
      <c r="DK67" s="41" t="n">
        <f aca="false">$B67+$Z67+$F$13</f>
        <v>3.2</v>
      </c>
      <c r="DL67" s="41" t="n">
        <f aca="false">DJ67*DI67</f>
        <v>0</v>
      </c>
      <c r="DM67" s="41" t="n">
        <f aca="false">DK67*DI67</f>
        <v>0</v>
      </c>
      <c r="DN67" s="74" t="n">
        <f aca="false">($C67*$AA67)+AE67+$F$14</f>
        <v>0.315</v>
      </c>
      <c r="DO67" s="74" t="n">
        <f aca="false">($C67*$AB67)+$F$15</f>
        <v>0.315</v>
      </c>
      <c r="DP67" s="65" t="n">
        <f aca="false">$AC67+$F$16</f>
        <v>0.985</v>
      </c>
      <c r="DQ67" s="75" t="n">
        <f aca="false">IF(DI67=0,0,SPRDOPT(DJ67,DK67,$AD67,$AM67,DN67,DO67,DP67,$D67,$F$20,0))</f>
        <v>0</v>
      </c>
      <c r="DR67" s="75" t="e">
        <f aca="false">IF(DJ67=0,0,SPRDOPT(DJ67,DK67,$AD67,$AM67,DN67,DO67,DP67,$D67,$F$20,1))</f>
        <v>#NAME?</v>
      </c>
      <c r="DS67" s="75" t="e">
        <f aca="false">IF(DK67=0,0,SPRDOPT(DJ67,DK67,$AD67,$AM67,DN67,DO67,DP67,$D67,$F$20,2))</f>
        <v>#NAME?</v>
      </c>
      <c r="DT67" s="75" t="n">
        <f aca="false">IF(DL67=0,0,SPRDOPT(DJ67,DK67,$AD67,$AM67,DN67,DO67,DP67,$D67,$F$20,3)/100)</f>
        <v>0</v>
      </c>
      <c r="DU67" s="75" t="n">
        <f aca="false">IF(DM67=0,0,SPRDOPT(DJ67,DK67,$AD67,$AM67,DN67,DO67,DP67,$D67,$F$20,4)/100)</f>
        <v>0</v>
      </c>
      <c r="DV67" s="75" t="e">
        <f aca="false">IF(DN67=0,0,SPRDOPT(DJ67,DK67,$AD67,$AM67,DN67,DO67,DP67,$D67,$F$20,5)/100)</f>
        <v>#NAME?</v>
      </c>
      <c r="DW67" s="75" t="e">
        <f aca="false">IF(DO67=0,0,SPRDOPT(DJ67,DK67,$AD67,$AM67,DN67,DO67,DP67,$D67,$F$20,6)/100)</f>
        <v>#NAME?</v>
      </c>
      <c r="DX67" s="75" t="e">
        <f aca="false">IF(DP67=0,0,SPRDOPT(DJ67,DK67,$AD67,$AM67,DN67,DO67,DP67,$D67,$F$20,7)/100)</f>
        <v>#NAME?</v>
      </c>
      <c r="DY67" s="75" t="n">
        <f aca="false">IF(DQ67=0,0,SPRDOPT(DJ67,DK67,$AD67,$AM67,DN67,DO67,DP67,$D67,$F$20,9)/365)</f>
        <v>0</v>
      </c>
      <c r="DZ67" s="75" t="e">
        <f aca="false">DR67+DS67</f>
        <v>#NAME?</v>
      </c>
      <c r="EA67" s="75" t="n">
        <f aca="false">DU67-DT67</f>
        <v>0</v>
      </c>
      <c r="EB67" s="75" t="e">
        <f aca="false">((DN67/DO67)*DV67)+DW67</f>
        <v>#NAME?</v>
      </c>
      <c r="EC67" s="75" t="n">
        <f aca="false">DP67*DI67</f>
        <v>0</v>
      </c>
      <c r="ED67" s="75"/>
      <c r="EE67" s="37" t="n">
        <f aca="false">DI67*DQ67</f>
        <v>0</v>
      </c>
      <c r="EF67" s="37" t="e">
        <f aca="false">DI67*DR67</f>
        <v>#NAME?</v>
      </c>
      <c r="EG67" s="37" t="e">
        <f aca="false">DI67*DS67</f>
        <v>#NAME?</v>
      </c>
      <c r="EH67" s="37" t="n">
        <f aca="false">DI67*DT67</f>
        <v>0</v>
      </c>
      <c r="EI67" s="37" t="n">
        <f aca="false">DI67*DU67</f>
        <v>0</v>
      </c>
      <c r="EJ67" s="37" t="e">
        <f aca="false">DI67*DV67</f>
        <v>#NAME?</v>
      </c>
      <c r="EK67" s="37" t="e">
        <f aca="false">DI67*DW67</f>
        <v>#NAME?</v>
      </c>
      <c r="EL67" s="37" t="e">
        <f aca="false">DI67*DX67</f>
        <v>#NAME?</v>
      </c>
      <c r="EM67" s="37" t="n">
        <f aca="false">DI67*DY67</f>
        <v>0</v>
      </c>
      <c r="EN67" s="37" t="e">
        <f aca="false">DI67*DZ67</f>
        <v>#NAME?</v>
      </c>
      <c r="EO67" s="37" t="n">
        <f aca="false">DI67*EA67</f>
        <v>0</v>
      </c>
      <c r="EP67" s="37" t="e">
        <f aca="false">DI67*EB67</f>
        <v>#NAME?</v>
      </c>
      <c r="ER67" s="73" t="n">
        <f aca="false">IF($A67&gt;=ET$32,IF($A67&lt;=ET$33,$AN67,0),0)</f>
        <v>0</v>
      </c>
      <c r="ES67" s="41" t="n">
        <f aca="false">$B67+$AF67+$H$12</f>
        <v>2.84</v>
      </c>
      <c r="ET67" s="41" t="n">
        <f aca="false">$B67+$AG67+$H$13</f>
        <v>3.2</v>
      </c>
      <c r="EU67" s="41" t="n">
        <f aca="false">ES67*ER67</f>
        <v>0</v>
      </c>
      <c r="EV67" s="41" t="n">
        <f aca="false">ET67*ER67</f>
        <v>0</v>
      </c>
      <c r="EW67" s="74" t="n">
        <f aca="false">($C67*$AH67)+AL67+$H$14</f>
        <v>0.315</v>
      </c>
      <c r="EX67" s="74" t="n">
        <f aca="false">($C67*$AI67)+$H$15</f>
        <v>0.315</v>
      </c>
      <c r="EY67" s="65" t="n">
        <f aca="false">$AJ67+$H$16</f>
        <v>0.985</v>
      </c>
      <c r="EZ67" s="75" t="n">
        <f aca="false">IF(ER67=0,0,SPRDOPT(ES67,ET67,$AK67,$AM67,EW67,EX67,EY67,$D67,$H$20,0))</f>
        <v>0</v>
      </c>
      <c r="FA67" s="75" t="e">
        <f aca="false">IF(ES67=0,0,SPRDOPT(ES67,ET67,$AK67,$AM67,EW67,EX67,EY67,$D67,$H$20,1))</f>
        <v>#NAME?</v>
      </c>
      <c r="FB67" s="75" t="e">
        <f aca="false">IF(ET67=0,0,SPRDOPT(ES67,ET67,$AK67,$AM67,EW67,EX67,EY67,$D67,$H$20,2))</f>
        <v>#NAME?</v>
      </c>
      <c r="FC67" s="75" t="n">
        <f aca="false">IF(EU67=0,0,SPRDOPT(ES67,ET67,$AK67,$AM67,EW67,EX67,EY67,$D67,$H$20,3)/100)</f>
        <v>0</v>
      </c>
      <c r="FD67" s="75" t="n">
        <f aca="false">IF(EV67=0,0,SPRDOPT(ES67,ET67,$AK67,$AM67,EW67,EX67,EY67,$D67,$H$20,4)/100)</f>
        <v>0</v>
      </c>
      <c r="FE67" s="75" t="e">
        <f aca="false">IF(EW67=0,0,SPRDOPT(ES67,ET67,$AK67,$AM67,EW67,EX67,EY67,$D67,$H$20,5)/100)</f>
        <v>#NAME?</v>
      </c>
      <c r="FF67" s="75" t="e">
        <f aca="false">IF(EX67=0,0,SPRDOPT(ES67,ET67,$AK67,$AM67,EW67,EX67,EY67,$D67,$H$20,6)/100)</f>
        <v>#NAME?</v>
      </c>
      <c r="FG67" s="75" t="e">
        <f aca="false">IF(EY67=0,0,SPRDOPT(ES67,ET67,$AK67,$AM67,EW67,EX67,EY67,$D67,$H$20,7)/100)</f>
        <v>#NAME?</v>
      </c>
      <c r="FH67" s="75" t="n">
        <f aca="false">IF(EZ67=0,0,SPRDOPT(ES67,ET67,$AK67,$AM67,EW67,EX67,EY67,$D67,$H$20,9)/365)</f>
        <v>0</v>
      </c>
      <c r="FI67" s="75" t="e">
        <f aca="false">FA67+FB67</f>
        <v>#NAME?</v>
      </c>
      <c r="FJ67" s="75" t="n">
        <f aca="false">FD67-FC67</f>
        <v>0</v>
      </c>
      <c r="FK67" s="75" t="e">
        <f aca="false">((EW67/EX67)*FE67)+FF67</f>
        <v>#NAME?</v>
      </c>
      <c r="FL67" s="75" t="n">
        <f aca="false">EY67*ER67</f>
        <v>0</v>
      </c>
      <c r="FM67" s="75"/>
      <c r="FN67" s="37" t="n">
        <f aca="false">$ER67*EZ67</f>
        <v>0</v>
      </c>
      <c r="FO67" s="37" t="e">
        <f aca="false">$ER67*FA67</f>
        <v>#NAME?</v>
      </c>
      <c r="FP67" s="37" t="e">
        <f aca="false">$ER67*FB67</f>
        <v>#NAME?</v>
      </c>
      <c r="FQ67" s="37" t="n">
        <f aca="false">$ER67*FC67</f>
        <v>0</v>
      </c>
      <c r="FR67" s="37" t="n">
        <f aca="false">$ER67*FD67</f>
        <v>0</v>
      </c>
      <c r="FS67" s="37" t="e">
        <f aca="false">$ER67*FE67</f>
        <v>#NAME?</v>
      </c>
      <c r="FT67" s="37" t="e">
        <f aca="false">$ER67*FF67</f>
        <v>#NAME?</v>
      </c>
      <c r="FU67" s="37" t="e">
        <f aca="false">$ER67*FG67</f>
        <v>#NAME?</v>
      </c>
      <c r="FV67" s="37" t="n">
        <f aca="false">$ER67*FH67</f>
        <v>0</v>
      </c>
      <c r="FW67" s="37" t="e">
        <f aca="false">$ER67*FI67</f>
        <v>#NAME?</v>
      </c>
      <c r="FX67" s="37" t="n">
        <f aca="false">$ER67*FJ67</f>
        <v>0</v>
      </c>
      <c r="FY67" s="37" t="e">
        <f aca="false">$ER67*FK67</f>
        <v>#NAME?</v>
      </c>
      <c r="GA67" s="77" t="e">
        <f aca="false">VLOOKUP(A67,skewmonthlook,2,FALSE())</f>
        <v>#REF!</v>
      </c>
      <c r="GB67" s="0" t="e">
        <f aca="false">CONCATENATE(B$3,$GA67)</f>
        <v>#REF!</v>
      </c>
      <c r="GC67" s="0" t="e">
        <f aca="false">CONCATENATE(D$3,$GA67)</f>
        <v>#REF!</v>
      </c>
      <c r="GD67" s="0" t="e">
        <f aca="false">CONCATENATE(F$3,$GA67)</f>
        <v>#REF!</v>
      </c>
      <c r="GE67" s="0" t="e">
        <f aca="false">CONCATENATE(H$3,$GA67)</f>
        <v>#REF!</v>
      </c>
      <c r="GG67" s="65" t="e">
        <f aca="false">VLOOKUP(GB67,skewlook,HLOOKUP($P67,skewlook,2),FALSE())</f>
        <v>#REF!</v>
      </c>
      <c r="GH67" s="65" t="e">
        <f aca="false">VLOOKUP(GC67,skewlook,HLOOKUP($W67,skewlook,2),FALSE())</f>
        <v>#REF!</v>
      </c>
      <c r="GI67" s="65" t="e">
        <f aca="false">VLOOKUP(GD67,skewlook,HLOOKUP($AD67,skewlook,2),FALSE())</f>
        <v>#REF!</v>
      </c>
      <c r="GJ67" s="65" t="e">
        <f aca="false">VLOOKUP(GE67,skewlook,HLOOKUP($AK67,skewlook,2),FALSE())</f>
        <v>#REF!</v>
      </c>
    </row>
    <row r="68" customFormat="false" ht="12.75" hidden="false" customHeight="false" outlineLevel="0" collapsed="false">
      <c r="A68" s="62" t="n">
        <f aca="false">DATE(YEAR(A67),MONTH(A67)+1,1)</f>
        <v>38169</v>
      </c>
      <c r="B68" s="63" t="n">
        <f aca="false">VLOOKUP(A68,STRADDLE,5,FALSE())</f>
        <v>3.24</v>
      </c>
      <c r="C68" s="4" t="n">
        <f aca="false">VLOOKUP(A68,STRADDLE,8,FALSE())</f>
        <v>0.315</v>
      </c>
      <c r="D68" s="64" t="n">
        <f aca="false">VLOOKUP(A68,expiration,2,FALSE())-$B$2</f>
        <v>-7761</v>
      </c>
      <c r="E68" s="65" t="e">
        <f aca="false">AY68</f>
        <v>#NAME?</v>
      </c>
      <c r="F68" s="65" t="e">
        <f aca="false">CI68</f>
        <v>#NAME?</v>
      </c>
      <c r="G68" s="65" t="e">
        <f aca="false">DR68</f>
        <v>#NAME?</v>
      </c>
      <c r="H68" s="65" t="e">
        <f aca="false">FA68</f>
        <v>#NAME?</v>
      </c>
      <c r="I68" s="66"/>
      <c r="J68" s="67"/>
      <c r="K68" s="63" t="n">
        <f aca="false">IF($B$3="NYMEX",0,VLOOKUP($A68,curvesettle,HLOOKUP($B$3,curvesettle,2,FALSE()),FALSE()))</f>
        <v>-0.15</v>
      </c>
      <c r="L68" s="63" t="n">
        <f aca="false">IF($B$4="NYMEX",0,VLOOKUP($A68,curvesettle,HLOOKUP($B$4,curvesettle,2,FALSE()),FALSE()))</f>
        <v>0</v>
      </c>
      <c r="M68" s="65" t="n">
        <f aca="false">IF(ISNUMBER(VLOOKUP($A68,VOLCURVES,HLOOKUP($B$3,VOLCURVES,2,FALSE()),FALSE())),VLOOKUP($A68,VOLCURVES,HLOOKUP($B$3,VOLCURVES,2,FALSE()),FALSE()),1)</f>
        <v>1</v>
      </c>
      <c r="N68" s="65" t="n">
        <f aca="false">IF(ISNUMBER(VLOOKUP($A68,VOLCURVES,HLOOKUP($B$4,VOLCURVES,2,FALSE()),FALSE())),VLOOKUP($A68,VOLCURVES,HLOOKUP($B$4,VOLCURVES,2,FALSE()),FALSE()),1)</f>
        <v>1</v>
      </c>
      <c r="O68" s="65" t="n">
        <f aca="false">IF(ISNUMBER(VLOOKUP($A68,CORETABLE,HLOOKUP($B$3,CORETABLE,2,FALSE()),FALSE())),VLOOKUP($A68,CORETABLE,HLOOKUP($B$3,CORETABLE,2,FALSE()),FALSE()),0.99)</f>
        <v>0.9945</v>
      </c>
      <c r="P68" s="68" t="n">
        <f aca="false">B$19</f>
        <v>-0.2</v>
      </c>
      <c r="Q68" s="69" t="n">
        <f aca="false">IF($B$18=1,IF(ISNUMBER($GG68),$GG68,0),0)</f>
        <v>0</v>
      </c>
      <c r="R68" s="70" t="n">
        <f aca="false">IF($D$3="NYMEX",0,VLOOKUP($A68,curvesettle,HLOOKUP($D$3,curvesettle,2,FALSE()),FALSE()))</f>
        <v>0.21</v>
      </c>
      <c r="S68" s="63" t="n">
        <f aca="false">IF($D$4="NYMEX",0,VLOOKUP($A68,curvesettle,HLOOKUP($D$4,curvesettle,2,FALSE()),FALSE()))</f>
        <v>0</v>
      </c>
      <c r="T68" s="65" t="n">
        <f aca="false">IF(ISNUMBER(VLOOKUP($A68,VOLCURVES,HLOOKUP($D$3,VOLCURVES,2,FALSE()),FALSE())),VLOOKUP($A68,VOLCURVES,HLOOKUP($D$3,VOLCURVES,2,FALSE()),FALSE()),1)</f>
        <v>1</v>
      </c>
      <c r="U68" s="65" t="n">
        <f aca="false">IF(ISNUMBER(VLOOKUP($A68,VOLCURVES,HLOOKUP($D$4,VOLCURVES,2,FALSE()),FALSE())),VLOOKUP($A68,VOLCURVES,HLOOKUP($D$4,VOLCURVES,2,FALSE()),FALSE()),1)</f>
        <v>1</v>
      </c>
      <c r="V68" s="65" t="n">
        <f aca="false">IF(ISNUMBER(VLOOKUP($A68,CORETABLE,HLOOKUP($D$3,CORETABLE,2,FALSE()),FALSE())),VLOOKUP($A68,CORETABLE,HLOOKUP($D$3,CORETABLE,2,FALSE()),FALSE()),0.99)</f>
        <v>0.98</v>
      </c>
      <c r="W68" s="68" t="n">
        <f aca="false">D$19</f>
        <v>0</v>
      </c>
      <c r="X68" s="69" t="n">
        <f aca="false">IF($D$18=1,IF(ISNUMBER($GH68),$GH68,0),0)</f>
        <v>0</v>
      </c>
      <c r="Y68" s="71" t="n">
        <f aca="false">IF($F$3="NYMEX",0,VLOOKUP($A68,curvesettle,HLOOKUP($F$3,curvesettle,2,FALSE()),FALSE()))</f>
        <v>-0.42</v>
      </c>
      <c r="Z68" s="63" t="n">
        <f aca="false">IF($F$4="NYMEX",0,VLOOKUP($A68,curvesettle,HLOOKUP($F$4,curvesettle,2,FALSE()),FALSE()))</f>
        <v>0</v>
      </c>
      <c r="AA68" s="65" t="n">
        <f aca="false">IF(ISNUMBER(VLOOKUP($A68,VOLCURVES,HLOOKUP($F$3,VOLCURVES,2,FALSE()),FALSE())),VLOOKUP($A68,VOLCURVES,HLOOKUP($F$3,VOLCURVES,2,FALSE()),FALSE()),1)</f>
        <v>1</v>
      </c>
      <c r="AB68" s="65" t="n">
        <f aca="false">IF(ISNUMBER(VLOOKUP($A68,VOLCURVES,HLOOKUP($F$4,VOLCURVES,2,FALSE()),FALSE())),VLOOKUP($A68,VOLCURVES,HLOOKUP($F$4,VOLCURVES,2,FALSE()),FALSE()),1)</f>
        <v>1</v>
      </c>
      <c r="AC68" s="65" t="n">
        <f aca="false">IF(ISNUMBER(VLOOKUP($A68,CORETABLE,HLOOKUP($F$3,CORETABLE,2,FALSE()),FALSE())),VLOOKUP($A68,CORETABLE,HLOOKUP($F$3,CORETABLE,2,FALSE()),FALSE()),0.99)</f>
        <v>0.985</v>
      </c>
      <c r="AD68" s="68" t="n">
        <f aca="false">F$19</f>
        <v>-0.6</v>
      </c>
      <c r="AE68" s="69" t="n">
        <f aca="false">IF($F$18=1,IF(ISNUMBER($GI68),$GI68,0),0)</f>
        <v>0</v>
      </c>
      <c r="AF68" s="63" t="n">
        <f aca="false">IF($H$3="NYMEX",0,VLOOKUP($A68,curvesettle,HLOOKUP($H$3,curvesettle,2,FALSE()),FALSE()))</f>
        <v>-0.42</v>
      </c>
      <c r="AG68" s="63" t="n">
        <f aca="false">IF($H$4="NYMEX",0,VLOOKUP($A68,curvesettle,HLOOKUP($H$4,curvesettle,2,FALSE()),FALSE()))</f>
        <v>0</v>
      </c>
      <c r="AH68" s="65" t="n">
        <f aca="false">IF(ISNUMBER(VLOOKUP($A68,VOLCURVES,HLOOKUP($H$3,VOLCURVES,2,FALSE()),FALSE())),VLOOKUP($A68,VOLCURVES,HLOOKUP($H$3,VOLCURVES,2,FALSE()),FALSE()),1)</f>
        <v>1</v>
      </c>
      <c r="AI68" s="65" t="n">
        <f aca="false">IF(ISNUMBER(VLOOKUP($A68,VOLCURVES,HLOOKUP($H$4,VOLCURVES,2,FALSE()),FALSE())),VLOOKUP($A68,VOLCURVES,HLOOKUP($H$4,VOLCURVES,2,FALSE()),FALSE()),1)</f>
        <v>1</v>
      </c>
      <c r="AJ68" s="65" t="n">
        <f aca="false">IF(ISNUMBER(VLOOKUP($A68,CORETABLE,HLOOKUP($H$3,CORETABLE,2,FALSE()),FALSE())),VLOOKUP($A68,CORETABLE,HLOOKUP($H$3,CORETABLE,2,FALSE()),FALSE()),0.99)</f>
        <v>0.985</v>
      </c>
      <c r="AK68" s="68" t="n">
        <f aca="false">H$19</f>
        <v>-0.45</v>
      </c>
      <c r="AL68" s="69" t="n">
        <f aca="false">IF($H$18=1,IF(ISNUMBER($GJ68),$GJ68,0),0)</f>
        <v>0</v>
      </c>
      <c r="AM68" s="4" t="n">
        <f aca="false">VLOOKUP($A68,STRADDLE,14,FALSE())</f>
        <v>0.0390982280263858</v>
      </c>
      <c r="AN68" s="72" t="n">
        <f aca="false">A69-A68</f>
        <v>31</v>
      </c>
      <c r="AO68" s="1" t="n">
        <f aca="false">AO67+1</f>
        <v>31</v>
      </c>
      <c r="AP68" s="73" t="n">
        <f aca="false">IF($A68&gt;=AR$32,IF($A68&lt;=AR$33,$AN68,0),0)</f>
        <v>31</v>
      </c>
      <c r="AQ68" s="41" t="n">
        <f aca="false">$B68+$K68+$B$12</f>
        <v>3.09</v>
      </c>
      <c r="AR68" s="41" t="n">
        <f aca="false">$B68+$L68+$B$13</f>
        <v>3.24</v>
      </c>
      <c r="AS68" s="41" t="n">
        <f aca="false">AQ68*AP68</f>
        <v>95.79</v>
      </c>
      <c r="AT68" s="41" t="n">
        <f aca="false">AR68*AP68</f>
        <v>100.44</v>
      </c>
      <c r="AU68" s="74" t="n">
        <f aca="false">($C68*$M68)+Q68+$B$14</f>
        <v>0.315</v>
      </c>
      <c r="AV68" s="74" t="n">
        <f aca="false">($C68*$N68)+$B$15</f>
        <v>0.315</v>
      </c>
      <c r="AW68" s="65" t="n">
        <f aca="false">O68+B$16</f>
        <v>0.999</v>
      </c>
      <c r="AX68" s="75" t="e">
        <f aca="false">IF(AP68=0,0,SPRDOPT(AQ68,AR68,$P68,$AM68,AU68,AV68,AW68,$D68,$B$20,0))</f>
        <v>#NAME?</v>
      </c>
      <c r="AY68" s="75" t="e">
        <f aca="false">IF(AQ68=0,0,SPRDOPT(AQ68,AR68,$P68,$AM68,AU68,AV68,AW68,$D68,$B$20,1))</f>
        <v>#NAME?</v>
      </c>
      <c r="AZ68" s="75" t="e">
        <f aca="false">IF(AR68=0,0,SPRDOPT(AQ68,AR68,$P68,$AM68,AU68,AV68,AW68,$D68,$B$20,2))</f>
        <v>#NAME?</v>
      </c>
      <c r="BA68" s="75" t="e">
        <f aca="false">IF(AS68=0,0,SPRDOPT(AQ68,AR68,$P68,$AM68,AU68,AV68,AW68,$D68,$B$20,3)/100)</f>
        <v>#NAME?</v>
      </c>
      <c r="BB68" s="75" t="e">
        <f aca="false">IF(AT68=0,0,SPRDOPT(AQ68,AR68,$P68,$AM68,AU68,AV68,AW68,$D68,$B$20,4)/100)</f>
        <v>#NAME?</v>
      </c>
      <c r="BC68" s="75" t="e">
        <f aca="false">IF(AU68=0,0,SPRDOPT(AQ68,AR68,$P68,$AM68,AU68,AV68,AW68,$D68,$B$20,5)/100)</f>
        <v>#NAME?</v>
      </c>
      <c r="BD68" s="75" t="e">
        <f aca="false">IF(AV68=0,0,SPRDOPT(AQ68,AR68,$P68,$AM68,AU68,AV68,AW68,$D68,$B$20,6)/100)</f>
        <v>#NAME?</v>
      </c>
      <c r="BE68" s="75" t="e">
        <f aca="false">IF(AW68=0,0,SPRDOPT(AQ68,AR68,$P68,$AM68,AU68,AV68,AW68,$D68,$B$20,7)/100)</f>
        <v>#NAME?</v>
      </c>
      <c r="BF68" s="75" t="e">
        <f aca="false">IF(AX68=0,0,SPRDOPT(AQ68,AR68,$P68,$AM68,AU68,AV68,AW68,$D68,$B$20,9)/365)</f>
        <v>#NAME?</v>
      </c>
      <c r="BG68" s="75" t="e">
        <f aca="false">AY68+AZ68</f>
        <v>#NAME?</v>
      </c>
      <c r="BH68" s="75" t="e">
        <f aca="false">BB68-BA68</f>
        <v>#NAME?</v>
      </c>
      <c r="BI68" s="75" t="e">
        <f aca="false">((AU68/AV68)*BC68)+BD68</f>
        <v>#NAME?</v>
      </c>
      <c r="BJ68" s="75" t="n">
        <f aca="false">AW68*AP68</f>
        <v>30.969</v>
      </c>
      <c r="BK68" s="76"/>
      <c r="BL68" s="37" t="e">
        <f aca="false">$AP68*AX68</f>
        <v>#NAME?</v>
      </c>
      <c r="BM68" s="37" t="e">
        <f aca="false">$AP68*AY68</f>
        <v>#NAME?</v>
      </c>
      <c r="BN68" s="37" t="e">
        <f aca="false">$AP68*AZ68</f>
        <v>#NAME?</v>
      </c>
      <c r="BO68" s="37" t="e">
        <f aca="false">$AP68*BA68</f>
        <v>#NAME?</v>
      </c>
      <c r="BP68" s="37" t="e">
        <f aca="false">$AP68*BB68</f>
        <v>#NAME?</v>
      </c>
      <c r="BQ68" s="37" t="e">
        <f aca="false">$AP68*BC68</f>
        <v>#NAME?</v>
      </c>
      <c r="BR68" s="37" t="e">
        <f aca="false">$AP68*BD68</f>
        <v>#NAME?</v>
      </c>
      <c r="BS68" s="37" t="e">
        <f aca="false">$AP68*BE68</f>
        <v>#NAME?</v>
      </c>
      <c r="BT68" s="37" t="e">
        <f aca="false">$AP68*BF68</f>
        <v>#NAME?</v>
      </c>
      <c r="BU68" s="37" t="e">
        <f aca="false">$AP68*BG68</f>
        <v>#NAME?</v>
      </c>
      <c r="BV68" s="37" t="e">
        <f aca="false">$AP68*BH68</f>
        <v>#NAME?</v>
      </c>
      <c r="BW68" s="37" t="e">
        <f aca="false">$AP68*BI68</f>
        <v>#NAME?</v>
      </c>
      <c r="BX68" s="37"/>
      <c r="BZ68" s="73" t="n">
        <f aca="false">IF($A68&gt;=CB$32,IF($A68&lt;=CB$33,$AN68,0),0)</f>
        <v>0</v>
      </c>
      <c r="CA68" s="41" t="n">
        <f aca="false">$B68+$R68+$D$12</f>
        <v>3.45</v>
      </c>
      <c r="CB68" s="41" t="n">
        <f aca="false">$B68+$S68+$D$13</f>
        <v>3.24</v>
      </c>
      <c r="CC68" s="41" t="n">
        <f aca="false">CA68*BZ68</f>
        <v>0</v>
      </c>
      <c r="CD68" s="41" t="n">
        <f aca="false">CB68*BZ68</f>
        <v>0</v>
      </c>
      <c r="CE68" s="74" t="n">
        <f aca="false">($C68*$T68)+X68+$D$14</f>
        <v>0.315</v>
      </c>
      <c r="CF68" s="74" t="n">
        <f aca="false">($C68*$U68)+$D$15</f>
        <v>0.315</v>
      </c>
      <c r="CG68" s="65" t="n">
        <f aca="false">$V68+D$16</f>
        <v>0.98</v>
      </c>
      <c r="CH68" s="75" t="n">
        <f aca="false">IF(BZ68=0,0,SPRDOPT(CA68,CB68,$W68,$AM68,CE68,CF68,CG68,$D68,$D$20,0))</f>
        <v>0</v>
      </c>
      <c r="CI68" s="75" t="e">
        <f aca="false">IF(CA68=0,0,SPRDOPT(CA68,CB68,$W68,$AM68,CE68,CF68,CG68,$D68,$D$20,1))</f>
        <v>#NAME?</v>
      </c>
      <c r="CJ68" s="75" t="e">
        <f aca="false">IF(CB68=0,0,SPRDOPT(CA68,CB68,$W68,$AM68,CE68,CF68,CG68,$D68,$D$20,2))</f>
        <v>#NAME?</v>
      </c>
      <c r="CK68" s="75" t="n">
        <f aca="false">IF(CC68=0,0,SPRDOPT(CA68,CB68,$W68,$AM68,CE68,CF68,CG68,$D68,$D$20,3)/100)</f>
        <v>0</v>
      </c>
      <c r="CL68" s="75" t="n">
        <f aca="false">IF(CD68=0,0,SPRDOPT(CA68,CB68,$W68,$AM68,CE68,CF68,CG68,$D68,$D$20,4)/100)</f>
        <v>0</v>
      </c>
      <c r="CM68" s="75" t="e">
        <f aca="false">IF(CE68=0,0,SPRDOPT(CA68,CB68,$W68,$AM68,CE68,CF68,CG68,$D68,$D$20,5)/100)</f>
        <v>#NAME?</v>
      </c>
      <c r="CN68" s="75" t="e">
        <f aca="false">IF(CF68=0,0,SPRDOPT(CA68,CB68,$W68,$AM68,CE68,CF68,CG68,$D68,$D$20,6)/100)</f>
        <v>#NAME?</v>
      </c>
      <c r="CO68" s="75" t="e">
        <f aca="false">IF(CG68=0,0,SPRDOPT(CA68,CB68,$W68,$AM68,CE68,CF68,CG68,$D68,$D$20,7)/100)</f>
        <v>#NAME?</v>
      </c>
      <c r="CP68" s="75" t="n">
        <f aca="false">IF(CH68=0,0,SPRDOPT(CA68,CB68,$W68,$AM68,CE68,CF68,CG68,$D68,$D$20,9)/365)</f>
        <v>0</v>
      </c>
      <c r="CQ68" s="75" t="e">
        <f aca="false">CI68+CJ68</f>
        <v>#NAME?</v>
      </c>
      <c r="CR68" s="75" t="n">
        <f aca="false">CL68-CK68</f>
        <v>0</v>
      </c>
      <c r="CS68" s="75" t="e">
        <f aca="false">((CE68/CF68)*CM68)+CN68</f>
        <v>#NAME?</v>
      </c>
      <c r="CT68" s="75" t="n">
        <f aca="false">CG68*BZ68</f>
        <v>0</v>
      </c>
      <c r="CU68" s="76"/>
      <c r="CV68" s="37" t="n">
        <f aca="false">BZ68*CH68</f>
        <v>0</v>
      </c>
      <c r="CW68" s="37" t="e">
        <f aca="false">BZ68*CI68</f>
        <v>#NAME?</v>
      </c>
      <c r="CX68" s="37" t="e">
        <f aca="false">BZ68*CJ68</f>
        <v>#NAME?</v>
      </c>
      <c r="CY68" s="37" t="n">
        <f aca="false">BZ68*CK68</f>
        <v>0</v>
      </c>
      <c r="CZ68" s="37" t="n">
        <f aca="false">BZ68*CL68</f>
        <v>0</v>
      </c>
      <c r="DA68" s="37" t="e">
        <f aca="false">BZ68*CM68</f>
        <v>#NAME?</v>
      </c>
      <c r="DB68" s="37" t="e">
        <f aca="false">BZ68*CN68</f>
        <v>#NAME?</v>
      </c>
      <c r="DC68" s="37" t="e">
        <f aca="false">BZ68*CO68</f>
        <v>#NAME?</v>
      </c>
      <c r="DD68" s="37" t="n">
        <f aca="false">BZ68*CP68</f>
        <v>0</v>
      </c>
      <c r="DE68" s="37" t="e">
        <f aca="false">BZ68*CQ68</f>
        <v>#NAME?</v>
      </c>
      <c r="DF68" s="37" t="n">
        <f aca="false">BZ68*CR68</f>
        <v>0</v>
      </c>
      <c r="DG68" s="37" t="e">
        <f aca="false">BZ68*CS68</f>
        <v>#NAME?</v>
      </c>
      <c r="DI68" s="73" t="n">
        <f aca="false">IF($A68&gt;=DK$32,IF($A68&lt;=DK$33,$AN68,0),0)</f>
        <v>0</v>
      </c>
      <c r="DJ68" s="41" t="n">
        <f aca="false">$B68+$Y68+$F$12</f>
        <v>2.82</v>
      </c>
      <c r="DK68" s="41" t="n">
        <f aca="false">$B68+$Z68+$F$13</f>
        <v>3.24</v>
      </c>
      <c r="DL68" s="41" t="n">
        <f aca="false">DJ68*DI68</f>
        <v>0</v>
      </c>
      <c r="DM68" s="41" t="n">
        <f aca="false">DK68*DI68</f>
        <v>0</v>
      </c>
      <c r="DN68" s="74" t="n">
        <f aca="false">($C68*$AA68)+AE68+$F$14</f>
        <v>0.315</v>
      </c>
      <c r="DO68" s="74" t="n">
        <f aca="false">($C68*$AB68)+$F$15</f>
        <v>0.315</v>
      </c>
      <c r="DP68" s="65" t="n">
        <f aca="false">$AC68+$F$16</f>
        <v>0.985</v>
      </c>
      <c r="DQ68" s="75" t="n">
        <f aca="false">IF(DI68=0,0,SPRDOPT(DJ68,DK68,$AD68,$AM68,DN68,DO68,DP68,$D68,$F$20,0))</f>
        <v>0</v>
      </c>
      <c r="DR68" s="75" t="e">
        <f aca="false">IF(DJ68=0,0,SPRDOPT(DJ68,DK68,$AD68,$AM68,DN68,DO68,DP68,$D68,$F$20,1))</f>
        <v>#NAME?</v>
      </c>
      <c r="DS68" s="75" t="e">
        <f aca="false">IF(DK68=0,0,SPRDOPT(DJ68,DK68,$AD68,$AM68,DN68,DO68,DP68,$D68,$F$20,2))</f>
        <v>#NAME?</v>
      </c>
      <c r="DT68" s="75" t="n">
        <f aca="false">IF(DL68=0,0,SPRDOPT(DJ68,DK68,$AD68,$AM68,DN68,DO68,DP68,$D68,$F$20,3)/100)</f>
        <v>0</v>
      </c>
      <c r="DU68" s="75" t="n">
        <f aca="false">IF(DM68=0,0,SPRDOPT(DJ68,DK68,$AD68,$AM68,DN68,DO68,DP68,$D68,$F$20,4)/100)</f>
        <v>0</v>
      </c>
      <c r="DV68" s="75" t="e">
        <f aca="false">IF(DN68=0,0,SPRDOPT(DJ68,DK68,$AD68,$AM68,DN68,DO68,DP68,$D68,$F$20,5)/100)</f>
        <v>#NAME?</v>
      </c>
      <c r="DW68" s="75" t="e">
        <f aca="false">IF(DO68=0,0,SPRDOPT(DJ68,DK68,$AD68,$AM68,DN68,DO68,DP68,$D68,$F$20,6)/100)</f>
        <v>#NAME?</v>
      </c>
      <c r="DX68" s="75" t="e">
        <f aca="false">IF(DP68=0,0,SPRDOPT(DJ68,DK68,$AD68,$AM68,DN68,DO68,DP68,$D68,$F$20,7)/100)</f>
        <v>#NAME?</v>
      </c>
      <c r="DY68" s="75" t="n">
        <f aca="false">IF(DQ68=0,0,SPRDOPT(DJ68,DK68,$AD68,$AM68,DN68,DO68,DP68,$D68,$F$20,9)/365)</f>
        <v>0</v>
      </c>
      <c r="DZ68" s="75" t="e">
        <f aca="false">DR68+DS68</f>
        <v>#NAME?</v>
      </c>
      <c r="EA68" s="75" t="n">
        <f aca="false">DU68-DT68</f>
        <v>0</v>
      </c>
      <c r="EB68" s="75" t="e">
        <f aca="false">((DN68/DO68)*DV68)+DW68</f>
        <v>#NAME?</v>
      </c>
      <c r="EC68" s="75" t="n">
        <f aca="false">DP68*DI68</f>
        <v>0</v>
      </c>
      <c r="ED68" s="75"/>
      <c r="EE68" s="37" t="n">
        <f aca="false">DI68*DQ68</f>
        <v>0</v>
      </c>
      <c r="EF68" s="37" t="e">
        <f aca="false">DI68*DR68</f>
        <v>#NAME?</v>
      </c>
      <c r="EG68" s="37" t="e">
        <f aca="false">DI68*DS68</f>
        <v>#NAME?</v>
      </c>
      <c r="EH68" s="37" t="n">
        <f aca="false">DI68*DT68</f>
        <v>0</v>
      </c>
      <c r="EI68" s="37" t="n">
        <f aca="false">DI68*DU68</f>
        <v>0</v>
      </c>
      <c r="EJ68" s="37" t="e">
        <f aca="false">DI68*DV68</f>
        <v>#NAME?</v>
      </c>
      <c r="EK68" s="37" t="e">
        <f aca="false">DI68*DW68</f>
        <v>#NAME?</v>
      </c>
      <c r="EL68" s="37" t="e">
        <f aca="false">DI68*DX68</f>
        <v>#NAME?</v>
      </c>
      <c r="EM68" s="37" t="n">
        <f aca="false">DI68*DY68</f>
        <v>0</v>
      </c>
      <c r="EN68" s="37" t="e">
        <f aca="false">DI68*DZ68</f>
        <v>#NAME?</v>
      </c>
      <c r="EO68" s="37" t="n">
        <f aca="false">DI68*EA68</f>
        <v>0</v>
      </c>
      <c r="EP68" s="37" t="e">
        <f aca="false">DI68*EB68</f>
        <v>#NAME?</v>
      </c>
      <c r="ER68" s="73" t="n">
        <f aca="false">IF($A68&gt;=ET$32,IF($A68&lt;=ET$33,$AN68,0),0)</f>
        <v>0</v>
      </c>
      <c r="ES68" s="41" t="n">
        <f aca="false">$B68+$AF68+$H$12</f>
        <v>2.88</v>
      </c>
      <c r="ET68" s="41" t="n">
        <f aca="false">$B68+$AG68+$H$13</f>
        <v>3.24</v>
      </c>
      <c r="EU68" s="41" t="n">
        <f aca="false">ES68*ER68</f>
        <v>0</v>
      </c>
      <c r="EV68" s="41" t="n">
        <f aca="false">ET68*ER68</f>
        <v>0</v>
      </c>
      <c r="EW68" s="74" t="n">
        <f aca="false">($C68*$AH68)+AL68+$H$14</f>
        <v>0.315</v>
      </c>
      <c r="EX68" s="74" t="n">
        <f aca="false">($C68*$AI68)+$H$15</f>
        <v>0.315</v>
      </c>
      <c r="EY68" s="65" t="n">
        <f aca="false">$AJ68+$H$16</f>
        <v>0.985</v>
      </c>
      <c r="EZ68" s="75" t="n">
        <f aca="false">IF(ER68=0,0,SPRDOPT(ES68,ET68,$AK68,$AM68,EW68,EX68,EY68,$D68,$H$20,0))</f>
        <v>0</v>
      </c>
      <c r="FA68" s="75" t="e">
        <f aca="false">IF(ES68=0,0,SPRDOPT(ES68,ET68,$AK68,$AM68,EW68,EX68,EY68,$D68,$H$20,1))</f>
        <v>#NAME?</v>
      </c>
      <c r="FB68" s="75" t="e">
        <f aca="false">IF(ET68=0,0,SPRDOPT(ES68,ET68,$AK68,$AM68,EW68,EX68,EY68,$D68,$H$20,2))</f>
        <v>#NAME?</v>
      </c>
      <c r="FC68" s="75" t="n">
        <f aca="false">IF(EU68=0,0,SPRDOPT(ES68,ET68,$AK68,$AM68,EW68,EX68,EY68,$D68,$H$20,3)/100)</f>
        <v>0</v>
      </c>
      <c r="FD68" s="75" t="n">
        <f aca="false">IF(EV68=0,0,SPRDOPT(ES68,ET68,$AK68,$AM68,EW68,EX68,EY68,$D68,$H$20,4)/100)</f>
        <v>0</v>
      </c>
      <c r="FE68" s="75" t="e">
        <f aca="false">IF(EW68=0,0,SPRDOPT(ES68,ET68,$AK68,$AM68,EW68,EX68,EY68,$D68,$H$20,5)/100)</f>
        <v>#NAME?</v>
      </c>
      <c r="FF68" s="75" t="e">
        <f aca="false">IF(EX68=0,0,SPRDOPT(ES68,ET68,$AK68,$AM68,EW68,EX68,EY68,$D68,$H$20,6)/100)</f>
        <v>#NAME?</v>
      </c>
      <c r="FG68" s="75" t="e">
        <f aca="false">IF(EY68=0,0,SPRDOPT(ES68,ET68,$AK68,$AM68,EW68,EX68,EY68,$D68,$H$20,7)/100)</f>
        <v>#NAME?</v>
      </c>
      <c r="FH68" s="75" t="n">
        <f aca="false">IF(EZ68=0,0,SPRDOPT(ES68,ET68,$AK68,$AM68,EW68,EX68,EY68,$D68,$H$20,9)/365)</f>
        <v>0</v>
      </c>
      <c r="FI68" s="75" t="e">
        <f aca="false">FA68+FB68</f>
        <v>#NAME?</v>
      </c>
      <c r="FJ68" s="75" t="n">
        <f aca="false">FD68-FC68</f>
        <v>0</v>
      </c>
      <c r="FK68" s="75" t="e">
        <f aca="false">((EW68/EX68)*FE68)+FF68</f>
        <v>#NAME?</v>
      </c>
      <c r="FL68" s="75" t="n">
        <f aca="false">EY68*ER68</f>
        <v>0</v>
      </c>
      <c r="FM68" s="75"/>
      <c r="FN68" s="37" t="n">
        <f aca="false">$ER68*EZ68</f>
        <v>0</v>
      </c>
      <c r="FO68" s="37" t="e">
        <f aca="false">$ER68*FA68</f>
        <v>#NAME?</v>
      </c>
      <c r="FP68" s="37" t="e">
        <f aca="false">$ER68*FB68</f>
        <v>#NAME?</v>
      </c>
      <c r="FQ68" s="37" t="n">
        <f aca="false">$ER68*FC68</f>
        <v>0</v>
      </c>
      <c r="FR68" s="37" t="n">
        <f aca="false">$ER68*FD68</f>
        <v>0</v>
      </c>
      <c r="FS68" s="37" t="e">
        <f aca="false">$ER68*FE68</f>
        <v>#NAME?</v>
      </c>
      <c r="FT68" s="37" t="e">
        <f aca="false">$ER68*FF68</f>
        <v>#NAME?</v>
      </c>
      <c r="FU68" s="37" t="e">
        <f aca="false">$ER68*FG68</f>
        <v>#NAME?</v>
      </c>
      <c r="FV68" s="37" t="n">
        <f aca="false">$ER68*FH68</f>
        <v>0</v>
      </c>
      <c r="FW68" s="37" t="e">
        <f aca="false">$ER68*FI68</f>
        <v>#NAME?</v>
      </c>
      <c r="FX68" s="37" t="n">
        <f aca="false">$ER68*FJ68</f>
        <v>0</v>
      </c>
      <c r="FY68" s="37" t="e">
        <f aca="false">$ER68*FK68</f>
        <v>#NAME?</v>
      </c>
      <c r="GA68" s="77" t="e">
        <f aca="false">VLOOKUP(A68,skewmonthlook,2,FALSE())</f>
        <v>#REF!</v>
      </c>
      <c r="GB68" s="0" t="e">
        <f aca="false">CONCATENATE(B$3,$GA68)</f>
        <v>#REF!</v>
      </c>
      <c r="GC68" s="0" t="e">
        <f aca="false">CONCATENATE(D$3,$GA68)</f>
        <v>#REF!</v>
      </c>
      <c r="GD68" s="0" t="e">
        <f aca="false">CONCATENATE(F$3,$GA68)</f>
        <v>#REF!</v>
      </c>
      <c r="GE68" s="0" t="e">
        <f aca="false">CONCATENATE(H$3,$GA68)</f>
        <v>#REF!</v>
      </c>
      <c r="GG68" s="65" t="e">
        <f aca="false">VLOOKUP(GB68,skewlook,HLOOKUP($P68,skewlook,2),FALSE())</f>
        <v>#REF!</v>
      </c>
      <c r="GH68" s="65" t="e">
        <f aca="false">VLOOKUP(GC68,skewlook,HLOOKUP($W68,skewlook,2),FALSE())</f>
        <v>#REF!</v>
      </c>
      <c r="GI68" s="65" t="e">
        <f aca="false">VLOOKUP(GD68,skewlook,HLOOKUP($AD68,skewlook,2),FALSE())</f>
        <v>#REF!</v>
      </c>
      <c r="GJ68" s="65" t="e">
        <f aca="false">VLOOKUP(GE68,skewlook,HLOOKUP($AK68,skewlook,2),FALSE())</f>
        <v>#REF!</v>
      </c>
    </row>
    <row r="69" customFormat="false" ht="12.75" hidden="false" customHeight="false" outlineLevel="0" collapsed="false">
      <c r="A69" s="62" t="n">
        <f aca="false">DATE(YEAR(A68),MONTH(A68)+1,1)</f>
        <v>38200</v>
      </c>
      <c r="B69" s="63" t="n">
        <f aca="false">VLOOKUP(A69,STRADDLE,5,FALSE())</f>
        <v>3.28</v>
      </c>
      <c r="C69" s="4" t="n">
        <f aca="false">VLOOKUP(A69,STRADDLE,8,FALSE())</f>
        <v>0.315</v>
      </c>
      <c r="D69" s="64" t="n">
        <f aca="false">VLOOKUP(A69,expiration,2,FALSE())-$B$2</f>
        <v>-7731</v>
      </c>
      <c r="E69" s="65" t="e">
        <f aca="false">AY69</f>
        <v>#NAME?</v>
      </c>
      <c r="F69" s="65" t="e">
        <f aca="false">CI69</f>
        <v>#NAME?</v>
      </c>
      <c r="G69" s="65" t="e">
        <f aca="false">DR69</f>
        <v>#NAME?</v>
      </c>
      <c r="H69" s="65" t="e">
        <f aca="false">FA69</f>
        <v>#NAME?</v>
      </c>
      <c r="I69" s="66"/>
      <c r="J69" s="67"/>
      <c r="K69" s="63" t="n">
        <f aca="false">IF($B$3="NYMEX",0,VLOOKUP($A69,curvesettle,HLOOKUP($B$3,curvesettle,2,FALSE()),FALSE()))</f>
        <v>-0.15</v>
      </c>
      <c r="L69" s="63" t="n">
        <f aca="false">IF($B$4="NYMEX",0,VLOOKUP($A69,curvesettle,HLOOKUP($B$4,curvesettle,2,FALSE()),FALSE()))</f>
        <v>0</v>
      </c>
      <c r="M69" s="65" t="n">
        <f aca="false">IF(ISNUMBER(VLOOKUP($A69,VOLCURVES,HLOOKUP($B$3,VOLCURVES,2,FALSE()),FALSE())),VLOOKUP($A69,VOLCURVES,HLOOKUP($B$3,VOLCURVES,2,FALSE()),FALSE()),1)</f>
        <v>1</v>
      </c>
      <c r="N69" s="65" t="n">
        <f aca="false">IF(ISNUMBER(VLOOKUP($A69,VOLCURVES,HLOOKUP($B$4,VOLCURVES,2,FALSE()),FALSE())),VLOOKUP($A69,VOLCURVES,HLOOKUP($B$4,VOLCURVES,2,FALSE()),FALSE()),1)</f>
        <v>1</v>
      </c>
      <c r="O69" s="65" t="n">
        <f aca="false">IF(ISNUMBER(VLOOKUP($A69,CORETABLE,HLOOKUP($B$3,CORETABLE,2,FALSE()),FALSE())),VLOOKUP($A69,CORETABLE,HLOOKUP($B$3,CORETABLE,2,FALSE()),FALSE()),0.99)</f>
        <v>0.9945</v>
      </c>
      <c r="P69" s="68" t="n">
        <f aca="false">B$19</f>
        <v>-0.2</v>
      </c>
      <c r="Q69" s="69" t="n">
        <f aca="false">IF($B$18=1,IF(ISNUMBER($GG69),$GG69,0),0)</f>
        <v>0</v>
      </c>
      <c r="R69" s="70" t="n">
        <f aca="false">IF($D$3="NYMEX",0,VLOOKUP($A69,curvesettle,HLOOKUP($D$3,curvesettle,2,FALSE()),FALSE()))</f>
        <v>0.21</v>
      </c>
      <c r="S69" s="63" t="n">
        <f aca="false">IF($D$4="NYMEX",0,VLOOKUP($A69,curvesettle,HLOOKUP($D$4,curvesettle,2,FALSE()),FALSE()))</f>
        <v>0</v>
      </c>
      <c r="T69" s="65" t="n">
        <f aca="false">IF(ISNUMBER(VLOOKUP($A69,VOLCURVES,HLOOKUP($D$3,VOLCURVES,2,FALSE()),FALSE())),VLOOKUP($A69,VOLCURVES,HLOOKUP($D$3,VOLCURVES,2,FALSE()),FALSE()),1)</f>
        <v>1</v>
      </c>
      <c r="U69" s="65" t="n">
        <f aca="false">IF(ISNUMBER(VLOOKUP($A69,VOLCURVES,HLOOKUP($D$4,VOLCURVES,2,FALSE()),FALSE())),VLOOKUP($A69,VOLCURVES,HLOOKUP($D$4,VOLCURVES,2,FALSE()),FALSE()),1)</f>
        <v>1</v>
      </c>
      <c r="V69" s="65" t="n">
        <f aca="false">IF(ISNUMBER(VLOOKUP($A69,CORETABLE,HLOOKUP($D$3,CORETABLE,2,FALSE()),FALSE())),VLOOKUP($A69,CORETABLE,HLOOKUP($D$3,CORETABLE,2,FALSE()),FALSE()),0.99)</f>
        <v>0.98</v>
      </c>
      <c r="W69" s="68" t="n">
        <f aca="false">D$19</f>
        <v>0</v>
      </c>
      <c r="X69" s="69" t="n">
        <f aca="false">IF($D$18=1,IF(ISNUMBER($GH69),$GH69,0),0)</f>
        <v>0</v>
      </c>
      <c r="Y69" s="71" t="n">
        <f aca="false">IF($F$3="NYMEX",0,VLOOKUP($A69,curvesettle,HLOOKUP($F$3,curvesettle,2,FALSE()),FALSE()))</f>
        <v>-0.42</v>
      </c>
      <c r="Z69" s="63" t="n">
        <f aca="false">IF($F$4="NYMEX",0,VLOOKUP($A69,curvesettle,HLOOKUP($F$4,curvesettle,2,FALSE()),FALSE()))</f>
        <v>0</v>
      </c>
      <c r="AA69" s="65" t="n">
        <f aca="false">IF(ISNUMBER(VLOOKUP($A69,VOLCURVES,HLOOKUP($F$3,VOLCURVES,2,FALSE()),FALSE())),VLOOKUP($A69,VOLCURVES,HLOOKUP($F$3,VOLCURVES,2,FALSE()),FALSE()),1)</f>
        <v>1</v>
      </c>
      <c r="AB69" s="65" t="n">
        <f aca="false">IF(ISNUMBER(VLOOKUP($A69,VOLCURVES,HLOOKUP($F$4,VOLCURVES,2,FALSE()),FALSE())),VLOOKUP($A69,VOLCURVES,HLOOKUP($F$4,VOLCURVES,2,FALSE()),FALSE()),1)</f>
        <v>1</v>
      </c>
      <c r="AC69" s="65" t="n">
        <f aca="false">IF(ISNUMBER(VLOOKUP($A69,CORETABLE,HLOOKUP($F$3,CORETABLE,2,FALSE()),FALSE())),VLOOKUP($A69,CORETABLE,HLOOKUP($F$3,CORETABLE,2,FALSE()),FALSE()),0.99)</f>
        <v>0.985</v>
      </c>
      <c r="AD69" s="68" t="n">
        <f aca="false">F$19</f>
        <v>-0.6</v>
      </c>
      <c r="AE69" s="69" t="n">
        <f aca="false">IF($F$18=1,IF(ISNUMBER($GI69),$GI69,0),0)</f>
        <v>0</v>
      </c>
      <c r="AF69" s="63" t="n">
        <f aca="false">IF($H$3="NYMEX",0,VLOOKUP($A69,curvesettle,HLOOKUP($H$3,curvesettle,2,FALSE()),FALSE()))</f>
        <v>-0.42</v>
      </c>
      <c r="AG69" s="63" t="n">
        <f aca="false">IF($H$4="NYMEX",0,VLOOKUP($A69,curvesettle,HLOOKUP($H$4,curvesettle,2,FALSE()),FALSE()))</f>
        <v>0</v>
      </c>
      <c r="AH69" s="65" t="n">
        <f aca="false">IF(ISNUMBER(VLOOKUP($A69,VOLCURVES,HLOOKUP($H$3,VOLCURVES,2,FALSE()),FALSE())),VLOOKUP($A69,VOLCURVES,HLOOKUP($H$3,VOLCURVES,2,FALSE()),FALSE()),1)</f>
        <v>1</v>
      </c>
      <c r="AI69" s="65" t="n">
        <f aca="false">IF(ISNUMBER(VLOOKUP($A69,VOLCURVES,HLOOKUP($H$4,VOLCURVES,2,FALSE()),FALSE())),VLOOKUP($A69,VOLCURVES,HLOOKUP($H$4,VOLCURVES,2,FALSE()),FALSE()),1)</f>
        <v>1</v>
      </c>
      <c r="AJ69" s="65" t="n">
        <f aca="false">IF(ISNUMBER(VLOOKUP($A69,CORETABLE,HLOOKUP($H$3,CORETABLE,2,FALSE()),FALSE())),VLOOKUP($A69,CORETABLE,HLOOKUP($H$3,CORETABLE,2,FALSE()),FALSE()),0.99)</f>
        <v>0.985</v>
      </c>
      <c r="AK69" s="68" t="n">
        <f aca="false">H$19</f>
        <v>-0.45</v>
      </c>
      <c r="AL69" s="69" t="n">
        <f aca="false">IF($H$18=1,IF(ISNUMBER($GJ69),$GJ69,0),0)</f>
        <v>0</v>
      </c>
      <c r="AM69" s="4" t="n">
        <f aca="false">VLOOKUP($A69,STRADDLE,14,FALSE())</f>
        <v>0.0397424893326637</v>
      </c>
      <c r="AN69" s="72" t="n">
        <f aca="false">A70-A69</f>
        <v>31</v>
      </c>
      <c r="AO69" s="1" t="n">
        <f aca="false">AO68+1</f>
        <v>32</v>
      </c>
      <c r="AP69" s="73" t="n">
        <f aca="false">IF($A69&gt;=AR$32,IF($A69&lt;=AR$33,$AN69,0),0)</f>
        <v>31</v>
      </c>
      <c r="AQ69" s="41" t="n">
        <f aca="false">$B69+$K69+$B$12</f>
        <v>3.13</v>
      </c>
      <c r="AR69" s="41" t="n">
        <f aca="false">$B69+$L69+$B$13</f>
        <v>3.28</v>
      </c>
      <c r="AS69" s="41" t="n">
        <f aca="false">AQ69*AP69</f>
        <v>97.03</v>
      </c>
      <c r="AT69" s="41" t="n">
        <f aca="false">AR69*AP69</f>
        <v>101.68</v>
      </c>
      <c r="AU69" s="74" t="n">
        <f aca="false">($C69*$M69)+Q69+$B$14</f>
        <v>0.315</v>
      </c>
      <c r="AV69" s="74" t="n">
        <f aca="false">($C69*$N69)+$B$15</f>
        <v>0.315</v>
      </c>
      <c r="AW69" s="65" t="n">
        <f aca="false">O69+B$16</f>
        <v>0.999</v>
      </c>
      <c r="AX69" s="75" t="e">
        <f aca="false">IF(AP69=0,0,SPRDOPT(AQ69,AR69,$P69,$AM69,AU69,AV69,AW69,$D69,$B$20,0))</f>
        <v>#NAME?</v>
      </c>
      <c r="AY69" s="75" t="e">
        <f aca="false">IF(AQ69=0,0,SPRDOPT(AQ69,AR69,$P69,$AM69,AU69,AV69,AW69,$D69,$B$20,1))</f>
        <v>#NAME?</v>
      </c>
      <c r="AZ69" s="75" t="e">
        <f aca="false">IF(AR69=0,0,SPRDOPT(AQ69,AR69,$P69,$AM69,AU69,AV69,AW69,$D69,$B$20,2))</f>
        <v>#NAME?</v>
      </c>
      <c r="BA69" s="75" t="e">
        <f aca="false">IF(AS69=0,0,SPRDOPT(AQ69,AR69,$P69,$AM69,AU69,AV69,AW69,$D69,$B$20,3)/100)</f>
        <v>#NAME?</v>
      </c>
      <c r="BB69" s="75" t="e">
        <f aca="false">IF(AT69=0,0,SPRDOPT(AQ69,AR69,$P69,$AM69,AU69,AV69,AW69,$D69,$B$20,4)/100)</f>
        <v>#NAME?</v>
      </c>
      <c r="BC69" s="75" t="e">
        <f aca="false">IF(AU69=0,0,SPRDOPT(AQ69,AR69,$P69,$AM69,AU69,AV69,AW69,$D69,$B$20,5)/100)</f>
        <v>#NAME?</v>
      </c>
      <c r="BD69" s="75" t="e">
        <f aca="false">IF(AV69=0,0,SPRDOPT(AQ69,AR69,$P69,$AM69,AU69,AV69,AW69,$D69,$B$20,6)/100)</f>
        <v>#NAME?</v>
      </c>
      <c r="BE69" s="75" t="e">
        <f aca="false">IF(AW69=0,0,SPRDOPT(AQ69,AR69,$P69,$AM69,AU69,AV69,AW69,$D69,$B$20,7)/100)</f>
        <v>#NAME?</v>
      </c>
      <c r="BF69" s="75" t="e">
        <f aca="false">IF(AX69=0,0,SPRDOPT(AQ69,AR69,$P69,$AM69,AU69,AV69,AW69,$D69,$B$20,9)/365)</f>
        <v>#NAME?</v>
      </c>
      <c r="BG69" s="75" t="e">
        <f aca="false">AY69+AZ69</f>
        <v>#NAME?</v>
      </c>
      <c r="BH69" s="75" t="e">
        <f aca="false">BB69-BA69</f>
        <v>#NAME?</v>
      </c>
      <c r="BI69" s="75" t="e">
        <f aca="false">((AU69/AV69)*BC69)+BD69</f>
        <v>#NAME?</v>
      </c>
      <c r="BJ69" s="75" t="n">
        <f aca="false">AW69*AP69</f>
        <v>30.969</v>
      </c>
      <c r="BK69" s="76"/>
      <c r="BL69" s="37" t="e">
        <f aca="false">$AP69*AX69</f>
        <v>#NAME?</v>
      </c>
      <c r="BM69" s="37" t="e">
        <f aca="false">$AP69*AY69</f>
        <v>#NAME?</v>
      </c>
      <c r="BN69" s="37" t="e">
        <f aca="false">$AP69*AZ69</f>
        <v>#NAME?</v>
      </c>
      <c r="BO69" s="37" t="e">
        <f aca="false">$AP69*BA69</f>
        <v>#NAME?</v>
      </c>
      <c r="BP69" s="37" t="e">
        <f aca="false">$AP69*BB69</f>
        <v>#NAME?</v>
      </c>
      <c r="BQ69" s="37" t="e">
        <f aca="false">$AP69*BC69</f>
        <v>#NAME?</v>
      </c>
      <c r="BR69" s="37" t="e">
        <f aca="false">$AP69*BD69</f>
        <v>#NAME?</v>
      </c>
      <c r="BS69" s="37" t="e">
        <f aca="false">$AP69*BE69</f>
        <v>#NAME?</v>
      </c>
      <c r="BT69" s="37" t="e">
        <f aca="false">$AP69*BF69</f>
        <v>#NAME?</v>
      </c>
      <c r="BU69" s="37" t="e">
        <f aca="false">$AP69*BG69</f>
        <v>#NAME?</v>
      </c>
      <c r="BV69" s="37" t="e">
        <f aca="false">$AP69*BH69</f>
        <v>#NAME?</v>
      </c>
      <c r="BW69" s="37" t="e">
        <f aca="false">$AP69*BI69</f>
        <v>#NAME?</v>
      </c>
      <c r="BX69" s="37"/>
      <c r="BZ69" s="73" t="n">
        <f aca="false">IF($A69&gt;=CB$32,IF($A69&lt;=CB$33,$AN69,0),0)</f>
        <v>0</v>
      </c>
      <c r="CA69" s="41" t="n">
        <f aca="false">$B69+$R69+$D$12</f>
        <v>3.49</v>
      </c>
      <c r="CB69" s="41" t="n">
        <f aca="false">$B69+$S69+$D$13</f>
        <v>3.28</v>
      </c>
      <c r="CC69" s="41" t="n">
        <f aca="false">CA69*BZ69</f>
        <v>0</v>
      </c>
      <c r="CD69" s="41" t="n">
        <f aca="false">CB69*BZ69</f>
        <v>0</v>
      </c>
      <c r="CE69" s="74" t="n">
        <f aca="false">($C69*$T69)+X69+$D$14</f>
        <v>0.315</v>
      </c>
      <c r="CF69" s="74" t="n">
        <f aca="false">($C69*$U69)+$D$15</f>
        <v>0.315</v>
      </c>
      <c r="CG69" s="65" t="n">
        <f aca="false">$V69+D$16</f>
        <v>0.98</v>
      </c>
      <c r="CH69" s="75" t="n">
        <f aca="false">IF(BZ69=0,0,SPRDOPT(CA69,CB69,$W69,$AM69,CE69,CF69,CG69,$D69,$D$20,0))</f>
        <v>0</v>
      </c>
      <c r="CI69" s="75" t="e">
        <f aca="false">IF(CA69=0,0,SPRDOPT(CA69,CB69,$W69,$AM69,CE69,CF69,CG69,$D69,$D$20,1))</f>
        <v>#NAME?</v>
      </c>
      <c r="CJ69" s="75" t="e">
        <f aca="false">IF(CB69=0,0,SPRDOPT(CA69,CB69,$W69,$AM69,CE69,CF69,CG69,$D69,$D$20,2))</f>
        <v>#NAME?</v>
      </c>
      <c r="CK69" s="75" t="n">
        <f aca="false">IF(CC69=0,0,SPRDOPT(CA69,CB69,$W69,$AM69,CE69,CF69,CG69,$D69,$D$20,3)/100)</f>
        <v>0</v>
      </c>
      <c r="CL69" s="75" t="n">
        <f aca="false">IF(CD69=0,0,SPRDOPT(CA69,CB69,$W69,$AM69,CE69,CF69,CG69,$D69,$D$20,4)/100)</f>
        <v>0</v>
      </c>
      <c r="CM69" s="75" t="e">
        <f aca="false">IF(CE69=0,0,SPRDOPT(CA69,CB69,$W69,$AM69,CE69,CF69,CG69,$D69,$D$20,5)/100)</f>
        <v>#NAME?</v>
      </c>
      <c r="CN69" s="75" t="e">
        <f aca="false">IF(CF69=0,0,SPRDOPT(CA69,CB69,$W69,$AM69,CE69,CF69,CG69,$D69,$D$20,6)/100)</f>
        <v>#NAME?</v>
      </c>
      <c r="CO69" s="75" t="e">
        <f aca="false">IF(CG69=0,0,SPRDOPT(CA69,CB69,$W69,$AM69,CE69,CF69,CG69,$D69,$D$20,7)/100)</f>
        <v>#NAME?</v>
      </c>
      <c r="CP69" s="75" t="n">
        <f aca="false">IF(CH69=0,0,SPRDOPT(CA69,CB69,$W69,$AM69,CE69,CF69,CG69,$D69,$D$20,9)/365)</f>
        <v>0</v>
      </c>
      <c r="CQ69" s="75" t="e">
        <f aca="false">CI69+CJ69</f>
        <v>#NAME?</v>
      </c>
      <c r="CR69" s="75" t="n">
        <f aca="false">CL69-CK69</f>
        <v>0</v>
      </c>
      <c r="CS69" s="75" t="e">
        <f aca="false">((CE69/CF69)*CM69)+CN69</f>
        <v>#NAME?</v>
      </c>
      <c r="CT69" s="75" t="n">
        <f aca="false">CG69*BZ69</f>
        <v>0</v>
      </c>
      <c r="CU69" s="76"/>
      <c r="CV69" s="37" t="n">
        <f aca="false">BZ69*CH69</f>
        <v>0</v>
      </c>
      <c r="CW69" s="37" t="e">
        <f aca="false">BZ69*CI69</f>
        <v>#NAME?</v>
      </c>
      <c r="CX69" s="37" t="e">
        <f aca="false">BZ69*CJ69</f>
        <v>#NAME?</v>
      </c>
      <c r="CY69" s="37" t="n">
        <f aca="false">BZ69*CK69</f>
        <v>0</v>
      </c>
      <c r="CZ69" s="37" t="n">
        <f aca="false">BZ69*CL69</f>
        <v>0</v>
      </c>
      <c r="DA69" s="37" t="e">
        <f aca="false">BZ69*CM69</f>
        <v>#NAME?</v>
      </c>
      <c r="DB69" s="37" t="e">
        <f aca="false">BZ69*CN69</f>
        <v>#NAME?</v>
      </c>
      <c r="DC69" s="37" t="e">
        <f aca="false">BZ69*CO69</f>
        <v>#NAME?</v>
      </c>
      <c r="DD69" s="37" t="n">
        <f aca="false">BZ69*CP69</f>
        <v>0</v>
      </c>
      <c r="DE69" s="37" t="e">
        <f aca="false">BZ69*CQ69</f>
        <v>#NAME?</v>
      </c>
      <c r="DF69" s="37" t="n">
        <f aca="false">BZ69*CR69</f>
        <v>0</v>
      </c>
      <c r="DG69" s="37" t="e">
        <f aca="false">BZ69*CS69</f>
        <v>#NAME?</v>
      </c>
      <c r="DI69" s="73" t="n">
        <f aca="false">IF($A69&gt;=DK$32,IF($A69&lt;=DK$33,$AN69,0),0)</f>
        <v>0</v>
      </c>
      <c r="DJ69" s="41" t="n">
        <f aca="false">$B69+$Y69+$F$12</f>
        <v>2.86</v>
      </c>
      <c r="DK69" s="41" t="n">
        <f aca="false">$B69+$Z69+$F$13</f>
        <v>3.28</v>
      </c>
      <c r="DL69" s="41" t="n">
        <f aca="false">DJ69*DI69</f>
        <v>0</v>
      </c>
      <c r="DM69" s="41" t="n">
        <f aca="false">DK69*DI69</f>
        <v>0</v>
      </c>
      <c r="DN69" s="74" t="n">
        <f aca="false">($C69*$AA69)+AE69+$F$14</f>
        <v>0.315</v>
      </c>
      <c r="DO69" s="74" t="n">
        <f aca="false">($C69*$AB69)+$F$15</f>
        <v>0.315</v>
      </c>
      <c r="DP69" s="65" t="n">
        <f aca="false">$AC69+$F$16</f>
        <v>0.985</v>
      </c>
      <c r="DQ69" s="75" t="n">
        <f aca="false">IF(DI69=0,0,SPRDOPT(DJ69,DK69,$AD69,$AM69,DN69,DO69,DP69,$D69,$F$20,0))</f>
        <v>0</v>
      </c>
      <c r="DR69" s="75" t="e">
        <f aca="false">IF(DJ69=0,0,SPRDOPT(DJ69,DK69,$AD69,$AM69,DN69,DO69,DP69,$D69,$F$20,1))</f>
        <v>#NAME?</v>
      </c>
      <c r="DS69" s="75" t="e">
        <f aca="false">IF(DK69=0,0,SPRDOPT(DJ69,DK69,$AD69,$AM69,DN69,DO69,DP69,$D69,$F$20,2))</f>
        <v>#NAME?</v>
      </c>
      <c r="DT69" s="75" t="n">
        <f aca="false">IF(DL69=0,0,SPRDOPT(DJ69,DK69,$AD69,$AM69,DN69,DO69,DP69,$D69,$F$20,3)/100)</f>
        <v>0</v>
      </c>
      <c r="DU69" s="75" t="n">
        <f aca="false">IF(DM69=0,0,SPRDOPT(DJ69,DK69,$AD69,$AM69,DN69,DO69,DP69,$D69,$F$20,4)/100)</f>
        <v>0</v>
      </c>
      <c r="DV69" s="75" t="e">
        <f aca="false">IF(DN69=0,0,SPRDOPT(DJ69,DK69,$AD69,$AM69,DN69,DO69,DP69,$D69,$F$20,5)/100)</f>
        <v>#NAME?</v>
      </c>
      <c r="DW69" s="75" t="e">
        <f aca="false">IF(DO69=0,0,SPRDOPT(DJ69,DK69,$AD69,$AM69,DN69,DO69,DP69,$D69,$F$20,6)/100)</f>
        <v>#NAME?</v>
      </c>
      <c r="DX69" s="75" t="e">
        <f aca="false">IF(DP69=0,0,SPRDOPT(DJ69,DK69,$AD69,$AM69,DN69,DO69,DP69,$D69,$F$20,7)/100)</f>
        <v>#NAME?</v>
      </c>
      <c r="DY69" s="75" t="n">
        <f aca="false">IF(DQ69=0,0,SPRDOPT(DJ69,DK69,$AD69,$AM69,DN69,DO69,DP69,$D69,$F$20,9)/365)</f>
        <v>0</v>
      </c>
      <c r="DZ69" s="75" t="e">
        <f aca="false">DR69+DS69</f>
        <v>#NAME?</v>
      </c>
      <c r="EA69" s="75" t="n">
        <f aca="false">DU69-DT69</f>
        <v>0</v>
      </c>
      <c r="EB69" s="75" t="e">
        <f aca="false">((DN69/DO69)*DV69)+DW69</f>
        <v>#NAME?</v>
      </c>
      <c r="EC69" s="75" t="n">
        <f aca="false">DP69*DI69</f>
        <v>0</v>
      </c>
      <c r="ED69" s="75"/>
      <c r="EE69" s="37" t="n">
        <f aca="false">DI69*DQ69</f>
        <v>0</v>
      </c>
      <c r="EF69" s="37" t="e">
        <f aca="false">DI69*DR69</f>
        <v>#NAME?</v>
      </c>
      <c r="EG69" s="37" t="e">
        <f aca="false">DI69*DS69</f>
        <v>#NAME?</v>
      </c>
      <c r="EH69" s="37" t="n">
        <f aca="false">DI69*DT69</f>
        <v>0</v>
      </c>
      <c r="EI69" s="37" t="n">
        <f aca="false">DI69*DU69</f>
        <v>0</v>
      </c>
      <c r="EJ69" s="37" t="e">
        <f aca="false">DI69*DV69</f>
        <v>#NAME?</v>
      </c>
      <c r="EK69" s="37" t="e">
        <f aca="false">DI69*DW69</f>
        <v>#NAME?</v>
      </c>
      <c r="EL69" s="37" t="e">
        <f aca="false">DI69*DX69</f>
        <v>#NAME?</v>
      </c>
      <c r="EM69" s="37" t="n">
        <f aca="false">DI69*DY69</f>
        <v>0</v>
      </c>
      <c r="EN69" s="37" t="e">
        <f aca="false">DI69*DZ69</f>
        <v>#NAME?</v>
      </c>
      <c r="EO69" s="37" t="n">
        <f aca="false">DI69*EA69</f>
        <v>0</v>
      </c>
      <c r="EP69" s="37" t="e">
        <f aca="false">DI69*EB69</f>
        <v>#NAME?</v>
      </c>
      <c r="ER69" s="73" t="n">
        <f aca="false">IF($A69&gt;=ET$32,IF($A69&lt;=ET$33,$AN69,0),0)</f>
        <v>0</v>
      </c>
      <c r="ES69" s="41" t="n">
        <f aca="false">$B69+$AF69+$H$12</f>
        <v>2.92</v>
      </c>
      <c r="ET69" s="41" t="n">
        <f aca="false">$B69+$AG69+$H$13</f>
        <v>3.28</v>
      </c>
      <c r="EU69" s="41" t="n">
        <f aca="false">ES69*ER69</f>
        <v>0</v>
      </c>
      <c r="EV69" s="41" t="n">
        <f aca="false">ET69*ER69</f>
        <v>0</v>
      </c>
      <c r="EW69" s="74" t="n">
        <f aca="false">($C69*$AH69)+AL69+$H$14</f>
        <v>0.315</v>
      </c>
      <c r="EX69" s="74" t="n">
        <f aca="false">($C69*$AI69)+$H$15</f>
        <v>0.315</v>
      </c>
      <c r="EY69" s="65" t="n">
        <f aca="false">$AJ69+$H$16</f>
        <v>0.985</v>
      </c>
      <c r="EZ69" s="75" t="n">
        <f aca="false">IF(ER69=0,0,SPRDOPT(ES69,ET69,$AK69,$AM69,EW69,EX69,EY69,$D69,$H$20,0))</f>
        <v>0</v>
      </c>
      <c r="FA69" s="75" t="e">
        <f aca="false">IF(ES69=0,0,SPRDOPT(ES69,ET69,$AK69,$AM69,EW69,EX69,EY69,$D69,$H$20,1))</f>
        <v>#NAME?</v>
      </c>
      <c r="FB69" s="75" t="e">
        <f aca="false">IF(ET69=0,0,SPRDOPT(ES69,ET69,$AK69,$AM69,EW69,EX69,EY69,$D69,$H$20,2))</f>
        <v>#NAME?</v>
      </c>
      <c r="FC69" s="75" t="n">
        <f aca="false">IF(EU69=0,0,SPRDOPT(ES69,ET69,$AK69,$AM69,EW69,EX69,EY69,$D69,$H$20,3)/100)</f>
        <v>0</v>
      </c>
      <c r="FD69" s="75" t="n">
        <f aca="false">IF(EV69=0,0,SPRDOPT(ES69,ET69,$AK69,$AM69,EW69,EX69,EY69,$D69,$H$20,4)/100)</f>
        <v>0</v>
      </c>
      <c r="FE69" s="75" t="e">
        <f aca="false">IF(EW69=0,0,SPRDOPT(ES69,ET69,$AK69,$AM69,EW69,EX69,EY69,$D69,$H$20,5)/100)</f>
        <v>#NAME?</v>
      </c>
      <c r="FF69" s="75" t="e">
        <f aca="false">IF(EX69=0,0,SPRDOPT(ES69,ET69,$AK69,$AM69,EW69,EX69,EY69,$D69,$H$20,6)/100)</f>
        <v>#NAME?</v>
      </c>
      <c r="FG69" s="75" t="e">
        <f aca="false">IF(EY69=0,0,SPRDOPT(ES69,ET69,$AK69,$AM69,EW69,EX69,EY69,$D69,$H$20,7)/100)</f>
        <v>#NAME?</v>
      </c>
      <c r="FH69" s="75" t="n">
        <f aca="false">IF(EZ69=0,0,SPRDOPT(ES69,ET69,$AK69,$AM69,EW69,EX69,EY69,$D69,$H$20,9)/365)</f>
        <v>0</v>
      </c>
      <c r="FI69" s="75" t="e">
        <f aca="false">FA69+FB69</f>
        <v>#NAME?</v>
      </c>
      <c r="FJ69" s="75" t="n">
        <f aca="false">FD69-FC69</f>
        <v>0</v>
      </c>
      <c r="FK69" s="75" t="e">
        <f aca="false">((EW69/EX69)*FE69)+FF69</f>
        <v>#NAME?</v>
      </c>
      <c r="FL69" s="75" t="n">
        <f aca="false">EY69*ER69</f>
        <v>0</v>
      </c>
      <c r="FM69" s="75"/>
      <c r="FN69" s="37" t="n">
        <f aca="false">$ER69*EZ69</f>
        <v>0</v>
      </c>
      <c r="FO69" s="37" t="e">
        <f aca="false">$ER69*FA69</f>
        <v>#NAME?</v>
      </c>
      <c r="FP69" s="37" t="e">
        <f aca="false">$ER69*FB69</f>
        <v>#NAME?</v>
      </c>
      <c r="FQ69" s="37" t="n">
        <f aca="false">$ER69*FC69</f>
        <v>0</v>
      </c>
      <c r="FR69" s="37" t="n">
        <f aca="false">$ER69*FD69</f>
        <v>0</v>
      </c>
      <c r="FS69" s="37" t="e">
        <f aca="false">$ER69*FE69</f>
        <v>#NAME?</v>
      </c>
      <c r="FT69" s="37" t="e">
        <f aca="false">$ER69*FF69</f>
        <v>#NAME?</v>
      </c>
      <c r="FU69" s="37" t="e">
        <f aca="false">$ER69*FG69</f>
        <v>#NAME?</v>
      </c>
      <c r="FV69" s="37" t="n">
        <f aca="false">$ER69*FH69</f>
        <v>0</v>
      </c>
      <c r="FW69" s="37" t="e">
        <f aca="false">$ER69*FI69</f>
        <v>#NAME?</v>
      </c>
      <c r="FX69" s="37" t="n">
        <f aca="false">$ER69*FJ69</f>
        <v>0</v>
      </c>
      <c r="FY69" s="37" t="e">
        <f aca="false">$ER69*FK69</f>
        <v>#NAME?</v>
      </c>
      <c r="GA69" s="77" t="e">
        <f aca="false">VLOOKUP(A69,skewmonthlook,2,FALSE())</f>
        <v>#REF!</v>
      </c>
      <c r="GB69" s="0" t="e">
        <f aca="false">CONCATENATE(B$3,$GA69)</f>
        <v>#REF!</v>
      </c>
      <c r="GC69" s="0" t="e">
        <f aca="false">CONCATENATE(D$3,$GA69)</f>
        <v>#REF!</v>
      </c>
      <c r="GD69" s="0" t="e">
        <f aca="false">CONCATENATE(F$3,$GA69)</f>
        <v>#REF!</v>
      </c>
      <c r="GE69" s="0" t="e">
        <f aca="false">CONCATENATE(H$3,$GA69)</f>
        <v>#REF!</v>
      </c>
      <c r="GG69" s="65" t="e">
        <f aca="false">VLOOKUP(GB69,skewlook,HLOOKUP($P69,skewlook,2),FALSE())</f>
        <v>#REF!</v>
      </c>
      <c r="GH69" s="65" t="e">
        <f aca="false">VLOOKUP(GC69,skewlook,HLOOKUP($W69,skewlook,2),FALSE())</f>
        <v>#REF!</v>
      </c>
      <c r="GI69" s="65" t="e">
        <f aca="false">VLOOKUP(GD69,skewlook,HLOOKUP($AD69,skewlook,2),FALSE())</f>
        <v>#REF!</v>
      </c>
      <c r="GJ69" s="65" t="e">
        <f aca="false">VLOOKUP(GE69,skewlook,HLOOKUP($AK69,skewlook,2),FALSE())</f>
        <v>#REF!</v>
      </c>
    </row>
    <row r="70" customFormat="false" ht="12.75" hidden="false" customHeight="false" outlineLevel="0" collapsed="false">
      <c r="A70" s="62" t="n">
        <f aca="false">DATE(YEAR(A69),MONTH(A69)+1,1)</f>
        <v>38231</v>
      </c>
      <c r="B70" s="63" t="n">
        <f aca="false">VLOOKUP(A70,STRADDLE,5,FALSE())</f>
        <v>3.275</v>
      </c>
      <c r="C70" s="4" t="n">
        <f aca="false">VLOOKUP(A70,STRADDLE,8,FALSE())</f>
        <v>0.315</v>
      </c>
      <c r="D70" s="64" t="n">
        <f aca="false">VLOOKUP(A70,expiration,2,FALSE())-$B$2</f>
        <v>-7701</v>
      </c>
      <c r="E70" s="65" t="e">
        <f aca="false">AY70</f>
        <v>#NAME?</v>
      </c>
      <c r="F70" s="65" t="e">
        <f aca="false">CI70</f>
        <v>#NAME?</v>
      </c>
      <c r="G70" s="65" t="e">
        <f aca="false">DR70</f>
        <v>#NAME?</v>
      </c>
      <c r="H70" s="65" t="e">
        <f aca="false">FA70</f>
        <v>#NAME?</v>
      </c>
      <c r="I70" s="66"/>
      <c r="J70" s="67"/>
      <c r="K70" s="63" t="n">
        <f aca="false">IF($B$3="NYMEX",0,VLOOKUP($A70,curvesettle,HLOOKUP($B$3,curvesettle,2,FALSE()),FALSE()))</f>
        <v>-0.15</v>
      </c>
      <c r="L70" s="63" t="n">
        <f aca="false">IF($B$4="NYMEX",0,VLOOKUP($A70,curvesettle,HLOOKUP($B$4,curvesettle,2,FALSE()),FALSE()))</f>
        <v>0</v>
      </c>
      <c r="M70" s="65" t="n">
        <f aca="false">IF(ISNUMBER(VLOOKUP($A70,VOLCURVES,HLOOKUP($B$3,VOLCURVES,2,FALSE()),FALSE())),VLOOKUP($A70,VOLCURVES,HLOOKUP($B$3,VOLCURVES,2,FALSE()),FALSE()),1)</f>
        <v>1</v>
      </c>
      <c r="N70" s="65" t="n">
        <f aca="false">IF(ISNUMBER(VLOOKUP($A70,VOLCURVES,HLOOKUP($B$4,VOLCURVES,2,FALSE()),FALSE())),VLOOKUP($A70,VOLCURVES,HLOOKUP($B$4,VOLCURVES,2,FALSE()),FALSE()),1)</f>
        <v>1</v>
      </c>
      <c r="O70" s="65" t="n">
        <f aca="false">IF(ISNUMBER(VLOOKUP($A70,CORETABLE,HLOOKUP($B$3,CORETABLE,2,FALSE()),FALSE())),VLOOKUP($A70,CORETABLE,HLOOKUP($B$3,CORETABLE,2,FALSE()),FALSE()),0.99)</f>
        <v>0.9945</v>
      </c>
      <c r="P70" s="68" t="n">
        <f aca="false">B$19</f>
        <v>-0.2</v>
      </c>
      <c r="Q70" s="69" t="n">
        <f aca="false">IF($B$18=1,IF(ISNUMBER($GG70),$GG70,0),0)</f>
        <v>0</v>
      </c>
      <c r="R70" s="70" t="n">
        <f aca="false">IF($D$3="NYMEX",0,VLOOKUP($A70,curvesettle,HLOOKUP($D$3,curvesettle,2,FALSE()),FALSE()))</f>
        <v>0.21</v>
      </c>
      <c r="S70" s="63" t="n">
        <f aca="false">IF($D$4="NYMEX",0,VLOOKUP($A70,curvesettle,HLOOKUP($D$4,curvesettle,2,FALSE()),FALSE()))</f>
        <v>0</v>
      </c>
      <c r="T70" s="65" t="n">
        <f aca="false">IF(ISNUMBER(VLOOKUP($A70,VOLCURVES,HLOOKUP($D$3,VOLCURVES,2,FALSE()),FALSE())),VLOOKUP($A70,VOLCURVES,HLOOKUP($D$3,VOLCURVES,2,FALSE()),FALSE()),1)</f>
        <v>1</v>
      </c>
      <c r="U70" s="65" t="n">
        <f aca="false">IF(ISNUMBER(VLOOKUP($A70,VOLCURVES,HLOOKUP($D$4,VOLCURVES,2,FALSE()),FALSE())),VLOOKUP($A70,VOLCURVES,HLOOKUP($D$4,VOLCURVES,2,FALSE()),FALSE()),1)</f>
        <v>1</v>
      </c>
      <c r="V70" s="65" t="n">
        <f aca="false">IF(ISNUMBER(VLOOKUP($A70,CORETABLE,HLOOKUP($D$3,CORETABLE,2,FALSE()),FALSE())),VLOOKUP($A70,CORETABLE,HLOOKUP($D$3,CORETABLE,2,FALSE()),FALSE()),0.99)</f>
        <v>0.98</v>
      </c>
      <c r="W70" s="68" t="n">
        <f aca="false">D$19</f>
        <v>0</v>
      </c>
      <c r="X70" s="69" t="n">
        <f aca="false">IF($D$18=1,IF(ISNUMBER($GH70),$GH70,0),0)</f>
        <v>0</v>
      </c>
      <c r="Y70" s="71" t="n">
        <f aca="false">IF($F$3="NYMEX",0,VLOOKUP($A70,curvesettle,HLOOKUP($F$3,curvesettle,2,FALSE()),FALSE()))</f>
        <v>-0.42</v>
      </c>
      <c r="Z70" s="63" t="n">
        <f aca="false">IF($F$4="NYMEX",0,VLOOKUP($A70,curvesettle,HLOOKUP($F$4,curvesettle,2,FALSE()),FALSE()))</f>
        <v>0</v>
      </c>
      <c r="AA70" s="65" t="n">
        <f aca="false">IF(ISNUMBER(VLOOKUP($A70,VOLCURVES,HLOOKUP($F$3,VOLCURVES,2,FALSE()),FALSE())),VLOOKUP($A70,VOLCURVES,HLOOKUP($F$3,VOLCURVES,2,FALSE()),FALSE()),1)</f>
        <v>1</v>
      </c>
      <c r="AB70" s="65" t="n">
        <f aca="false">IF(ISNUMBER(VLOOKUP($A70,VOLCURVES,HLOOKUP($F$4,VOLCURVES,2,FALSE()),FALSE())),VLOOKUP($A70,VOLCURVES,HLOOKUP($F$4,VOLCURVES,2,FALSE()),FALSE()),1)</f>
        <v>1</v>
      </c>
      <c r="AC70" s="65" t="n">
        <f aca="false">IF(ISNUMBER(VLOOKUP($A70,CORETABLE,HLOOKUP($F$3,CORETABLE,2,FALSE()),FALSE())),VLOOKUP($A70,CORETABLE,HLOOKUP($F$3,CORETABLE,2,FALSE()),FALSE()),0.99)</f>
        <v>0.985</v>
      </c>
      <c r="AD70" s="68" t="n">
        <f aca="false">F$19</f>
        <v>-0.6</v>
      </c>
      <c r="AE70" s="69" t="n">
        <f aca="false">IF($F$18=1,IF(ISNUMBER($GI70),$GI70,0),0)</f>
        <v>0</v>
      </c>
      <c r="AF70" s="63" t="n">
        <f aca="false">IF($H$3="NYMEX",0,VLOOKUP($A70,curvesettle,HLOOKUP($H$3,curvesettle,2,FALSE()),FALSE()))</f>
        <v>-0.42</v>
      </c>
      <c r="AG70" s="63" t="n">
        <f aca="false">IF($H$4="NYMEX",0,VLOOKUP($A70,curvesettle,HLOOKUP($H$4,curvesettle,2,FALSE()),FALSE()))</f>
        <v>0</v>
      </c>
      <c r="AH70" s="65" t="n">
        <f aca="false">IF(ISNUMBER(VLOOKUP($A70,VOLCURVES,HLOOKUP($H$3,VOLCURVES,2,FALSE()),FALSE())),VLOOKUP($A70,VOLCURVES,HLOOKUP($H$3,VOLCURVES,2,FALSE()),FALSE()),1)</f>
        <v>1</v>
      </c>
      <c r="AI70" s="65" t="n">
        <f aca="false">IF(ISNUMBER(VLOOKUP($A70,VOLCURVES,HLOOKUP($H$4,VOLCURVES,2,FALSE()),FALSE())),VLOOKUP($A70,VOLCURVES,HLOOKUP($H$4,VOLCURVES,2,FALSE()),FALSE()),1)</f>
        <v>1</v>
      </c>
      <c r="AJ70" s="65" t="n">
        <f aca="false">IF(ISNUMBER(VLOOKUP($A70,CORETABLE,HLOOKUP($H$3,CORETABLE,2,FALSE()),FALSE())),VLOOKUP($A70,CORETABLE,HLOOKUP($H$3,CORETABLE,2,FALSE()),FALSE()),0.99)</f>
        <v>0.985</v>
      </c>
      <c r="AK70" s="68" t="n">
        <f aca="false">H$19</f>
        <v>-0.45</v>
      </c>
      <c r="AL70" s="69" t="n">
        <f aca="false">IF($H$18=1,IF(ISNUMBER($GJ70),$GJ70,0),0)</f>
        <v>0</v>
      </c>
      <c r="AM70" s="4" t="n">
        <f aca="false">VLOOKUP($A70,STRADDLE,14,FALSE())</f>
        <v>0.0403867507782238</v>
      </c>
      <c r="AN70" s="72" t="n">
        <f aca="false">A71-A70</f>
        <v>30</v>
      </c>
      <c r="AO70" s="1" t="n">
        <f aca="false">AO69+1</f>
        <v>33</v>
      </c>
      <c r="AP70" s="73" t="n">
        <f aca="false">IF($A70&gt;=AR$32,IF($A70&lt;=AR$33,$AN70,0),0)</f>
        <v>30</v>
      </c>
      <c r="AQ70" s="41" t="n">
        <f aca="false">$B70+$K70+$B$12</f>
        <v>3.125</v>
      </c>
      <c r="AR70" s="41" t="n">
        <f aca="false">$B70+$L70+$B$13</f>
        <v>3.275</v>
      </c>
      <c r="AS70" s="41" t="n">
        <f aca="false">AQ70*AP70</f>
        <v>93.75</v>
      </c>
      <c r="AT70" s="41" t="n">
        <f aca="false">AR70*AP70</f>
        <v>98.25</v>
      </c>
      <c r="AU70" s="74" t="n">
        <f aca="false">($C70*$M70)+Q70+$B$14</f>
        <v>0.315</v>
      </c>
      <c r="AV70" s="74" t="n">
        <f aca="false">($C70*$N70)+$B$15</f>
        <v>0.315</v>
      </c>
      <c r="AW70" s="65" t="n">
        <f aca="false">O70+B$16</f>
        <v>0.999</v>
      </c>
      <c r="AX70" s="75" t="e">
        <f aca="false">IF(AP70=0,0,SPRDOPT(AQ70,AR70,$P70,$AM70,AU70,AV70,AW70,$D70,$B$20,0))</f>
        <v>#NAME?</v>
      </c>
      <c r="AY70" s="75" t="e">
        <f aca="false">IF(AQ70=0,0,SPRDOPT(AQ70,AR70,$P70,$AM70,AU70,AV70,AW70,$D70,$B$20,1))</f>
        <v>#NAME?</v>
      </c>
      <c r="AZ70" s="75" t="e">
        <f aca="false">IF(AR70=0,0,SPRDOPT(AQ70,AR70,$P70,$AM70,AU70,AV70,AW70,$D70,$B$20,2))</f>
        <v>#NAME?</v>
      </c>
      <c r="BA70" s="75" t="e">
        <f aca="false">IF(AS70=0,0,SPRDOPT(AQ70,AR70,$P70,$AM70,AU70,AV70,AW70,$D70,$B$20,3)/100)</f>
        <v>#NAME?</v>
      </c>
      <c r="BB70" s="75" t="e">
        <f aca="false">IF(AT70=0,0,SPRDOPT(AQ70,AR70,$P70,$AM70,AU70,AV70,AW70,$D70,$B$20,4)/100)</f>
        <v>#NAME?</v>
      </c>
      <c r="BC70" s="75" t="e">
        <f aca="false">IF(AU70=0,0,SPRDOPT(AQ70,AR70,$P70,$AM70,AU70,AV70,AW70,$D70,$B$20,5)/100)</f>
        <v>#NAME?</v>
      </c>
      <c r="BD70" s="75" t="e">
        <f aca="false">IF(AV70=0,0,SPRDOPT(AQ70,AR70,$P70,$AM70,AU70,AV70,AW70,$D70,$B$20,6)/100)</f>
        <v>#NAME?</v>
      </c>
      <c r="BE70" s="75" t="e">
        <f aca="false">IF(AW70=0,0,SPRDOPT(AQ70,AR70,$P70,$AM70,AU70,AV70,AW70,$D70,$B$20,7)/100)</f>
        <v>#NAME?</v>
      </c>
      <c r="BF70" s="75" t="e">
        <f aca="false">IF(AX70=0,0,SPRDOPT(AQ70,AR70,$P70,$AM70,AU70,AV70,AW70,$D70,$B$20,9)/365)</f>
        <v>#NAME?</v>
      </c>
      <c r="BG70" s="75" t="e">
        <f aca="false">AY70+AZ70</f>
        <v>#NAME?</v>
      </c>
      <c r="BH70" s="75" t="e">
        <f aca="false">BB70-BA70</f>
        <v>#NAME?</v>
      </c>
      <c r="BI70" s="75" t="e">
        <f aca="false">((AU70/AV70)*BC70)+BD70</f>
        <v>#NAME?</v>
      </c>
      <c r="BJ70" s="75" t="n">
        <f aca="false">AW70*AP70</f>
        <v>29.97</v>
      </c>
      <c r="BK70" s="76"/>
      <c r="BL70" s="37" t="e">
        <f aca="false">$AP70*AX70</f>
        <v>#NAME?</v>
      </c>
      <c r="BM70" s="37" t="e">
        <f aca="false">$AP70*AY70</f>
        <v>#NAME?</v>
      </c>
      <c r="BN70" s="37" t="e">
        <f aca="false">$AP70*AZ70</f>
        <v>#NAME?</v>
      </c>
      <c r="BO70" s="37" t="e">
        <f aca="false">$AP70*BA70</f>
        <v>#NAME?</v>
      </c>
      <c r="BP70" s="37" t="e">
        <f aca="false">$AP70*BB70</f>
        <v>#NAME?</v>
      </c>
      <c r="BQ70" s="37" t="e">
        <f aca="false">$AP70*BC70</f>
        <v>#NAME?</v>
      </c>
      <c r="BR70" s="37" t="e">
        <f aca="false">$AP70*BD70</f>
        <v>#NAME?</v>
      </c>
      <c r="BS70" s="37" t="e">
        <f aca="false">$AP70*BE70</f>
        <v>#NAME?</v>
      </c>
      <c r="BT70" s="37" t="e">
        <f aca="false">$AP70*BF70</f>
        <v>#NAME?</v>
      </c>
      <c r="BU70" s="37" t="e">
        <f aca="false">$AP70*BG70</f>
        <v>#NAME?</v>
      </c>
      <c r="BV70" s="37" t="e">
        <f aca="false">$AP70*BH70</f>
        <v>#NAME?</v>
      </c>
      <c r="BW70" s="37" t="e">
        <f aca="false">$AP70*BI70</f>
        <v>#NAME?</v>
      </c>
      <c r="BX70" s="37"/>
      <c r="BZ70" s="73" t="n">
        <f aca="false">IF($A70&gt;=CB$32,IF($A70&lt;=CB$33,$AN70,0),0)</f>
        <v>0</v>
      </c>
      <c r="CA70" s="41" t="n">
        <f aca="false">$B70+$R70+$D$12</f>
        <v>3.485</v>
      </c>
      <c r="CB70" s="41" t="n">
        <f aca="false">$B70+$S70+$D$13</f>
        <v>3.275</v>
      </c>
      <c r="CC70" s="41" t="n">
        <f aca="false">CA70*BZ70</f>
        <v>0</v>
      </c>
      <c r="CD70" s="41" t="n">
        <f aca="false">CB70*BZ70</f>
        <v>0</v>
      </c>
      <c r="CE70" s="74" t="n">
        <f aca="false">($C70*$T70)+X70+$D$14</f>
        <v>0.315</v>
      </c>
      <c r="CF70" s="74" t="n">
        <f aca="false">($C70*$U70)+$D$15</f>
        <v>0.315</v>
      </c>
      <c r="CG70" s="65" t="n">
        <f aca="false">$V70+D$16</f>
        <v>0.98</v>
      </c>
      <c r="CH70" s="75" t="n">
        <f aca="false">IF(BZ70=0,0,SPRDOPT(CA70,CB70,$W70,$AM70,CE70,CF70,CG70,$D70,$D$20,0))</f>
        <v>0</v>
      </c>
      <c r="CI70" s="75" t="e">
        <f aca="false">IF(CA70=0,0,SPRDOPT(CA70,CB70,$W70,$AM70,CE70,CF70,CG70,$D70,$D$20,1))</f>
        <v>#NAME?</v>
      </c>
      <c r="CJ70" s="75" t="e">
        <f aca="false">IF(CB70=0,0,SPRDOPT(CA70,CB70,$W70,$AM70,CE70,CF70,CG70,$D70,$D$20,2))</f>
        <v>#NAME?</v>
      </c>
      <c r="CK70" s="75" t="n">
        <f aca="false">IF(CC70=0,0,SPRDOPT(CA70,CB70,$W70,$AM70,CE70,CF70,CG70,$D70,$D$20,3)/100)</f>
        <v>0</v>
      </c>
      <c r="CL70" s="75" t="n">
        <f aca="false">IF(CD70=0,0,SPRDOPT(CA70,CB70,$W70,$AM70,CE70,CF70,CG70,$D70,$D$20,4)/100)</f>
        <v>0</v>
      </c>
      <c r="CM70" s="75" t="e">
        <f aca="false">IF(CE70=0,0,SPRDOPT(CA70,CB70,$W70,$AM70,CE70,CF70,CG70,$D70,$D$20,5)/100)</f>
        <v>#NAME?</v>
      </c>
      <c r="CN70" s="75" t="e">
        <f aca="false">IF(CF70=0,0,SPRDOPT(CA70,CB70,$W70,$AM70,CE70,CF70,CG70,$D70,$D$20,6)/100)</f>
        <v>#NAME?</v>
      </c>
      <c r="CO70" s="75" t="e">
        <f aca="false">IF(CG70=0,0,SPRDOPT(CA70,CB70,$W70,$AM70,CE70,CF70,CG70,$D70,$D$20,7)/100)</f>
        <v>#NAME?</v>
      </c>
      <c r="CP70" s="75" t="n">
        <f aca="false">IF(CH70=0,0,SPRDOPT(CA70,CB70,$W70,$AM70,CE70,CF70,CG70,$D70,$D$20,9)/365)</f>
        <v>0</v>
      </c>
      <c r="CQ70" s="75" t="e">
        <f aca="false">CI70+CJ70</f>
        <v>#NAME?</v>
      </c>
      <c r="CR70" s="75" t="n">
        <f aca="false">CL70-CK70</f>
        <v>0</v>
      </c>
      <c r="CS70" s="75" t="e">
        <f aca="false">((CE70/CF70)*CM70)+CN70</f>
        <v>#NAME?</v>
      </c>
      <c r="CT70" s="75" t="n">
        <f aca="false">CG70*BZ70</f>
        <v>0</v>
      </c>
      <c r="CU70" s="76"/>
      <c r="CV70" s="37" t="n">
        <f aca="false">BZ70*CH70</f>
        <v>0</v>
      </c>
      <c r="CW70" s="37" t="e">
        <f aca="false">BZ70*CI70</f>
        <v>#NAME?</v>
      </c>
      <c r="CX70" s="37" t="e">
        <f aca="false">BZ70*CJ70</f>
        <v>#NAME?</v>
      </c>
      <c r="CY70" s="37" t="n">
        <f aca="false">BZ70*CK70</f>
        <v>0</v>
      </c>
      <c r="CZ70" s="37" t="n">
        <f aca="false">BZ70*CL70</f>
        <v>0</v>
      </c>
      <c r="DA70" s="37" t="e">
        <f aca="false">BZ70*CM70</f>
        <v>#NAME?</v>
      </c>
      <c r="DB70" s="37" t="e">
        <f aca="false">BZ70*CN70</f>
        <v>#NAME?</v>
      </c>
      <c r="DC70" s="37" t="e">
        <f aca="false">BZ70*CO70</f>
        <v>#NAME?</v>
      </c>
      <c r="DD70" s="37" t="n">
        <f aca="false">BZ70*CP70</f>
        <v>0</v>
      </c>
      <c r="DE70" s="37" t="e">
        <f aca="false">BZ70*CQ70</f>
        <v>#NAME?</v>
      </c>
      <c r="DF70" s="37" t="n">
        <f aca="false">BZ70*CR70</f>
        <v>0</v>
      </c>
      <c r="DG70" s="37" t="e">
        <f aca="false">BZ70*CS70</f>
        <v>#NAME?</v>
      </c>
      <c r="DI70" s="73" t="n">
        <f aca="false">IF($A70&gt;=DK$32,IF($A70&lt;=DK$33,$AN70,0),0)</f>
        <v>0</v>
      </c>
      <c r="DJ70" s="41" t="n">
        <f aca="false">$B70+$Y70+$F$12</f>
        <v>2.855</v>
      </c>
      <c r="DK70" s="41" t="n">
        <f aca="false">$B70+$Z70+$F$13</f>
        <v>3.275</v>
      </c>
      <c r="DL70" s="41" t="n">
        <f aca="false">DJ70*DI70</f>
        <v>0</v>
      </c>
      <c r="DM70" s="41" t="n">
        <f aca="false">DK70*DI70</f>
        <v>0</v>
      </c>
      <c r="DN70" s="74" t="n">
        <f aca="false">($C70*$AA70)+AE70+$F$14</f>
        <v>0.315</v>
      </c>
      <c r="DO70" s="74" t="n">
        <f aca="false">($C70*$AB70)+$F$15</f>
        <v>0.315</v>
      </c>
      <c r="DP70" s="65" t="n">
        <f aca="false">$AC70+$F$16</f>
        <v>0.985</v>
      </c>
      <c r="DQ70" s="75" t="n">
        <f aca="false">IF(DI70=0,0,SPRDOPT(DJ70,DK70,$AD70,$AM70,DN70,DO70,DP70,$D70,$F$20,0))</f>
        <v>0</v>
      </c>
      <c r="DR70" s="75" t="e">
        <f aca="false">IF(DJ70=0,0,SPRDOPT(DJ70,DK70,$AD70,$AM70,DN70,DO70,DP70,$D70,$F$20,1))</f>
        <v>#NAME?</v>
      </c>
      <c r="DS70" s="75" t="e">
        <f aca="false">IF(DK70=0,0,SPRDOPT(DJ70,DK70,$AD70,$AM70,DN70,DO70,DP70,$D70,$F$20,2))</f>
        <v>#NAME?</v>
      </c>
      <c r="DT70" s="75" t="n">
        <f aca="false">IF(DL70=0,0,SPRDOPT(DJ70,DK70,$AD70,$AM70,DN70,DO70,DP70,$D70,$F$20,3)/100)</f>
        <v>0</v>
      </c>
      <c r="DU70" s="75" t="n">
        <f aca="false">IF(DM70=0,0,SPRDOPT(DJ70,DK70,$AD70,$AM70,DN70,DO70,DP70,$D70,$F$20,4)/100)</f>
        <v>0</v>
      </c>
      <c r="DV70" s="75" t="e">
        <f aca="false">IF(DN70=0,0,SPRDOPT(DJ70,DK70,$AD70,$AM70,DN70,DO70,DP70,$D70,$F$20,5)/100)</f>
        <v>#NAME?</v>
      </c>
      <c r="DW70" s="75" t="e">
        <f aca="false">IF(DO70=0,0,SPRDOPT(DJ70,DK70,$AD70,$AM70,DN70,DO70,DP70,$D70,$F$20,6)/100)</f>
        <v>#NAME?</v>
      </c>
      <c r="DX70" s="75" t="e">
        <f aca="false">IF(DP70=0,0,SPRDOPT(DJ70,DK70,$AD70,$AM70,DN70,DO70,DP70,$D70,$F$20,7)/100)</f>
        <v>#NAME?</v>
      </c>
      <c r="DY70" s="75" t="n">
        <f aca="false">IF(DQ70=0,0,SPRDOPT(DJ70,DK70,$AD70,$AM70,DN70,DO70,DP70,$D70,$F$20,9)/365)</f>
        <v>0</v>
      </c>
      <c r="DZ70" s="75" t="e">
        <f aca="false">DR70+DS70</f>
        <v>#NAME?</v>
      </c>
      <c r="EA70" s="75" t="n">
        <f aca="false">DU70-DT70</f>
        <v>0</v>
      </c>
      <c r="EB70" s="75" t="e">
        <f aca="false">((DN70/DO70)*DV70)+DW70</f>
        <v>#NAME?</v>
      </c>
      <c r="EC70" s="75" t="n">
        <f aca="false">DP70*DI70</f>
        <v>0</v>
      </c>
      <c r="ED70" s="75"/>
      <c r="EE70" s="37" t="n">
        <f aca="false">DI70*DQ70</f>
        <v>0</v>
      </c>
      <c r="EF70" s="37" t="e">
        <f aca="false">DI70*DR70</f>
        <v>#NAME?</v>
      </c>
      <c r="EG70" s="37" t="e">
        <f aca="false">DI70*DS70</f>
        <v>#NAME?</v>
      </c>
      <c r="EH70" s="37" t="n">
        <f aca="false">DI70*DT70</f>
        <v>0</v>
      </c>
      <c r="EI70" s="37" t="n">
        <f aca="false">DI70*DU70</f>
        <v>0</v>
      </c>
      <c r="EJ70" s="37" t="e">
        <f aca="false">DI70*DV70</f>
        <v>#NAME?</v>
      </c>
      <c r="EK70" s="37" t="e">
        <f aca="false">DI70*DW70</f>
        <v>#NAME?</v>
      </c>
      <c r="EL70" s="37" t="e">
        <f aca="false">DI70*DX70</f>
        <v>#NAME?</v>
      </c>
      <c r="EM70" s="37" t="n">
        <f aca="false">DI70*DY70</f>
        <v>0</v>
      </c>
      <c r="EN70" s="37" t="e">
        <f aca="false">DI70*DZ70</f>
        <v>#NAME?</v>
      </c>
      <c r="EO70" s="37" t="n">
        <f aca="false">DI70*EA70</f>
        <v>0</v>
      </c>
      <c r="EP70" s="37" t="e">
        <f aca="false">DI70*EB70</f>
        <v>#NAME?</v>
      </c>
      <c r="ER70" s="73" t="n">
        <f aca="false">IF($A70&gt;=ET$32,IF($A70&lt;=ET$33,$AN70,0),0)</f>
        <v>0</v>
      </c>
      <c r="ES70" s="41" t="n">
        <f aca="false">$B70+$AF70+$H$12</f>
        <v>2.915</v>
      </c>
      <c r="ET70" s="41" t="n">
        <f aca="false">$B70+$AG70+$H$13</f>
        <v>3.275</v>
      </c>
      <c r="EU70" s="41" t="n">
        <f aca="false">ES70*ER70</f>
        <v>0</v>
      </c>
      <c r="EV70" s="41" t="n">
        <f aca="false">ET70*ER70</f>
        <v>0</v>
      </c>
      <c r="EW70" s="74" t="n">
        <f aca="false">($C70*$AH70)+AL70+$H$14</f>
        <v>0.315</v>
      </c>
      <c r="EX70" s="74" t="n">
        <f aca="false">($C70*$AI70)+$H$15</f>
        <v>0.315</v>
      </c>
      <c r="EY70" s="65" t="n">
        <f aca="false">$AJ70+$H$16</f>
        <v>0.985</v>
      </c>
      <c r="EZ70" s="75" t="n">
        <f aca="false">IF(ER70=0,0,SPRDOPT(ES70,ET70,$AK70,$AM70,EW70,EX70,EY70,$D70,$H$20,0))</f>
        <v>0</v>
      </c>
      <c r="FA70" s="75" t="e">
        <f aca="false">IF(ES70=0,0,SPRDOPT(ES70,ET70,$AK70,$AM70,EW70,EX70,EY70,$D70,$H$20,1))</f>
        <v>#NAME?</v>
      </c>
      <c r="FB70" s="75" t="e">
        <f aca="false">IF(ET70=0,0,SPRDOPT(ES70,ET70,$AK70,$AM70,EW70,EX70,EY70,$D70,$H$20,2))</f>
        <v>#NAME?</v>
      </c>
      <c r="FC70" s="75" t="n">
        <f aca="false">IF(EU70=0,0,SPRDOPT(ES70,ET70,$AK70,$AM70,EW70,EX70,EY70,$D70,$H$20,3)/100)</f>
        <v>0</v>
      </c>
      <c r="FD70" s="75" t="n">
        <f aca="false">IF(EV70=0,0,SPRDOPT(ES70,ET70,$AK70,$AM70,EW70,EX70,EY70,$D70,$H$20,4)/100)</f>
        <v>0</v>
      </c>
      <c r="FE70" s="75" t="e">
        <f aca="false">IF(EW70=0,0,SPRDOPT(ES70,ET70,$AK70,$AM70,EW70,EX70,EY70,$D70,$H$20,5)/100)</f>
        <v>#NAME?</v>
      </c>
      <c r="FF70" s="75" t="e">
        <f aca="false">IF(EX70=0,0,SPRDOPT(ES70,ET70,$AK70,$AM70,EW70,EX70,EY70,$D70,$H$20,6)/100)</f>
        <v>#NAME?</v>
      </c>
      <c r="FG70" s="75" t="e">
        <f aca="false">IF(EY70=0,0,SPRDOPT(ES70,ET70,$AK70,$AM70,EW70,EX70,EY70,$D70,$H$20,7)/100)</f>
        <v>#NAME?</v>
      </c>
      <c r="FH70" s="75" t="n">
        <f aca="false">IF(EZ70=0,0,SPRDOPT(ES70,ET70,$AK70,$AM70,EW70,EX70,EY70,$D70,$H$20,9)/365)</f>
        <v>0</v>
      </c>
      <c r="FI70" s="75" t="e">
        <f aca="false">FA70+FB70</f>
        <v>#NAME?</v>
      </c>
      <c r="FJ70" s="75" t="n">
        <f aca="false">FD70-FC70</f>
        <v>0</v>
      </c>
      <c r="FK70" s="75" t="e">
        <f aca="false">((EW70/EX70)*FE70)+FF70</f>
        <v>#NAME?</v>
      </c>
      <c r="FL70" s="75" t="n">
        <f aca="false">EY70*ER70</f>
        <v>0</v>
      </c>
      <c r="FM70" s="75"/>
      <c r="FN70" s="37" t="n">
        <f aca="false">$ER70*EZ70</f>
        <v>0</v>
      </c>
      <c r="FO70" s="37" t="e">
        <f aca="false">$ER70*FA70</f>
        <v>#NAME?</v>
      </c>
      <c r="FP70" s="37" t="e">
        <f aca="false">$ER70*FB70</f>
        <v>#NAME?</v>
      </c>
      <c r="FQ70" s="37" t="n">
        <f aca="false">$ER70*FC70</f>
        <v>0</v>
      </c>
      <c r="FR70" s="37" t="n">
        <f aca="false">$ER70*FD70</f>
        <v>0</v>
      </c>
      <c r="FS70" s="37" t="e">
        <f aca="false">$ER70*FE70</f>
        <v>#NAME?</v>
      </c>
      <c r="FT70" s="37" t="e">
        <f aca="false">$ER70*FF70</f>
        <v>#NAME?</v>
      </c>
      <c r="FU70" s="37" t="e">
        <f aca="false">$ER70*FG70</f>
        <v>#NAME?</v>
      </c>
      <c r="FV70" s="37" t="n">
        <f aca="false">$ER70*FH70</f>
        <v>0</v>
      </c>
      <c r="FW70" s="37" t="e">
        <f aca="false">$ER70*FI70</f>
        <v>#NAME?</v>
      </c>
      <c r="FX70" s="37" t="n">
        <f aca="false">$ER70*FJ70</f>
        <v>0</v>
      </c>
      <c r="FY70" s="37" t="e">
        <f aca="false">$ER70*FK70</f>
        <v>#NAME?</v>
      </c>
      <c r="GA70" s="77" t="e">
        <f aca="false">VLOOKUP(A70,skewmonthlook,2,FALSE())</f>
        <v>#REF!</v>
      </c>
      <c r="GB70" s="0" t="e">
        <f aca="false">CONCATENATE(B$3,$GA70)</f>
        <v>#REF!</v>
      </c>
      <c r="GC70" s="0" t="e">
        <f aca="false">CONCATENATE(D$3,$GA70)</f>
        <v>#REF!</v>
      </c>
      <c r="GD70" s="0" t="e">
        <f aca="false">CONCATENATE(F$3,$GA70)</f>
        <v>#REF!</v>
      </c>
      <c r="GE70" s="0" t="e">
        <f aca="false">CONCATENATE(H$3,$GA70)</f>
        <v>#REF!</v>
      </c>
      <c r="GG70" s="65" t="e">
        <f aca="false">VLOOKUP(GB70,skewlook,HLOOKUP($P70,skewlook,2),FALSE())</f>
        <v>#REF!</v>
      </c>
      <c r="GH70" s="65" t="e">
        <f aca="false">VLOOKUP(GC70,skewlook,HLOOKUP($W70,skewlook,2),FALSE())</f>
        <v>#REF!</v>
      </c>
      <c r="GI70" s="65" t="e">
        <f aca="false">VLOOKUP(GD70,skewlook,HLOOKUP($AD70,skewlook,2),FALSE())</f>
        <v>#REF!</v>
      </c>
      <c r="GJ70" s="65" t="e">
        <f aca="false">VLOOKUP(GE70,skewlook,HLOOKUP($AK70,skewlook,2),FALSE())</f>
        <v>#REF!</v>
      </c>
    </row>
    <row r="71" customFormat="false" ht="12.75" hidden="false" customHeight="false" outlineLevel="0" collapsed="false">
      <c r="A71" s="62" t="n">
        <f aca="false">DATE(YEAR(A70),MONTH(A70)+1,1)</f>
        <v>38261</v>
      </c>
      <c r="B71" s="63" t="n">
        <f aca="false">VLOOKUP(A71,STRADDLE,5,FALSE())</f>
        <v>3.3</v>
      </c>
      <c r="C71" s="4" t="n">
        <f aca="false">VLOOKUP(A71,STRADDLE,8,FALSE())</f>
        <v>0.315</v>
      </c>
      <c r="D71" s="64" t="n">
        <f aca="false">VLOOKUP(A71,expiration,2,FALSE())-$B$2</f>
        <v>-7669</v>
      </c>
      <c r="E71" s="65" t="e">
        <f aca="false">AY71</f>
        <v>#NAME?</v>
      </c>
      <c r="F71" s="65" t="e">
        <f aca="false">CI71</f>
        <v>#NAME?</v>
      </c>
      <c r="G71" s="65" t="e">
        <f aca="false">DR71</f>
        <v>#NAME?</v>
      </c>
      <c r="H71" s="65" t="e">
        <f aca="false">FA71</f>
        <v>#NAME?</v>
      </c>
      <c r="I71" s="66"/>
      <c r="J71" s="67"/>
      <c r="K71" s="63" t="n">
        <f aca="false">IF($B$3="NYMEX",0,VLOOKUP($A71,curvesettle,HLOOKUP($B$3,curvesettle,2,FALSE()),FALSE()))</f>
        <v>-0.15</v>
      </c>
      <c r="L71" s="63" t="n">
        <f aca="false">IF($B$4="NYMEX",0,VLOOKUP($A71,curvesettle,HLOOKUP($B$4,curvesettle,2,FALSE()),FALSE()))</f>
        <v>0</v>
      </c>
      <c r="M71" s="65" t="n">
        <f aca="false">IF(ISNUMBER(VLOOKUP($A71,VOLCURVES,HLOOKUP($B$3,VOLCURVES,2,FALSE()),FALSE())),VLOOKUP($A71,VOLCURVES,HLOOKUP($B$3,VOLCURVES,2,FALSE()),FALSE()),1)</f>
        <v>1</v>
      </c>
      <c r="N71" s="65" t="n">
        <f aca="false">IF(ISNUMBER(VLOOKUP($A71,VOLCURVES,HLOOKUP($B$4,VOLCURVES,2,FALSE()),FALSE())),VLOOKUP($A71,VOLCURVES,HLOOKUP($B$4,VOLCURVES,2,FALSE()),FALSE()),1)</f>
        <v>1</v>
      </c>
      <c r="O71" s="65" t="n">
        <f aca="false">IF(ISNUMBER(VLOOKUP($A71,CORETABLE,HLOOKUP($B$3,CORETABLE,2,FALSE()),FALSE())),VLOOKUP($A71,CORETABLE,HLOOKUP($B$3,CORETABLE,2,FALSE()),FALSE()),0.99)</f>
        <v>0.9945</v>
      </c>
      <c r="P71" s="68" t="n">
        <f aca="false">B$19</f>
        <v>-0.2</v>
      </c>
      <c r="Q71" s="69" t="n">
        <f aca="false">IF($B$18=1,IF(ISNUMBER($GG71),$GG71,0),0)</f>
        <v>0</v>
      </c>
      <c r="R71" s="70" t="n">
        <f aca="false">IF($D$3="NYMEX",0,VLOOKUP($A71,curvesettle,HLOOKUP($D$3,curvesettle,2,FALSE()),FALSE()))</f>
        <v>0.21</v>
      </c>
      <c r="S71" s="63" t="n">
        <f aca="false">IF($D$4="NYMEX",0,VLOOKUP($A71,curvesettle,HLOOKUP($D$4,curvesettle,2,FALSE()),FALSE()))</f>
        <v>0</v>
      </c>
      <c r="T71" s="65" t="n">
        <f aca="false">IF(ISNUMBER(VLOOKUP($A71,VOLCURVES,HLOOKUP($D$3,VOLCURVES,2,FALSE()),FALSE())),VLOOKUP($A71,VOLCURVES,HLOOKUP($D$3,VOLCURVES,2,FALSE()),FALSE()),1)</f>
        <v>1</v>
      </c>
      <c r="U71" s="65" t="n">
        <f aca="false">IF(ISNUMBER(VLOOKUP($A71,VOLCURVES,HLOOKUP($D$4,VOLCURVES,2,FALSE()),FALSE())),VLOOKUP($A71,VOLCURVES,HLOOKUP($D$4,VOLCURVES,2,FALSE()),FALSE()),1)</f>
        <v>1</v>
      </c>
      <c r="V71" s="65" t="n">
        <f aca="false">IF(ISNUMBER(VLOOKUP($A71,CORETABLE,HLOOKUP($D$3,CORETABLE,2,FALSE()),FALSE())),VLOOKUP($A71,CORETABLE,HLOOKUP($D$3,CORETABLE,2,FALSE()),FALSE()),0.99)</f>
        <v>0.98</v>
      </c>
      <c r="W71" s="68" t="n">
        <f aca="false">D$19</f>
        <v>0</v>
      </c>
      <c r="X71" s="69" t="n">
        <f aca="false">IF($D$18=1,IF(ISNUMBER($GH71),$GH71,0),0)</f>
        <v>0</v>
      </c>
      <c r="Y71" s="71" t="n">
        <f aca="false">IF($F$3="NYMEX",0,VLOOKUP($A71,curvesettle,HLOOKUP($F$3,curvesettle,2,FALSE()),FALSE()))</f>
        <v>-0.42</v>
      </c>
      <c r="Z71" s="63" t="n">
        <f aca="false">IF($F$4="NYMEX",0,VLOOKUP($A71,curvesettle,HLOOKUP($F$4,curvesettle,2,FALSE()),FALSE()))</f>
        <v>0</v>
      </c>
      <c r="AA71" s="65" t="n">
        <f aca="false">IF(ISNUMBER(VLOOKUP($A71,VOLCURVES,HLOOKUP($F$3,VOLCURVES,2,FALSE()),FALSE())),VLOOKUP($A71,VOLCURVES,HLOOKUP($F$3,VOLCURVES,2,FALSE()),FALSE()),1)</f>
        <v>1</v>
      </c>
      <c r="AB71" s="65" t="n">
        <f aca="false">IF(ISNUMBER(VLOOKUP($A71,VOLCURVES,HLOOKUP($F$4,VOLCURVES,2,FALSE()),FALSE())),VLOOKUP($A71,VOLCURVES,HLOOKUP($F$4,VOLCURVES,2,FALSE()),FALSE()),1)</f>
        <v>1</v>
      </c>
      <c r="AC71" s="65" t="n">
        <f aca="false">IF(ISNUMBER(VLOOKUP($A71,CORETABLE,HLOOKUP($F$3,CORETABLE,2,FALSE()),FALSE())),VLOOKUP($A71,CORETABLE,HLOOKUP($F$3,CORETABLE,2,FALSE()),FALSE()),0.99)</f>
        <v>0.985</v>
      </c>
      <c r="AD71" s="68" t="n">
        <f aca="false">F$19</f>
        <v>-0.6</v>
      </c>
      <c r="AE71" s="69" t="n">
        <f aca="false">IF($F$18=1,IF(ISNUMBER($GI71),$GI71,0),0)</f>
        <v>0</v>
      </c>
      <c r="AF71" s="63" t="n">
        <f aca="false">IF($H$3="NYMEX",0,VLOOKUP($A71,curvesettle,HLOOKUP($H$3,curvesettle,2,FALSE()),FALSE()))</f>
        <v>-0.42</v>
      </c>
      <c r="AG71" s="63" t="n">
        <f aca="false">IF($H$4="NYMEX",0,VLOOKUP($A71,curvesettle,HLOOKUP($H$4,curvesettle,2,FALSE()),FALSE()))</f>
        <v>0</v>
      </c>
      <c r="AH71" s="65" t="n">
        <f aca="false">IF(ISNUMBER(VLOOKUP($A71,VOLCURVES,HLOOKUP($H$3,VOLCURVES,2,FALSE()),FALSE())),VLOOKUP($A71,VOLCURVES,HLOOKUP($H$3,VOLCURVES,2,FALSE()),FALSE()),1)</f>
        <v>1</v>
      </c>
      <c r="AI71" s="65" t="n">
        <f aca="false">IF(ISNUMBER(VLOOKUP($A71,VOLCURVES,HLOOKUP($H$4,VOLCURVES,2,FALSE()),FALSE())),VLOOKUP($A71,VOLCURVES,HLOOKUP($H$4,VOLCURVES,2,FALSE()),FALSE()),1)</f>
        <v>1</v>
      </c>
      <c r="AJ71" s="65" t="n">
        <f aca="false">IF(ISNUMBER(VLOOKUP($A71,CORETABLE,HLOOKUP($H$3,CORETABLE,2,FALSE()),FALSE())),VLOOKUP($A71,CORETABLE,HLOOKUP($H$3,CORETABLE,2,FALSE()),FALSE()),0.99)</f>
        <v>0.985</v>
      </c>
      <c r="AK71" s="68" t="n">
        <f aca="false">H$19</f>
        <v>-0.45</v>
      </c>
      <c r="AL71" s="69" t="n">
        <f aca="false">IF($H$18=1,IF(ISNUMBER($GJ71),$GJ71,0),0)</f>
        <v>0</v>
      </c>
      <c r="AM71" s="4" t="n">
        <f aca="false">VLOOKUP($A71,STRADDLE,14,FALSE())</f>
        <v>0.0409754465349472</v>
      </c>
      <c r="AN71" s="72" t="n">
        <f aca="false">A72-A71</f>
        <v>31</v>
      </c>
      <c r="AO71" s="1" t="n">
        <f aca="false">AO70+1</f>
        <v>34</v>
      </c>
      <c r="AP71" s="73" t="n">
        <f aca="false">IF($A71&gt;=AR$32,IF($A71&lt;=AR$33,$AN71,0),0)</f>
        <v>31</v>
      </c>
      <c r="AQ71" s="41" t="n">
        <f aca="false">$B71+$K71+$B$12</f>
        <v>3.15</v>
      </c>
      <c r="AR71" s="41" t="n">
        <f aca="false">$B71+$L71+$B$13</f>
        <v>3.3</v>
      </c>
      <c r="AS71" s="41" t="n">
        <f aca="false">AQ71*AP71</f>
        <v>97.65</v>
      </c>
      <c r="AT71" s="41" t="n">
        <f aca="false">AR71*AP71</f>
        <v>102.3</v>
      </c>
      <c r="AU71" s="74" t="n">
        <f aca="false">($C71*$M71)+Q71+$B$14</f>
        <v>0.315</v>
      </c>
      <c r="AV71" s="74" t="n">
        <f aca="false">($C71*$N71)+$B$15</f>
        <v>0.315</v>
      </c>
      <c r="AW71" s="65" t="n">
        <f aca="false">O71+B$16</f>
        <v>0.999</v>
      </c>
      <c r="AX71" s="75" t="e">
        <f aca="false">IF(AP71=0,0,SPRDOPT(AQ71,AR71,$P71,$AM71,AU71,AV71,AW71,$D71,$B$20,0))</f>
        <v>#NAME?</v>
      </c>
      <c r="AY71" s="75" t="e">
        <f aca="false">IF(AQ71=0,0,SPRDOPT(AQ71,AR71,$P71,$AM71,AU71,AV71,AW71,$D71,$B$20,1))</f>
        <v>#NAME?</v>
      </c>
      <c r="AZ71" s="75" t="e">
        <f aca="false">IF(AR71=0,0,SPRDOPT(AQ71,AR71,$P71,$AM71,AU71,AV71,AW71,$D71,$B$20,2))</f>
        <v>#NAME?</v>
      </c>
      <c r="BA71" s="75" t="e">
        <f aca="false">IF(AS71=0,0,SPRDOPT(AQ71,AR71,$P71,$AM71,AU71,AV71,AW71,$D71,$B$20,3)/100)</f>
        <v>#NAME?</v>
      </c>
      <c r="BB71" s="75" t="e">
        <f aca="false">IF(AT71=0,0,SPRDOPT(AQ71,AR71,$P71,$AM71,AU71,AV71,AW71,$D71,$B$20,4)/100)</f>
        <v>#NAME?</v>
      </c>
      <c r="BC71" s="75" t="e">
        <f aca="false">IF(AU71=0,0,SPRDOPT(AQ71,AR71,$P71,$AM71,AU71,AV71,AW71,$D71,$B$20,5)/100)</f>
        <v>#NAME?</v>
      </c>
      <c r="BD71" s="75" t="e">
        <f aca="false">IF(AV71=0,0,SPRDOPT(AQ71,AR71,$P71,$AM71,AU71,AV71,AW71,$D71,$B$20,6)/100)</f>
        <v>#NAME?</v>
      </c>
      <c r="BE71" s="75" t="e">
        <f aca="false">IF(AW71=0,0,SPRDOPT(AQ71,AR71,$P71,$AM71,AU71,AV71,AW71,$D71,$B$20,7)/100)</f>
        <v>#NAME?</v>
      </c>
      <c r="BF71" s="75" t="e">
        <f aca="false">IF(AX71=0,0,SPRDOPT(AQ71,AR71,$P71,$AM71,AU71,AV71,AW71,$D71,$B$20,9)/365)</f>
        <v>#NAME?</v>
      </c>
      <c r="BG71" s="75" t="e">
        <f aca="false">AY71+AZ71</f>
        <v>#NAME?</v>
      </c>
      <c r="BH71" s="75" t="e">
        <f aca="false">BB71-BA71</f>
        <v>#NAME?</v>
      </c>
      <c r="BI71" s="75" t="e">
        <f aca="false">((AU71/AV71)*BC71)+BD71</f>
        <v>#NAME?</v>
      </c>
      <c r="BJ71" s="75" t="n">
        <f aca="false">AW71*AP71</f>
        <v>30.969</v>
      </c>
      <c r="BK71" s="76"/>
      <c r="BL71" s="37" t="e">
        <f aca="false">$AP71*AX71</f>
        <v>#NAME?</v>
      </c>
      <c r="BM71" s="37" t="e">
        <f aca="false">$AP71*AY71</f>
        <v>#NAME?</v>
      </c>
      <c r="BN71" s="37" t="e">
        <f aca="false">$AP71*AZ71</f>
        <v>#NAME?</v>
      </c>
      <c r="BO71" s="37" t="e">
        <f aca="false">$AP71*BA71</f>
        <v>#NAME?</v>
      </c>
      <c r="BP71" s="37" t="e">
        <f aca="false">$AP71*BB71</f>
        <v>#NAME?</v>
      </c>
      <c r="BQ71" s="37" t="e">
        <f aca="false">$AP71*BC71</f>
        <v>#NAME?</v>
      </c>
      <c r="BR71" s="37" t="e">
        <f aca="false">$AP71*BD71</f>
        <v>#NAME?</v>
      </c>
      <c r="BS71" s="37" t="e">
        <f aca="false">$AP71*BE71</f>
        <v>#NAME?</v>
      </c>
      <c r="BT71" s="37" t="e">
        <f aca="false">$AP71*BF71</f>
        <v>#NAME?</v>
      </c>
      <c r="BU71" s="37" t="e">
        <f aca="false">$AP71*BG71</f>
        <v>#NAME?</v>
      </c>
      <c r="BV71" s="37" t="e">
        <f aca="false">$AP71*BH71</f>
        <v>#NAME?</v>
      </c>
      <c r="BW71" s="37" t="e">
        <f aca="false">$AP71*BI71</f>
        <v>#NAME?</v>
      </c>
      <c r="BX71" s="37"/>
      <c r="BZ71" s="73" t="n">
        <f aca="false">IF($A71&gt;=CB$32,IF($A71&lt;=CB$33,$AN71,0),0)</f>
        <v>0</v>
      </c>
      <c r="CA71" s="41" t="n">
        <f aca="false">$B71+$R71+$D$12</f>
        <v>3.51</v>
      </c>
      <c r="CB71" s="41" t="n">
        <f aca="false">$B71+$S71+$D$13</f>
        <v>3.3</v>
      </c>
      <c r="CC71" s="41" t="n">
        <f aca="false">CA71*BZ71</f>
        <v>0</v>
      </c>
      <c r="CD71" s="41" t="n">
        <f aca="false">CB71*BZ71</f>
        <v>0</v>
      </c>
      <c r="CE71" s="74" t="n">
        <f aca="false">($C71*$T71)+X71+$D$14</f>
        <v>0.315</v>
      </c>
      <c r="CF71" s="74" t="n">
        <f aca="false">($C71*$U71)+$D$15</f>
        <v>0.315</v>
      </c>
      <c r="CG71" s="65" t="n">
        <f aca="false">$V71+D$16</f>
        <v>0.98</v>
      </c>
      <c r="CH71" s="75" t="n">
        <f aca="false">IF(BZ71=0,0,SPRDOPT(CA71,CB71,$W71,$AM71,CE71,CF71,CG71,$D71,$D$20,0))</f>
        <v>0</v>
      </c>
      <c r="CI71" s="75" t="e">
        <f aca="false">IF(CA71=0,0,SPRDOPT(CA71,CB71,$W71,$AM71,CE71,CF71,CG71,$D71,$D$20,1))</f>
        <v>#NAME?</v>
      </c>
      <c r="CJ71" s="75" t="e">
        <f aca="false">IF(CB71=0,0,SPRDOPT(CA71,CB71,$W71,$AM71,CE71,CF71,CG71,$D71,$D$20,2))</f>
        <v>#NAME?</v>
      </c>
      <c r="CK71" s="75" t="n">
        <f aca="false">IF(CC71=0,0,SPRDOPT(CA71,CB71,$W71,$AM71,CE71,CF71,CG71,$D71,$D$20,3)/100)</f>
        <v>0</v>
      </c>
      <c r="CL71" s="75" t="n">
        <f aca="false">IF(CD71=0,0,SPRDOPT(CA71,CB71,$W71,$AM71,CE71,CF71,CG71,$D71,$D$20,4)/100)</f>
        <v>0</v>
      </c>
      <c r="CM71" s="75" t="e">
        <f aca="false">IF(CE71=0,0,SPRDOPT(CA71,CB71,$W71,$AM71,CE71,CF71,CG71,$D71,$D$20,5)/100)</f>
        <v>#NAME?</v>
      </c>
      <c r="CN71" s="75" t="e">
        <f aca="false">IF(CF71=0,0,SPRDOPT(CA71,CB71,$W71,$AM71,CE71,CF71,CG71,$D71,$D$20,6)/100)</f>
        <v>#NAME?</v>
      </c>
      <c r="CO71" s="75" t="e">
        <f aca="false">IF(CG71=0,0,SPRDOPT(CA71,CB71,$W71,$AM71,CE71,CF71,CG71,$D71,$D$20,7)/100)</f>
        <v>#NAME?</v>
      </c>
      <c r="CP71" s="75" t="n">
        <f aca="false">IF(CH71=0,0,SPRDOPT(CA71,CB71,$W71,$AM71,CE71,CF71,CG71,$D71,$D$20,9)/365)</f>
        <v>0</v>
      </c>
      <c r="CQ71" s="75" t="e">
        <f aca="false">CI71+CJ71</f>
        <v>#NAME?</v>
      </c>
      <c r="CR71" s="75" t="n">
        <f aca="false">CL71-CK71</f>
        <v>0</v>
      </c>
      <c r="CS71" s="75" t="e">
        <f aca="false">((CE71/CF71)*CM71)+CN71</f>
        <v>#NAME?</v>
      </c>
      <c r="CT71" s="75" t="n">
        <f aca="false">CG71*BZ71</f>
        <v>0</v>
      </c>
      <c r="CU71" s="76"/>
      <c r="CV71" s="37" t="n">
        <f aca="false">BZ71*CH71</f>
        <v>0</v>
      </c>
      <c r="CW71" s="37" t="e">
        <f aca="false">BZ71*CI71</f>
        <v>#NAME?</v>
      </c>
      <c r="CX71" s="37" t="e">
        <f aca="false">BZ71*CJ71</f>
        <v>#NAME?</v>
      </c>
      <c r="CY71" s="37" t="n">
        <f aca="false">BZ71*CK71</f>
        <v>0</v>
      </c>
      <c r="CZ71" s="37" t="n">
        <f aca="false">BZ71*CL71</f>
        <v>0</v>
      </c>
      <c r="DA71" s="37" t="e">
        <f aca="false">BZ71*CM71</f>
        <v>#NAME?</v>
      </c>
      <c r="DB71" s="37" t="e">
        <f aca="false">BZ71*CN71</f>
        <v>#NAME?</v>
      </c>
      <c r="DC71" s="37" t="e">
        <f aca="false">BZ71*CO71</f>
        <v>#NAME?</v>
      </c>
      <c r="DD71" s="37" t="n">
        <f aca="false">BZ71*CP71</f>
        <v>0</v>
      </c>
      <c r="DE71" s="37" t="e">
        <f aca="false">BZ71*CQ71</f>
        <v>#NAME?</v>
      </c>
      <c r="DF71" s="37" t="n">
        <f aca="false">BZ71*CR71</f>
        <v>0</v>
      </c>
      <c r="DG71" s="37" t="e">
        <f aca="false">BZ71*CS71</f>
        <v>#NAME?</v>
      </c>
      <c r="DI71" s="73" t="n">
        <f aca="false">IF($A71&gt;=DK$32,IF($A71&lt;=DK$33,$AN71,0),0)</f>
        <v>0</v>
      </c>
      <c r="DJ71" s="41" t="n">
        <f aca="false">$B71+$Y71+$F$12</f>
        <v>2.88</v>
      </c>
      <c r="DK71" s="41" t="n">
        <f aca="false">$B71+$Z71+$F$13</f>
        <v>3.3</v>
      </c>
      <c r="DL71" s="41" t="n">
        <f aca="false">DJ71*DI71</f>
        <v>0</v>
      </c>
      <c r="DM71" s="41" t="n">
        <f aca="false">DK71*DI71</f>
        <v>0</v>
      </c>
      <c r="DN71" s="74" t="n">
        <f aca="false">($C71*$AA71)+AE71+$F$14</f>
        <v>0.315</v>
      </c>
      <c r="DO71" s="74" t="n">
        <f aca="false">($C71*$AB71)+$F$15</f>
        <v>0.315</v>
      </c>
      <c r="DP71" s="65" t="n">
        <f aca="false">$AC71+$F$16</f>
        <v>0.985</v>
      </c>
      <c r="DQ71" s="75" t="n">
        <f aca="false">IF(DI71=0,0,SPRDOPT(DJ71,DK71,$AD71,$AM71,DN71,DO71,DP71,$D71,$F$20,0))</f>
        <v>0</v>
      </c>
      <c r="DR71" s="75" t="e">
        <f aca="false">IF(DJ71=0,0,SPRDOPT(DJ71,DK71,$AD71,$AM71,DN71,DO71,DP71,$D71,$F$20,1))</f>
        <v>#NAME?</v>
      </c>
      <c r="DS71" s="75" t="e">
        <f aca="false">IF(DK71=0,0,SPRDOPT(DJ71,DK71,$AD71,$AM71,DN71,DO71,DP71,$D71,$F$20,2))</f>
        <v>#NAME?</v>
      </c>
      <c r="DT71" s="75" t="n">
        <f aca="false">IF(DL71=0,0,SPRDOPT(DJ71,DK71,$AD71,$AM71,DN71,DO71,DP71,$D71,$F$20,3)/100)</f>
        <v>0</v>
      </c>
      <c r="DU71" s="75" t="n">
        <f aca="false">IF(DM71=0,0,SPRDOPT(DJ71,DK71,$AD71,$AM71,DN71,DO71,DP71,$D71,$F$20,4)/100)</f>
        <v>0</v>
      </c>
      <c r="DV71" s="75" t="e">
        <f aca="false">IF(DN71=0,0,SPRDOPT(DJ71,DK71,$AD71,$AM71,DN71,DO71,DP71,$D71,$F$20,5)/100)</f>
        <v>#NAME?</v>
      </c>
      <c r="DW71" s="75" t="e">
        <f aca="false">IF(DO71=0,0,SPRDOPT(DJ71,DK71,$AD71,$AM71,DN71,DO71,DP71,$D71,$F$20,6)/100)</f>
        <v>#NAME?</v>
      </c>
      <c r="DX71" s="75" t="e">
        <f aca="false">IF(DP71=0,0,SPRDOPT(DJ71,DK71,$AD71,$AM71,DN71,DO71,DP71,$D71,$F$20,7)/100)</f>
        <v>#NAME?</v>
      </c>
      <c r="DY71" s="75" t="n">
        <f aca="false">IF(DQ71=0,0,SPRDOPT(DJ71,DK71,$AD71,$AM71,DN71,DO71,DP71,$D71,$F$20,9)/365)</f>
        <v>0</v>
      </c>
      <c r="DZ71" s="75" t="e">
        <f aca="false">DR71+DS71</f>
        <v>#NAME?</v>
      </c>
      <c r="EA71" s="75" t="n">
        <f aca="false">DU71-DT71</f>
        <v>0</v>
      </c>
      <c r="EB71" s="75" t="e">
        <f aca="false">((DN71/DO71)*DV71)+DW71</f>
        <v>#NAME?</v>
      </c>
      <c r="EC71" s="75" t="n">
        <f aca="false">DP71*DI71</f>
        <v>0</v>
      </c>
      <c r="ED71" s="75"/>
      <c r="EE71" s="37" t="n">
        <f aca="false">DI71*DQ71</f>
        <v>0</v>
      </c>
      <c r="EF71" s="37" t="e">
        <f aca="false">DI71*DR71</f>
        <v>#NAME?</v>
      </c>
      <c r="EG71" s="37" t="e">
        <f aca="false">DI71*DS71</f>
        <v>#NAME?</v>
      </c>
      <c r="EH71" s="37" t="n">
        <f aca="false">DI71*DT71</f>
        <v>0</v>
      </c>
      <c r="EI71" s="37" t="n">
        <f aca="false">DI71*DU71</f>
        <v>0</v>
      </c>
      <c r="EJ71" s="37" t="e">
        <f aca="false">DI71*DV71</f>
        <v>#NAME?</v>
      </c>
      <c r="EK71" s="37" t="e">
        <f aca="false">DI71*DW71</f>
        <v>#NAME?</v>
      </c>
      <c r="EL71" s="37" t="e">
        <f aca="false">DI71*DX71</f>
        <v>#NAME?</v>
      </c>
      <c r="EM71" s="37" t="n">
        <f aca="false">DI71*DY71</f>
        <v>0</v>
      </c>
      <c r="EN71" s="37" t="e">
        <f aca="false">DI71*DZ71</f>
        <v>#NAME?</v>
      </c>
      <c r="EO71" s="37" t="n">
        <f aca="false">DI71*EA71</f>
        <v>0</v>
      </c>
      <c r="EP71" s="37" t="e">
        <f aca="false">DI71*EB71</f>
        <v>#NAME?</v>
      </c>
      <c r="ER71" s="73" t="n">
        <f aca="false">IF($A71&gt;=ET$32,IF($A71&lt;=ET$33,$AN71,0),0)</f>
        <v>0</v>
      </c>
      <c r="ES71" s="41" t="n">
        <f aca="false">$B71+$AF71+$H$12</f>
        <v>2.94</v>
      </c>
      <c r="ET71" s="41" t="n">
        <f aca="false">$B71+$AG71+$H$13</f>
        <v>3.3</v>
      </c>
      <c r="EU71" s="41" t="n">
        <f aca="false">ES71*ER71</f>
        <v>0</v>
      </c>
      <c r="EV71" s="41" t="n">
        <f aca="false">ET71*ER71</f>
        <v>0</v>
      </c>
      <c r="EW71" s="74" t="n">
        <f aca="false">($C71*$AH71)+AL71+$H$14</f>
        <v>0.315</v>
      </c>
      <c r="EX71" s="74" t="n">
        <f aca="false">($C71*$AI71)+$H$15</f>
        <v>0.315</v>
      </c>
      <c r="EY71" s="65" t="n">
        <f aca="false">$AJ71+$H$16</f>
        <v>0.985</v>
      </c>
      <c r="EZ71" s="75" t="n">
        <f aca="false">IF(ER71=0,0,SPRDOPT(ES71,ET71,$AK71,$AM71,EW71,EX71,EY71,$D71,$H$20,0))</f>
        <v>0</v>
      </c>
      <c r="FA71" s="75" t="e">
        <f aca="false">IF(ES71=0,0,SPRDOPT(ES71,ET71,$AK71,$AM71,EW71,EX71,EY71,$D71,$H$20,1))</f>
        <v>#NAME?</v>
      </c>
      <c r="FB71" s="75" t="e">
        <f aca="false">IF(ET71=0,0,SPRDOPT(ES71,ET71,$AK71,$AM71,EW71,EX71,EY71,$D71,$H$20,2))</f>
        <v>#NAME?</v>
      </c>
      <c r="FC71" s="75" t="n">
        <f aca="false">IF(EU71=0,0,SPRDOPT(ES71,ET71,$AK71,$AM71,EW71,EX71,EY71,$D71,$H$20,3)/100)</f>
        <v>0</v>
      </c>
      <c r="FD71" s="75" t="n">
        <f aca="false">IF(EV71=0,0,SPRDOPT(ES71,ET71,$AK71,$AM71,EW71,EX71,EY71,$D71,$H$20,4)/100)</f>
        <v>0</v>
      </c>
      <c r="FE71" s="75" t="e">
        <f aca="false">IF(EW71=0,0,SPRDOPT(ES71,ET71,$AK71,$AM71,EW71,EX71,EY71,$D71,$H$20,5)/100)</f>
        <v>#NAME?</v>
      </c>
      <c r="FF71" s="75" t="e">
        <f aca="false">IF(EX71=0,0,SPRDOPT(ES71,ET71,$AK71,$AM71,EW71,EX71,EY71,$D71,$H$20,6)/100)</f>
        <v>#NAME?</v>
      </c>
      <c r="FG71" s="75" t="e">
        <f aca="false">IF(EY71=0,0,SPRDOPT(ES71,ET71,$AK71,$AM71,EW71,EX71,EY71,$D71,$H$20,7)/100)</f>
        <v>#NAME?</v>
      </c>
      <c r="FH71" s="75" t="n">
        <f aca="false">IF(EZ71=0,0,SPRDOPT(ES71,ET71,$AK71,$AM71,EW71,EX71,EY71,$D71,$H$20,9)/365)</f>
        <v>0</v>
      </c>
      <c r="FI71" s="75" t="e">
        <f aca="false">FA71+FB71</f>
        <v>#NAME?</v>
      </c>
      <c r="FJ71" s="75" t="n">
        <f aca="false">FD71-FC71</f>
        <v>0</v>
      </c>
      <c r="FK71" s="75" t="e">
        <f aca="false">((EW71/EX71)*FE71)+FF71</f>
        <v>#NAME?</v>
      </c>
      <c r="FL71" s="75" t="n">
        <f aca="false">EY71*ER71</f>
        <v>0</v>
      </c>
      <c r="FM71" s="75"/>
      <c r="FN71" s="37" t="n">
        <f aca="false">$ER71*EZ71</f>
        <v>0</v>
      </c>
      <c r="FO71" s="37" t="e">
        <f aca="false">$ER71*FA71</f>
        <v>#NAME?</v>
      </c>
      <c r="FP71" s="37" t="e">
        <f aca="false">$ER71*FB71</f>
        <v>#NAME?</v>
      </c>
      <c r="FQ71" s="37" t="n">
        <f aca="false">$ER71*FC71</f>
        <v>0</v>
      </c>
      <c r="FR71" s="37" t="n">
        <f aca="false">$ER71*FD71</f>
        <v>0</v>
      </c>
      <c r="FS71" s="37" t="e">
        <f aca="false">$ER71*FE71</f>
        <v>#NAME?</v>
      </c>
      <c r="FT71" s="37" t="e">
        <f aca="false">$ER71*FF71</f>
        <v>#NAME?</v>
      </c>
      <c r="FU71" s="37" t="e">
        <f aca="false">$ER71*FG71</f>
        <v>#NAME?</v>
      </c>
      <c r="FV71" s="37" t="n">
        <f aca="false">$ER71*FH71</f>
        <v>0</v>
      </c>
      <c r="FW71" s="37" t="e">
        <f aca="false">$ER71*FI71</f>
        <v>#NAME?</v>
      </c>
      <c r="FX71" s="37" t="n">
        <f aca="false">$ER71*FJ71</f>
        <v>0</v>
      </c>
      <c r="FY71" s="37" t="e">
        <f aca="false">$ER71*FK71</f>
        <v>#NAME?</v>
      </c>
      <c r="GA71" s="77" t="e">
        <f aca="false">VLOOKUP(A71,skewmonthlook,2,FALSE())</f>
        <v>#REF!</v>
      </c>
      <c r="GB71" s="0" t="e">
        <f aca="false">CONCATENATE(B$3,$GA71)</f>
        <v>#REF!</v>
      </c>
      <c r="GC71" s="0" t="e">
        <f aca="false">CONCATENATE(D$3,$GA71)</f>
        <v>#REF!</v>
      </c>
      <c r="GD71" s="0" t="e">
        <f aca="false">CONCATENATE(F$3,$GA71)</f>
        <v>#REF!</v>
      </c>
      <c r="GE71" s="0" t="e">
        <f aca="false">CONCATENATE(H$3,$GA71)</f>
        <v>#REF!</v>
      </c>
      <c r="GG71" s="65" t="e">
        <f aca="false">VLOOKUP(GB71,skewlook,HLOOKUP($P71,skewlook,2),FALSE())</f>
        <v>#REF!</v>
      </c>
      <c r="GH71" s="65" t="e">
        <f aca="false">VLOOKUP(GC71,skewlook,HLOOKUP($W71,skewlook,2),FALSE())</f>
        <v>#REF!</v>
      </c>
      <c r="GI71" s="65" t="e">
        <f aca="false">VLOOKUP(GD71,skewlook,HLOOKUP($AD71,skewlook,2),FALSE())</f>
        <v>#REF!</v>
      </c>
      <c r="GJ71" s="65" t="e">
        <f aca="false">VLOOKUP(GE71,skewlook,HLOOKUP($AK71,skewlook,2),FALSE())</f>
        <v>#REF!</v>
      </c>
    </row>
    <row r="72" customFormat="false" ht="12.75" hidden="false" customHeight="false" outlineLevel="0" collapsed="false">
      <c r="A72" s="62" t="n">
        <f aca="false">DATE(YEAR(A71),MONTH(A71)+1,1)</f>
        <v>38292</v>
      </c>
      <c r="B72" s="63" t="n">
        <f aca="false">VLOOKUP(A72,STRADDLE,5,FALSE())</f>
        <v>3.452</v>
      </c>
      <c r="C72" s="4" t="n">
        <f aca="false">VLOOKUP(A72,STRADDLE,8,FALSE())</f>
        <v>0.315</v>
      </c>
      <c r="D72" s="64" t="n">
        <f aca="false">VLOOKUP(A72,expiration,2,FALSE())-$B$2</f>
        <v>-7640</v>
      </c>
      <c r="E72" s="65" t="e">
        <f aca="false">AY72</f>
        <v>#NAME?</v>
      </c>
      <c r="F72" s="65" t="e">
        <f aca="false">CI72</f>
        <v>#NAME?</v>
      </c>
      <c r="G72" s="65" t="e">
        <f aca="false">DR72</f>
        <v>#NAME?</v>
      </c>
      <c r="H72" s="65" t="e">
        <f aca="false">FA72</f>
        <v>#NAME?</v>
      </c>
      <c r="I72" s="66"/>
      <c r="J72" s="67"/>
      <c r="K72" s="63" t="n">
        <f aca="false">IF($B$3="NYMEX",0,VLOOKUP($A72,curvesettle,HLOOKUP($B$3,curvesettle,2,FALSE()),FALSE()))</f>
        <v>-0.15</v>
      </c>
      <c r="L72" s="63" t="n">
        <f aca="false">IF($B$4="NYMEX",0,VLOOKUP($A72,curvesettle,HLOOKUP($B$4,curvesettle,2,FALSE()),FALSE()))</f>
        <v>0</v>
      </c>
      <c r="M72" s="65" t="n">
        <f aca="false">IF(ISNUMBER(VLOOKUP($A72,VOLCURVES,HLOOKUP($B$3,VOLCURVES,2,FALSE()),FALSE())),VLOOKUP($A72,VOLCURVES,HLOOKUP($B$3,VOLCURVES,2,FALSE()),FALSE()),1)</f>
        <v>1</v>
      </c>
      <c r="N72" s="65" t="n">
        <f aca="false">IF(ISNUMBER(VLOOKUP($A72,VOLCURVES,HLOOKUP($B$4,VOLCURVES,2,FALSE()),FALSE())),VLOOKUP($A72,VOLCURVES,HLOOKUP($B$4,VOLCURVES,2,FALSE()),FALSE()),1)</f>
        <v>1</v>
      </c>
      <c r="O72" s="65" t="n">
        <f aca="false">IF(ISNUMBER(VLOOKUP($A72,CORETABLE,HLOOKUP($B$3,CORETABLE,2,FALSE()),FALSE())),VLOOKUP($A72,CORETABLE,HLOOKUP($B$3,CORETABLE,2,FALSE()),FALSE()),0.99)</f>
        <v>0.9945</v>
      </c>
      <c r="P72" s="68" t="n">
        <f aca="false">B$19</f>
        <v>-0.2</v>
      </c>
      <c r="Q72" s="69" t="n">
        <f aca="false">IF($B$18=1,IF(ISNUMBER($GG72),$GG72,0),0)</f>
        <v>0</v>
      </c>
      <c r="R72" s="70" t="n">
        <f aca="false">IF($D$3="NYMEX",0,VLOOKUP($A72,curvesettle,HLOOKUP($D$3,curvesettle,2,FALSE()),FALSE()))</f>
        <v>0.2</v>
      </c>
      <c r="S72" s="63" t="n">
        <f aca="false">IF($D$4="NYMEX",0,VLOOKUP($A72,curvesettle,HLOOKUP($D$4,curvesettle,2,FALSE()),FALSE()))</f>
        <v>0</v>
      </c>
      <c r="T72" s="65" t="n">
        <f aca="false">IF(ISNUMBER(VLOOKUP($A72,VOLCURVES,HLOOKUP($D$3,VOLCURVES,2,FALSE()),FALSE())),VLOOKUP($A72,VOLCURVES,HLOOKUP($D$3,VOLCURVES,2,FALSE()),FALSE()),1)</f>
        <v>1</v>
      </c>
      <c r="U72" s="65" t="n">
        <f aca="false">IF(ISNUMBER(VLOOKUP($A72,VOLCURVES,HLOOKUP($D$4,VOLCURVES,2,FALSE()),FALSE())),VLOOKUP($A72,VOLCURVES,HLOOKUP($D$4,VOLCURVES,2,FALSE()),FALSE()),1)</f>
        <v>1</v>
      </c>
      <c r="V72" s="65" t="n">
        <f aca="false">IF(ISNUMBER(VLOOKUP($A72,CORETABLE,HLOOKUP($D$3,CORETABLE,2,FALSE()),FALSE())),VLOOKUP($A72,CORETABLE,HLOOKUP($D$3,CORETABLE,2,FALSE()),FALSE()),0.99)</f>
        <v>0.98</v>
      </c>
      <c r="W72" s="68" t="n">
        <f aca="false">D$19</f>
        <v>0</v>
      </c>
      <c r="X72" s="69" t="n">
        <f aca="false">IF($D$18=1,IF(ISNUMBER($GH72),$GH72,0),0)</f>
        <v>0</v>
      </c>
      <c r="Y72" s="71" t="n">
        <f aca="false">IF($F$3="NYMEX",0,VLOOKUP($A72,curvesettle,HLOOKUP($F$3,curvesettle,2,FALSE()),FALSE()))</f>
        <v>-0.27</v>
      </c>
      <c r="Z72" s="63" t="n">
        <f aca="false">IF($F$4="NYMEX",0,VLOOKUP($A72,curvesettle,HLOOKUP($F$4,curvesettle,2,FALSE()),FALSE()))</f>
        <v>0</v>
      </c>
      <c r="AA72" s="65" t="n">
        <f aca="false">IF(ISNUMBER(VLOOKUP($A72,VOLCURVES,HLOOKUP($F$3,VOLCURVES,2,FALSE()),FALSE())),VLOOKUP($A72,VOLCURVES,HLOOKUP($F$3,VOLCURVES,2,FALSE()),FALSE()),1)</f>
        <v>1</v>
      </c>
      <c r="AB72" s="65" t="n">
        <f aca="false">IF(ISNUMBER(VLOOKUP($A72,VOLCURVES,HLOOKUP($F$4,VOLCURVES,2,FALSE()),FALSE())),VLOOKUP($A72,VOLCURVES,HLOOKUP($F$4,VOLCURVES,2,FALSE()),FALSE()),1)</f>
        <v>1</v>
      </c>
      <c r="AC72" s="65" t="n">
        <f aca="false">IF(ISNUMBER(VLOOKUP($A72,CORETABLE,HLOOKUP($F$3,CORETABLE,2,FALSE()),FALSE())),VLOOKUP($A72,CORETABLE,HLOOKUP($F$3,CORETABLE,2,FALSE()),FALSE()),0.99)</f>
        <v>0.985</v>
      </c>
      <c r="AD72" s="68" t="n">
        <f aca="false">F$19</f>
        <v>-0.6</v>
      </c>
      <c r="AE72" s="69" t="n">
        <f aca="false">IF($F$18=1,IF(ISNUMBER($GI72),$GI72,0),0)</f>
        <v>0</v>
      </c>
      <c r="AF72" s="63" t="n">
        <f aca="false">IF($H$3="NYMEX",0,VLOOKUP($A72,curvesettle,HLOOKUP($H$3,curvesettle,2,FALSE()),FALSE()))</f>
        <v>-0.27</v>
      </c>
      <c r="AG72" s="63" t="n">
        <f aca="false">IF($H$4="NYMEX",0,VLOOKUP($A72,curvesettle,HLOOKUP($H$4,curvesettle,2,FALSE()),FALSE()))</f>
        <v>0</v>
      </c>
      <c r="AH72" s="65" t="n">
        <f aca="false">IF(ISNUMBER(VLOOKUP($A72,VOLCURVES,HLOOKUP($H$3,VOLCURVES,2,FALSE()),FALSE())),VLOOKUP($A72,VOLCURVES,HLOOKUP($H$3,VOLCURVES,2,FALSE()),FALSE()),1)</f>
        <v>1</v>
      </c>
      <c r="AI72" s="65" t="n">
        <f aca="false">IF(ISNUMBER(VLOOKUP($A72,VOLCURVES,HLOOKUP($H$4,VOLCURVES,2,FALSE()),FALSE())),VLOOKUP($A72,VOLCURVES,HLOOKUP($H$4,VOLCURVES,2,FALSE()),FALSE()),1)</f>
        <v>1</v>
      </c>
      <c r="AJ72" s="65" t="n">
        <f aca="false">IF(ISNUMBER(VLOOKUP($A72,CORETABLE,HLOOKUP($H$3,CORETABLE,2,FALSE()),FALSE())),VLOOKUP($A72,CORETABLE,HLOOKUP($H$3,CORETABLE,2,FALSE()),FALSE()),0.99)</f>
        <v>0.985</v>
      </c>
      <c r="AK72" s="68" t="n">
        <f aca="false">H$19</f>
        <v>-0.45</v>
      </c>
      <c r="AL72" s="69" t="n">
        <f aca="false">IF($H$18=1,IF(ISNUMBER($GJ72),$GJ72,0),0)</f>
        <v>0</v>
      </c>
      <c r="AM72" s="4" t="n">
        <f aca="false">VLOOKUP($A72,STRADDLE,14,FALSE())</f>
        <v>0.0415503422333172</v>
      </c>
      <c r="AN72" s="72" t="n">
        <f aca="false">A73-A72</f>
        <v>30</v>
      </c>
      <c r="AO72" s="1" t="n">
        <f aca="false">AO71+1</f>
        <v>35</v>
      </c>
      <c r="AP72" s="73" t="n">
        <f aca="false">IF($A72&gt;=AR$32,IF($A72&lt;=AR$33,$AN72,0),0)</f>
        <v>0</v>
      </c>
      <c r="AQ72" s="41" t="n">
        <f aca="false">$B72+$K72+$B$12</f>
        <v>3.302</v>
      </c>
      <c r="AR72" s="41" t="n">
        <f aca="false">$B72+$L72+$B$13</f>
        <v>3.452</v>
      </c>
      <c r="AS72" s="41" t="n">
        <f aca="false">AQ72*AP72</f>
        <v>0</v>
      </c>
      <c r="AT72" s="41" t="n">
        <f aca="false">AR72*AP72</f>
        <v>0</v>
      </c>
      <c r="AU72" s="74" t="n">
        <f aca="false">($C72*$M72)+Q72+$B$14</f>
        <v>0.315</v>
      </c>
      <c r="AV72" s="74" t="n">
        <f aca="false">($C72*$N72)+$B$15</f>
        <v>0.315</v>
      </c>
      <c r="AW72" s="65" t="n">
        <f aca="false">O72+B$16</f>
        <v>0.999</v>
      </c>
      <c r="AX72" s="75" t="n">
        <f aca="false">IF(AP72=0,0,SPRDOPT(AQ72,AR72,$P72,$AM72,AU72,AV72,AW72,$D72,$B$20,0))</f>
        <v>0</v>
      </c>
      <c r="AY72" s="75" t="e">
        <f aca="false">IF(AQ72=0,0,SPRDOPT(AQ72,AR72,$P72,$AM72,AU72,AV72,AW72,$D72,$B$20,1))</f>
        <v>#NAME?</v>
      </c>
      <c r="AZ72" s="75" t="e">
        <f aca="false">IF(AR72=0,0,SPRDOPT(AQ72,AR72,$P72,$AM72,AU72,AV72,AW72,$D72,$B$20,2))</f>
        <v>#NAME?</v>
      </c>
      <c r="BA72" s="75" t="n">
        <f aca="false">IF(AS72=0,0,SPRDOPT(AQ72,AR72,$P72,$AM72,AU72,AV72,AW72,$D72,$B$20,3)/100)</f>
        <v>0</v>
      </c>
      <c r="BB72" s="75" t="n">
        <f aca="false">IF(AT72=0,0,SPRDOPT(AQ72,AR72,$P72,$AM72,AU72,AV72,AW72,$D72,$B$20,4)/100)</f>
        <v>0</v>
      </c>
      <c r="BC72" s="75" t="e">
        <f aca="false">IF(AU72=0,0,SPRDOPT(AQ72,AR72,$P72,$AM72,AU72,AV72,AW72,$D72,$B$20,5)/100)</f>
        <v>#NAME?</v>
      </c>
      <c r="BD72" s="75" t="e">
        <f aca="false">IF(AV72=0,0,SPRDOPT(AQ72,AR72,$P72,$AM72,AU72,AV72,AW72,$D72,$B$20,6)/100)</f>
        <v>#NAME?</v>
      </c>
      <c r="BE72" s="75" t="e">
        <f aca="false">IF(AW72=0,0,SPRDOPT(AQ72,AR72,$P72,$AM72,AU72,AV72,AW72,$D72,$B$20,7)/100)</f>
        <v>#NAME?</v>
      </c>
      <c r="BF72" s="75" t="n">
        <f aca="false">IF(AX72=0,0,SPRDOPT(AQ72,AR72,$P72,$AM72,AU72,AV72,AW72,$D72,$B$20,9)/365)</f>
        <v>0</v>
      </c>
      <c r="BG72" s="75" t="e">
        <f aca="false">AY72+AZ72</f>
        <v>#NAME?</v>
      </c>
      <c r="BH72" s="75" t="n">
        <f aca="false">BB72-BA72</f>
        <v>0</v>
      </c>
      <c r="BI72" s="75" t="e">
        <f aca="false">((AU72/AV72)*BC72)+BD72</f>
        <v>#NAME?</v>
      </c>
      <c r="BJ72" s="75" t="n">
        <f aca="false">AW72*AP72</f>
        <v>0</v>
      </c>
      <c r="BK72" s="76"/>
      <c r="BL72" s="37" t="n">
        <f aca="false">$AP72*AX72</f>
        <v>0</v>
      </c>
      <c r="BM72" s="37" t="e">
        <f aca="false">$AP72*AY72</f>
        <v>#NAME?</v>
      </c>
      <c r="BN72" s="37" t="e">
        <f aca="false">$AP72*AZ72</f>
        <v>#NAME?</v>
      </c>
      <c r="BO72" s="37" t="n">
        <f aca="false">$AP72*BA72</f>
        <v>0</v>
      </c>
      <c r="BP72" s="37" t="n">
        <f aca="false">$AP72*BB72</f>
        <v>0</v>
      </c>
      <c r="BQ72" s="37" t="e">
        <f aca="false">$AP72*BC72</f>
        <v>#NAME?</v>
      </c>
      <c r="BR72" s="37" t="e">
        <f aca="false">$AP72*BD72</f>
        <v>#NAME?</v>
      </c>
      <c r="BS72" s="37" t="e">
        <f aca="false">$AP72*BE72</f>
        <v>#NAME?</v>
      </c>
      <c r="BT72" s="37" t="n">
        <f aca="false">$AP72*BF72</f>
        <v>0</v>
      </c>
      <c r="BU72" s="37" t="e">
        <f aca="false">$AP72*BG72</f>
        <v>#NAME?</v>
      </c>
      <c r="BV72" s="37" t="n">
        <f aca="false">$AP72*BH72</f>
        <v>0</v>
      </c>
      <c r="BW72" s="37" t="e">
        <f aca="false">$AP72*BI72</f>
        <v>#NAME?</v>
      </c>
      <c r="BX72" s="37"/>
      <c r="BZ72" s="73" t="n">
        <f aca="false">IF($A72&gt;=CB$32,IF($A72&lt;=CB$33,$AN72,0),0)</f>
        <v>0</v>
      </c>
      <c r="CA72" s="41" t="n">
        <f aca="false">$B72+$R72+$D$12</f>
        <v>3.652</v>
      </c>
      <c r="CB72" s="41" t="n">
        <f aca="false">$B72+$S72+$D$13</f>
        <v>3.452</v>
      </c>
      <c r="CC72" s="41" t="n">
        <f aca="false">CA72*BZ72</f>
        <v>0</v>
      </c>
      <c r="CD72" s="41" t="n">
        <f aca="false">CB72*BZ72</f>
        <v>0</v>
      </c>
      <c r="CE72" s="74" t="n">
        <f aca="false">($C72*$T72)+X72+$D$14</f>
        <v>0.315</v>
      </c>
      <c r="CF72" s="74" t="n">
        <f aca="false">($C72*$U72)+$D$15</f>
        <v>0.315</v>
      </c>
      <c r="CG72" s="65" t="n">
        <f aca="false">$V72+D$16</f>
        <v>0.98</v>
      </c>
      <c r="CH72" s="75" t="n">
        <f aca="false">IF(BZ72=0,0,SPRDOPT(CA72,CB72,$W72,$AM72,CE72,CF72,CG72,$D72,$D$20,0))</f>
        <v>0</v>
      </c>
      <c r="CI72" s="75" t="e">
        <f aca="false">IF(CA72=0,0,SPRDOPT(CA72,CB72,$W72,$AM72,CE72,CF72,CG72,$D72,$D$20,1))</f>
        <v>#NAME?</v>
      </c>
      <c r="CJ72" s="75" t="e">
        <f aca="false">IF(CB72=0,0,SPRDOPT(CA72,CB72,$W72,$AM72,CE72,CF72,CG72,$D72,$D$20,2))</f>
        <v>#NAME?</v>
      </c>
      <c r="CK72" s="75" t="n">
        <f aca="false">IF(CC72=0,0,SPRDOPT(CA72,CB72,$W72,$AM72,CE72,CF72,CG72,$D72,$D$20,3)/100)</f>
        <v>0</v>
      </c>
      <c r="CL72" s="75" t="n">
        <f aca="false">IF(CD72=0,0,SPRDOPT(CA72,CB72,$W72,$AM72,CE72,CF72,CG72,$D72,$D$20,4)/100)</f>
        <v>0</v>
      </c>
      <c r="CM72" s="75" t="e">
        <f aca="false">IF(CE72=0,0,SPRDOPT(CA72,CB72,$W72,$AM72,CE72,CF72,CG72,$D72,$D$20,5)/100)</f>
        <v>#NAME?</v>
      </c>
      <c r="CN72" s="75" t="e">
        <f aca="false">IF(CF72=0,0,SPRDOPT(CA72,CB72,$W72,$AM72,CE72,CF72,CG72,$D72,$D$20,6)/100)</f>
        <v>#NAME?</v>
      </c>
      <c r="CO72" s="75" t="e">
        <f aca="false">IF(CG72=0,0,SPRDOPT(CA72,CB72,$W72,$AM72,CE72,CF72,CG72,$D72,$D$20,7)/100)</f>
        <v>#NAME?</v>
      </c>
      <c r="CP72" s="75" t="n">
        <f aca="false">IF(CH72=0,0,SPRDOPT(CA72,CB72,$W72,$AM72,CE72,CF72,CG72,$D72,$D$20,9)/365)</f>
        <v>0</v>
      </c>
      <c r="CQ72" s="75" t="e">
        <f aca="false">CI72+CJ72</f>
        <v>#NAME?</v>
      </c>
      <c r="CR72" s="75" t="n">
        <f aca="false">CL72-CK72</f>
        <v>0</v>
      </c>
      <c r="CS72" s="75" t="e">
        <f aca="false">((CE72/CF72)*CM72)+CN72</f>
        <v>#NAME?</v>
      </c>
      <c r="CT72" s="75" t="n">
        <f aca="false">CG72*BZ72</f>
        <v>0</v>
      </c>
      <c r="CU72" s="76"/>
      <c r="CV72" s="37" t="n">
        <f aca="false">BZ72*CH72</f>
        <v>0</v>
      </c>
      <c r="CW72" s="37" t="e">
        <f aca="false">BZ72*CI72</f>
        <v>#NAME?</v>
      </c>
      <c r="CX72" s="37" t="e">
        <f aca="false">BZ72*CJ72</f>
        <v>#NAME?</v>
      </c>
      <c r="CY72" s="37" t="n">
        <f aca="false">BZ72*CK72</f>
        <v>0</v>
      </c>
      <c r="CZ72" s="37" t="n">
        <f aca="false">BZ72*CL72</f>
        <v>0</v>
      </c>
      <c r="DA72" s="37" t="e">
        <f aca="false">BZ72*CM72</f>
        <v>#NAME?</v>
      </c>
      <c r="DB72" s="37" t="e">
        <f aca="false">BZ72*CN72</f>
        <v>#NAME?</v>
      </c>
      <c r="DC72" s="37" t="e">
        <f aca="false">BZ72*CO72</f>
        <v>#NAME?</v>
      </c>
      <c r="DD72" s="37" t="n">
        <f aca="false">BZ72*CP72</f>
        <v>0</v>
      </c>
      <c r="DE72" s="37" t="e">
        <f aca="false">BZ72*CQ72</f>
        <v>#NAME?</v>
      </c>
      <c r="DF72" s="37" t="n">
        <f aca="false">BZ72*CR72</f>
        <v>0</v>
      </c>
      <c r="DG72" s="37" t="e">
        <f aca="false">BZ72*CS72</f>
        <v>#NAME?</v>
      </c>
      <c r="DI72" s="73" t="n">
        <f aca="false">IF($A72&gt;=DK$32,IF($A72&lt;=DK$33,$AN72,0),0)</f>
        <v>0</v>
      </c>
      <c r="DJ72" s="41" t="n">
        <f aca="false">$B72+$Y72+$F$12</f>
        <v>3.182</v>
      </c>
      <c r="DK72" s="41" t="n">
        <f aca="false">$B72+$Z72+$F$13</f>
        <v>3.452</v>
      </c>
      <c r="DL72" s="41" t="n">
        <f aca="false">DJ72*DI72</f>
        <v>0</v>
      </c>
      <c r="DM72" s="41" t="n">
        <f aca="false">DK72*DI72</f>
        <v>0</v>
      </c>
      <c r="DN72" s="74" t="n">
        <f aca="false">($C72*$AA72)+AE72+$F$14</f>
        <v>0.315</v>
      </c>
      <c r="DO72" s="74" t="n">
        <f aca="false">($C72*$AB72)+$F$15</f>
        <v>0.315</v>
      </c>
      <c r="DP72" s="65" t="n">
        <f aca="false">$AC72+$F$16</f>
        <v>0.985</v>
      </c>
      <c r="DQ72" s="75" t="n">
        <f aca="false">IF(DI72=0,0,SPRDOPT(DJ72,DK72,$AD72,$AM72,DN72,DO72,DP72,$D72,$F$20,0))</f>
        <v>0</v>
      </c>
      <c r="DR72" s="75" t="e">
        <f aca="false">IF(DJ72=0,0,SPRDOPT(DJ72,DK72,$AD72,$AM72,DN72,DO72,DP72,$D72,$F$20,1))</f>
        <v>#NAME?</v>
      </c>
      <c r="DS72" s="75" t="e">
        <f aca="false">IF(DK72=0,0,SPRDOPT(DJ72,DK72,$AD72,$AM72,DN72,DO72,DP72,$D72,$F$20,2))</f>
        <v>#NAME?</v>
      </c>
      <c r="DT72" s="75" t="n">
        <f aca="false">IF(DL72=0,0,SPRDOPT(DJ72,DK72,$AD72,$AM72,DN72,DO72,DP72,$D72,$F$20,3)/100)</f>
        <v>0</v>
      </c>
      <c r="DU72" s="75" t="n">
        <f aca="false">IF(DM72=0,0,SPRDOPT(DJ72,DK72,$AD72,$AM72,DN72,DO72,DP72,$D72,$F$20,4)/100)</f>
        <v>0</v>
      </c>
      <c r="DV72" s="75" t="e">
        <f aca="false">IF(DN72=0,0,SPRDOPT(DJ72,DK72,$AD72,$AM72,DN72,DO72,DP72,$D72,$F$20,5)/100)</f>
        <v>#NAME?</v>
      </c>
      <c r="DW72" s="75" t="e">
        <f aca="false">IF(DO72=0,0,SPRDOPT(DJ72,DK72,$AD72,$AM72,DN72,DO72,DP72,$D72,$F$20,6)/100)</f>
        <v>#NAME?</v>
      </c>
      <c r="DX72" s="75" t="e">
        <f aca="false">IF(DP72=0,0,SPRDOPT(DJ72,DK72,$AD72,$AM72,DN72,DO72,DP72,$D72,$F$20,7)/100)</f>
        <v>#NAME?</v>
      </c>
      <c r="DY72" s="75" t="n">
        <f aca="false">IF(DQ72=0,0,SPRDOPT(DJ72,DK72,$AD72,$AM72,DN72,DO72,DP72,$D72,$F$20,9)/365)</f>
        <v>0</v>
      </c>
      <c r="DZ72" s="75" t="e">
        <f aca="false">DR72+DS72</f>
        <v>#NAME?</v>
      </c>
      <c r="EA72" s="75" t="n">
        <f aca="false">DU72-DT72</f>
        <v>0</v>
      </c>
      <c r="EB72" s="75" t="e">
        <f aca="false">((DN72/DO72)*DV72)+DW72</f>
        <v>#NAME?</v>
      </c>
      <c r="EC72" s="75" t="n">
        <f aca="false">DP72*DI72</f>
        <v>0</v>
      </c>
      <c r="ED72" s="75"/>
      <c r="EE72" s="37" t="n">
        <f aca="false">DI72*DQ72</f>
        <v>0</v>
      </c>
      <c r="EF72" s="37" t="e">
        <f aca="false">DI72*DR72</f>
        <v>#NAME?</v>
      </c>
      <c r="EG72" s="37" t="e">
        <f aca="false">DI72*DS72</f>
        <v>#NAME?</v>
      </c>
      <c r="EH72" s="37" t="n">
        <f aca="false">DI72*DT72</f>
        <v>0</v>
      </c>
      <c r="EI72" s="37" t="n">
        <f aca="false">DI72*DU72</f>
        <v>0</v>
      </c>
      <c r="EJ72" s="37" t="e">
        <f aca="false">DI72*DV72</f>
        <v>#NAME?</v>
      </c>
      <c r="EK72" s="37" t="e">
        <f aca="false">DI72*DW72</f>
        <v>#NAME?</v>
      </c>
      <c r="EL72" s="37" t="e">
        <f aca="false">DI72*DX72</f>
        <v>#NAME?</v>
      </c>
      <c r="EM72" s="37" t="n">
        <f aca="false">DI72*DY72</f>
        <v>0</v>
      </c>
      <c r="EN72" s="37" t="e">
        <f aca="false">DI72*DZ72</f>
        <v>#NAME?</v>
      </c>
      <c r="EO72" s="37" t="n">
        <f aca="false">DI72*EA72</f>
        <v>0</v>
      </c>
      <c r="EP72" s="37" t="e">
        <f aca="false">DI72*EB72</f>
        <v>#NAME?</v>
      </c>
      <c r="ER72" s="73" t="n">
        <f aca="false">IF($A72&gt;=ET$32,IF($A72&lt;=ET$33,$AN72,0),0)</f>
        <v>0</v>
      </c>
      <c r="ES72" s="41" t="n">
        <f aca="false">$B72+$AF72+$H$12</f>
        <v>3.242</v>
      </c>
      <c r="ET72" s="41" t="n">
        <f aca="false">$B72+$AG72+$H$13</f>
        <v>3.452</v>
      </c>
      <c r="EU72" s="41" t="n">
        <f aca="false">ES72*ER72</f>
        <v>0</v>
      </c>
      <c r="EV72" s="41" t="n">
        <f aca="false">ET72*ER72</f>
        <v>0</v>
      </c>
      <c r="EW72" s="74" t="n">
        <f aca="false">($C72*$AH72)+AL72+$H$14</f>
        <v>0.315</v>
      </c>
      <c r="EX72" s="74" t="n">
        <f aca="false">($C72*$AI72)+$H$15</f>
        <v>0.315</v>
      </c>
      <c r="EY72" s="65" t="n">
        <f aca="false">$AJ72+$H$16</f>
        <v>0.985</v>
      </c>
      <c r="EZ72" s="75" t="n">
        <f aca="false">IF(ER72=0,0,SPRDOPT(ES72,ET72,$AK72,$AM72,EW72,EX72,EY72,$D72,$H$20,0))</f>
        <v>0</v>
      </c>
      <c r="FA72" s="75" t="e">
        <f aca="false">IF(ES72=0,0,SPRDOPT(ES72,ET72,$AK72,$AM72,EW72,EX72,EY72,$D72,$H$20,1))</f>
        <v>#NAME?</v>
      </c>
      <c r="FB72" s="75" t="e">
        <f aca="false">IF(ET72=0,0,SPRDOPT(ES72,ET72,$AK72,$AM72,EW72,EX72,EY72,$D72,$H$20,2))</f>
        <v>#NAME?</v>
      </c>
      <c r="FC72" s="75" t="n">
        <f aca="false">IF(EU72=0,0,SPRDOPT(ES72,ET72,$AK72,$AM72,EW72,EX72,EY72,$D72,$H$20,3)/100)</f>
        <v>0</v>
      </c>
      <c r="FD72" s="75" t="n">
        <f aca="false">IF(EV72=0,0,SPRDOPT(ES72,ET72,$AK72,$AM72,EW72,EX72,EY72,$D72,$H$20,4)/100)</f>
        <v>0</v>
      </c>
      <c r="FE72" s="75" t="e">
        <f aca="false">IF(EW72=0,0,SPRDOPT(ES72,ET72,$AK72,$AM72,EW72,EX72,EY72,$D72,$H$20,5)/100)</f>
        <v>#NAME?</v>
      </c>
      <c r="FF72" s="75" t="e">
        <f aca="false">IF(EX72=0,0,SPRDOPT(ES72,ET72,$AK72,$AM72,EW72,EX72,EY72,$D72,$H$20,6)/100)</f>
        <v>#NAME?</v>
      </c>
      <c r="FG72" s="75" t="e">
        <f aca="false">IF(EY72=0,0,SPRDOPT(ES72,ET72,$AK72,$AM72,EW72,EX72,EY72,$D72,$H$20,7)/100)</f>
        <v>#NAME?</v>
      </c>
      <c r="FH72" s="75" t="n">
        <f aca="false">IF(EZ72=0,0,SPRDOPT(ES72,ET72,$AK72,$AM72,EW72,EX72,EY72,$D72,$H$20,9)/365)</f>
        <v>0</v>
      </c>
      <c r="FI72" s="75" t="e">
        <f aca="false">FA72+FB72</f>
        <v>#NAME?</v>
      </c>
      <c r="FJ72" s="75" t="n">
        <f aca="false">FD72-FC72</f>
        <v>0</v>
      </c>
      <c r="FK72" s="75" t="e">
        <f aca="false">((EW72/EX72)*FE72)+FF72</f>
        <v>#NAME?</v>
      </c>
      <c r="FL72" s="75" t="n">
        <f aca="false">EY72*ER72</f>
        <v>0</v>
      </c>
      <c r="FM72" s="75"/>
      <c r="FN72" s="37" t="n">
        <f aca="false">$ER72*EZ72</f>
        <v>0</v>
      </c>
      <c r="FO72" s="37" t="e">
        <f aca="false">$ER72*FA72</f>
        <v>#NAME?</v>
      </c>
      <c r="FP72" s="37" t="e">
        <f aca="false">$ER72*FB72</f>
        <v>#NAME?</v>
      </c>
      <c r="FQ72" s="37" t="n">
        <f aca="false">$ER72*FC72</f>
        <v>0</v>
      </c>
      <c r="FR72" s="37" t="n">
        <f aca="false">$ER72*FD72</f>
        <v>0</v>
      </c>
      <c r="FS72" s="37" t="e">
        <f aca="false">$ER72*FE72</f>
        <v>#NAME?</v>
      </c>
      <c r="FT72" s="37" t="e">
        <f aca="false">$ER72*FF72</f>
        <v>#NAME?</v>
      </c>
      <c r="FU72" s="37" t="e">
        <f aca="false">$ER72*FG72</f>
        <v>#NAME?</v>
      </c>
      <c r="FV72" s="37" t="n">
        <f aca="false">$ER72*FH72</f>
        <v>0</v>
      </c>
      <c r="FW72" s="37" t="e">
        <f aca="false">$ER72*FI72</f>
        <v>#NAME?</v>
      </c>
      <c r="FX72" s="37" t="n">
        <f aca="false">$ER72*FJ72</f>
        <v>0</v>
      </c>
      <c r="FY72" s="37" t="e">
        <f aca="false">$ER72*FK72</f>
        <v>#NAME?</v>
      </c>
      <c r="GA72" s="77" t="e">
        <f aca="false">VLOOKUP(A72,skewmonthlook,2,FALSE())</f>
        <v>#REF!</v>
      </c>
      <c r="GB72" s="0" t="e">
        <f aca="false">CONCATENATE(B$3,$GA72)</f>
        <v>#REF!</v>
      </c>
      <c r="GC72" s="0" t="e">
        <f aca="false">CONCATENATE(D$3,$GA72)</f>
        <v>#REF!</v>
      </c>
      <c r="GD72" s="0" t="e">
        <f aca="false">CONCATENATE(F$3,$GA72)</f>
        <v>#REF!</v>
      </c>
      <c r="GE72" s="0" t="e">
        <f aca="false">CONCATENATE(H$3,$GA72)</f>
        <v>#REF!</v>
      </c>
      <c r="GG72" s="65" t="e">
        <f aca="false">VLOOKUP(GB72,skewlook,HLOOKUP($P72,skewlook,2),FALSE())</f>
        <v>#REF!</v>
      </c>
      <c r="GH72" s="65" t="e">
        <f aca="false">VLOOKUP(GC72,skewlook,HLOOKUP($W72,skewlook,2),FALSE())</f>
        <v>#REF!</v>
      </c>
      <c r="GI72" s="65" t="e">
        <f aca="false">VLOOKUP(GD72,skewlook,HLOOKUP($AD72,skewlook,2),FALSE())</f>
        <v>#REF!</v>
      </c>
      <c r="GJ72" s="65" t="e">
        <f aca="false">VLOOKUP(GE72,skewlook,HLOOKUP($AK72,skewlook,2),FALSE())</f>
        <v>#REF!</v>
      </c>
    </row>
    <row r="73" customFormat="false" ht="12.75" hidden="false" customHeight="false" outlineLevel="0" collapsed="false">
      <c r="A73" s="62" t="n">
        <f aca="false">DATE(YEAR(A72),MONTH(A72)+1,1)</f>
        <v>38322</v>
      </c>
      <c r="B73" s="63" t="n">
        <f aca="false">VLOOKUP(A73,STRADDLE,5,FALSE())</f>
        <v>3.595</v>
      </c>
      <c r="C73" s="4" t="n">
        <f aca="false">VLOOKUP(A73,STRADDLE,8,FALSE())</f>
        <v>0.315</v>
      </c>
      <c r="D73" s="64" t="n">
        <f aca="false">VLOOKUP(A73,expiration,2,FALSE())-$B$2</f>
        <v>-7610</v>
      </c>
      <c r="E73" s="65" t="e">
        <f aca="false">AY73</f>
        <v>#NAME?</v>
      </c>
      <c r="F73" s="65" t="e">
        <f aca="false">CI73</f>
        <v>#NAME?</v>
      </c>
      <c r="G73" s="65" t="e">
        <f aca="false">DR73</f>
        <v>#NAME?</v>
      </c>
      <c r="H73" s="65" t="e">
        <f aca="false">FA73</f>
        <v>#NAME?</v>
      </c>
      <c r="I73" s="66"/>
      <c r="J73" s="67"/>
      <c r="K73" s="63" t="n">
        <f aca="false">IF($B$3="NYMEX",0,VLOOKUP($A73,curvesettle,HLOOKUP($B$3,curvesettle,2,FALSE()),FALSE()))</f>
        <v>-0.1525</v>
      </c>
      <c r="L73" s="63" t="n">
        <f aca="false">IF($B$4="NYMEX",0,VLOOKUP($A73,curvesettle,HLOOKUP($B$4,curvesettle,2,FALSE()),FALSE()))</f>
        <v>0</v>
      </c>
      <c r="M73" s="65" t="n">
        <f aca="false">IF(ISNUMBER(VLOOKUP($A73,VOLCURVES,HLOOKUP($B$3,VOLCURVES,2,FALSE()),FALSE())),VLOOKUP($A73,VOLCURVES,HLOOKUP($B$3,VOLCURVES,2,FALSE()),FALSE()),1)</f>
        <v>1</v>
      </c>
      <c r="N73" s="65" t="n">
        <f aca="false">IF(ISNUMBER(VLOOKUP($A73,VOLCURVES,HLOOKUP($B$4,VOLCURVES,2,FALSE()),FALSE())),VLOOKUP($A73,VOLCURVES,HLOOKUP($B$4,VOLCURVES,2,FALSE()),FALSE()),1)</f>
        <v>1</v>
      </c>
      <c r="O73" s="65" t="n">
        <f aca="false">IF(ISNUMBER(VLOOKUP($A73,CORETABLE,HLOOKUP($B$3,CORETABLE,2,FALSE()),FALSE())),VLOOKUP($A73,CORETABLE,HLOOKUP($B$3,CORETABLE,2,FALSE()),FALSE()),0.99)</f>
        <v>0.9945</v>
      </c>
      <c r="P73" s="68" t="n">
        <f aca="false">B$19</f>
        <v>-0.2</v>
      </c>
      <c r="Q73" s="69" t="n">
        <f aca="false">IF($B$18=1,IF(ISNUMBER($GG73),$GG73,0),0)</f>
        <v>0</v>
      </c>
      <c r="R73" s="70" t="n">
        <f aca="false">IF($D$3="NYMEX",0,VLOOKUP($A73,curvesettle,HLOOKUP($D$3,curvesettle,2,FALSE()),FALSE()))</f>
        <v>0.2</v>
      </c>
      <c r="S73" s="63" t="n">
        <f aca="false">IF($D$4="NYMEX",0,VLOOKUP($A73,curvesettle,HLOOKUP($D$4,curvesettle,2,FALSE()),FALSE()))</f>
        <v>0</v>
      </c>
      <c r="T73" s="65" t="n">
        <f aca="false">IF(ISNUMBER(VLOOKUP($A73,VOLCURVES,HLOOKUP($D$3,VOLCURVES,2,FALSE()),FALSE())),VLOOKUP($A73,VOLCURVES,HLOOKUP($D$3,VOLCURVES,2,FALSE()),FALSE()),1)</f>
        <v>1</v>
      </c>
      <c r="U73" s="65" t="n">
        <f aca="false">IF(ISNUMBER(VLOOKUP($A73,VOLCURVES,HLOOKUP($D$4,VOLCURVES,2,FALSE()),FALSE())),VLOOKUP($A73,VOLCURVES,HLOOKUP($D$4,VOLCURVES,2,FALSE()),FALSE()),1)</f>
        <v>1</v>
      </c>
      <c r="V73" s="65" t="n">
        <f aca="false">IF(ISNUMBER(VLOOKUP($A73,CORETABLE,HLOOKUP($D$3,CORETABLE,2,FALSE()),FALSE())),VLOOKUP($A73,CORETABLE,HLOOKUP($D$3,CORETABLE,2,FALSE()),FALSE()),0.99)</f>
        <v>0.98</v>
      </c>
      <c r="W73" s="68" t="n">
        <f aca="false">D$19</f>
        <v>0</v>
      </c>
      <c r="X73" s="69" t="n">
        <f aca="false">IF($D$18=1,IF(ISNUMBER($GH73),$GH73,0),0)</f>
        <v>0</v>
      </c>
      <c r="Y73" s="71" t="n">
        <f aca="false">IF($F$3="NYMEX",0,VLOOKUP($A73,curvesettle,HLOOKUP($F$3,curvesettle,2,FALSE()),FALSE()))</f>
        <v>-0.27</v>
      </c>
      <c r="Z73" s="63" t="n">
        <f aca="false">IF($F$4="NYMEX",0,VLOOKUP($A73,curvesettle,HLOOKUP($F$4,curvesettle,2,FALSE()),FALSE()))</f>
        <v>0</v>
      </c>
      <c r="AA73" s="65" t="n">
        <f aca="false">IF(ISNUMBER(VLOOKUP($A73,VOLCURVES,HLOOKUP($F$3,VOLCURVES,2,FALSE()),FALSE())),VLOOKUP($A73,VOLCURVES,HLOOKUP($F$3,VOLCURVES,2,FALSE()),FALSE()),1)</f>
        <v>1</v>
      </c>
      <c r="AB73" s="65" t="n">
        <f aca="false">IF(ISNUMBER(VLOOKUP($A73,VOLCURVES,HLOOKUP($F$4,VOLCURVES,2,FALSE()),FALSE())),VLOOKUP($A73,VOLCURVES,HLOOKUP($F$4,VOLCURVES,2,FALSE()),FALSE()),1)</f>
        <v>1</v>
      </c>
      <c r="AC73" s="65" t="n">
        <f aca="false">IF(ISNUMBER(VLOOKUP($A73,CORETABLE,HLOOKUP($F$3,CORETABLE,2,FALSE()),FALSE())),VLOOKUP($A73,CORETABLE,HLOOKUP($F$3,CORETABLE,2,FALSE()),FALSE()),0.99)</f>
        <v>0.985</v>
      </c>
      <c r="AD73" s="68" t="n">
        <f aca="false">F$19</f>
        <v>-0.6</v>
      </c>
      <c r="AE73" s="69" t="n">
        <f aca="false">IF($F$18=1,IF(ISNUMBER($GI73),$GI73,0),0)</f>
        <v>0</v>
      </c>
      <c r="AF73" s="63" t="n">
        <f aca="false">IF($H$3="NYMEX",0,VLOOKUP($A73,curvesettle,HLOOKUP($H$3,curvesettle,2,FALSE()),FALSE()))</f>
        <v>-0.27</v>
      </c>
      <c r="AG73" s="63" t="n">
        <f aca="false">IF($H$4="NYMEX",0,VLOOKUP($A73,curvesettle,HLOOKUP($H$4,curvesettle,2,FALSE()),FALSE()))</f>
        <v>0</v>
      </c>
      <c r="AH73" s="65" t="n">
        <f aca="false">IF(ISNUMBER(VLOOKUP($A73,VOLCURVES,HLOOKUP($H$3,VOLCURVES,2,FALSE()),FALSE())),VLOOKUP($A73,VOLCURVES,HLOOKUP($H$3,VOLCURVES,2,FALSE()),FALSE()),1)</f>
        <v>1</v>
      </c>
      <c r="AI73" s="65" t="n">
        <f aca="false">IF(ISNUMBER(VLOOKUP($A73,VOLCURVES,HLOOKUP($H$4,VOLCURVES,2,FALSE()),FALSE())),VLOOKUP($A73,VOLCURVES,HLOOKUP($H$4,VOLCURVES,2,FALSE()),FALSE()),1)</f>
        <v>1</v>
      </c>
      <c r="AJ73" s="65" t="n">
        <f aca="false">IF(ISNUMBER(VLOOKUP($A73,CORETABLE,HLOOKUP($H$3,CORETABLE,2,FALSE()),FALSE())),VLOOKUP($A73,CORETABLE,HLOOKUP($H$3,CORETABLE,2,FALSE()),FALSE()),0.99)</f>
        <v>0.985</v>
      </c>
      <c r="AK73" s="68" t="n">
        <f aca="false">H$19</f>
        <v>-0.45</v>
      </c>
      <c r="AL73" s="69" t="n">
        <f aca="false">IF($H$18=1,IF(ISNUMBER($GJ73),$GJ73,0),0)</f>
        <v>0</v>
      </c>
      <c r="AM73" s="4" t="n">
        <f aca="false">VLOOKUP($A73,STRADDLE,14,FALSE())</f>
        <v>0.0421066930146625</v>
      </c>
      <c r="AN73" s="72" t="n">
        <f aca="false">A74-A73</f>
        <v>31</v>
      </c>
      <c r="AO73" s="1" t="n">
        <f aca="false">AO72+1</f>
        <v>36</v>
      </c>
      <c r="AP73" s="73" t="n">
        <f aca="false">IF($A73&gt;=AR$32,IF($A73&lt;=AR$33,$AN73,0),0)</f>
        <v>0</v>
      </c>
      <c r="AQ73" s="41" t="n">
        <f aca="false">$B73+$K73+$B$12</f>
        <v>3.4425</v>
      </c>
      <c r="AR73" s="41" t="n">
        <f aca="false">$B73+$L73+$B$13</f>
        <v>3.595</v>
      </c>
      <c r="AS73" s="41" t="n">
        <f aca="false">AQ73*AP73</f>
        <v>0</v>
      </c>
      <c r="AT73" s="41" t="n">
        <f aca="false">AR73*AP73</f>
        <v>0</v>
      </c>
      <c r="AU73" s="74" t="n">
        <f aca="false">($C73*$M73)+Q73+$B$14</f>
        <v>0.315</v>
      </c>
      <c r="AV73" s="74" t="n">
        <f aca="false">($C73*$N73)+$B$15</f>
        <v>0.315</v>
      </c>
      <c r="AW73" s="65" t="n">
        <f aca="false">O73+B$16</f>
        <v>0.999</v>
      </c>
      <c r="AX73" s="75" t="n">
        <f aca="false">IF(AP73=0,0,SPRDOPT(AQ73,AR73,$P73,$AM73,AU73,AV73,AW73,$D73,$B$20,0))</f>
        <v>0</v>
      </c>
      <c r="AY73" s="75" t="e">
        <f aca="false">IF(AQ73=0,0,SPRDOPT(AQ73,AR73,$P73,$AM73,AU73,AV73,AW73,$D73,$B$20,1))</f>
        <v>#NAME?</v>
      </c>
      <c r="AZ73" s="75" t="e">
        <f aca="false">IF(AR73=0,0,SPRDOPT(AQ73,AR73,$P73,$AM73,AU73,AV73,AW73,$D73,$B$20,2))</f>
        <v>#NAME?</v>
      </c>
      <c r="BA73" s="75" t="n">
        <f aca="false">IF(AS73=0,0,SPRDOPT(AQ73,AR73,$P73,$AM73,AU73,AV73,AW73,$D73,$B$20,3)/100)</f>
        <v>0</v>
      </c>
      <c r="BB73" s="75" t="n">
        <f aca="false">IF(AT73=0,0,SPRDOPT(AQ73,AR73,$P73,$AM73,AU73,AV73,AW73,$D73,$B$20,4)/100)</f>
        <v>0</v>
      </c>
      <c r="BC73" s="75" t="e">
        <f aca="false">IF(AU73=0,0,SPRDOPT(AQ73,AR73,$P73,$AM73,AU73,AV73,AW73,$D73,$B$20,5)/100)</f>
        <v>#NAME?</v>
      </c>
      <c r="BD73" s="75" t="e">
        <f aca="false">IF(AV73=0,0,SPRDOPT(AQ73,AR73,$P73,$AM73,AU73,AV73,AW73,$D73,$B$20,6)/100)</f>
        <v>#NAME?</v>
      </c>
      <c r="BE73" s="75" t="e">
        <f aca="false">IF(AW73=0,0,SPRDOPT(AQ73,AR73,$P73,$AM73,AU73,AV73,AW73,$D73,$B$20,7)/100)</f>
        <v>#NAME?</v>
      </c>
      <c r="BF73" s="75" t="n">
        <f aca="false">IF(AX73=0,0,SPRDOPT(AQ73,AR73,$P73,$AM73,AU73,AV73,AW73,$D73,$B$20,9)/365)</f>
        <v>0</v>
      </c>
      <c r="BG73" s="75" t="e">
        <f aca="false">AY73+AZ73</f>
        <v>#NAME?</v>
      </c>
      <c r="BH73" s="75" t="n">
        <f aca="false">BB73-BA73</f>
        <v>0</v>
      </c>
      <c r="BI73" s="75" t="e">
        <f aca="false">((AU73/AV73)*BC73)+BD73</f>
        <v>#NAME?</v>
      </c>
      <c r="BJ73" s="75" t="n">
        <f aca="false">AW73*AP73</f>
        <v>0</v>
      </c>
      <c r="BK73" s="76"/>
      <c r="BL73" s="37" t="n">
        <f aca="false">$AP73*AX73</f>
        <v>0</v>
      </c>
      <c r="BM73" s="37" t="e">
        <f aca="false">$AP73*AY73</f>
        <v>#NAME?</v>
      </c>
      <c r="BN73" s="37" t="e">
        <f aca="false">$AP73*AZ73</f>
        <v>#NAME?</v>
      </c>
      <c r="BO73" s="37" t="n">
        <f aca="false">$AP73*BA73</f>
        <v>0</v>
      </c>
      <c r="BP73" s="37" t="n">
        <f aca="false">$AP73*BB73</f>
        <v>0</v>
      </c>
      <c r="BQ73" s="37" t="e">
        <f aca="false">$AP73*BC73</f>
        <v>#NAME?</v>
      </c>
      <c r="BR73" s="37" t="e">
        <f aca="false">$AP73*BD73</f>
        <v>#NAME?</v>
      </c>
      <c r="BS73" s="37" t="e">
        <f aca="false">$AP73*BE73</f>
        <v>#NAME?</v>
      </c>
      <c r="BT73" s="37" t="n">
        <f aca="false">$AP73*BF73</f>
        <v>0</v>
      </c>
      <c r="BU73" s="37" t="e">
        <f aca="false">$AP73*BG73</f>
        <v>#NAME?</v>
      </c>
      <c r="BV73" s="37" t="n">
        <f aca="false">$AP73*BH73</f>
        <v>0</v>
      </c>
      <c r="BW73" s="37" t="e">
        <f aca="false">$AP73*BI73</f>
        <v>#NAME?</v>
      </c>
      <c r="BX73" s="37"/>
      <c r="BZ73" s="73" t="n">
        <f aca="false">IF($A73&gt;=CB$32,IF($A73&lt;=CB$33,$AN73,0),0)</f>
        <v>0</v>
      </c>
      <c r="CA73" s="41" t="n">
        <f aca="false">$B73+$R73+$D$12</f>
        <v>3.795</v>
      </c>
      <c r="CB73" s="41" t="n">
        <f aca="false">$B73+$S73+$D$13</f>
        <v>3.595</v>
      </c>
      <c r="CC73" s="41" t="n">
        <f aca="false">CA73*BZ73</f>
        <v>0</v>
      </c>
      <c r="CD73" s="41" t="n">
        <f aca="false">CB73*BZ73</f>
        <v>0</v>
      </c>
      <c r="CE73" s="74" t="n">
        <f aca="false">($C73*$T73)+X73+$D$14</f>
        <v>0.315</v>
      </c>
      <c r="CF73" s="74" t="n">
        <f aca="false">($C73*$U73)+$D$15</f>
        <v>0.315</v>
      </c>
      <c r="CG73" s="65" t="n">
        <f aca="false">$V73+D$16</f>
        <v>0.98</v>
      </c>
      <c r="CH73" s="75" t="n">
        <f aca="false">IF(BZ73=0,0,SPRDOPT(CA73,CB73,$W73,$AM73,CE73,CF73,CG73,$D73,$D$20,0))</f>
        <v>0</v>
      </c>
      <c r="CI73" s="75" t="e">
        <f aca="false">IF(CA73=0,0,SPRDOPT(CA73,CB73,$W73,$AM73,CE73,CF73,CG73,$D73,$D$20,1))</f>
        <v>#NAME?</v>
      </c>
      <c r="CJ73" s="75" t="e">
        <f aca="false">IF(CB73=0,0,SPRDOPT(CA73,CB73,$W73,$AM73,CE73,CF73,CG73,$D73,$D$20,2))</f>
        <v>#NAME?</v>
      </c>
      <c r="CK73" s="75" t="n">
        <f aca="false">IF(CC73=0,0,SPRDOPT(CA73,CB73,$W73,$AM73,CE73,CF73,CG73,$D73,$D$20,3)/100)</f>
        <v>0</v>
      </c>
      <c r="CL73" s="75" t="n">
        <f aca="false">IF(CD73=0,0,SPRDOPT(CA73,CB73,$W73,$AM73,CE73,CF73,CG73,$D73,$D$20,4)/100)</f>
        <v>0</v>
      </c>
      <c r="CM73" s="75" t="e">
        <f aca="false">IF(CE73=0,0,SPRDOPT(CA73,CB73,$W73,$AM73,CE73,CF73,CG73,$D73,$D$20,5)/100)</f>
        <v>#NAME?</v>
      </c>
      <c r="CN73" s="75" t="e">
        <f aca="false">IF(CF73=0,0,SPRDOPT(CA73,CB73,$W73,$AM73,CE73,CF73,CG73,$D73,$D$20,6)/100)</f>
        <v>#NAME?</v>
      </c>
      <c r="CO73" s="75" t="e">
        <f aca="false">IF(CG73=0,0,SPRDOPT(CA73,CB73,$W73,$AM73,CE73,CF73,CG73,$D73,$D$20,7)/100)</f>
        <v>#NAME?</v>
      </c>
      <c r="CP73" s="75" t="n">
        <f aca="false">IF(CH73=0,0,SPRDOPT(CA73,CB73,$W73,$AM73,CE73,CF73,CG73,$D73,$D$20,9)/365)</f>
        <v>0</v>
      </c>
      <c r="CQ73" s="75" t="e">
        <f aca="false">CI73+CJ73</f>
        <v>#NAME?</v>
      </c>
      <c r="CR73" s="75" t="n">
        <f aca="false">CL73-CK73</f>
        <v>0</v>
      </c>
      <c r="CS73" s="75" t="e">
        <f aca="false">((CE73/CF73)*CM73)+CN73</f>
        <v>#NAME?</v>
      </c>
      <c r="CT73" s="75" t="n">
        <f aca="false">CG73*BZ73</f>
        <v>0</v>
      </c>
      <c r="CU73" s="76"/>
      <c r="CV73" s="37" t="n">
        <f aca="false">BZ73*CH73</f>
        <v>0</v>
      </c>
      <c r="CW73" s="37" t="e">
        <f aca="false">BZ73*CI73</f>
        <v>#NAME?</v>
      </c>
      <c r="CX73" s="37" t="e">
        <f aca="false">BZ73*CJ73</f>
        <v>#NAME?</v>
      </c>
      <c r="CY73" s="37" t="n">
        <f aca="false">BZ73*CK73</f>
        <v>0</v>
      </c>
      <c r="CZ73" s="37" t="n">
        <f aca="false">BZ73*CL73</f>
        <v>0</v>
      </c>
      <c r="DA73" s="37" t="e">
        <f aca="false">BZ73*CM73</f>
        <v>#NAME?</v>
      </c>
      <c r="DB73" s="37" t="e">
        <f aca="false">BZ73*CN73</f>
        <v>#NAME?</v>
      </c>
      <c r="DC73" s="37" t="e">
        <f aca="false">BZ73*CO73</f>
        <v>#NAME?</v>
      </c>
      <c r="DD73" s="37" t="n">
        <f aca="false">BZ73*CP73</f>
        <v>0</v>
      </c>
      <c r="DE73" s="37" t="e">
        <f aca="false">BZ73*CQ73</f>
        <v>#NAME?</v>
      </c>
      <c r="DF73" s="37" t="n">
        <f aca="false">BZ73*CR73</f>
        <v>0</v>
      </c>
      <c r="DG73" s="37" t="e">
        <f aca="false">BZ73*CS73</f>
        <v>#NAME?</v>
      </c>
      <c r="DI73" s="73" t="n">
        <f aca="false">IF($A73&gt;=DK$32,IF($A73&lt;=DK$33,$AN73,0),0)</f>
        <v>0</v>
      </c>
      <c r="DJ73" s="41" t="n">
        <f aca="false">$B73+$Y73+$F$12</f>
        <v>3.325</v>
      </c>
      <c r="DK73" s="41" t="n">
        <f aca="false">$B73+$Z73+$F$13</f>
        <v>3.595</v>
      </c>
      <c r="DL73" s="41" t="n">
        <f aca="false">DJ73*DI73</f>
        <v>0</v>
      </c>
      <c r="DM73" s="41" t="n">
        <f aca="false">DK73*DI73</f>
        <v>0</v>
      </c>
      <c r="DN73" s="74" t="n">
        <f aca="false">($C73*$AA73)+AE73+$F$14</f>
        <v>0.315</v>
      </c>
      <c r="DO73" s="74" t="n">
        <f aca="false">($C73*$AB73)+$F$15</f>
        <v>0.315</v>
      </c>
      <c r="DP73" s="65" t="n">
        <f aca="false">$AC73+$F$16</f>
        <v>0.985</v>
      </c>
      <c r="DQ73" s="75" t="n">
        <f aca="false">IF(DI73=0,0,SPRDOPT(DJ73,DK73,$AD73,$AM73,DN73,DO73,DP73,$D73,$F$20,0))</f>
        <v>0</v>
      </c>
      <c r="DR73" s="75" t="e">
        <f aca="false">IF(DJ73=0,0,SPRDOPT(DJ73,DK73,$AD73,$AM73,DN73,DO73,DP73,$D73,$F$20,1))</f>
        <v>#NAME?</v>
      </c>
      <c r="DS73" s="75" t="e">
        <f aca="false">IF(DK73=0,0,SPRDOPT(DJ73,DK73,$AD73,$AM73,DN73,DO73,DP73,$D73,$F$20,2))</f>
        <v>#NAME?</v>
      </c>
      <c r="DT73" s="75" t="n">
        <f aca="false">IF(DL73=0,0,SPRDOPT(DJ73,DK73,$AD73,$AM73,DN73,DO73,DP73,$D73,$F$20,3)/100)</f>
        <v>0</v>
      </c>
      <c r="DU73" s="75" t="n">
        <f aca="false">IF(DM73=0,0,SPRDOPT(DJ73,DK73,$AD73,$AM73,DN73,DO73,DP73,$D73,$F$20,4)/100)</f>
        <v>0</v>
      </c>
      <c r="DV73" s="75" t="e">
        <f aca="false">IF(DN73=0,0,SPRDOPT(DJ73,DK73,$AD73,$AM73,DN73,DO73,DP73,$D73,$F$20,5)/100)</f>
        <v>#NAME?</v>
      </c>
      <c r="DW73" s="75" t="e">
        <f aca="false">IF(DO73=0,0,SPRDOPT(DJ73,DK73,$AD73,$AM73,DN73,DO73,DP73,$D73,$F$20,6)/100)</f>
        <v>#NAME?</v>
      </c>
      <c r="DX73" s="75" t="e">
        <f aca="false">IF(DP73=0,0,SPRDOPT(DJ73,DK73,$AD73,$AM73,DN73,DO73,DP73,$D73,$F$20,7)/100)</f>
        <v>#NAME?</v>
      </c>
      <c r="DY73" s="75" t="n">
        <f aca="false">IF(DQ73=0,0,SPRDOPT(DJ73,DK73,$AD73,$AM73,DN73,DO73,DP73,$D73,$F$20,9)/365)</f>
        <v>0</v>
      </c>
      <c r="DZ73" s="75" t="e">
        <f aca="false">DR73+DS73</f>
        <v>#NAME?</v>
      </c>
      <c r="EA73" s="75" t="n">
        <f aca="false">DU73-DT73</f>
        <v>0</v>
      </c>
      <c r="EB73" s="75" t="e">
        <f aca="false">((DN73/DO73)*DV73)+DW73</f>
        <v>#NAME?</v>
      </c>
      <c r="EC73" s="75" t="n">
        <f aca="false">DP73*DI73</f>
        <v>0</v>
      </c>
      <c r="ED73" s="75"/>
      <c r="EE73" s="37" t="n">
        <f aca="false">DI73*DQ73</f>
        <v>0</v>
      </c>
      <c r="EF73" s="37" t="e">
        <f aca="false">DI73*DR73</f>
        <v>#NAME?</v>
      </c>
      <c r="EG73" s="37" t="e">
        <f aca="false">DI73*DS73</f>
        <v>#NAME?</v>
      </c>
      <c r="EH73" s="37" t="n">
        <f aca="false">DI73*DT73</f>
        <v>0</v>
      </c>
      <c r="EI73" s="37" t="n">
        <f aca="false">DI73*DU73</f>
        <v>0</v>
      </c>
      <c r="EJ73" s="37" t="e">
        <f aca="false">DI73*DV73</f>
        <v>#NAME?</v>
      </c>
      <c r="EK73" s="37" t="e">
        <f aca="false">DI73*DW73</f>
        <v>#NAME?</v>
      </c>
      <c r="EL73" s="37" t="e">
        <f aca="false">DI73*DX73</f>
        <v>#NAME?</v>
      </c>
      <c r="EM73" s="37" t="n">
        <f aca="false">DI73*DY73</f>
        <v>0</v>
      </c>
      <c r="EN73" s="37" t="e">
        <f aca="false">DI73*DZ73</f>
        <v>#NAME?</v>
      </c>
      <c r="EO73" s="37" t="n">
        <f aca="false">DI73*EA73</f>
        <v>0</v>
      </c>
      <c r="EP73" s="37" t="e">
        <f aca="false">DI73*EB73</f>
        <v>#NAME?</v>
      </c>
      <c r="ER73" s="73" t="n">
        <f aca="false">IF($A73&gt;=ET$32,IF($A73&lt;=ET$33,$AN73,0),0)</f>
        <v>0</v>
      </c>
      <c r="ES73" s="41" t="n">
        <f aca="false">$B73+$AF73+$H$12</f>
        <v>3.385</v>
      </c>
      <c r="ET73" s="41" t="n">
        <f aca="false">$B73+$AG73+$H$13</f>
        <v>3.595</v>
      </c>
      <c r="EU73" s="41" t="n">
        <f aca="false">ES73*ER73</f>
        <v>0</v>
      </c>
      <c r="EV73" s="41" t="n">
        <f aca="false">ET73*ER73</f>
        <v>0</v>
      </c>
      <c r="EW73" s="74" t="n">
        <f aca="false">($C73*$AH73)+AL73+$H$14</f>
        <v>0.315</v>
      </c>
      <c r="EX73" s="74" t="n">
        <f aca="false">($C73*$AI73)+$H$15</f>
        <v>0.315</v>
      </c>
      <c r="EY73" s="65" t="n">
        <f aca="false">$AJ73+$H$16</f>
        <v>0.985</v>
      </c>
      <c r="EZ73" s="75" t="n">
        <f aca="false">IF(ER73=0,0,SPRDOPT(ES73,ET73,$AK73,$AM73,EW73,EX73,EY73,$D73,$H$20,0))</f>
        <v>0</v>
      </c>
      <c r="FA73" s="75" t="e">
        <f aca="false">IF(ES73=0,0,SPRDOPT(ES73,ET73,$AK73,$AM73,EW73,EX73,EY73,$D73,$H$20,1))</f>
        <v>#NAME?</v>
      </c>
      <c r="FB73" s="75" t="e">
        <f aca="false">IF(ET73=0,0,SPRDOPT(ES73,ET73,$AK73,$AM73,EW73,EX73,EY73,$D73,$H$20,2))</f>
        <v>#NAME?</v>
      </c>
      <c r="FC73" s="75" t="n">
        <f aca="false">IF(EU73=0,0,SPRDOPT(ES73,ET73,$AK73,$AM73,EW73,EX73,EY73,$D73,$H$20,3)/100)</f>
        <v>0</v>
      </c>
      <c r="FD73" s="75" t="n">
        <f aca="false">IF(EV73=0,0,SPRDOPT(ES73,ET73,$AK73,$AM73,EW73,EX73,EY73,$D73,$H$20,4)/100)</f>
        <v>0</v>
      </c>
      <c r="FE73" s="75" t="e">
        <f aca="false">IF(EW73=0,0,SPRDOPT(ES73,ET73,$AK73,$AM73,EW73,EX73,EY73,$D73,$H$20,5)/100)</f>
        <v>#NAME?</v>
      </c>
      <c r="FF73" s="75" t="e">
        <f aca="false">IF(EX73=0,0,SPRDOPT(ES73,ET73,$AK73,$AM73,EW73,EX73,EY73,$D73,$H$20,6)/100)</f>
        <v>#NAME?</v>
      </c>
      <c r="FG73" s="75" t="e">
        <f aca="false">IF(EY73=0,0,SPRDOPT(ES73,ET73,$AK73,$AM73,EW73,EX73,EY73,$D73,$H$20,7)/100)</f>
        <v>#NAME?</v>
      </c>
      <c r="FH73" s="75" t="n">
        <f aca="false">IF(EZ73=0,0,SPRDOPT(ES73,ET73,$AK73,$AM73,EW73,EX73,EY73,$D73,$H$20,9)/365)</f>
        <v>0</v>
      </c>
      <c r="FI73" s="75" t="e">
        <f aca="false">FA73+FB73</f>
        <v>#NAME?</v>
      </c>
      <c r="FJ73" s="75" t="n">
        <f aca="false">FD73-FC73</f>
        <v>0</v>
      </c>
      <c r="FK73" s="75" t="e">
        <f aca="false">((EW73/EX73)*FE73)+FF73</f>
        <v>#NAME?</v>
      </c>
      <c r="FL73" s="75" t="n">
        <f aca="false">EY73*ER73</f>
        <v>0</v>
      </c>
      <c r="FM73" s="75"/>
      <c r="FN73" s="37" t="n">
        <f aca="false">$ER73*EZ73</f>
        <v>0</v>
      </c>
      <c r="FO73" s="37" t="e">
        <f aca="false">$ER73*FA73</f>
        <v>#NAME?</v>
      </c>
      <c r="FP73" s="37" t="e">
        <f aca="false">$ER73*FB73</f>
        <v>#NAME?</v>
      </c>
      <c r="FQ73" s="37" t="n">
        <f aca="false">$ER73*FC73</f>
        <v>0</v>
      </c>
      <c r="FR73" s="37" t="n">
        <f aca="false">$ER73*FD73</f>
        <v>0</v>
      </c>
      <c r="FS73" s="37" t="e">
        <f aca="false">$ER73*FE73</f>
        <v>#NAME?</v>
      </c>
      <c r="FT73" s="37" t="e">
        <f aca="false">$ER73*FF73</f>
        <v>#NAME?</v>
      </c>
      <c r="FU73" s="37" t="e">
        <f aca="false">$ER73*FG73</f>
        <v>#NAME?</v>
      </c>
      <c r="FV73" s="37" t="n">
        <f aca="false">$ER73*FH73</f>
        <v>0</v>
      </c>
      <c r="FW73" s="37" t="e">
        <f aca="false">$ER73*FI73</f>
        <v>#NAME?</v>
      </c>
      <c r="FX73" s="37" t="n">
        <f aca="false">$ER73*FJ73</f>
        <v>0</v>
      </c>
      <c r="FY73" s="37" t="e">
        <f aca="false">$ER73*FK73</f>
        <v>#NAME?</v>
      </c>
      <c r="GA73" s="77" t="e">
        <f aca="false">VLOOKUP(A73,skewmonthlook,2,FALSE())</f>
        <v>#REF!</v>
      </c>
      <c r="GB73" s="0" t="e">
        <f aca="false">CONCATENATE(B$3,$GA73)</f>
        <v>#REF!</v>
      </c>
      <c r="GC73" s="0" t="e">
        <f aca="false">CONCATENATE(D$3,$GA73)</f>
        <v>#REF!</v>
      </c>
      <c r="GD73" s="0" t="e">
        <f aca="false">CONCATENATE(F$3,$GA73)</f>
        <v>#REF!</v>
      </c>
      <c r="GE73" s="0" t="e">
        <f aca="false">CONCATENATE(H$3,$GA73)</f>
        <v>#REF!</v>
      </c>
      <c r="GG73" s="65" t="e">
        <f aca="false">VLOOKUP(GB73,skewlook,HLOOKUP($P73,skewlook,2),FALSE())</f>
        <v>#REF!</v>
      </c>
      <c r="GH73" s="65" t="e">
        <f aca="false">VLOOKUP(GC73,skewlook,HLOOKUP($W73,skewlook,2),FALSE())</f>
        <v>#REF!</v>
      </c>
      <c r="GI73" s="65" t="e">
        <f aca="false">VLOOKUP(GD73,skewlook,HLOOKUP($AD73,skewlook,2),FALSE())</f>
        <v>#REF!</v>
      </c>
      <c r="GJ73" s="65" t="e">
        <f aca="false">VLOOKUP(GE73,skewlook,HLOOKUP($AK73,skewlook,2),FALSE())</f>
        <v>#REF!</v>
      </c>
    </row>
    <row r="74" customFormat="false" ht="12.75" hidden="false" customHeight="false" outlineLevel="0" collapsed="false">
      <c r="A74" s="62" t="n">
        <f aca="false">DATE(YEAR(A73),MONTH(A73)+1,1)</f>
        <v>38353</v>
      </c>
      <c r="B74" s="63" t="n">
        <f aca="false">VLOOKUP(A74,STRADDLE,5,FALSE())</f>
        <v>3.655</v>
      </c>
      <c r="C74" s="4" t="n">
        <f aca="false">VLOOKUP(A74,STRADDLE,8,FALSE())</f>
        <v>0.315</v>
      </c>
      <c r="D74" s="64" t="n">
        <f aca="false">VLOOKUP(A74,expiration,2,FALSE())-$B$2</f>
        <v>-7578</v>
      </c>
      <c r="E74" s="65" t="e">
        <f aca="false">AY74</f>
        <v>#NAME?</v>
      </c>
      <c r="F74" s="65" t="e">
        <f aca="false">CI74</f>
        <v>#NAME?</v>
      </c>
      <c r="G74" s="65" t="e">
        <f aca="false">DR74</f>
        <v>#NAME?</v>
      </c>
      <c r="H74" s="65" t="e">
        <f aca="false">FA74</f>
        <v>#NAME?</v>
      </c>
      <c r="I74" s="66"/>
      <c r="J74" s="67"/>
      <c r="K74" s="63" t="n">
        <f aca="false">IF($B$3="NYMEX",0,VLOOKUP($A74,curvesettle,HLOOKUP($B$3,curvesettle,2,FALSE()),FALSE()))</f>
        <v>-0.155</v>
      </c>
      <c r="L74" s="63" t="n">
        <f aca="false">IF($B$4="NYMEX",0,VLOOKUP($A74,curvesettle,HLOOKUP($B$4,curvesettle,2,FALSE()),FALSE()))</f>
        <v>0</v>
      </c>
      <c r="M74" s="65" t="n">
        <f aca="false">IF(ISNUMBER(VLOOKUP($A74,VOLCURVES,HLOOKUP($B$3,VOLCURVES,2,FALSE()),FALSE())),VLOOKUP($A74,VOLCURVES,HLOOKUP($B$3,VOLCURVES,2,FALSE()),FALSE()),1)</f>
        <v>1</v>
      </c>
      <c r="N74" s="65" t="n">
        <f aca="false">IF(ISNUMBER(VLOOKUP($A74,VOLCURVES,HLOOKUP($B$4,VOLCURVES,2,FALSE()),FALSE())),VLOOKUP($A74,VOLCURVES,HLOOKUP($B$4,VOLCURVES,2,FALSE()),FALSE()),1)</f>
        <v>1</v>
      </c>
      <c r="O74" s="65" t="n">
        <f aca="false">IF(ISNUMBER(VLOOKUP($A74,CORETABLE,HLOOKUP($B$3,CORETABLE,2,FALSE()),FALSE())),VLOOKUP($A74,CORETABLE,HLOOKUP($B$3,CORETABLE,2,FALSE()),FALSE()),0.99)</f>
        <v>0.9945</v>
      </c>
      <c r="P74" s="68" t="n">
        <f aca="false">B$19</f>
        <v>-0.2</v>
      </c>
      <c r="Q74" s="69" t="n">
        <f aca="false">IF($B$18=1,IF(ISNUMBER($GG74),$GG74,0),0)</f>
        <v>0</v>
      </c>
      <c r="R74" s="70" t="n">
        <f aca="false">IF($D$3="NYMEX",0,VLOOKUP($A74,curvesettle,HLOOKUP($D$3,curvesettle,2,FALSE()),FALSE()))</f>
        <v>0.2</v>
      </c>
      <c r="S74" s="63" t="n">
        <f aca="false">IF($D$4="NYMEX",0,VLOOKUP($A74,curvesettle,HLOOKUP($D$4,curvesettle,2,FALSE()),FALSE()))</f>
        <v>0</v>
      </c>
      <c r="T74" s="65" t="n">
        <f aca="false">IF(ISNUMBER(VLOOKUP($A74,VOLCURVES,HLOOKUP($D$3,VOLCURVES,2,FALSE()),FALSE())),VLOOKUP($A74,VOLCURVES,HLOOKUP($D$3,VOLCURVES,2,FALSE()),FALSE()),1)</f>
        <v>1</v>
      </c>
      <c r="U74" s="65" t="n">
        <f aca="false">IF(ISNUMBER(VLOOKUP($A74,VOLCURVES,HLOOKUP($D$4,VOLCURVES,2,FALSE()),FALSE())),VLOOKUP($A74,VOLCURVES,HLOOKUP($D$4,VOLCURVES,2,FALSE()),FALSE()),1)</f>
        <v>1</v>
      </c>
      <c r="V74" s="65" t="n">
        <f aca="false">IF(ISNUMBER(VLOOKUP($A74,CORETABLE,HLOOKUP($D$3,CORETABLE,2,FALSE()),FALSE())),VLOOKUP($A74,CORETABLE,HLOOKUP($D$3,CORETABLE,2,FALSE()),FALSE()),0.99)</f>
        <v>0.98</v>
      </c>
      <c r="W74" s="68" t="n">
        <f aca="false">D$19</f>
        <v>0</v>
      </c>
      <c r="X74" s="69" t="n">
        <f aca="false">IF($D$18=1,IF(ISNUMBER($GH74),$GH74,0),0)</f>
        <v>0</v>
      </c>
      <c r="Y74" s="71" t="n">
        <f aca="false">IF($F$3="NYMEX",0,VLOOKUP($A74,curvesettle,HLOOKUP($F$3,curvesettle,2,FALSE()),FALSE()))</f>
        <v>-0.27</v>
      </c>
      <c r="Z74" s="63" t="n">
        <f aca="false">IF($F$4="NYMEX",0,VLOOKUP($A74,curvesettle,HLOOKUP($F$4,curvesettle,2,FALSE()),FALSE()))</f>
        <v>0</v>
      </c>
      <c r="AA74" s="65" t="n">
        <f aca="false">IF(ISNUMBER(VLOOKUP($A74,VOLCURVES,HLOOKUP($F$3,VOLCURVES,2,FALSE()),FALSE())),VLOOKUP($A74,VOLCURVES,HLOOKUP($F$3,VOLCURVES,2,FALSE()),FALSE()),1)</f>
        <v>1</v>
      </c>
      <c r="AB74" s="65" t="n">
        <f aca="false">IF(ISNUMBER(VLOOKUP($A74,VOLCURVES,HLOOKUP($F$4,VOLCURVES,2,FALSE()),FALSE())),VLOOKUP($A74,VOLCURVES,HLOOKUP($F$4,VOLCURVES,2,FALSE()),FALSE()),1)</f>
        <v>1</v>
      </c>
      <c r="AC74" s="65" t="n">
        <f aca="false">IF(ISNUMBER(VLOOKUP($A74,CORETABLE,HLOOKUP($F$3,CORETABLE,2,FALSE()),FALSE())),VLOOKUP($A74,CORETABLE,HLOOKUP($F$3,CORETABLE,2,FALSE()),FALSE()),0.99)</f>
        <v>0.96</v>
      </c>
      <c r="AD74" s="68" t="n">
        <f aca="false">F$19</f>
        <v>-0.6</v>
      </c>
      <c r="AE74" s="69" t="n">
        <f aca="false">IF($F$18=1,IF(ISNUMBER($GI74),$GI74,0),0)</f>
        <v>0</v>
      </c>
      <c r="AF74" s="63" t="n">
        <f aca="false">IF($H$3="NYMEX",0,VLOOKUP($A74,curvesettle,HLOOKUP($H$3,curvesettle,2,FALSE()),FALSE()))</f>
        <v>-0.27</v>
      </c>
      <c r="AG74" s="63" t="n">
        <f aca="false">IF($H$4="NYMEX",0,VLOOKUP($A74,curvesettle,HLOOKUP($H$4,curvesettle,2,FALSE()),FALSE()))</f>
        <v>0</v>
      </c>
      <c r="AH74" s="65" t="n">
        <f aca="false">IF(ISNUMBER(VLOOKUP($A74,VOLCURVES,HLOOKUP($H$3,VOLCURVES,2,FALSE()),FALSE())),VLOOKUP($A74,VOLCURVES,HLOOKUP($H$3,VOLCURVES,2,FALSE()),FALSE()),1)</f>
        <v>1</v>
      </c>
      <c r="AI74" s="65" t="n">
        <f aca="false">IF(ISNUMBER(VLOOKUP($A74,VOLCURVES,HLOOKUP($H$4,VOLCURVES,2,FALSE()),FALSE())),VLOOKUP($A74,VOLCURVES,HLOOKUP($H$4,VOLCURVES,2,FALSE()),FALSE()),1)</f>
        <v>1</v>
      </c>
      <c r="AJ74" s="65" t="n">
        <f aca="false">IF(ISNUMBER(VLOOKUP($A74,CORETABLE,HLOOKUP($H$3,CORETABLE,2,FALSE()),FALSE())),VLOOKUP($A74,CORETABLE,HLOOKUP($H$3,CORETABLE,2,FALSE()),FALSE()),0.99)</f>
        <v>0.96</v>
      </c>
      <c r="AK74" s="68" t="n">
        <f aca="false">H$19</f>
        <v>-0.45</v>
      </c>
      <c r="AL74" s="69" t="n">
        <f aca="false">IF($H$18=1,IF(ISNUMBER($GJ74),$GJ74,0),0)</f>
        <v>0</v>
      </c>
      <c r="AM74" s="4" t="n">
        <f aca="false">VLOOKUP($A74,STRADDLE,14,FALSE())</f>
        <v>0.0426576899474638</v>
      </c>
      <c r="AN74" s="72" t="n">
        <f aca="false">A75-A74</f>
        <v>31</v>
      </c>
      <c r="AO74" s="1" t="n">
        <f aca="false">AO73+1</f>
        <v>37</v>
      </c>
      <c r="AP74" s="73" t="n">
        <f aca="false">IF($A74&gt;=AR$32,IF($A74&lt;=AR$33,$AN74,0),0)</f>
        <v>0</v>
      </c>
      <c r="AQ74" s="41" t="n">
        <f aca="false">$B74+$K74+$B$12</f>
        <v>3.5</v>
      </c>
      <c r="AR74" s="41" t="n">
        <f aca="false">$B74+$L74+$B$13</f>
        <v>3.655</v>
      </c>
      <c r="AS74" s="41" t="n">
        <f aca="false">AQ74*AP74</f>
        <v>0</v>
      </c>
      <c r="AT74" s="41" t="n">
        <f aca="false">AR74*AP74</f>
        <v>0</v>
      </c>
      <c r="AU74" s="74" t="n">
        <f aca="false">($C74*$M74)+Q74+$B$14</f>
        <v>0.315</v>
      </c>
      <c r="AV74" s="74" t="n">
        <f aca="false">($C74*$N74)+$B$15</f>
        <v>0.315</v>
      </c>
      <c r="AW74" s="65" t="n">
        <f aca="false">O74+B$16</f>
        <v>0.999</v>
      </c>
      <c r="AX74" s="75" t="n">
        <f aca="false">IF(AP74=0,0,SPRDOPT(AQ74,AR74,$P74,$AM74,AU74,AV74,AW74,$D74,$B$20,0))</f>
        <v>0</v>
      </c>
      <c r="AY74" s="75" t="e">
        <f aca="false">IF(AQ74=0,0,SPRDOPT(AQ74,AR74,$P74,$AM74,AU74,AV74,AW74,$D74,$B$20,1))</f>
        <v>#NAME?</v>
      </c>
      <c r="AZ74" s="75" t="e">
        <f aca="false">IF(AR74=0,0,SPRDOPT(AQ74,AR74,$P74,$AM74,AU74,AV74,AW74,$D74,$B$20,2))</f>
        <v>#NAME?</v>
      </c>
      <c r="BA74" s="75" t="n">
        <f aca="false">IF(AS74=0,0,SPRDOPT(AQ74,AR74,$P74,$AM74,AU74,AV74,AW74,$D74,$B$20,3)/100)</f>
        <v>0</v>
      </c>
      <c r="BB74" s="75" t="n">
        <f aca="false">IF(AT74=0,0,SPRDOPT(AQ74,AR74,$P74,$AM74,AU74,AV74,AW74,$D74,$B$20,4)/100)</f>
        <v>0</v>
      </c>
      <c r="BC74" s="75" t="e">
        <f aca="false">IF(AU74=0,0,SPRDOPT(AQ74,AR74,$P74,$AM74,AU74,AV74,AW74,$D74,$B$20,5)/100)</f>
        <v>#NAME?</v>
      </c>
      <c r="BD74" s="75" t="e">
        <f aca="false">IF(AV74=0,0,SPRDOPT(AQ74,AR74,$P74,$AM74,AU74,AV74,AW74,$D74,$B$20,6)/100)</f>
        <v>#NAME?</v>
      </c>
      <c r="BE74" s="75" t="e">
        <f aca="false">IF(AW74=0,0,SPRDOPT(AQ74,AR74,$P74,$AM74,AU74,AV74,AW74,$D74,$B$20,7)/100)</f>
        <v>#NAME?</v>
      </c>
      <c r="BF74" s="75" t="n">
        <f aca="false">IF(AX74=0,0,SPRDOPT(AQ74,AR74,$P74,$AM74,AU74,AV74,AW74,$D74,$B$20,9)/365)</f>
        <v>0</v>
      </c>
      <c r="BG74" s="75" t="e">
        <f aca="false">AY74+AZ74</f>
        <v>#NAME?</v>
      </c>
      <c r="BH74" s="75" t="n">
        <f aca="false">BB74-BA74</f>
        <v>0</v>
      </c>
      <c r="BI74" s="75" t="e">
        <f aca="false">((AU74/AV74)*BC74)+BD74</f>
        <v>#NAME?</v>
      </c>
      <c r="BJ74" s="75" t="n">
        <f aca="false">AW74*AP74</f>
        <v>0</v>
      </c>
      <c r="BK74" s="76"/>
      <c r="BL74" s="37" t="n">
        <f aca="false">$AP74*AX74</f>
        <v>0</v>
      </c>
      <c r="BM74" s="37" t="e">
        <f aca="false">$AP74*AY74</f>
        <v>#NAME?</v>
      </c>
      <c r="BN74" s="37" t="e">
        <f aca="false">$AP74*AZ74</f>
        <v>#NAME?</v>
      </c>
      <c r="BO74" s="37" t="n">
        <f aca="false">$AP74*BA74</f>
        <v>0</v>
      </c>
      <c r="BP74" s="37" t="n">
        <f aca="false">$AP74*BB74</f>
        <v>0</v>
      </c>
      <c r="BQ74" s="37" t="e">
        <f aca="false">$AP74*BC74</f>
        <v>#NAME?</v>
      </c>
      <c r="BR74" s="37" t="e">
        <f aca="false">$AP74*BD74</f>
        <v>#NAME?</v>
      </c>
      <c r="BS74" s="37" t="e">
        <f aca="false">$AP74*BE74</f>
        <v>#NAME?</v>
      </c>
      <c r="BT74" s="37" t="n">
        <f aca="false">$AP74*BF74</f>
        <v>0</v>
      </c>
      <c r="BU74" s="37" t="e">
        <f aca="false">$AP74*BG74</f>
        <v>#NAME?</v>
      </c>
      <c r="BV74" s="37" t="n">
        <f aca="false">$AP74*BH74</f>
        <v>0</v>
      </c>
      <c r="BW74" s="37" t="e">
        <f aca="false">$AP74*BI74</f>
        <v>#NAME?</v>
      </c>
      <c r="BX74" s="37"/>
      <c r="BZ74" s="73" t="n">
        <f aca="false">IF($A74&gt;=CB$32,IF($A74&lt;=CB$33,$AN74,0),0)</f>
        <v>0</v>
      </c>
      <c r="CA74" s="41" t="n">
        <f aca="false">$B74+$R74+$D$12</f>
        <v>3.855</v>
      </c>
      <c r="CB74" s="41" t="n">
        <f aca="false">$B74+$S74+$D$13</f>
        <v>3.655</v>
      </c>
      <c r="CC74" s="41" t="n">
        <f aca="false">CA74*BZ74</f>
        <v>0</v>
      </c>
      <c r="CD74" s="41" t="n">
        <f aca="false">CB74*BZ74</f>
        <v>0</v>
      </c>
      <c r="CE74" s="74" t="n">
        <f aca="false">($C74*$T74)+X74+$D$14</f>
        <v>0.315</v>
      </c>
      <c r="CF74" s="74" t="n">
        <f aca="false">($C74*$U74)+$D$15</f>
        <v>0.315</v>
      </c>
      <c r="CG74" s="65" t="n">
        <f aca="false">$V74+D$16</f>
        <v>0.98</v>
      </c>
      <c r="CH74" s="75" t="n">
        <f aca="false">IF(BZ74=0,0,SPRDOPT(CA74,CB74,$W74,$AM74,CE74,CF74,CG74,$D74,$D$20,0))</f>
        <v>0</v>
      </c>
      <c r="CI74" s="75" t="e">
        <f aca="false">IF(CA74=0,0,SPRDOPT(CA74,CB74,$W74,$AM74,CE74,CF74,CG74,$D74,$D$20,1))</f>
        <v>#NAME?</v>
      </c>
      <c r="CJ74" s="75" t="e">
        <f aca="false">IF(CB74=0,0,SPRDOPT(CA74,CB74,$W74,$AM74,CE74,CF74,CG74,$D74,$D$20,2))</f>
        <v>#NAME?</v>
      </c>
      <c r="CK74" s="75" t="n">
        <f aca="false">IF(CC74=0,0,SPRDOPT(CA74,CB74,$W74,$AM74,CE74,CF74,CG74,$D74,$D$20,3)/100)</f>
        <v>0</v>
      </c>
      <c r="CL74" s="75" t="n">
        <f aca="false">IF(CD74=0,0,SPRDOPT(CA74,CB74,$W74,$AM74,CE74,CF74,CG74,$D74,$D$20,4)/100)</f>
        <v>0</v>
      </c>
      <c r="CM74" s="75" t="e">
        <f aca="false">IF(CE74=0,0,SPRDOPT(CA74,CB74,$W74,$AM74,CE74,CF74,CG74,$D74,$D$20,5)/100)</f>
        <v>#NAME?</v>
      </c>
      <c r="CN74" s="75" t="e">
        <f aca="false">IF(CF74=0,0,SPRDOPT(CA74,CB74,$W74,$AM74,CE74,CF74,CG74,$D74,$D$20,6)/100)</f>
        <v>#NAME?</v>
      </c>
      <c r="CO74" s="75" t="e">
        <f aca="false">IF(CG74=0,0,SPRDOPT(CA74,CB74,$W74,$AM74,CE74,CF74,CG74,$D74,$D$20,7)/100)</f>
        <v>#NAME?</v>
      </c>
      <c r="CP74" s="75" t="n">
        <f aca="false">IF(CH74=0,0,SPRDOPT(CA74,CB74,$W74,$AM74,CE74,CF74,CG74,$D74,$D$20,9)/365)</f>
        <v>0</v>
      </c>
      <c r="CQ74" s="75" t="e">
        <f aca="false">CI74+CJ74</f>
        <v>#NAME?</v>
      </c>
      <c r="CR74" s="75" t="n">
        <f aca="false">CL74-CK74</f>
        <v>0</v>
      </c>
      <c r="CS74" s="75" t="e">
        <f aca="false">((CE74/CF74)*CM74)+CN74</f>
        <v>#NAME?</v>
      </c>
      <c r="CT74" s="75" t="n">
        <f aca="false">CG74*BZ74</f>
        <v>0</v>
      </c>
      <c r="CU74" s="76"/>
      <c r="CV74" s="37" t="n">
        <f aca="false">BZ74*CH74</f>
        <v>0</v>
      </c>
      <c r="CW74" s="37" t="e">
        <f aca="false">BZ74*CI74</f>
        <v>#NAME?</v>
      </c>
      <c r="CX74" s="37" t="e">
        <f aca="false">BZ74*CJ74</f>
        <v>#NAME?</v>
      </c>
      <c r="CY74" s="37" t="n">
        <f aca="false">BZ74*CK74</f>
        <v>0</v>
      </c>
      <c r="CZ74" s="37" t="n">
        <f aca="false">BZ74*CL74</f>
        <v>0</v>
      </c>
      <c r="DA74" s="37" t="e">
        <f aca="false">BZ74*CM74</f>
        <v>#NAME?</v>
      </c>
      <c r="DB74" s="37" t="e">
        <f aca="false">BZ74*CN74</f>
        <v>#NAME?</v>
      </c>
      <c r="DC74" s="37" t="e">
        <f aca="false">BZ74*CO74</f>
        <v>#NAME?</v>
      </c>
      <c r="DD74" s="37" t="n">
        <f aca="false">BZ74*CP74</f>
        <v>0</v>
      </c>
      <c r="DE74" s="37" t="e">
        <f aca="false">BZ74*CQ74</f>
        <v>#NAME?</v>
      </c>
      <c r="DF74" s="37" t="n">
        <f aca="false">BZ74*CR74</f>
        <v>0</v>
      </c>
      <c r="DG74" s="37" t="e">
        <f aca="false">BZ74*CS74</f>
        <v>#NAME?</v>
      </c>
      <c r="DI74" s="73" t="n">
        <f aca="false">IF($A74&gt;=DK$32,IF($A74&lt;=DK$33,$AN74,0),0)</f>
        <v>0</v>
      </c>
      <c r="DJ74" s="41" t="n">
        <f aca="false">$B74+$Y74+$F$12</f>
        <v>3.385</v>
      </c>
      <c r="DK74" s="41" t="n">
        <f aca="false">$B74+$Z74+$F$13</f>
        <v>3.655</v>
      </c>
      <c r="DL74" s="41" t="n">
        <f aca="false">DJ74*DI74</f>
        <v>0</v>
      </c>
      <c r="DM74" s="41" t="n">
        <f aca="false">DK74*DI74</f>
        <v>0</v>
      </c>
      <c r="DN74" s="74" t="n">
        <f aca="false">($C74*$AA74)+AE74+$F$14</f>
        <v>0.315</v>
      </c>
      <c r="DO74" s="74" t="n">
        <f aca="false">($C74*$AB74)+$F$15</f>
        <v>0.315</v>
      </c>
      <c r="DP74" s="65" t="n">
        <f aca="false">$AC74+$F$16</f>
        <v>0.96</v>
      </c>
      <c r="DQ74" s="75" t="n">
        <f aca="false">IF(DI74=0,0,SPRDOPT(DJ74,DK74,$AD74,$AM74,DN74,DO74,DP74,$D74,$F$20,0))</f>
        <v>0</v>
      </c>
      <c r="DR74" s="75" t="e">
        <f aca="false">IF(DJ74=0,0,SPRDOPT(DJ74,DK74,$AD74,$AM74,DN74,DO74,DP74,$D74,$F$20,1))</f>
        <v>#NAME?</v>
      </c>
      <c r="DS74" s="75" t="e">
        <f aca="false">IF(DK74=0,0,SPRDOPT(DJ74,DK74,$AD74,$AM74,DN74,DO74,DP74,$D74,$F$20,2))</f>
        <v>#NAME?</v>
      </c>
      <c r="DT74" s="75" t="n">
        <f aca="false">IF(DL74=0,0,SPRDOPT(DJ74,DK74,$AD74,$AM74,DN74,DO74,DP74,$D74,$F$20,3)/100)</f>
        <v>0</v>
      </c>
      <c r="DU74" s="75" t="n">
        <f aca="false">IF(DM74=0,0,SPRDOPT(DJ74,DK74,$AD74,$AM74,DN74,DO74,DP74,$D74,$F$20,4)/100)</f>
        <v>0</v>
      </c>
      <c r="DV74" s="75" t="e">
        <f aca="false">IF(DN74=0,0,SPRDOPT(DJ74,DK74,$AD74,$AM74,DN74,DO74,DP74,$D74,$F$20,5)/100)</f>
        <v>#NAME?</v>
      </c>
      <c r="DW74" s="75" t="e">
        <f aca="false">IF(DO74=0,0,SPRDOPT(DJ74,DK74,$AD74,$AM74,DN74,DO74,DP74,$D74,$F$20,6)/100)</f>
        <v>#NAME?</v>
      </c>
      <c r="DX74" s="75" t="e">
        <f aca="false">IF(DP74=0,0,SPRDOPT(DJ74,DK74,$AD74,$AM74,DN74,DO74,DP74,$D74,$F$20,7)/100)</f>
        <v>#NAME?</v>
      </c>
      <c r="DY74" s="75" t="n">
        <f aca="false">IF(DQ74=0,0,SPRDOPT(DJ74,DK74,$AD74,$AM74,DN74,DO74,DP74,$D74,$F$20,9)/365)</f>
        <v>0</v>
      </c>
      <c r="DZ74" s="75" t="e">
        <f aca="false">DR74+DS74</f>
        <v>#NAME?</v>
      </c>
      <c r="EA74" s="75" t="n">
        <f aca="false">DU74-DT74</f>
        <v>0</v>
      </c>
      <c r="EB74" s="75" t="e">
        <f aca="false">((DN74/DO74)*DV74)+DW74</f>
        <v>#NAME?</v>
      </c>
      <c r="EC74" s="75" t="n">
        <f aca="false">DP74*DI74</f>
        <v>0</v>
      </c>
      <c r="ED74" s="75"/>
      <c r="EE74" s="37" t="n">
        <f aca="false">DI74*DQ74</f>
        <v>0</v>
      </c>
      <c r="EF74" s="37" t="e">
        <f aca="false">DI74*DR74</f>
        <v>#NAME?</v>
      </c>
      <c r="EG74" s="37" t="e">
        <f aca="false">DI74*DS74</f>
        <v>#NAME?</v>
      </c>
      <c r="EH74" s="37" t="n">
        <f aca="false">DI74*DT74</f>
        <v>0</v>
      </c>
      <c r="EI74" s="37" t="n">
        <f aca="false">DI74*DU74</f>
        <v>0</v>
      </c>
      <c r="EJ74" s="37" t="e">
        <f aca="false">DI74*DV74</f>
        <v>#NAME?</v>
      </c>
      <c r="EK74" s="37" t="e">
        <f aca="false">DI74*DW74</f>
        <v>#NAME?</v>
      </c>
      <c r="EL74" s="37" t="e">
        <f aca="false">DI74*DX74</f>
        <v>#NAME?</v>
      </c>
      <c r="EM74" s="37" t="n">
        <f aca="false">DI74*DY74</f>
        <v>0</v>
      </c>
      <c r="EN74" s="37" t="e">
        <f aca="false">DI74*DZ74</f>
        <v>#NAME?</v>
      </c>
      <c r="EO74" s="37" t="n">
        <f aca="false">DI74*EA74</f>
        <v>0</v>
      </c>
      <c r="EP74" s="37" t="e">
        <f aca="false">DI74*EB74</f>
        <v>#NAME?</v>
      </c>
      <c r="ER74" s="73" t="n">
        <f aca="false">IF($A74&gt;=ET$32,IF($A74&lt;=ET$33,$AN74,0),0)</f>
        <v>0</v>
      </c>
      <c r="ES74" s="41" t="n">
        <f aca="false">$B74+$AF74+$H$12</f>
        <v>3.445</v>
      </c>
      <c r="ET74" s="41" t="n">
        <f aca="false">$B74+$AG74+$H$13</f>
        <v>3.655</v>
      </c>
      <c r="EU74" s="41" t="n">
        <f aca="false">ES74*ER74</f>
        <v>0</v>
      </c>
      <c r="EV74" s="41" t="n">
        <f aca="false">ET74*ER74</f>
        <v>0</v>
      </c>
      <c r="EW74" s="74" t="n">
        <f aca="false">($C74*$AH74)+AL74+$H$14</f>
        <v>0.315</v>
      </c>
      <c r="EX74" s="74" t="n">
        <f aca="false">($C74*$AI74)+$H$15</f>
        <v>0.315</v>
      </c>
      <c r="EY74" s="65" t="n">
        <f aca="false">$AJ74+$H$16</f>
        <v>0.96</v>
      </c>
      <c r="EZ74" s="75" t="n">
        <f aca="false">IF(ER74=0,0,SPRDOPT(ES74,ET74,$AK74,$AM74,EW74,EX74,EY74,$D74,$H$20,0))</f>
        <v>0</v>
      </c>
      <c r="FA74" s="75" t="e">
        <f aca="false">IF(ES74=0,0,SPRDOPT(ES74,ET74,$AK74,$AM74,EW74,EX74,EY74,$D74,$H$20,1))</f>
        <v>#NAME?</v>
      </c>
      <c r="FB74" s="75" t="e">
        <f aca="false">IF(ET74=0,0,SPRDOPT(ES74,ET74,$AK74,$AM74,EW74,EX74,EY74,$D74,$H$20,2))</f>
        <v>#NAME?</v>
      </c>
      <c r="FC74" s="75" t="n">
        <f aca="false">IF(EU74=0,0,SPRDOPT(ES74,ET74,$AK74,$AM74,EW74,EX74,EY74,$D74,$H$20,3)/100)</f>
        <v>0</v>
      </c>
      <c r="FD74" s="75" t="n">
        <f aca="false">IF(EV74=0,0,SPRDOPT(ES74,ET74,$AK74,$AM74,EW74,EX74,EY74,$D74,$H$20,4)/100)</f>
        <v>0</v>
      </c>
      <c r="FE74" s="75" t="e">
        <f aca="false">IF(EW74=0,0,SPRDOPT(ES74,ET74,$AK74,$AM74,EW74,EX74,EY74,$D74,$H$20,5)/100)</f>
        <v>#NAME?</v>
      </c>
      <c r="FF74" s="75" t="e">
        <f aca="false">IF(EX74=0,0,SPRDOPT(ES74,ET74,$AK74,$AM74,EW74,EX74,EY74,$D74,$H$20,6)/100)</f>
        <v>#NAME?</v>
      </c>
      <c r="FG74" s="75" t="e">
        <f aca="false">IF(EY74=0,0,SPRDOPT(ES74,ET74,$AK74,$AM74,EW74,EX74,EY74,$D74,$H$20,7)/100)</f>
        <v>#NAME?</v>
      </c>
      <c r="FH74" s="75" t="n">
        <f aca="false">IF(EZ74=0,0,SPRDOPT(ES74,ET74,$AK74,$AM74,EW74,EX74,EY74,$D74,$H$20,9)/365)</f>
        <v>0</v>
      </c>
      <c r="FI74" s="75" t="e">
        <f aca="false">FA74+FB74</f>
        <v>#NAME?</v>
      </c>
      <c r="FJ74" s="75" t="n">
        <f aca="false">FD74-FC74</f>
        <v>0</v>
      </c>
      <c r="FK74" s="75" t="e">
        <f aca="false">((EW74/EX74)*FE74)+FF74</f>
        <v>#NAME?</v>
      </c>
      <c r="FL74" s="75" t="n">
        <f aca="false">EY74*ER74</f>
        <v>0</v>
      </c>
      <c r="FM74" s="75"/>
      <c r="FN74" s="37" t="n">
        <f aca="false">$ER74*EZ74</f>
        <v>0</v>
      </c>
      <c r="FO74" s="37" t="e">
        <f aca="false">$ER74*FA74</f>
        <v>#NAME?</v>
      </c>
      <c r="FP74" s="37" t="e">
        <f aca="false">$ER74*FB74</f>
        <v>#NAME?</v>
      </c>
      <c r="FQ74" s="37" t="n">
        <f aca="false">$ER74*FC74</f>
        <v>0</v>
      </c>
      <c r="FR74" s="37" t="n">
        <f aca="false">$ER74*FD74</f>
        <v>0</v>
      </c>
      <c r="FS74" s="37" t="e">
        <f aca="false">$ER74*FE74</f>
        <v>#NAME?</v>
      </c>
      <c r="FT74" s="37" t="e">
        <f aca="false">$ER74*FF74</f>
        <v>#NAME?</v>
      </c>
      <c r="FU74" s="37" t="e">
        <f aca="false">$ER74*FG74</f>
        <v>#NAME?</v>
      </c>
      <c r="FV74" s="37" t="n">
        <f aca="false">$ER74*FH74</f>
        <v>0</v>
      </c>
      <c r="FW74" s="37" t="e">
        <f aca="false">$ER74*FI74</f>
        <v>#NAME?</v>
      </c>
      <c r="FX74" s="37" t="n">
        <f aca="false">$ER74*FJ74</f>
        <v>0</v>
      </c>
      <c r="FY74" s="37" t="e">
        <f aca="false">$ER74*FK74</f>
        <v>#NAME?</v>
      </c>
      <c r="GA74" s="77" t="e">
        <f aca="false">VLOOKUP(A74,skewmonthlook,2,FALSE())</f>
        <v>#REF!</v>
      </c>
      <c r="GB74" s="0" t="e">
        <f aca="false">CONCATENATE(B$3,$GA74)</f>
        <v>#REF!</v>
      </c>
      <c r="GC74" s="0" t="e">
        <f aca="false">CONCATENATE(D$3,$GA74)</f>
        <v>#REF!</v>
      </c>
      <c r="GD74" s="0" t="e">
        <f aca="false">CONCATENATE(F$3,$GA74)</f>
        <v>#REF!</v>
      </c>
      <c r="GE74" s="0" t="e">
        <f aca="false">CONCATENATE(H$3,$GA74)</f>
        <v>#REF!</v>
      </c>
      <c r="GG74" s="65" t="e">
        <f aca="false">VLOOKUP(GB74,skewlook,HLOOKUP($P74,skewlook,2),FALSE())</f>
        <v>#REF!</v>
      </c>
      <c r="GH74" s="65" t="e">
        <f aca="false">VLOOKUP(GC74,skewlook,HLOOKUP($W74,skewlook,2),FALSE())</f>
        <v>#REF!</v>
      </c>
      <c r="GI74" s="65" t="e">
        <f aca="false">VLOOKUP(GD74,skewlook,HLOOKUP($AD74,skewlook,2),FALSE())</f>
        <v>#REF!</v>
      </c>
      <c r="GJ74" s="65" t="e">
        <f aca="false">VLOOKUP(GE74,skewlook,HLOOKUP($AK74,skewlook,2),FALSE())</f>
        <v>#REF!</v>
      </c>
    </row>
    <row r="75" customFormat="false" ht="12.75" hidden="false" customHeight="false" outlineLevel="0" collapsed="false">
      <c r="A75" s="62" t="n">
        <f aca="false">DATE(YEAR(A74),MONTH(A74)+1,1)</f>
        <v>38384</v>
      </c>
      <c r="B75" s="63" t="n">
        <f aca="false">VLOOKUP(A75,STRADDLE,5,FALSE())</f>
        <v>3.57</v>
      </c>
      <c r="C75" s="4" t="n">
        <f aca="false">VLOOKUP(A75,STRADDLE,8,FALSE())</f>
        <v>0.3125</v>
      </c>
      <c r="D75" s="64" t="n">
        <f aca="false">VLOOKUP(A75,expiration,2,FALSE())-$B$2</f>
        <v>-7548</v>
      </c>
      <c r="E75" s="65" t="e">
        <f aca="false">AY75</f>
        <v>#NAME?</v>
      </c>
      <c r="F75" s="65" t="e">
        <f aca="false">CI75</f>
        <v>#NAME?</v>
      </c>
      <c r="G75" s="65" t="e">
        <f aca="false">DR75</f>
        <v>#NAME?</v>
      </c>
      <c r="H75" s="65" t="e">
        <f aca="false">FA75</f>
        <v>#NAME?</v>
      </c>
      <c r="I75" s="66"/>
      <c r="J75" s="67"/>
      <c r="K75" s="63" t="n">
        <f aca="false">IF($B$3="NYMEX",0,VLOOKUP($A75,curvesettle,HLOOKUP($B$3,curvesettle,2,FALSE()),FALSE()))</f>
        <v>-0.1475</v>
      </c>
      <c r="L75" s="63" t="n">
        <f aca="false">IF($B$4="NYMEX",0,VLOOKUP($A75,curvesettle,HLOOKUP($B$4,curvesettle,2,FALSE()),FALSE()))</f>
        <v>0</v>
      </c>
      <c r="M75" s="65" t="n">
        <f aca="false">IF(ISNUMBER(VLOOKUP($A75,VOLCURVES,HLOOKUP($B$3,VOLCURVES,2,FALSE()),FALSE())),VLOOKUP($A75,VOLCURVES,HLOOKUP($B$3,VOLCURVES,2,FALSE()),FALSE()),1)</f>
        <v>1</v>
      </c>
      <c r="N75" s="65" t="n">
        <f aca="false">IF(ISNUMBER(VLOOKUP($A75,VOLCURVES,HLOOKUP($B$4,VOLCURVES,2,FALSE()),FALSE())),VLOOKUP($A75,VOLCURVES,HLOOKUP($B$4,VOLCURVES,2,FALSE()),FALSE()),1)</f>
        <v>1</v>
      </c>
      <c r="O75" s="65" t="n">
        <f aca="false">IF(ISNUMBER(VLOOKUP($A75,CORETABLE,HLOOKUP($B$3,CORETABLE,2,FALSE()),FALSE())),VLOOKUP($A75,CORETABLE,HLOOKUP($B$3,CORETABLE,2,FALSE()),FALSE()),0.99)</f>
        <v>0.9945</v>
      </c>
      <c r="P75" s="68" t="n">
        <f aca="false">B$19</f>
        <v>-0.2</v>
      </c>
      <c r="Q75" s="69" t="n">
        <f aca="false">IF($B$18=1,IF(ISNUMBER($GG75),$GG75,0),0)</f>
        <v>0</v>
      </c>
      <c r="R75" s="70" t="n">
        <f aca="false">IF($D$3="NYMEX",0,VLOOKUP($A75,curvesettle,HLOOKUP($D$3,curvesettle,2,FALSE()),FALSE()))</f>
        <v>0.2</v>
      </c>
      <c r="S75" s="63" t="n">
        <f aca="false">IF($D$4="NYMEX",0,VLOOKUP($A75,curvesettle,HLOOKUP($D$4,curvesettle,2,FALSE()),FALSE()))</f>
        <v>0</v>
      </c>
      <c r="T75" s="65" t="n">
        <f aca="false">IF(ISNUMBER(VLOOKUP($A75,VOLCURVES,HLOOKUP($D$3,VOLCURVES,2,FALSE()),FALSE())),VLOOKUP($A75,VOLCURVES,HLOOKUP($D$3,VOLCURVES,2,FALSE()),FALSE()),1)</f>
        <v>1</v>
      </c>
      <c r="U75" s="65" t="n">
        <f aca="false">IF(ISNUMBER(VLOOKUP($A75,VOLCURVES,HLOOKUP($D$4,VOLCURVES,2,FALSE()),FALSE())),VLOOKUP($A75,VOLCURVES,HLOOKUP($D$4,VOLCURVES,2,FALSE()),FALSE()),1)</f>
        <v>1</v>
      </c>
      <c r="V75" s="65" t="n">
        <f aca="false">IF(ISNUMBER(VLOOKUP($A75,CORETABLE,HLOOKUP($D$3,CORETABLE,2,FALSE()),FALSE())),VLOOKUP($A75,CORETABLE,HLOOKUP($D$3,CORETABLE,2,FALSE()),FALSE()),0.99)</f>
        <v>0.98</v>
      </c>
      <c r="W75" s="68" t="n">
        <f aca="false">D$19</f>
        <v>0</v>
      </c>
      <c r="X75" s="69" t="n">
        <f aca="false">IF($D$18=1,IF(ISNUMBER($GH75),$GH75,0),0)</f>
        <v>0</v>
      </c>
      <c r="Y75" s="71" t="n">
        <f aca="false">IF($F$3="NYMEX",0,VLOOKUP($A75,curvesettle,HLOOKUP($F$3,curvesettle,2,FALSE()),FALSE()))</f>
        <v>-0.27</v>
      </c>
      <c r="Z75" s="63" t="n">
        <f aca="false">IF($F$4="NYMEX",0,VLOOKUP($A75,curvesettle,HLOOKUP($F$4,curvesettle,2,FALSE()),FALSE()))</f>
        <v>0</v>
      </c>
      <c r="AA75" s="65" t="n">
        <f aca="false">IF(ISNUMBER(VLOOKUP($A75,VOLCURVES,HLOOKUP($F$3,VOLCURVES,2,FALSE()),FALSE())),VLOOKUP($A75,VOLCURVES,HLOOKUP($F$3,VOLCURVES,2,FALSE()),FALSE()),1)</f>
        <v>1</v>
      </c>
      <c r="AB75" s="65" t="n">
        <f aca="false">IF(ISNUMBER(VLOOKUP($A75,VOLCURVES,HLOOKUP($F$4,VOLCURVES,2,FALSE()),FALSE())),VLOOKUP($A75,VOLCURVES,HLOOKUP($F$4,VOLCURVES,2,FALSE()),FALSE()),1)</f>
        <v>1</v>
      </c>
      <c r="AC75" s="65" t="n">
        <f aca="false">IF(ISNUMBER(VLOOKUP($A75,CORETABLE,HLOOKUP($F$3,CORETABLE,2,FALSE()),FALSE())),VLOOKUP($A75,CORETABLE,HLOOKUP($F$3,CORETABLE,2,FALSE()),FALSE()),0.99)</f>
        <v>0.96</v>
      </c>
      <c r="AD75" s="68" t="n">
        <f aca="false">F$19</f>
        <v>-0.6</v>
      </c>
      <c r="AE75" s="69" t="n">
        <f aca="false">IF($F$18=1,IF(ISNUMBER($GI75),$GI75,0),0)</f>
        <v>0</v>
      </c>
      <c r="AF75" s="63" t="n">
        <f aca="false">IF($H$3="NYMEX",0,VLOOKUP($A75,curvesettle,HLOOKUP($H$3,curvesettle,2,FALSE()),FALSE()))</f>
        <v>-0.27</v>
      </c>
      <c r="AG75" s="63" t="n">
        <f aca="false">IF($H$4="NYMEX",0,VLOOKUP($A75,curvesettle,HLOOKUP($H$4,curvesettle,2,FALSE()),FALSE()))</f>
        <v>0</v>
      </c>
      <c r="AH75" s="65" t="n">
        <f aca="false">IF(ISNUMBER(VLOOKUP($A75,VOLCURVES,HLOOKUP($H$3,VOLCURVES,2,FALSE()),FALSE())),VLOOKUP($A75,VOLCURVES,HLOOKUP($H$3,VOLCURVES,2,FALSE()),FALSE()),1)</f>
        <v>1</v>
      </c>
      <c r="AI75" s="65" t="n">
        <f aca="false">IF(ISNUMBER(VLOOKUP($A75,VOLCURVES,HLOOKUP($H$4,VOLCURVES,2,FALSE()),FALSE())),VLOOKUP($A75,VOLCURVES,HLOOKUP($H$4,VOLCURVES,2,FALSE()),FALSE()),1)</f>
        <v>1</v>
      </c>
      <c r="AJ75" s="65" t="n">
        <f aca="false">IF(ISNUMBER(VLOOKUP($A75,CORETABLE,HLOOKUP($H$3,CORETABLE,2,FALSE()),FALSE())),VLOOKUP($A75,CORETABLE,HLOOKUP($H$3,CORETABLE,2,FALSE()),FALSE()),0.99)</f>
        <v>0.96</v>
      </c>
      <c r="AK75" s="68" t="n">
        <f aca="false">H$19</f>
        <v>-0.45</v>
      </c>
      <c r="AL75" s="69" t="n">
        <f aca="false">IF($H$18=1,IF(ISNUMBER($GJ75),$GJ75,0),0)</f>
        <v>0</v>
      </c>
      <c r="AM75" s="4" t="n">
        <f aca="false">VLOOKUP($A75,STRADDLE,14,FALSE())</f>
        <v>0.0431890054626174</v>
      </c>
      <c r="AN75" s="72" t="n">
        <f aca="false">A76-A75</f>
        <v>28</v>
      </c>
      <c r="AO75" s="1" t="n">
        <f aca="false">AO74+1</f>
        <v>38</v>
      </c>
      <c r="AP75" s="73" t="n">
        <f aca="false">IF($A75&gt;=AR$32,IF($A75&lt;=AR$33,$AN75,0),0)</f>
        <v>0</v>
      </c>
      <c r="AQ75" s="41" t="n">
        <f aca="false">$B75+$K75+$B$12</f>
        <v>3.4225</v>
      </c>
      <c r="AR75" s="41" t="n">
        <f aca="false">$B75+$L75+$B$13</f>
        <v>3.57</v>
      </c>
      <c r="AS75" s="41" t="n">
        <f aca="false">AQ75*AP75</f>
        <v>0</v>
      </c>
      <c r="AT75" s="41" t="n">
        <f aca="false">AR75*AP75</f>
        <v>0</v>
      </c>
      <c r="AU75" s="74" t="n">
        <f aca="false">($C75*$M75)+Q75+$B$14</f>
        <v>0.3125</v>
      </c>
      <c r="AV75" s="74" t="n">
        <f aca="false">($C75*$N75)+$B$15</f>
        <v>0.3125</v>
      </c>
      <c r="AW75" s="65" t="n">
        <f aca="false">O75+B$16</f>
        <v>0.999</v>
      </c>
      <c r="AX75" s="75" t="n">
        <f aca="false">IF(AP75=0,0,SPRDOPT(AQ75,AR75,$P75,$AM75,AU75,AV75,AW75,$D75,$B$20,0))</f>
        <v>0</v>
      </c>
      <c r="AY75" s="75" t="e">
        <f aca="false">IF(AQ75=0,0,SPRDOPT(AQ75,AR75,$P75,$AM75,AU75,AV75,AW75,$D75,$B$20,1))</f>
        <v>#NAME?</v>
      </c>
      <c r="AZ75" s="75" t="e">
        <f aca="false">IF(AR75=0,0,SPRDOPT(AQ75,AR75,$P75,$AM75,AU75,AV75,AW75,$D75,$B$20,2))</f>
        <v>#NAME?</v>
      </c>
      <c r="BA75" s="75" t="n">
        <f aca="false">IF(AS75=0,0,SPRDOPT(AQ75,AR75,$P75,$AM75,AU75,AV75,AW75,$D75,$B$20,3)/100)</f>
        <v>0</v>
      </c>
      <c r="BB75" s="75" t="n">
        <f aca="false">IF(AT75=0,0,SPRDOPT(AQ75,AR75,$P75,$AM75,AU75,AV75,AW75,$D75,$B$20,4)/100)</f>
        <v>0</v>
      </c>
      <c r="BC75" s="75" t="e">
        <f aca="false">IF(AU75=0,0,SPRDOPT(AQ75,AR75,$P75,$AM75,AU75,AV75,AW75,$D75,$B$20,5)/100)</f>
        <v>#NAME?</v>
      </c>
      <c r="BD75" s="75" t="e">
        <f aca="false">IF(AV75=0,0,SPRDOPT(AQ75,AR75,$P75,$AM75,AU75,AV75,AW75,$D75,$B$20,6)/100)</f>
        <v>#NAME?</v>
      </c>
      <c r="BE75" s="75" t="e">
        <f aca="false">IF(AW75=0,0,SPRDOPT(AQ75,AR75,$P75,$AM75,AU75,AV75,AW75,$D75,$B$20,7)/100)</f>
        <v>#NAME?</v>
      </c>
      <c r="BF75" s="75" t="n">
        <f aca="false">IF(AX75=0,0,SPRDOPT(AQ75,AR75,$P75,$AM75,AU75,AV75,AW75,$D75,$B$20,9)/365)</f>
        <v>0</v>
      </c>
      <c r="BG75" s="75" t="e">
        <f aca="false">AY75+AZ75</f>
        <v>#NAME?</v>
      </c>
      <c r="BH75" s="75" t="n">
        <f aca="false">BB75-BA75</f>
        <v>0</v>
      </c>
      <c r="BI75" s="75" t="e">
        <f aca="false">((AU75/AV75)*BC75)+BD75</f>
        <v>#NAME?</v>
      </c>
      <c r="BJ75" s="75" t="n">
        <f aca="false">AW75*AP75</f>
        <v>0</v>
      </c>
      <c r="BK75" s="76"/>
      <c r="BL75" s="37" t="n">
        <f aca="false">$AP75*AX75</f>
        <v>0</v>
      </c>
      <c r="BM75" s="37" t="e">
        <f aca="false">$AP75*AY75</f>
        <v>#NAME?</v>
      </c>
      <c r="BN75" s="37" t="e">
        <f aca="false">$AP75*AZ75</f>
        <v>#NAME?</v>
      </c>
      <c r="BO75" s="37" t="n">
        <f aca="false">$AP75*BA75</f>
        <v>0</v>
      </c>
      <c r="BP75" s="37" t="n">
        <f aca="false">$AP75*BB75</f>
        <v>0</v>
      </c>
      <c r="BQ75" s="37" t="e">
        <f aca="false">$AP75*BC75</f>
        <v>#NAME?</v>
      </c>
      <c r="BR75" s="37" t="e">
        <f aca="false">$AP75*BD75</f>
        <v>#NAME?</v>
      </c>
      <c r="BS75" s="37" t="e">
        <f aca="false">$AP75*BE75</f>
        <v>#NAME?</v>
      </c>
      <c r="BT75" s="37" t="n">
        <f aca="false">$AP75*BF75</f>
        <v>0</v>
      </c>
      <c r="BU75" s="37" t="e">
        <f aca="false">$AP75*BG75</f>
        <v>#NAME?</v>
      </c>
      <c r="BV75" s="37" t="n">
        <f aca="false">$AP75*BH75</f>
        <v>0</v>
      </c>
      <c r="BW75" s="37" t="e">
        <f aca="false">$AP75*BI75</f>
        <v>#NAME?</v>
      </c>
      <c r="BX75" s="37"/>
      <c r="BZ75" s="73" t="n">
        <f aca="false">IF($A75&gt;=CB$32,IF($A75&lt;=CB$33,$AN75,0),0)</f>
        <v>0</v>
      </c>
      <c r="CA75" s="41" t="n">
        <f aca="false">$B75+$R75+$D$12</f>
        <v>3.77</v>
      </c>
      <c r="CB75" s="41" t="n">
        <f aca="false">$B75+$S75+$D$13</f>
        <v>3.57</v>
      </c>
      <c r="CC75" s="41" t="n">
        <f aca="false">CA75*BZ75</f>
        <v>0</v>
      </c>
      <c r="CD75" s="41" t="n">
        <f aca="false">CB75*BZ75</f>
        <v>0</v>
      </c>
      <c r="CE75" s="74" t="n">
        <f aca="false">($C75*$T75)+X75+$D$14</f>
        <v>0.3125</v>
      </c>
      <c r="CF75" s="74" t="n">
        <f aca="false">($C75*$U75)+$D$15</f>
        <v>0.3125</v>
      </c>
      <c r="CG75" s="65" t="n">
        <f aca="false">$V75+D$16</f>
        <v>0.98</v>
      </c>
      <c r="CH75" s="75" t="n">
        <f aca="false">IF(BZ75=0,0,SPRDOPT(CA75,CB75,$W75,$AM75,CE75,CF75,CG75,$D75,$D$20,0))</f>
        <v>0</v>
      </c>
      <c r="CI75" s="75" t="e">
        <f aca="false">IF(CA75=0,0,SPRDOPT(CA75,CB75,$W75,$AM75,CE75,CF75,CG75,$D75,$D$20,1))</f>
        <v>#NAME?</v>
      </c>
      <c r="CJ75" s="75" t="e">
        <f aca="false">IF(CB75=0,0,SPRDOPT(CA75,CB75,$W75,$AM75,CE75,CF75,CG75,$D75,$D$20,2))</f>
        <v>#NAME?</v>
      </c>
      <c r="CK75" s="75" t="n">
        <f aca="false">IF(CC75=0,0,SPRDOPT(CA75,CB75,$W75,$AM75,CE75,CF75,CG75,$D75,$D$20,3)/100)</f>
        <v>0</v>
      </c>
      <c r="CL75" s="75" t="n">
        <f aca="false">IF(CD75=0,0,SPRDOPT(CA75,CB75,$W75,$AM75,CE75,CF75,CG75,$D75,$D$20,4)/100)</f>
        <v>0</v>
      </c>
      <c r="CM75" s="75" t="e">
        <f aca="false">IF(CE75=0,0,SPRDOPT(CA75,CB75,$W75,$AM75,CE75,CF75,CG75,$D75,$D$20,5)/100)</f>
        <v>#NAME?</v>
      </c>
      <c r="CN75" s="75" t="e">
        <f aca="false">IF(CF75=0,0,SPRDOPT(CA75,CB75,$W75,$AM75,CE75,CF75,CG75,$D75,$D$20,6)/100)</f>
        <v>#NAME?</v>
      </c>
      <c r="CO75" s="75" t="e">
        <f aca="false">IF(CG75=0,0,SPRDOPT(CA75,CB75,$W75,$AM75,CE75,CF75,CG75,$D75,$D$20,7)/100)</f>
        <v>#NAME?</v>
      </c>
      <c r="CP75" s="75" t="n">
        <f aca="false">IF(CH75=0,0,SPRDOPT(CA75,CB75,$W75,$AM75,CE75,CF75,CG75,$D75,$D$20,9)/365)</f>
        <v>0</v>
      </c>
      <c r="CQ75" s="75" t="e">
        <f aca="false">CI75+CJ75</f>
        <v>#NAME?</v>
      </c>
      <c r="CR75" s="75" t="n">
        <f aca="false">CL75-CK75</f>
        <v>0</v>
      </c>
      <c r="CS75" s="75" t="e">
        <f aca="false">((CE75/CF75)*CM75)+CN75</f>
        <v>#NAME?</v>
      </c>
      <c r="CT75" s="75" t="n">
        <f aca="false">CG75*BZ75</f>
        <v>0</v>
      </c>
      <c r="CU75" s="76"/>
      <c r="CV75" s="37" t="n">
        <f aca="false">BZ75*CH75</f>
        <v>0</v>
      </c>
      <c r="CW75" s="37" t="e">
        <f aca="false">BZ75*CI75</f>
        <v>#NAME?</v>
      </c>
      <c r="CX75" s="37" t="e">
        <f aca="false">BZ75*CJ75</f>
        <v>#NAME?</v>
      </c>
      <c r="CY75" s="37" t="n">
        <f aca="false">BZ75*CK75</f>
        <v>0</v>
      </c>
      <c r="CZ75" s="37" t="n">
        <f aca="false">BZ75*CL75</f>
        <v>0</v>
      </c>
      <c r="DA75" s="37" t="e">
        <f aca="false">BZ75*CM75</f>
        <v>#NAME?</v>
      </c>
      <c r="DB75" s="37" t="e">
        <f aca="false">BZ75*CN75</f>
        <v>#NAME?</v>
      </c>
      <c r="DC75" s="37" t="e">
        <f aca="false">BZ75*CO75</f>
        <v>#NAME?</v>
      </c>
      <c r="DD75" s="37" t="n">
        <f aca="false">BZ75*CP75</f>
        <v>0</v>
      </c>
      <c r="DE75" s="37" t="e">
        <f aca="false">BZ75*CQ75</f>
        <v>#NAME?</v>
      </c>
      <c r="DF75" s="37" t="n">
        <f aca="false">BZ75*CR75</f>
        <v>0</v>
      </c>
      <c r="DG75" s="37" t="e">
        <f aca="false">BZ75*CS75</f>
        <v>#NAME?</v>
      </c>
      <c r="DI75" s="73" t="n">
        <f aca="false">IF($A75&gt;=DK$32,IF($A75&lt;=DK$33,$AN75,0),0)</f>
        <v>0</v>
      </c>
      <c r="DJ75" s="41" t="n">
        <f aca="false">$B75+$Y75+$F$12</f>
        <v>3.3</v>
      </c>
      <c r="DK75" s="41" t="n">
        <f aca="false">$B75+$Z75+$F$13</f>
        <v>3.57</v>
      </c>
      <c r="DL75" s="41" t="n">
        <f aca="false">DJ75*DI75</f>
        <v>0</v>
      </c>
      <c r="DM75" s="41" t="n">
        <f aca="false">DK75*DI75</f>
        <v>0</v>
      </c>
      <c r="DN75" s="74" t="n">
        <f aca="false">($C75*$AA75)+AE75+$F$14</f>
        <v>0.3125</v>
      </c>
      <c r="DO75" s="74" t="n">
        <f aca="false">($C75*$AB75)+$F$15</f>
        <v>0.3125</v>
      </c>
      <c r="DP75" s="65" t="n">
        <f aca="false">$AC75+$F$16</f>
        <v>0.96</v>
      </c>
      <c r="DQ75" s="75" t="n">
        <f aca="false">IF(DI75=0,0,SPRDOPT(DJ75,DK75,$AD75,$AM75,DN75,DO75,DP75,$D75,$F$20,0))</f>
        <v>0</v>
      </c>
      <c r="DR75" s="75" t="e">
        <f aca="false">IF(DJ75=0,0,SPRDOPT(DJ75,DK75,$AD75,$AM75,DN75,DO75,DP75,$D75,$F$20,1))</f>
        <v>#NAME?</v>
      </c>
      <c r="DS75" s="75" t="e">
        <f aca="false">IF(DK75=0,0,SPRDOPT(DJ75,DK75,$AD75,$AM75,DN75,DO75,DP75,$D75,$F$20,2))</f>
        <v>#NAME?</v>
      </c>
      <c r="DT75" s="75" t="n">
        <f aca="false">IF(DL75=0,0,SPRDOPT(DJ75,DK75,$AD75,$AM75,DN75,DO75,DP75,$D75,$F$20,3)/100)</f>
        <v>0</v>
      </c>
      <c r="DU75" s="75" t="n">
        <f aca="false">IF(DM75=0,0,SPRDOPT(DJ75,DK75,$AD75,$AM75,DN75,DO75,DP75,$D75,$F$20,4)/100)</f>
        <v>0</v>
      </c>
      <c r="DV75" s="75" t="e">
        <f aca="false">IF(DN75=0,0,SPRDOPT(DJ75,DK75,$AD75,$AM75,DN75,DO75,DP75,$D75,$F$20,5)/100)</f>
        <v>#NAME?</v>
      </c>
      <c r="DW75" s="75" t="e">
        <f aca="false">IF(DO75=0,0,SPRDOPT(DJ75,DK75,$AD75,$AM75,DN75,DO75,DP75,$D75,$F$20,6)/100)</f>
        <v>#NAME?</v>
      </c>
      <c r="DX75" s="75" t="e">
        <f aca="false">IF(DP75=0,0,SPRDOPT(DJ75,DK75,$AD75,$AM75,DN75,DO75,DP75,$D75,$F$20,7)/100)</f>
        <v>#NAME?</v>
      </c>
      <c r="DY75" s="75" t="n">
        <f aca="false">IF(DQ75=0,0,SPRDOPT(DJ75,DK75,$AD75,$AM75,DN75,DO75,DP75,$D75,$F$20,9)/365)</f>
        <v>0</v>
      </c>
      <c r="DZ75" s="75" t="e">
        <f aca="false">DR75+DS75</f>
        <v>#NAME?</v>
      </c>
      <c r="EA75" s="75" t="n">
        <f aca="false">DU75-DT75</f>
        <v>0</v>
      </c>
      <c r="EB75" s="75" t="e">
        <f aca="false">((DN75/DO75)*DV75)+DW75</f>
        <v>#NAME?</v>
      </c>
      <c r="EC75" s="75" t="n">
        <f aca="false">DP75*DI75</f>
        <v>0</v>
      </c>
      <c r="ED75" s="75"/>
      <c r="EE75" s="37" t="n">
        <f aca="false">DI75*DQ75</f>
        <v>0</v>
      </c>
      <c r="EF75" s="37" t="e">
        <f aca="false">DI75*DR75</f>
        <v>#NAME?</v>
      </c>
      <c r="EG75" s="37" t="e">
        <f aca="false">DI75*DS75</f>
        <v>#NAME?</v>
      </c>
      <c r="EH75" s="37" t="n">
        <f aca="false">DI75*DT75</f>
        <v>0</v>
      </c>
      <c r="EI75" s="37" t="n">
        <f aca="false">DI75*DU75</f>
        <v>0</v>
      </c>
      <c r="EJ75" s="37" t="e">
        <f aca="false">DI75*DV75</f>
        <v>#NAME?</v>
      </c>
      <c r="EK75" s="37" t="e">
        <f aca="false">DI75*DW75</f>
        <v>#NAME?</v>
      </c>
      <c r="EL75" s="37" t="e">
        <f aca="false">DI75*DX75</f>
        <v>#NAME?</v>
      </c>
      <c r="EM75" s="37" t="n">
        <f aca="false">DI75*DY75</f>
        <v>0</v>
      </c>
      <c r="EN75" s="37" t="e">
        <f aca="false">DI75*DZ75</f>
        <v>#NAME?</v>
      </c>
      <c r="EO75" s="37" t="n">
        <f aca="false">DI75*EA75</f>
        <v>0</v>
      </c>
      <c r="EP75" s="37" t="e">
        <f aca="false">DI75*EB75</f>
        <v>#NAME?</v>
      </c>
      <c r="ER75" s="73" t="n">
        <f aca="false">IF($A75&gt;=ET$32,IF($A75&lt;=ET$33,$AN75,0),0)</f>
        <v>0</v>
      </c>
      <c r="ES75" s="41" t="n">
        <f aca="false">$B75+$AF75+$H$12</f>
        <v>3.36</v>
      </c>
      <c r="ET75" s="41" t="n">
        <f aca="false">$B75+$AG75+$H$13</f>
        <v>3.57</v>
      </c>
      <c r="EU75" s="41" t="n">
        <f aca="false">ES75*ER75</f>
        <v>0</v>
      </c>
      <c r="EV75" s="41" t="n">
        <f aca="false">ET75*ER75</f>
        <v>0</v>
      </c>
      <c r="EW75" s="74" t="n">
        <f aca="false">($C75*$AH75)+AL75+$H$14</f>
        <v>0.3125</v>
      </c>
      <c r="EX75" s="74" t="n">
        <f aca="false">($C75*$AI75)+$H$15</f>
        <v>0.3125</v>
      </c>
      <c r="EY75" s="65" t="n">
        <f aca="false">$AJ75+$H$16</f>
        <v>0.96</v>
      </c>
      <c r="EZ75" s="75" t="n">
        <f aca="false">IF(ER75=0,0,SPRDOPT(ES75,ET75,$AK75,$AM75,EW75,EX75,EY75,$D75,$H$20,0))</f>
        <v>0</v>
      </c>
      <c r="FA75" s="75" t="e">
        <f aca="false">IF(ES75=0,0,SPRDOPT(ES75,ET75,$AK75,$AM75,EW75,EX75,EY75,$D75,$H$20,1))</f>
        <v>#NAME?</v>
      </c>
      <c r="FB75" s="75" t="e">
        <f aca="false">IF(ET75=0,0,SPRDOPT(ES75,ET75,$AK75,$AM75,EW75,EX75,EY75,$D75,$H$20,2))</f>
        <v>#NAME?</v>
      </c>
      <c r="FC75" s="75" t="n">
        <f aca="false">IF(EU75=0,0,SPRDOPT(ES75,ET75,$AK75,$AM75,EW75,EX75,EY75,$D75,$H$20,3)/100)</f>
        <v>0</v>
      </c>
      <c r="FD75" s="75" t="n">
        <f aca="false">IF(EV75=0,0,SPRDOPT(ES75,ET75,$AK75,$AM75,EW75,EX75,EY75,$D75,$H$20,4)/100)</f>
        <v>0</v>
      </c>
      <c r="FE75" s="75" t="e">
        <f aca="false">IF(EW75=0,0,SPRDOPT(ES75,ET75,$AK75,$AM75,EW75,EX75,EY75,$D75,$H$20,5)/100)</f>
        <v>#NAME?</v>
      </c>
      <c r="FF75" s="75" t="e">
        <f aca="false">IF(EX75=0,0,SPRDOPT(ES75,ET75,$AK75,$AM75,EW75,EX75,EY75,$D75,$H$20,6)/100)</f>
        <v>#NAME?</v>
      </c>
      <c r="FG75" s="75" t="e">
        <f aca="false">IF(EY75=0,0,SPRDOPT(ES75,ET75,$AK75,$AM75,EW75,EX75,EY75,$D75,$H$20,7)/100)</f>
        <v>#NAME?</v>
      </c>
      <c r="FH75" s="75" t="n">
        <f aca="false">IF(EZ75=0,0,SPRDOPT(ES75,ET75,$AK75,$AM75,EW75,EX75,EY75,$D75,$H$20,9)/365)</f>
        <v>0</v>
      </c>
      <c r="FI75" s="75" t="e">
        <f aca="false">FA75+FB75</f>
        <v>#NAME?</v>
      </c>
      <c r="FJ75" s="75" t="n">
        <f aca="false">FD75-FC75</f>
        <v>0</v>
      </c>
      <c r="FK75" s="75" t="e">
        <f aca="false">((EW75/EX75)*FE75)+FF75</f>
        <v>#NAME?</v>
      </c>
      <c r="FL75" s="75" t="n">
        <f aca="false">EY75*ER75</f>
        <v>0</v>
      </c>
      <c r="FM75" s="75"/>
      <c r="FN75" s="37" t="n">
        <f aca="false">$ER75*EZ75</f>
        <v>0</v>
      </c>
      <c r="FO75" s="37" t="e">
        <f aca="false">$ER75*FA75</f>
        <v>#NAME?</v>
      </c>
      <c r="FP75" s="37" t="e">
        <f aca="false">$ER75*FB75</f>
        <v>#NAME?</v>
      </c>
      <c r="FQ75" s="37" t="n">
        <f aca="false">$ER75*FC75</f>
        <v>0</v>
      </c>
      <c r="FR75" s="37" t="n">
        <f aca="false">$ER75*FD75</f>
        <v>0</v>
      </c>
      <c r="FS75" s="37" t="e">
        <f aca="false">$ER75*FE75</f>
        <v>#NAME?</v>
      </c>
      <c r="FT75" s="37" t="e">
        <f aca="false">$ER75*FF75</f>
        <v>#NAME?</v>
      </c>
      <c r="FU75" s="37" t="e">
        <f aca="false">$ER75*FG75</f>
        <v>#NAME?</v>
      </c>
      <c r="FV75" s="37" t="n">
        <f aca="false">$ER75*FH75</f>
        <v>0</v>
      </c>
      <c r="FW75" s="37" t="e">
        <f aca="false">$ER75*FI75</f>
        <v>#NAME?</v>
      </c>
      <c r="FX75" s="37" t="n">
        <f aca="false">$ER75*FJ75</f>
        <v>0</v>
      </c>
      <c r="FY75" s="37" t="e">
        <f aca="false">$ER75*FK75</f>
        <v>#NAME?</v>
      </c>
      <c r="GA75" s="77" t="e">
        <f aca="false">VLOOKUP(A75,skewmonthlook,2,FALSE())</f>
        <v>#REF!</v>
      </c>
      <c r="GB75" s="0" t="e">
        <f aca="false">CONCATENATE(B$3,$GA75)</f>
        <v>#REF!</v>
      </c>
      <c r="GC75" s="0" t="e">
        <f aca="false">CONCATENATE(D$3,$GA75)</f>
        <v>#REF!</v>
      </c>
      <c r="GD75" s="0" t="e">
        <f aca="false">CONCATENATE(F$3,$GA75)</f>
        <v>#REF!</v>
      </c>
      <c r="GE75" s="0" t="e">
        <f aca="false">CONCATENATE(H$3,$GA75)</f>
        <v>#REF!</v>
      </c>
      <c r="GG75" s="65" t="e">
        <f aca="false">VLOOKUP(GB75,skewlook,HLOOKUP($P75,skewlook,2),FALSE())</f>
        <v>#REF!</v>
      </c>
      <c r="GH75" s="65" t="e">
        <f aca="false">VLOOKUP(GC75,skewlook,HLOOKUP($W75,skewlook,2),FALSE())</f>
        <v>#REF!</v>
      </c>
      <c r="GI75" s="65" t="e">
        <f aca="false">VLOOKUP(GD75,skewlook,HLOOKUP($AD75,skewlook,2),FALSE())</f>
        <v>#REF!</v>
      </c>
      <c r="GJ75" s="65" t="e">
        <f aca="false">VLOOKUP(GE75,skewlook,HLOOKUP($AK75,skewlook,2),FALSE())</f>
        <v>#REF!</v>
      </c>
    </row>
    <row r="76" customFormat="false" ht="12.75" hidden="false" customHeight="false" outlineLevel="0" collapsed="false">
      <c r="A76" s="62" t="n">
        <f aca="false">DATE(YEAR(A75),MONTH(A75)+1,1)</f>
        <v>38412</v>
      </c>
      <c r="B76" s="63" t="n">
        <f aca="false">VLOOKUP(A76,STRADDLE,5,FALSE())</f>
        <v>3.44</v>
      </c>
      <c r="C76" s="4" t="n">
        <f aca="false">VLOOKUP(A76,STRADDLE,8,FALSE())</f>
        <v>0.3025</v>
      </c>
      <c r="D76" s="64" t="n">
        <f aca="false">VLOOKUP(A76,expiration,2,FALSE())-$B$2</f>
        <v>-7520</v>
      </c>
      <c r="E76" s="65" t="e">
        <f aca="false">AY76</f>
        <v>#NAME?</v>
      </c>
      <c r="F76" s="65" t="e">
        <f aca="false">CI76</f>
        <v>#NAME?</v>
      </c>
      <c r="G76" s="65" t="e">
        <f aca="false">DR76</f>
        <v>#NAME?</v>
      </c>
      <c r="H76" s="65" t="e">
        <f aca="false">FA76</f>
        <v>#NAME?</v>
      </c>
      <c r="I76" s="66"/>
      <c r="J76" s="67"/>
      <c r="K76" s="63" t="n">
        <f aca="false">IF($B$3="NYMEX",0,VLOOKUP($A76,curvesettle,HLOOKUP($B$3,curvesettle,2,FALSE()),FALSE()))</f>
        <v>-0.145</v>
      </c>
      <c r="L76" s="63" t="n">
        <f aca="false">IF($B$4="NYMEX",0,VLOOKUP($A76,curvesettle,HLOOKUP($B$4,curvesettle,2,FALSE()),FALSE()))</f>
        <v>0</v>
      </c>
      <c r="M76" s="65" t="n">
        <f aca="false">IF(ISNUMBER(VLOOKUP($A76,VOLCURVES,HLOOKUP($B$3,VOLCURVES,2,FALSE()),FALSE())),VLOOKUP($A76,VOLCURVES,HLOOKUP($B$3,VOLCURVES,2,FALSE()),FALSE()),1)</f>
        <v>1</v>
      </c>
      <c r="N76" s="65" t="n">
        <f aca="false">IF(ISNUMBER(VLOOKUP($A76,VOLCURVES,HLOOKUP($B$4,VOLCURVES,2,FALSE()),FALSE())),VLOOKUP($A76,VOLCURVES,HLOOKUP($B$4,VOLCURVES,2,FALSE()),FALSE()),1)</f>
        <v>1</v>
      </c>
      <c r="O76" s="65" t="n">
        <f aca="false">IF(ISNUMBER(VLOOKUP($A76,CORETABLE,HLOOKUP($B$3,CORETABLE,2,FALSE()),FALSE())),VLOOKUP($A76,CORETABLE,HLOOKUP($B$3,CORETABLE,2,FALSE()),FALSE()),0.99)</f>
        <v>0.9945</v>
      </c>
      <c r="P76" s="68" t="n">
        <f aca="false">B$19</f>
        <v>-0.2</v>
      </c>
      <c r="Q76" s="69" t="n">
        <f aca="false">IF($B$18=1,IF(ISNUMBER($GG76),$GG76,0),0)</f>
        <v>0</v>
      </c>
      <c r="R76" s="70" t="n">
        <f aca="false">IF($D$3="NYMEX",0,VLOOKUP($A76,curvesettle,HLOOKUP($D$3,curvesettle,2,FALSE()),FALSE()))</f>
        <v>0.2</v>
      </c>
      <c r="S76" s="63" t="n">
        <f aca="false">IF($D$4="NYMEX",0,VLOOKUP($A76,curvesettle,HLOOKUP($D$4,curvesettle,2,FALSE()),FALSE()))</f>
        <v>0</v>
      </c>
      <c r="T76" s="65" t="n">
        <f aca="false">IF(ISNUMBER(VLOOKUP($A76,VOLCURVES,HLOOKUP($D$3,VOLCURVES,2,FALSE()),FALSE())),VLOOKUP($A76,VOLCURVES,HLOOKUP($D$3,VOLCURVES,2,FALSE()),FALSE()),1)</f>
        <v>1</v>
      </c>
      <c r="U76" s="65" t="n">
        <f aca="false">IF(ISNUMBER(VLOOKUP($A76,VOLCURVES,HLOOKUP($D$4,VOLCURVES,2,FALSE()),FALSE())),VLOOKUP($A76,VOLCURVES,HLOOKUP($D$4,VOLCURVES,2,FALSE()),FALSE()),1)</f>
        <v>1</v>
      </c>
      <c r="V76" s="65" t="n">
        <f aca="false">IF(ISNUMBER(VLOOKUP($A76,CORETABLE,HLOOKUP($D$3,CORETABLE,2,FALSE()),FALSE())),VLOOKUP($A76,CORETABLE,HLOOKUP($D$3,CORETABLE,2,FALSE()),FALSE()),0.99)</f>
        <v>0.98</v>
      </c>
      <c r="W76" s="68" t="n">
        <f aca="false">D$19</f>
        <v>0</v>
      </c>
      <c r="X76" s="69" t="n">
        <f aca="false">IF($D$18=1,IF(ISNUMBER($GH76),$GH76,0),0)</f>
        <v>0</v>
      </c>
      <c r="Y76" s="71" t="n">
        <f aca="false">IF($F$3="NYMEX",0,VLOOKUP($A76,curvesettle,HLOOKUP($F$3,curvesettle,2,FALSE()),FALSE()))</f>
        <v>-0.27</v>
      </c>
      <c r="Z76" s="63" t="n">
        <f aca="false">IF($F$4="NYMEX",0,VLOOKUP($A76,curvesettle,HLOOKUP($F$4,curvesettle,2,FALSE()),FALSE()))</f>
        <v>0</v>
      </c>
      <c r="AA76" s="65" t="n">
        <f aca="false">IF(ISNUMBER(VLOOKUP($A76,VOLCURVES,HLOOKUP($F$3,VOLCURVES,2,FALSE()),FALSE())),VLOOKUP($A76,VOLCURVES,HLOOKUP($F$3,VOLCURVES,2,FALSE()),FALSE()),1)</f>
        <v>1</v>
      </c>
      <c r="AB76" s="65" t="n">
        <f aca="false">IF(ISNUMBER(VLOOKUP($A76,VOLCURVES,HLOOKUP($F$4,VOLCURVES,2,FALSE()),FALSE())),VLOOKUP($A76,VOLCURVES,HLOOKUP($F$4,VOLCURVES,2,FALSE()),FALSE()),1)</f>
        <v>1</v>
      </c>
      <c r="AC76" s="65" t="n">
        <f aca="false">IF(ISNUMBER(VLOOKUP($A76,CORETABLE,HLOOKUP($F$3,CORETABLE,2,FALSE()),FALSE())),VLOOKUP($A76,CORETABLE,HLOOKUP($F$3,CORETABLE,2,FALSE()),FALSE()),0.99)</f>
        <v>0.96</v>
      </c>
      <c r="AD76" s="68" t="n">
        <f aca="false">F$19</f>
        <v>-0.6</v>
      </c>
      <c r="AE76" s="69" t="n">
        <f aca="false">IF($F$18=1,IF(ISNUMBER($GI76),$GI76,0),0)</f>
        <v>0</v>
      </c>
      <c r="AF76" s="63" t="n">
        <f aca="false">IF($H$3="NYMEX",0,VLOOKUP($A76,curvesettle,HLOOKUP($H$3,curvesettle,2,FALSE()),FALSE()))</f>
        <v>-0.27</v>
      </c>
      <c r="AG76" s="63" t="n">
        <f aca="false">IF($H$4="NYMEX",0,VLOOKUP($A76,curvesettle,HLOOKUP($H$4,curvesettle,2,FALSE()),FALSE()))</f>
        <v>0</v>
      </c>
      <c r="AH76" s="65" t="n">
        <f aca="false">IF(ISNUMBER(VLOOKUP($A76,VOLCURVES,HLOOKUP($H$3,VOLCURVES,2,FALSE()),FALSE())),VLOOKUP($A76,VOLCURVES,HLOOKUP($H$3,VOLCURVES,2,FALSE()),FALSE()),1)</f>
        <v>1</v>
      </c>
      <c r="AI76" s="65" t="n">
        <f aca="false">IF(ISNUMBER(VLOOKUP($A76,VOLCURVES,HLOOKUP($H$4,VOLCURVES,2,FALSE()),FALSE())),VLOOKUP($A76,VOLCURVES,HLOOKUP($H$4,VOLCURVES,2,FALSE()),FALSE()),1)</f>
        <v>1</v>
      </c>
      <c r="AJ76" s="65" t="n">
        <f aca="false">IF(ISNUMBER(VLOOKUP($A76,CORETABLE,HLOOKUP($H$3,CORETABLE,2,FALSE()),FALSE())),VLOOKUP($A76,CORETABLE,HLOOKUP($H$3,CORETABLE,2,FALSE()),FALSE()),0.99)</f>
        <v>0.96</v>
      </c>
      <c r="AK76" s="68" t="n">
        <f aca="false">H$19</f>
        <v>-0.45</v>
      </c>
      <c r="AL76" s="69" t="n">
        <f aca="false">IF($H$18=1,IF(ISNUMBER($GJ76),$GJ76,0),0)</f>
        <v>0</v>
      </c>
      <c r="AM76" s="4" t="n">
        <f aca="false">VLOOKUP($A76,STRADDLE,14,FALSE())</f>
        <v>0.0436689034285567</v>
      </c>
      <c r="AN76" s="72" t="n">
        <f aca="false">A77-A76</f>
        <v>31</v>
      </c>
      <c r="AO76" s="1" t="n">
        <f aca="false">AO75+1</f>
        <v>39</v>
      </c>
      <c r="AP76" s="73" t="n">
        <f aca="false">IF($A76&gt;=AR$32,IF($A76&lt;=AR$33,$AN76,0),0)</f>
        <v>0</v>
      </c>
      <c r="AQ76" s="41" t="n">
        <f aca="false">$B76+$K76+$B$12</f>
        <v>3.295</v>
      </c>
      <c r="AR76" s="41" t="n">
        <f aca="false">$B76+$L76+$B$13</f>
        <v>3.44</v>
      </c>
      <c r="AS76" s="41" t="n">
        <f aca="false">AQ76*AP76</f>
        <v>0</v>
      </c>
      <c r="AT76" s="41" t="n">
        <f aca="false">AR76*AP76</f>
        <v>0</v>
      </c>
      <c r="AU76" s="74" t="n">
        <f aca="false">($C76*$M76)+Q76+$B$14</f>
        <v>0.3025</v>
      </c>
      <c r="AV76" s="74" t="n">
        <f aca="false">($C76*$N76)+$B$15</f>
        <v>0.3025</v>
      </c>
      <c r="AW76" s="65" t="n">
        <f aca="false">O76+B$16</f>
        <v>0.999</v>
      </c>
      <c r="AX76" s="75" t="n">
        <f aca="false">IF(AP76=0,0,SPRDOPT(AQ76,AR76,$P76,$AM76,AU76,AV76,AW76,$D76,$B$20,0))</f>
        <v>0</v>
      </c>
      <c r="AY76" s="75" t="e">
        <f aca="false">IF(AQ76=0,0,SPRDOPT(AQ76,AR76,$P76,$AM76,AU76,AV76,AW76,$D76,$B$20,1))</f>
        <v>#NAME?</v>
      </c>
      <c r="AZ76" s="75" t="e">
        <f aca="false">IF(AR76=0,0,SPRDOPT(AQ76,AR76,$P76,$AM76,AU76,AV76,AW76,$D76,$B$20,2))</f>
        <v>#NAME?</v>
      </c>
      <c r="BA76" s="75" t="n">
        <f aca="false">IF(AS76=0,0,SPRDOPT(AQ76,AR76,$P76,$AM76,AU76,AV76,AW76,$D76,$B$20,3)/100)</f>
        <v>0</v>
      </c>
      <c r="BB76" s="75" t="n">
        <f aca="false">IF(AT76=0,0,SPRDOPT(AQ76,AR76,$P76,$AM76,AU76,AV76,AW76,$D76,$B$20,4)/100)</f>
        <v>0</v>
      </c>
      <c r="BC76" s="75" t="e">
        <f aca="false">IF(AU76=0,0,SPRDOPT(AQ76,AR76,$P76,$AM76,AU76,AV76,AW76,$D76,$B$20,5)/100)</f>
        <v>#NAME?</v>
      </c>
      <c r="BD76" s="75" t="e">
        <f aca="false">IF(AV76=0,0,SPRDOPT(AQ76,AR76,$P76,$AM76,AU76,AV76,AW76,$D76,$B$20,6)/100)</f>
        <v>#NAME?</v>
      </c>
      <c r="BE76" s="75" t="e">
        <f aca="false">IF(AW76=0,0,SPRDOPT(AQ76,AR76,$P76,$AM76,AU76,AV76,AW76,$D76,$B$20,7)/100)</f>
        <v>#NAME?</v>
      </c>
      <c r="BF76" s="75" t="n">
        <f aca="false">IF(AX76=0,0,SPRDOPT(AQ76,AR76,$P76,$AM76,AU76,AV76,AW76,$D76,$B$20,9)/365)</f>
        <v>0</v>
      </c>
      <c r="BG76" s="75" t="e">
        <f aca="false">AY76+AZ76</f>
        <v>#NAME?</v>
      </c>
      <c r="BH76" s="75" t="n">
        <f aca="false">BB76-BA76</f>
        <v>0</v>
      </c>
      <c r="BI76" s="75" t="e">
        <f aca="false">((AU76/AV76)*BC76)+BD76</f>
        <v>#NAME?</v>
      </c>
      <c r="BJ76" s="75" t="n">
        <f aca="false">AW76*AP76</f>
        <v>0</v>
      </c>
      <c r="BK76" s="76"/>
      <c r="BL76" s="37" t="n">
        <f aca="false">$AP76*AX76</f>
        <v>0</v>
      </c>
      <c r="BM76" s="37" t="e">
        <f aca="false">$AP76*AY76</f>
        <v>#NAME?</v>
      </c>
      <c r="BN76" s="37" t="e">
        <f aca="false">$AP76*AZ76</f>
        <v>#NAME?</v>
      </c>
      <c r="BO76" s="37" t="n">
        <f aca="false">$AP76*BA76</f>
        <v>0</v>
      </c>
      <c r="BP76" s="37" t="n">
        <f aca="false">$AP76*BB76</f>
        <v>0</v>
      </c>
      <c r="BQ76" s="37" t="e">
        <f aca="false">$AP76*BC76</f>
        <v>#NAME?</v>
      </c>
      <c r="BR76" s="37" t="e">
        <f aca="false">$AP76*BD76</f>
        <v>#NAME?</v>
      </c>
      <c r="BS76" s="37" t="e">
        <f aca="false">$AP76*BE76</f>
        <v>#NAME?</v>
      </c>
      <c r="BT76" s="37" t="n">
        <f aca="false">$AP76*BF76</f>
        <v>0</v>
      </c>
      <c r="BU76" s="37" t="e">
        <f aca="false">$AP76*BG76</f>
        <v>#NAME?</v>
      </c>
      <c r="BV76" s="37" t="n">
        <f aca="false">$AP76*BH76</f>
        <v>0</v>
      </c>
      <c r="BW76" s="37" t="e">
        <f aca="false">$AP76*BI76</f>
        <v>#NAME?</v>
      </c>
      <c r="BX76" s="37"/>
      <c r="BZ76" s="73" t="n">
        <f aca="false">IF($A76&gt;=CB$32,IF($A76&lt;=CB$33,$AN76,0),0)</f>
        <v>0</v>
      </c>
      <c r="CA76" s="41" t="n">
        <f aca="false">$B76+$R76+$D$12</f>
        <v>3.64</v>
      </c>
      <c r="CB76" s="41" t="n">
        <f aca="false">$B76+$S76+$D$13</f>
        <v>3.44</v>
      </c>
      <c r="CC76" s="41" t="n">
        <f aca="false">CA76*BZ76</f>
        <v>0</v>
      </c>
      <c r="CD76" s="41" t="n">
        <f aca="false">CB76*BZ76</f>
        <v>0</v>
      </c>
      <c r="CE76" s="74" t="n">
        <f aca="false">($C76*$T76)+X76+$D$14</f>
        <v>0.3025</v>
      </c>
      <c r="CF76" s="74" t="n">
        <f aca="false">($C76*$U76)+$D$15</f>
        <v>0.3025</v>
      </c>
      <c r="CG76" s="65" t="n">
        <f aca="false">$V76+D$16</f>
        <v>0.98</v>
      </c>
      <c r="CH76" s="75" t="n">
        <f aca="false">IF(BZ76=0,0,SPRDOPT(CA76,CB76,$W76,$AM76,CE76,CF76,CG76,$D76,$D$20,0))</f>
        <v>0</v>
      </c>
      <c r="CI76" s="75" t="e">
        <f aca="false">IF(CA76=0,0,SPRDOPT(CA76,CB76,$W76,$AM76,CE76,CF76,CG76,$D76,$D$20,1))</f>
        <v>#NAME?</v>
      </c>
      <c r="CJ76" s="75" t="e">
        <f aca="false">IF(CB76=0,0,SPRDOPT(CA76,CB76,$W76,$AM76,CE76,CF76,CG76,$D76,$D$20,2))</f>
        <v>#NAME?</v>
      </c>
      <c r="CK76" s="75" t="n">
        <f aca="false">IF(CC76=0,0,SPRDOPT(CA76,CB76,$W76,$AM76,CE76,CF76,CG76,$D76,$D$20,3)/100)</f>
        <v>0</v>
      </c>
      <c r="CL76" s="75" t="n">
        <f aca="false">IF(CD76=0,0,SPRDOPT(CA76,CB76,$W76,$AM76,CE76,CF76,CG76,$D76,$D$20,4)/100)</f>
        <v>0</v>
      </c>
      <c r="CM76" s="75" t="e">
        <f aca="false">IF(CE76=0,0,SPRDOPT(CA76,CB76,$W76,$AM76,CE76,CF76,CG76,$D76,$D$20,5)/100)</f>
        <v>#NAME?</v>
      </c>
      <c r="CN76" s="75" t="e">
        <f aca="false">IF(CF76=0,0,SPRDOPT(CA76,CB76,$W76,$AM76,CE76,CF76,CG76,$D76,$D$20,6)/100)</f>
        <v>#NAME?</v>
      </c>
      <c r="CO76" s="75" t="e">
        <f aca="false">IF(CG76=0,0,SPRDOPT(CA76,CB76,$W76,$AM76,CE76,CF76,CG76,$D76,$D$20,7)/100)</f>
        <v>#NAME?</v>
      </c>
      <c r="CP76" s="75" t="n">
        <f aca="false">IF(CH76=0,0,SPRDOPT(CA76,CB76,$W76,$AM76,CE76,CF76,CG76,$D76,$D$20,9)/365)</f>
        <v>0</v>
      </c>
      <c r="CQ76" s="75" t="e">
        <f aca="false">CI76+CJ76</f>
        <v>#NAME?</v>
      </c>
      <c r="CR76" s="75" t="n">
        <f aca="false">CL76-CK76</f>
        <v>0</v>
      </c>
      <c r="CS76" s="75" t="e">
        <f aca="false">((CE76/CF76)*CM76)+CN76</f>
        <v>#NAME?</v>
      </c>
      <c r="CT76" s="75" t="n">
        <f aca="false">CG76*BZ76</f>
        <v>0</v>
      </c>
      <c r="CU76" s="76"/>
      <c r="CV76" s="37" t="n">
        <f aca="false">BZ76*CH76</f>
        <v>0</v>
      </c>
      <c r="CW76" s="37" t="e">
        <f aca="false">BZ76*CI76</f>
        <v>#NAME?</v>
      </c>
      <c r="CX76" s="37" t="e">
        <f aca="false">BZ76*CJ76</f>
        <v>#NAME?</v>
      </c>
      <c r="CY76" s="37" t="n">
        <f aca="false">BZ76*CK76</f>
        <v>0</v>
      </c>
      <c r="CZ76" s="37" t="n">
        <f aca="false">BZ76*CL76</f>
        <v>0</v>
      </c>
      <c r="DA76" s="37" t="e">
        <f aca="false">BZ76*CM76</f>
        <v>#NAME?</v>
      </c>
      <c r="DB76" s="37" t="e">
        <f aca="false">BZ76*CN76</f>
        <v>#NAME?</v>
      </c>
      <c r="DC76" s="37" t="e">
        <f aca="false">BZ76*CO76</f>
        <v>#NAME?</v>
      </c>
      <c r="DD76" s="37" t="n">
        <f aca="false">BZ76*CP76</f>
        <v>0</v>
      </c>
      <c r="DE76" s="37" t="e">
        <f aca="false">BZ76*CQ76</f>
        <v>#NAME?</v>
      </c>
      <c r="DF76" s="37" t="n">
        <f aca="false">BZ76*CR76</f>
        <v>0</v>
      </c>
      <c r="DG76" s="37" t="e">
        <f aca="false">BZ76*CS76</f>
        <v>#NAME?</v>
      </c>
      <c r="DI76" s="73" t="n">
        <f aca="false">IF($A76&gt;=DK$32,IF($A76&lt;=DK$33,$AN76,0),0)</f>
        <v>0</v>
      </c>
      <c r="DJ76" s="41" t="n">
        <f aca="false">$B76+$Y76+$F$12</f>
        <v>3.17</v>
      </c>
      <c r="DK76" s="41" t="n">
        <f aca="false">$B76+$Z76+$F$13</f>
        <v>3.44</v>
      </c>
      <c r="DL76" s="41" t="n">
        <f aca="false">DJ76*DI76</f>
        <v>0</v>
      </c>
      <c r="DM76" s="41" t="n">
        <f aca="false">DK76*DI76</f>
        <v>0</v>
      </c>
      <c r="DN76" s="74" t="n">
        <f aca="false">($C76*$AA76)+AE76+$F$14</f>
        <v>0.3025</v>
      </c>
      <c r="DO76" s="74" t="n">
        <f aca="false">($C76*$AB76)+$F$15</f>
        <v>0.3025</v>
      </c>
      <c r="DP76" s="65" t="n">
        <f aca="false">$AC76+$F$16</f>
        <v>0.96</v>
      </c>
      <c r="DQ76" s="75" t="n">
        <f aca="false">IF(DI76=0,0,SPRDOPT(DJ76,DK76,$AD76,$AM76,DN76,DO76,DP76,$D76,$F$20,0))</f>
        <v>0</v>
      </c>
      <c r="DR76" s="75" t="e">
        <f aca="false">IF(DJ76=0,0,SPRDOPT(DJ76,DK76,$AD76,$AM76,DN76,DO76,DP76,$D76,$F$20,1))</f>
        <v>#NAME?</v>
      </c>
      <c r="DS76" s="75" t="e">
        <f aca="false">IF(DK76=0,0,SPRDOPT(DJ76,DK76,$AD76,$AM76,DN76,DO76,DP76,$D76,$F$20,2))</f>
        <v>#NAME?</v>
      </c>
      <c r="DT76" s="75" t="n">
        <f aca="false">IF(DL76=0,0,SPRDOPT(DJ76,DK76,$AD76,$AM76,DN76,DO76,DP76,$D76,$F$20,3)/100)</f>
        <v>0</v>
      </c>
      <c r="DU76" s="75" t="n">
        <f aca="false">IF(DM76=0,0,SPRDOPT(DJ76,DK76,$AD76,$AM76,DN76,DO76,DP76,$D76,$F$20,4)/100)</f>
        <v>0</v>
      </c>
      <c r="DV76" s="75" t="e">
        <f aca="false">IF(DN76=0,0,SPRDOPT(DJ76,DK76,$AD76,$AM76,DN76,DO76,DP76,$D76,$F$20,5)/100)</f>
        <v>#NAME?</v>
      </c>
      <c r="DW76" s="75" t="e">
        <f aca="false">IF(DO76=0,0,SPRDOPT(DJ76,DK76,$AD76,$AM76,DN76,DO76,DP76,$D76,$F$20,6)/100)</f>
        <v>#NAME?</v>
      </c>
      <c r="DX76" s="75" t="e">
        <f aca="false">IF(DP76=0,0,SPRDOPT(DJ76,DK76,$AD76,$AM76,DN76,DO76,DP76,$D76,$F$20,7)/100)</f>
        <v>#NAME?</v>
      </c>
      <c r="DY76" s="75" t="n">
        <f aca="false">IF(DQ76=0,0,SPRDOPT(DJ76,DK76,$AD76,$AM76,DN76,DO76,DP76,$D76,$F$20,9)/365)</f>
        <v>0</v>
      </c>
      <c r="DZ76" s="75" t="e">
        <f aca="false">DR76+DS76</f>
        <v>#NAME?</v>
      </c>
      <c r="EA76" s="75" t="n">
        <f aca="false">DU76-DT76</f>
        <v>0</v>
      </c>
      <c r="EB76" s="75" t="e">
        <f aca="false">((DN76/DO76)*DV76)+DW76</f>
        <v>#NAME?</v>
      </c>
      <c r="EC76" s="75" t="n">
        <f aca="false">DP76*DI76</f>
        <v>0</v>
      </c>
      <c r="ED76" s="75"/>
      <c r="EE76" s="37" t="n">
        <f aca="false">DI76*DQ76</f>
        <v>0</v>
      </c>
      <c r="EF76" s="37" t="e">
        <f aca="false">DI76*DR76</f>
        <v>#NAME?</v>
      </c>
      <c r="EG76" s="37" t="e">
        <f aca="false">DI76*DS76</f>
        <v>#NAME?</v>
      </c>
      <c r="EH76" s="37" t="n">
        <f aca="false">DI76*DT76</f>
        <v>0</v>
      </c>
      <c r="EI76" s="37" t="n">
        <f aca="false">DI76*DU76</f>
        <v>0</v>
      </c>
      <c r="EJ76" s="37" t="e">
        <f aca="false">DI76*DV76</f>
        <v>#NAME?</v>
      </c>
      <c r="EK76" s="37" t="e">
        <f aca="false">DI76*DW76</f>
        <v>#NAME?</v>
      </c>
      <c r="EL76" s="37" t="e">
        <f aca="false">DI76*DX76</f>
        <v>#NAME?</v>
      </c>
      <c r="EM76" s="37" t="n">
        <f aca="false">DI76*DY76</f>
        <v>0</v>
      </c>
      <c r="EN76" s="37" t="e">
        <f aca="false">DI76*DZ76</f>
        <v>#NAME?</v>
      </c>
      <c r="EO76" s="37" t="n">
        <f aca="false">DI76*EA76</f>
        <v>0</v>
      </c>
      <c r="EP76" s="37" t="e">
        <f aca="false">DI76*EB76</f>
        <v>#NAME?</v>
      </c>
      <c r="ER76" s="73" t="n">
        <f aca="false">IF($A76&gt;=ET$32,IF($A76&lt;=ET$33,$AN76,0),0)</f>
        <v>0</v>
      </c>
      <c r="ES76" s="41" t="n">
        <f aca="false">$B76+$AF76+$H$12</f>
        <v>3.23</v>
      </c>
      <c r="ET76" s="41" t="n">
        <f aca="false">$B76+$AG76+$H$13</f>
        <v>3.44</v>
      </c>
      <c r="EU76" s="41" t="n">
        <f aca="false">ES76*ER76</f>
        <v>0</v>
      </c>
      <c r="EV76" s="41" t="n">
        <f aca="false">ET76*ER76</f>
        <v>0</v>
      </c>
      <c r="EW76" s="74" t="n">
        <f aca="false">($C76*$AH76)+AL76+$H$14</f>
        <v>0.3025</v>
      </c>
      <c r="EX76" s="74" t="n">
        <f aca="false">($C76*$AI76)+$H$15</f>
        <v>0.3025</v>
      </c>
      <c r="EY76" s="65" t="n">
        <f aca="false">$AJ76+$H$16</f>
        <v>0.96</v>
      </c>
      <c r="EZ76" s="75" t="n">
        <f aca="false">IF(ER76=0,0,SPRDOPT(ES76,ET76,$AK76,$AM76,EW76,EX76,EY76,$D76,$H$20,0))</f>
        <v>0</v>
      </c>
      <c r="FA76" s="75" t="e">
        <f aca="false">IF(ES76=0,0,SPRDOPT(ES76,ET76,$AK76,$AM76,EW76,EX76,EY76,$D76,$H$20,1))</f>
        <v>#NAME?</v>
      </c>
      <c r="FB76" s="75" t="e">
        <f aca="false">IF(ET76=0,0,SPRDOPT(ES76,ET76,$AK76,$AM76,EW76,EX76,EY76,$D76,$H$20,2))</f>
        <v>#NAME?</v>
      </c>
      <c r="FC76" s="75" t="n">
        <f aca="false">IF(EU76=0,0,SPRDOPT(ES76,ET76,$AK76,$AM76,EW76,EX76,EY76,$D76,$H$20,3)/100)</f>
        <v>0</v>
      </c>
      <c r="FD76" s="75" t="n">
        <f aca="false">IF(EV76=0,0,SPRDOPT(ES76,ET76,$AK76,$AM76,EW76,EX76,EY76,$D76,$H$20,4)/100)</f>
        <v>0</v>
      </c>
      <c r="FE76" s="75" t="e">
        <f aca="false">IF(EW76=0,0,SPRDOPT(ES76,ET76,$AK76,$AM76,EW76,EX76,EY76,$D76,$H$20,5)/100)</f>
        <v>#NAME?</v>
      </c>
      <c r="FF76" s="75" t="e">
        <f aca="false">IF(EX76=0,0,SPRDOPT(ES76,ET76,$AK76,$AM76,EW76,EX76,EY76,$D76,$H$20,6)/100)</f>
        <v>#NAME?</v>
      </c>
      <c r="FG76" s="75" t="e">
        <f aca="false">IF(EY76=0,0,SPRDOPT(ES76,ET76,$AK76,$AM76,EW76,EX76,EY76,$D76,$H$20,7)/100)</f>
        <v>#NAME?</v>
      </c>
      <c r="FH76" s="75" t="n">
        <f aca="false">IF(EZ76=0,0,SPRDOPT(ES76,ET76,$AK76,$AM76,EW76,EX76,EY76,$D76,$H$20,9)/365)</f>
        <v>0</v>
      </c>
      <c r="FI76" s="75" t="e">
        <f aca="false">FA76+FB76</f>
        <v>#NAME?</v>
      </c>
      <c r="FJ76" s="75" t="n">
        <f aca="false">FD76-FC76</f>
        <v>0</v>
      </c>
      <c r="FK76" s="75" t="e">
        <f aca="false">((EW76/EX76)*FE76)+FF76</f>
        <v>#NAME?</v>
      </c>
      <c r="FL76" s="75" t="n">
        <f aca="false">EY76*ER76</f>
        <v>0</v>
      </c>
      <c r="FM76" s="75"/>
      <c r="FN76" s="37" t="n">
        <f aca="false">$ER76*EZ76</f>
        <v>0</v>
      </c>
      <c r="FO76" s="37" t="e">
        <f aca="false">$ER76*FA76</f>
        <v>#NAME?</v>
      </c>
      <c r="FP76" s="37" t="e">
        <f aca="false">$ER76*FB76</f>
        <v>#NAME?</v>
      </c>
      <c r="FQ76" s="37" t="n">
        <f aca="false">$ER76*FC76</f>
        <v>0</v>
      </c>
      <c r="FR76" s="37" t="n">
        <f aca="false">$ER76*FD76</f>
        <v>0</v>
      </c>
      <c r="FS76" s="37" t="e">
        <f aca="false">$ER76*FE76</f>
        <v>#NAME?</v>
      </c>
      <c r="FT76" s="37" t="e">
        <f aca="false">$ER76*FF76</f>
        <v>#NAME?</v>
      </c>
      <c r="FU76" s="37" t="e">
        <f aca="false">$ER76*FG76</f>
        <v>#NAME?</v>
      </c>
      <c r="FV76" s="37" t="n">
        <f aca="false">$ER76*FH76</f>
        <v>0</v>
      </c>
      <c r="FW76" s="37" t="e">
        <f aca="false">$ER76*FI76</f>
        <v>#NAME?</v>
      </c>
      <c r="FX76" s="37" t="n">
        <f aca="false">$ER76*FJ76</f>
        <v>0</v>
      </c>
      <c r="FY76" s="37" t="e">
        <f aca="false">$ER76*FK76</f>
        <v>#NAME?</v>
      </c>
      <c r="GA76" s="77" t="e">
        <f aca="false">VLOOKUP(A76,skewmonthlook,2,FALSE())</f>
        <v>#REF!</v>
      </c>
      <c r="GB76" s="0" t="e">
        <f aca="false">CONCATENATE(B$3,$GA76)</f>
        <v>#REF!</v>
      </c>
      <c r="GC76" s="0" t="e">
        <f aca="false">CONCATENATE(D$3,$GA76)</f>
        <v>#REF!</v>
      </c>
      <c r="GD76" s="0" t="e">
        <f aca="false">CONCATENATE(F$3,$GA76)</f>
        <v>#REF!</v>
      </c>
      <c r="GE76" s="0" t="e">
        <f aca="false">CONCATENATE(H$3,$GA76)</f>
        <v>#REF!</v>
      </c>
      <c r="GG76" s="65" t="e">
        <f aca="false">VLOOKUP(GB76,skewlook,HLOOKUP($P76,skewlook,2),FALSE())</f>
        <v>#REF!</v>
      </c>
      <c r="GH76" s="65" t="e">
        <f aca="false">VLOOKUP(GC76,skewlook,HLOOKUP($W76,skewlook,2),FALSE())</f>
        <v>#REF!</v>
      </c>
      <c r="GI76" s="65" t="e">
        <f aca="false">VLOOKUP(GD76,skewlook,HLOOKUP($AD76,skewlook,2),FALSE())</f>
        <v>#REF!</v>
      </c>
      <c r="GJ76" s="65" t="e">
        <f aca="false">VLOOKUP(GE76,skewlook,HLOOKUP($AK76,skewlook,2),FALSE())</f>
        <v>#REF!</v>
      </c>
    </row>
    <row r="77" customFormat="false" ht="12.75" hidden="false" customHeight="false" outlineLevel="0" collapsed="false">
      <c r="A77" s="62" t="n">
        <f aca="false">DATE(YEAR(A76),MONTH(A76)+1,1)</f>
        <v>38443</v>
      </c>
      <c r="B77" s="63" t="n">
        <f aca="false">VLOOKUP(A77,STRADDLE,5,FALSE())</f>
        <v>3.255</v>
      </c>
      <c r="C77" s="4" t="n">
        <f aca="false">VLOOKUP(A77,STRADDLE,8,FALSE())</f>
        <v>0.2925</v>
      </c>
      <c r="D77" s="64" t="n">
        <f aca="false">VLOOKUP(A77,expiration,2,FALSE())-$B$2</f>
        <v>-7487</v>
      </c>
      <c r="E77" s="65" t="e">
        <f aca="false">AY77</f>
        <v>#NAME?</v>
      </c>
      <c r="F77" s="65" t="e">
        <f aca="false">CI77</f>
        <v>#NAME?</v>
      </c>
      <c r="G77" s="65" t="e">
        <f aca="false">DR77</f>
        <v>#NAME?</v>
      </c>
      <c r="H77" s="65" t="e">
        <f aca="false">FA77</f>
        <v>#NAME?</v>
      </c>
      <c r="I77" s="66"/>
      <c r="J77" s="67"/>
      <c r="K77" s="63" t="n">
        <f aca="false">IF($B$3="NYMEX",0,VLOOKUP($A77,curvesettle,HLOOKUP($B$3,curvesettle,2,FALSE()),FALSE()))</f>
        <v>-0.15</v>
      </c>
      <c r="L77" s="63" t="n">
        <f aca="false">IF($B$4="NYMEX",0,VLOOKUP($A77,curvesettle,HLOOKUP($B$4,curvesettle,2,FALSE()),FALSE()))</f>
        <v>0</v>
      </c>
      <c r="M77" s="65" t="n">
        <f aca="false">IF(ISNUMBER(VLOOKUP($A77,VOLCURVES,HLOOKUP($B$3,VOLCURVES,2,FALSE()),FALSE())),VLOOKUP($A77,VOLCURVES,HLOOKUP($B$3,VOLCURVES,2,FALSE()),FALSE()),1)</f>
        <v>1</v>
      </c>
      <c r="N77" s="65" t="n">
        <f aca="false">IF(ISNUMBER(VLOOKUP($A77,VOLCURVES,HLOOKUP($B$4,VOLCURVES,2,FALSE()),FALSE())),VLOOKUP($A77,VOLCURVES,HLOOKUP($B$4,VOLCURVES,2,FALSE()),FALSE()),1)</f>
        <v>1</v>
      </c>
      <c r="O77" s="65" t="n">
        <f aca="false">IF(ISNUMBER(VLOOKUP($A77,CORETABLE,HLOOKUP($B$3,CORETABLE,2,FALSE()),FALSE())),VLOOKUP($A77,CORETABLE,HLOOKUP($B$3,CORETABLE,2,FALSE()),FALSE()),0.99)</f>
        <v>0.9945</v>
      </c>
      <c r="P77" s="68" t="n">
        <f aca="false">B$19</f>
        <v>-0.2</v>
      </c>
      <c r="Q77" s="69" t="n">
        <f aca="false">IF($B$18=1,IF(ISNUMBER($GG77),$GG77,0),0)</f>
        <v>0</v>
      </c>
      <c r="R77" s="70" t="n">
        <f aca="false">IF($D$3="NYMEX",0,VLOOKUP($A77,curvesettle,HLOOKUP($D$3,curvesettle,2,FALSE()),FALSE()))</f>
        <v>0.23</v>
      </c>
      <c r="S77" s="63" t="n">
        <f aca="false">IF($D$4="NYMEX",0,VLOOKUP($A77,curvesettle,HLOOKUP($D$4,curvesettle,2,FALSE()),FALSE()))</f>
        <v>0</v>
      </c>
      <c r="T77" s="65" t="n">
        <f aca="false">IF(ISNUMBER(VLOOKUP($A77,VOLCURVES,HLOOKUP($D$3,VOLCURVES,2,FALSE()),FALSE())),VLOOKUP($A77,VOLCURVES,HLOOKUP($D$3,VOLCURVES,2,FALSE()),FALSE()),1)</f>
        <v>1</v>
      </c>
      <c r="U77" s="65" t="n">
        <f aca="false">IF(ISNUMBER(VLOOKUP($A77,VOLCURVES,HLOOKUP($D$4,VOLCURVES,2,FALSE()),FALSE())),VLOOKUP($A77,VOLCURVES,HLOOKUP($D$4,VOLCURVES,2,FALSE()),FALSE()),1)</f>
        <v>1</v>
      </c>
      <c r="V77" s="65" t="n">
        <f aca="false">IF(ISNUMBER(VLOOKUP($A77,CORETABLE,HLOOKUP($D$3,CORETABLE,2,FALSE()),FALSE())),VLOOKUP($A77,CORETABLE,HLOOKUP($D$3,CORETABLE,2,FALSE()),FALSE()),0.99)</f>
        <v>0.98</v>
      </c>
      <c r="W77" s="68" t="n">
        <f aca="false">D$19</f>
        <v>0</v>
      </c>
      <c r="X77" s="69" t="n">
        <f aca="false">IF($D$18=1,IF(ISNUMBER($GH77),$GH77,0),0)</f>
        <v>0</v>
      </c>
      <c r="Y77" s="71" t="n">
        <f aca="false">IF($F$3="NYMEX",0,VLOOKUP($A77,curvesettle,HLOOKUP($F$3,curvesettle,2,FALSE()),FALSE()))</f>
        <v>-0.42</v>
      </c>
      <c r="Z77" s="63" t="n">
        <f aca="false">IF($F$4="NYMEX",0,VLOOKUP($A77,curvesettle,HLOOKUP($F$4,curvesettle,2,FALSE()),FALSE()))</f>
        <v>0</v>
      </c>
      <c r="AA77" s="65" t="n">
        <f aca="false">IF(ISNUMBER(VLOOKUP($A77,VOLCURVES,HLOOKUP($F$3,VOLCURVES,2,FALSE()),FALSE())),VLOOKUP($A77,VOLCURVES,HLOOKUP($F$3,VOLCURVES,2,FALSE()),FALSE()),1)</f>
        <v>1</v>
      </c>
      <c r="AB77" s="65" t="n">
        <f aca="false">IF(ISNUMBER(VLOOKUP($A77,VOLCURVES,HLOOKUP($F$4,VOLCURVES,2,FALSE()),FALSE())),VLOOKUP($A77,VOLCURVES,HLOOKUP($F$4,VOLCURVES,2,FALSE()),FALSE()),1)</f>
        <v>1</v>
      </c>
      <c r="AC77" s="65" t="n">
        <f aca="false">IF(ISNUMBER(VLOOKUP($A77,CORETABLE,HLOOKUP($F$3,CORETABLE,2,FALSE()),FALSE())),VLOOKUP($A77,CORETABLE,HLOOKUP($F$3,CORETABLE,2,FALSE()),FALSE()),0.99)</f>
        <v>0.96</v>
      </c>
      <c r="AD77" s="68" t="n">
        <f aca="false">F$19</f>
        <v>-0.6</v>
      </c>
      <c r="AE77" s="69" t="n">
        <f aca="false">IF($F$18=1,IF(ISNUMBER($GI77),$GI77,0),0)</f>
        <v>0</v>
      </c>
      <c r="AF77" s="63" t="n">
        <f aca="false">IF($H$3="NYMEX",0,VLOOKUP($A77,curvesettle,HLOOKUP($H$3,curvesettle,2,FALSE()),FALSE()))</f>
        <v>-0.42</v>
      </c>
      <c r="AG77" s="63" t="n">
        <f aca="false">IF($H$4="NYMEX",0,VLOOKUP($A77,curvesettle,HLOOKUP($H$4,curvesettle,2,FALSE()),FALSE()))</f>
        <v>0</v>
      </c>
      <c r="AH77" s="65" t="n">
        <f aca="false">IF(ISNUMBER(VLOOKUP($A77,VOLCURVES,HLOOKUP($H$3,VOLCURVES,2,FALSE()),FALSE())),VLOOKUP($A77,VOLCURVES,HLOOKUP($H$3,VOLCURVES,2,FALSE()),FALSE()),1)</f>
        <v>1</v>
      </c>
      <c r="AI77" s="65" t="n">
        <f aca="false">IF(ISNUMBER(VLOOKUP($A77,VOLCURVES,HLOOKUP($H$4,VOLCURVES,2,FALSE()),FALSE())),VLOOKUP($A77,VOLCURVES,HLOOKUP($H$4,VOLCURVES,2,FALSE()),FALSE()),1)</f>
        <v>1</v>
      </c>
      <c r="AJ77" s="65" t="n">
        <f aca="false">IF(ISNUMBER(VLOOKUP($A77,CORETABLE,HLOOKUP($H$3,CORETABLE,2,FALSE()),FALSE())),VLOOKUP($A77,CORETABLE,HLOOKUP($H$3,CORETABLE,2,FALSE()),FALSE()),0.99)</f>
        <v>0.96</v>
      </c>
      <c r="AK77" s="68" t="n">
        <f aca="false">H$19</f>
        <v>-0.45</v>
      </c>
      <c r="AL77" s="69" t="n">
        <f aca="false">IF($H$18=1,IF(ISNUMBER($GJ77),$GJ77,0),0)</f>
        <v>0</v>
      </c>
      <c r="AM77" s="4" t="n">
        <f aca="false">VLOOKUP($A77,STRADDLE,14,FALSE())</f>
        <v>0.0441629859154538</v>
      </c>
      <c r="AN77" s="72" t="n">
        <f aca="false">A78-A77</f>
        <v>30</v>
      </c>
      <c r="AO77" s="1" t="n">
        <f aca="false">AO76+1</f>
        <v>40</v>
      </c>
      <c r="AP77" s="73" t="n">
        <f aca="false">IF($A77&gt;=AR$32,IF($A77&lt;=AR$33,$AN77,0),0)</f>
        <v>0</v>
      </c>
      <c r="AQ77" s="41" t="n">
        <f aca="false">$B77+$K77+$B$12</f>
        <v>3.105</v>
      </c>
      <c r="AR77" s="41" t="n">
        <f aca="false">$B77+$L77+$B$13</f>
        <v>3.255</v>
      </c>
      <c r="AS77" s="41" t="n">
        <f aca="false">AQ77*AP77</f>
        <v>0</v>
      </c>
      <c r="AT77" s="41" t="n">
        <f aca="false">AR77*AP77</f>
        <v>0</v>
      </c>
      <c r="AU77" s="74" t="n">
        <f aca="false">($C77*$M77)+Q77+$B$14</f>
        <v>0.2925</v>
      </c>
      <c r="AV77" s="74" t="n">
        <f aca="false">($C77*$N77)+$B$15</f>
        <v>0.2925</v>
      </c>
      <c r="AW77" s="65" t="n">
        <f aca="false">O77+B$16</f>
        <v>0.999</v>
      </c>
      <c r="AX77" s="75" t="n">
        <f aca="false">IF(AP77=0,0,SPRDOPT(AQ77,AR77,$P77,$AM77,AU77,AV77,AW77,$D77,$B$20,0))</f>
        <v>0</v>
      </c>
      <c r="AY77" s="75" t="e">
        <f aca="false">IF(AQ77=0,0,SPRDOPT(AQ77,AR77,$P77,$AM77,AU77,AV77,AW77,$D77,$B$20,1))</f>
        <v>#NAME?</v>
      </c>
      <c r="AZ77" s="75" t="e">
        <f aca="false">IF(AR77=0,0,SPRDOPT(AQ77,AR77,$P77,$AM77,AU77,AV77,AW77,$D77,$B$20,2))</f>
        <v>#NAME?</v>
      </c>
      <c r="BA77" s="75" t="n">
        <f aca="false">IF(AS77=0,0,SPRDOPT(AQ77,AR77,$P77,$AM77,AU77,AV77,AW77,$D77,$B$20,3)/100)</f>
        <v>0</v>
      </c>
      <c r="BB77" s="75" t="n">
        <f aca="false">IF(AT77=0,0,SPRDOPT(AQ77,AR77,$P77,$AM77,AU77,AV77,AW77,$D77,$B$20,4)/100)</f>
        <v>0</v>
      </c>
      <c r="BC77" s="75" t="e">
        <f aca="false">IF(AU77=0,0,SPRDOPT(AQ77,AR77,$P77,$AM77,AU77,AV77,AW77,$D77,$B$20,5)/100)</f>
        <v>#NAME?</v>
      </c>
      <c r="BD77" s="75" t="e">
        <f aca="false">IF(AV77=0,0,SPRDOPT(AQ77,AR77,$P77,$AM77,AU77,AV77,AW77,$D77,$B$20,6)/100)</f>
        <v>#NAME?</v>
      </c>
      <c r="BE77" s="75" t="e">
        <f aca="false">IF(AW77=0,0,SPRDOPT(AQ77,AR77,$P77,$AM77,AU77,AV77,AW77,$D77,$B$20,7)/100)</f>
        <v>#NAME?</v>
      </c>
      <c r="BF77" s="75" t="n">
        <f aca="false">IF(AX77=0,0,SPRDOPT(AQ77,AR77,$P77,$AM77,AU77,AV77,AW77,$D77,$B$20,9)/365)</f>
        <v>0</v>
      </c>
      <c r="BG77" s="75" t="e">
        <f aca="false">AY77+AZ77</f>
        <v>#NAME?</v>
      </c>
      <c r="BH77" s="75" t="n">
        <f aca="false">BB77-BA77</f>
        <v>0</v>
      </c>
      <c r="BI77" s="75" t="e">
        <f aca="false">((AU77/AV77)*BC77)+BD77</f>
        <v>#NAME?</v>
      </c>
      <c r="BJ77" s="75" t="n">
        <f aca="false">AW77*AP77</f>
        <v>0</v>
      </c>
      <c r="BK77" s="76"/>
      <c r="BL77" s="37" t="n">
        <f aca="false">$AP77*AX77</f>
        <v>0</v>
      </c>
      <c r="BM77" s="37" t="e">
        <f aca="false">$AP77*AY77</f>
        <v>#NAME?</v>
      </c>
      <c r="BN77" s="37" t="e">
        <f aca="false">$AP77*AZ77</f>
        <v>#NAME?</v>
      </c>
      <c r="BO77" s="37" t="n">
        <f aca="false">$AP77*BA77</f>
        <v>0</v>
      </c>
      <c r="BP77" s="37" t="n">
        <f aca="false">$AP77*BB77</f>
        <v>0</v>
      </c>
      <c r="BQ77" s="37" t="e">
        <f aca="false">$AP77*BC77</f>
        <v>#NAME?</v>
      </c>
      <c r="BR77" s="37" t="e">
        <f aca="false">$AP77*BD77</f>
        <v>#NAME?</v>
      </c>
      <c r="BS77" s="37" t="e">
        <f aca="false">$AP77*BE77</f>
        <v>#NAME?</v>
      </c>
      <c r="BT77" s="37" t="n">
        <f aca="false">$AP77*BF77</f>
        <v>0</v>
      </c>
      <c r="BU77" s="37" t="e">
        <f aca="false">$AP77*BG77</f>
        <v>#NAME?</v>
      </c>
      <c r="BV77" s="37" t="n">
        <f aca="false">$AP77*BH77</f>
        <v>0</v>
      </c>
      <c r="BW77" s="37" t="e">
        <f aca="false">$AP77*BI77</f>
        <v>#NAME?</v>
      </c>
      <c r="BX77" s="37"/>
      <c r="BZ77" s="73" t="n">
        <f aca="false">IF($A77&gt;=CB$32,IF($A77&lt;=CB$33,$AN77,0),0)</f>
        <v>0</v>
      </c>
      <c r="CA77" s="41" t="n">
        <f aca="false">$B77+$R77+$D$12</f>
        <v>3.485</v>
      </c>
      <c r="CB77" s="41" t="n">
        <f aca="false">$B77+$S77+$D$13</f>
        <v>3.255</v>
      </c>
      <c r="CC77" s="41" t="n">
        <f aca="false">CA77*BZ77</f>
        <v>0</v>
      </c>
      <c r="CD77" s="41" t="n">
        <f aca="false">CB77*BZ77</f>
        <v>0</v>
      </c>
      <c r="CE77" s="74" t="n">
        <f aca="false">($C77*$T77)+X77+$D$14</f>
        <v>0.2925</v>
      </c>
      <c r="CF77" s="74" t="n">
        <f aca="false">($C77*$U77)+$D$15</f>
        <v>0.2925</v>
      </c>
      <c r="CG77" s="65" t="n">
        <f aca="false">$V77+D$16</f>
        <v>0.98</v>
      </c>
      <c r="CH77" s="75" t="n">
        <f aca="false">IF(BZ77=0,0,SPRDOPT(CA77,CB77,$W77,$AM77,CE77,CF77,CG77,$D77,$D$20,0))</f>
        <v>0</v>
      </c>
      <c r="CI77" s="75" t="e">
        <f aca="false">IF(CA77=0,0,SPRDOPT(CA77,CB77,$W77,$AM77,CE77,CF77,CG77,$D77,$D$20,1))</f>
        <v>#NAME?</v>
      </c>
      <c r="CJ77" s="75" t="e">
        <f aca="false">IF(CB77=0,0,SPRDOPT(CA77,CB77,$W77,$AM77,CE77,CF77,CG77,$D77,$D$20,2))</f>
        <v>#NAME?</v>
      </c>
      <c r="CK77" s="75" t="n">
        <f aca="false">IF(CC77=0,0,SPRDOPT(CA77,CB77,$W77,$AM77,CE77,CF77,CG77,$D77,$D$20,3)/100)</f>
        <v>0</v>
      </c>
      <c r="CL77" s="75" t="n">
        <f aca="false">IF(CD77=0,0,SPRDOPT(CA77,CB77,$W77,$AM77,CE77,CF77,CG77,$D77,$D$20,4)/100)</f>
        <v>0</v>
      </c>
      <c r="CM77" s="75" t="e">
        <f aca="false">IF(CE77=0,0,SPRDOPT(CA77,CB77,$W77,$AM77,CE77,CF77,CG77,$D77,$D$20,5)/100)</f>
        <v>#NAME?</v>
      </c>
      <c r="CN77" s="75" t="e">
        <f aca="false">IF(CF77=0,0,SPRDOPT(CA77,CB77,$W77,$AM77,CE77,CF77,CG77,$D77,$D$20,6)/100)</f>
        <v>#NAME?</v>
      </c>
      <c r="CO77" s="75" t="e">
        <f aca="false">IF(CG77=0,0,SPRDOPT(CA77,CB77,$W77,$AM77,CE77,CF77,CG77,$D77,$D$20,7)/100)</f>
        <v>#NAME?</v>
      </c>
      <c r="CP77" s="75" t="n">
        <f aca="false">IF(CH77=0,0,SPRDOPT(CA77,CB77,$W77,$AM77,CE77,CF77,CG77,$D77,$D$20,9)/365)</f>
        <v>0</v>
      </c>
      <c r="CQ77" s="75" t="e">
        <f aca="false">CI77+CJ77</f>
        <v>#NAME?</v>
      </c>
      <c r="CR77" s="75" t="n">
        <f aca="false">CL77-CK77</f>
        <v>0</v>
      </c>
      <c r="CS77" s="75" t="e">
        <f aca="false">((CE77/CF77)*CM77)+CN77</f>
        <v>#NAME?</v>
      </c>
      <c r="CT77" s="75" t="n">
        <f aca="false">CG77*BZ77</f>
        <v>0</v>
      </c>
      <c r="CU77" s="76"/>
      <c r="CV77" s="37" t="n">
        <f aca="false">BZ77*CH77</f>
        <v>0</v>
      </c>
      <c r="CW77" s="37" t="e">
        <f aca="false">BZ77*CI77</f>
        <v>#NAME?</v>
      </c>
      <c r="CX77" s="37" t="e">
        <f aca="false">BZ77*CJ77</f>
        <v>#NAME?</v>
      </c>
      <c r="CY77" s="37" t="n">
        <f aca="false">BZ77*CK77</f>
        <v>0</v>
      </c>
      <c r="CZ77" s="37" t="n">
        <f aca="false">BZ77*CL77</f>
        <v>0</v>
      </c>
      <c r="DA77" s="37" t="e">
        <f aca="false">BZ77*CM77</f>
        <v>#NAME?</v>
      </c>
      <c r="DB77" s="37" t="e">
        <f aca="false">BZ77*CN77</f>
        <v>#NAME?</v>
      </c>
      <c r="DC77" s="37" t="e">
        <f aca="false">BZ77*CO77</f>
        <v>#NAME?</v>
      </c>
      <c r="DD77" s="37" t="n">
        <f aca="false">BZ77*CP77</f>
        <v>0</v>
      </c>
      <c r="DE77" s="37" t="e">
        <f aca="false">BZ77*CQ77</f>
        <v>#NAME?</v>
      </c>
      <c r="DF77" s="37" t="n">
        <f aca="false">BZ77*CR77</f>
        <v>0</v>
      </c>
      <c r="DG77" s="37" t="e">
        <f aca="false">BZ77*CS77</f>
        <v>#NAME?</v>
      </c>
      <c r="DI77" s="73" t="n">
        <f aca="false">IF($A77&gt;=DK$32,IF($A77&lt;=DK$33,$AN77,0),0)</f>
        <v>0</v>
      </c>
      <c r="DJ77" s="41" t="n">
        <f aca="false">$B77+$Y77+$F$12</f>
        <v>2.835</v>
      </c>
      <c r="DK77" s="41" t="n">
        <f aca="false">$B77+$Z77+$F$13</f>
        <v>3.255</v>
      </c>
      <c r="DL77" s="41" t="n">
        <f aca="false">DJ77*DI77</f>
        <v>0</v>
      </c>
      <c r="DM77" s="41" t="n">
        <f aca="false">DK77*DI77</f>
        <v>0</v>
      </c>
      <c r="DN77" s="74" t="n">
        <f aca="false">($C77*$AA77)+AE77+$F$14</f>
        <v>0.2925</v>
      </c>
      <c r="DO77" s="74" t="n">
        <f aca="false">($C77*$AB77)+$F$15</f>
        <v>0.2925</v>
      </c>
      <c r="DP77" s="65" t="n">
        <f aca="false">$AC77+$F$16</f>
        <v>0.96</v>
      </c>
      <c r="DQ77" s="75" t="n">
        <f aca="false">IF(DI77=0,0,SPRDOPT(DJ77,DK77,$AD77,$AM77,DN77,DO77,DP77,$D77,$F$20,0))</f>
        <v>0</v>
      </c>
      <c r="DR77" s="75" t="e">
        <f aca="false">IF(DJ77=0,0,SPRDOPT(DJ77,DK77,$AD77,$AM77,DN77,DO77,DP77,$D77,$F$20,1))</f>
        <v>#NAME?</v>
      </c>
      <c r="DS77" s="75" t="e">
        <f aca="false">IF(DK77=0,0,SPRDOPT(DJ77,DK77,$AD77,$AM77,DN77,DO77,DP77,$D77,$F$20,2))</f>
        <v>#NAME?</v>
      </c>
      <c r="DT77" s="75" t="n">
        <f aca="false">IF(DL77=0,0,SPRDOPT(DJ77,DK77,$AD77,$AM77,DN77,DO77,DP77,$D77,$F$20,3)/100)</f>
        <v>0</v>
      </c>
      <c r="DU77" s="75" t="n">
        <f aca="false">IF(DM77=0,0,SPRDOPT(DJ77,DK77,$AD77,$AM77,DN77,DO77,DP77,$D77,$F$20,4)/100)</f>
        <v>0</v>
      </c>
      <c r="DV77" s="75" t="e">
        <f aca="false">IF(DN77=0,0,SPRDOPT(DJ77,DK77,$AD77,$AM77,DN77,DO77,DP77,$D77,$F$20,5)/100)</f>
        <v>#NAME?</v>
      </c>
      <c r="DW77" s="75" t="e">
        <f aca="false">IF(DO77=0,0,SPRDOPT(DJ77,DK77,$AD77,$AM77,DN77,DO77,DP77,$D77,$F$20,6)/100)</f>
        <v>#NAME?</v>
      </c>
      <c r="DX77" s="75" t="e">
        <f aca="false">IF(DP77=0,0,SPRDOPT(DJ77,DK77,$AD77,$AM77,DN77,DO77,DP77,$D77,$F$20,7)/100)</f>
        <v>#NAME?</v>
      </c>
      <c r="DY77" s="75" t="n">
        <f aca="false">IF(DQ77=0,0,SPRDOPT(DJ77,DK77,$AD77,$AM77,DN77,DO77,DP77,$D77,$F$20,9)/365)</f>
        <v>0</v>
      </c>
      <c r="DZ77" s="75" t="e">
        <f aca="false">DR77+DS77</f>
        <v>#NAME?</v>
      </c>
      <c r="EA77" s="75" t="n">
        <f aca="false">DU77-DT77</f>
        <v>0</v>
      </c>
      <c r="EB77" s="75" t="e">
        <f aca="false">((DN77/DO77)*DV77)+DW77</f>
        <v>#NAME?</v>
      </c>
      <c r="EC77" s="75" t="n">
        <f aca="false">DP77*DI77</f>
        <v>0</v>
      </c>
      <c r="ED77" s="75"/>
      <c r="EE77" s="37" t="n">
        <f aca="false">DI77*DQ77</f>
        <v>0</v>
      </c>
      <c r="EF77" s="37" t="e">
        <f aca="false">DI77*DR77</f>
        <v>#NAME?</v>
      </c>
      <c r="EG77" s="37" t="e">
        <f aca="false">DI77*DS77</f>
        <v>#NAME?</v>
      </c>
      <c r="EH77" s="37" t="n">
        <f aca="false">DI77*DT77</f>
        <v>0</v>
      </c>
      <c r="EI77" s="37" t="n">
        <f aca="false">DI77*DU77</f>
        <v>0</v>
      </c>
      <c r="EJ77" s="37" t="e">
        <f aca="false">DI77*DV77</f>
        <v>#NAME?</v>
      </c>
      <c r="EK77" s="37" t="e">
        <f aca="false">DI77*DW77</f>
        <v>#NAME?</v>
      </c>
      <c r="EL77" s="37" t="e">
        <f aca="false">DI77*DX77</f>
        <v>#NAME?</v>
      </c>
      <c r="EM77" s="37" t="n">
        <f aca="false">DI77*DY77</f>
        <v>0</v>
      </c>
      <c r="EN77" s="37" t="e">
        <f aca="false">DI77*DZ77</f>
        <v>#NAME?</v>
      </c>
      <c r="EO77" s="37" t="n">
        <f aca="false">DI77*EA77</f>
        <v>0</v>
      </c>
      <c r="EP77" s="37" t="e">
        <f aca="false">DI77*EB77</f>
        <v>#NAME?</v>
      </c>
      <c r="ER77" s="73" t="n">
        <f aca="false">IF($A77&gt;=ET$32,IF($A77&lt;=ET$33,$AN77,0),0)</f>
        <v>0</v>
      </c>
      <c r="ES77" s="41" t="n">
        <f aca="false">$B77+$AF77+$H$12</f>
        <v>2.895</v>
      </c>
      <c r="ET77" s="41" t="n">
        <f aca="false">$B77+$AG77+$H$13</f>
        <v>3.255</v>
      </c>
      <c r="EU77" s="41" t="n">
        <f aca="false">ES77*ER77</f>
        <v>0</v>
      </c>
      <c r="EV77" s="41" t="n">
        <f aca="false">ET77*ER77</f>
        <v>0</v>
      </c>
      <c r="EW77" s="74" t="n">
        <f aca="false">($C77*$AH77)+AL77+$H$14</f>
        <v>0.2925</v>
      </c>
      <c r="EX77" s="74" t="n">
        <f aca="false">($C77*$AI77)+$H$15</f>
        <v>0.2925</v>
      </c>
      <c r="EY77" s="65" t="n">
        <f aca="false">$AJ77+$H$16</f>
        <v>0.96</v>
      </c>
      <c r="EZ77" s="75" t="n">
        <f aca="false">IF(ER77=0,0,SPRDOPT(ES77,ET77,$AK77,$AM77,EW77,EX77,EY77,$D77,$H$20,0))</f>
        <v>0</v>
      </c>
      <c r="FA77" s="75" t="e">
        <f aca="false">IF(ES77=0,0,SPRDOPT(ES77,ET77,$AK77,$AM77,EW77,EX77,EY77,$D77,$H$20,1))</f>
        <v>#NAME?</v>
      </c>
      <c r="FB77" s="75" t="e">
        <f aca="false">IF(ET77=0,0,SPRDOPT(ES77,ET77,$AK77,$AM77,EW77,EX77,EY77,$D77,$H$20,2))</f>
        <v>#NAME?</v>
      </c>
      <c r="FC77" s="75" t="n">
        <f aca="false">IF(EU77=0,0,SPRDOPT(ES77,ET77,$AK77,$AM77,EW77,EX77,EY77,$D77,$H$20,3)/100)</f>
        <v>0</v>
      </c>
      <c r="FD77" s="75" t="n">
        <f aca="false">IF(EV77=0,0,SPRDOPT(ES77,ET77,$AK77,$AM77,EW77,EX77,EY77,$D77,$H$20,4)/100)</f>
        <v>0</v>
      </c>
      <c r="FE77" s="75" t="e">
        <f aca="false">IF(EW77=0,0,SPRDOPT(ES77,ET77,$AK77,$AM77,EW77,EX77,EY77,$D77,$H$20,5)/100)</f>
        <v>#NAME?</v>
      </c>
      <c r="FF77" s="75" t="e">
        <f aca="false">IF(EX77=0,0,SPRDOPT(ES77,ET77,$AK77,$AM77,EW77,EX77,EY77,$D77,$H$20,6)/100)</f>
        <v>#NAME?</v>
      </c>
      <c r="FG77" s="75" t="e">
        <f aca="false">IF(EY77=0,0,SPRDOPT(ES77,ET77,$AK77,$AM77,EW77,EX77,EY77,$D77,$H$20,7)/100)</f>
        <v>#NAME?</v>
      </c>
      <c r="FH77" s="75" t="n">
        <f aca="false">IF(EZ77=0,0,SPRDOPT(ES77,ET77,$AK77,$AM77,EW77,EX77,EY77,$D77,$H$20,9)/365)</f>
        <v>0</v>
      </c>
      <c r="FI77" s="75" t="e">
        <f aca="false">FA77+FB77</f>
        <v>#NAME?</v>
      </c>
      <c r="FJ77" s="75" t="n">
        <f aca="false">FD77-FC77</f>
        <v>0</v>
      </c>
      <c r="FK77" s="75" t="e">
        <f aca="false">((EW77/EX77)*FE77)+FF77</f>
        <v>#NAME?</v>
      </c>
      <c r="FL77" s="75" t="n">
        <f aca="false">EY77*ER77</f>
        <v>0</v>
      </c>
      <c r="FM77" s="75"/>
      <c r="FN77" s="37" t="n">
        <f aca="false">$ER77*EZ77</f>
        <v>0</v>
      </c>
      <c r="FO77" s="37" t="e">
        <f aca="false">$ER77*FA77</f>
        <v>#NAME?</v>
      </c>
      <c r="FP77" s="37" t="e">
        <f aca="false">$ER77*FB77</f>
        <v>#NAME?</v>
      </c>
      <c r="FQ77" s="37" t="n">
        <f aca="false">$ER77*FC77</f>
        <v>0</v>
      </c>
      <c r="FR77" s="37" t="n">
        <f aca="false">$ER77*FD77</f>
        <v>0</v>
      </c>
      <c r="FS77" s="37" t="e">
        <f aca="false">$ER77*FE77</f>
        <v>#NAME?</v>
      </c>
      <c r="FT77" s="37" t="e">
        <f aca="false">$ER77*FF77</f>
        <v>#NAME?</v>
      </c>
      <c r="FU77" s="37" t="e">
        <f aca="false">$ER77*FG77</f>
        <v>#NAME?</v>
      </c>
      <c r="FV77" s="37" t="n">
        <f aca="false">$ER77*FH77</f>
        <v>0</v>
      </c>
      <c r="FW77" s="37" t="e">
        <f aca="false">$ER77*FI77</f>
        <v>#NAME?</v>
      </c>
      <c r="FX77" s="37" t="n">
        <f aca="false">$ER77*FJ77</f>
        <v>0</v>
      </c>
      <c r="FY77" s="37" t="e">
        <f aca="false">$ER77*FK77</f>
        <v>#NAME?</v>
      </c>
      <c r="GA77" s="77" t="e">
        <f aca="false">VLOOKUP(A77,skewmonthlook,2,FALSE())</f>
        <v>#REF!</v>
      </c>
      <c r="GB77" s="0" t="e">
        <f aca="false">CONCATENATE(B$3,$GA77)</f>
        <v>#REF!</v>
      </c>
      <c r="GC77" s="0" t="e">
        <f aca="false">CONCATENATE(D$3,$GA77)</f>
        <v>#REF!</v>
      </c>
      <c r="GD77" s="0" t="e">
        <f aca="false">CONCATENATE(F$3,$GA77)</f>
        <v>#REF!</v>
      </c>
      <c r="GE77" s="0" t="e">
        <f aca="false">CONCATENATE(H$3,$GA77)</f>
        <v>#REF!</v>
      </c>
      <c r="GG77" s="65" t="e">
        <f aca="false">VLOOKUP(GB77,skewlook,HLOOKUP($P77,skewlook,2),FALSE())</f>
        <v>#REF!</v>
      </c>
      <c r="GH77" s="65" t="e">
        <f aca="false">VLOOKUP(GC77,skewlook,HLOOKUP($W77,skewlook,2),FALSE())</f>
        <v>#REF!</v>
      </c>
      <c r="GI77" s="65" t="e">
        <f aca="false">VLOOKUP(GD77,skewlook,HLOOKUP($AD77,skewlook,2),FALSE())</f>
        <v>#REF!</v>
      </c>
      <c r="GJ77" s="65" t="e">
        <f aca="false">VLOOKUP(GE77,skewlook,HLOOKUP($AK77,skewlook,2),FALSE())</f>
        <v>#REF!</v>
      </c>
    </row>
    <row r="78" customFormat="false" ht="12.75" hidden="false" customHeight="false" outlineLevel="0" collapsed="false">
      <c r="A78" s="62" t="n">
        <f aca="false">DATE(YEAR(A77),MONTH(A77)+1,1)</f>
        <v>38473</v>
      </c>
      <c r="B78" s="63" t="n">
        <f aca="false">VLOOKUP(A78,STRADDLE,5,FALSE())</f>
        <v>3.25</v>
      </c>
      <c r="C78" s="4" t="n">
        <f aca="false">VLOOKUP(A78,STRADDLE,8,FALSE())</f>
        <v>0.285</v>
      </c>
      <c r="D78" s="64" t="n">
        <f aca="false">VLOOKUP(A78,expiration,2,FALSE())-$B$2</f>
        <v>-7458</v>
      </c>
      <c r="E78" s="65" t="e">
        <f aca="false">AY78</f>
        <v>#NAME?</v>
      </c>
      <c r="F78" s="65" t="e">
        <f aca="false">CI78</f>
        <v>#NAME?</v>
      </c>
      <c r="G78" s="65" t="e">
        <f aca="false">DR78</f>
        <v>#NAME?</v>
      </c>
      <c r="H78" s="65" t="e">
        <f aca="false">FA78</f>
        <v>#NAME?</v>
      </c>
      <c r="I78" s="66"/>
      <c r="J78" s="67"/>
      <c r="K78" s="63" t="n">
        <f aca="false">IF($B$3="NYMEX",0,VLOOKUP($A78,curvesettle,HLOOKUP($B$3,curvesettle,2,FALSE()),FALSE()))</f>
        <v>-0.15</v>
      </c>
      <c r="L78" s="63" t="n">
        <f aca="false">IF($B$4="NYMEX",0,VLOOKUP($A78,curvesettle,HLOOKUP($B$4,curvesettle,2,FALSE()),FALSE()))</f>
        <v>0</v>
      </c>
      <c r="M78" s="65" t="n">
        <f aca="false">IF(ISNUMBER(VLOOKUP($A78,VOLCURVES,HLOOKUP($B$3,VOLCURVES,2,FALSE()),FALSE())),VLOOKUP($A78,VOLCURVES,HLOOKUP($B$3,VOLCURVES,2,FALSE()),FALSE()),1)</f>
        <v>1</v>
      </c>
      <c r="N78" s="65" t="n">
        <f aca="false">IF(ISNUMBER(VLOOKUP($A78,VOLCURVES,HLOOKUP($B$4,VOLCURVES,2,FALSE()),FALSE())),VLOOKUP($A78,VOLCURVES,HLOOKUP($B$4,VOLCURVES,2,FALSE()),FALSE()),1)</f>
        <v>1</v>
      </c>
      <c r="O78" s="65" t="n">
        <f aca="false">IF(ISNUMBER(VLOOKUP($A78,CORETABLE,HLOOKUP($B$3,CORETABLE,2,FALSE()),FALSE())),VLOOKUP($A78,CORETABLE,HLOOKUP($B$3,CORETABLE,2,FALSE()),FALSE()),0.99)</f>
        <v>0.9945</v>
      </c>
      <c r="P78" s="68" t="n">
        <f aca="false">B$19</f>
        <v>-0.2</v>
      </c>
      <c r="Q78" s="69" t="n">
        <f aca="false">IF($B$18=1,IF(ISNUMBER($GG78),$GG78,0),0)</f>
        <v>0</v>
      </c>
      <c r="R78" s="70" t="n">
        <f aca="false">IF($D$3="NYMEX",0,VLOOKUP($A78,curvesettle,HLOOKUP($D$3,curvesettle,2,FALSE()),FALSE()))</f>
        <v>0.23</v>
      </c>
      <c r="S78" s="63" t="n">
        <f aca="false">IF($D$4="NYMEX",0,VLOOKUP($A78,curvesettle,HLOOKUP($D$4,curvesettle,2,FALSE()),FALSE()))</f>
        <v>0</v>
      </c>
      <c r="T78" s="65" t="n">
        <f aca="false">IF(ISNUMBER(VLOOKUP($A78,VOLCURVES,HLOOKUP($D$3,VOLCURVES,2,FALSE()),FALSE())),VLOOKUP($A78,VOLCURVES,HLOOKUP($D$3,VOLCURVES,2,FALSE()),FALSE()),1)</f>
        <v>1</v>
      </c>
      <c r="U78" s="65" t="n">
        <f aca="false">IF(ISNUMBER(VLOOKUP($A78,VOLCURVES,HLOOKUP($D$4,VOLCURVES,2,FALSE()),FALSE())),VLOOKUP($A78,VOLCURVES,HLOOKUP($D$4,VOLCURVES,2,FALSE()),FALSE()),1)</f>
        <v>1</v>
      </c>
      <c r="V78" s="65" t="n">
        <f aca="false">IF(ISNUMBER(VLOOKUP($A78,CORETABLE,HLOOKUP($D$3,CORETABLE,2,FALSE()),FALSE())),VLOOKUP($A78,CORETABLE,HLOOKUP($D$3,CORETABLE,2,FALSE()),FALSE()),0.99)</f>
        <v>0.98</v>
      </c>
      <c r="W78" s="68" t="n">
        <f aca="false">D$19</f>
        <v>0</v>
      </c>
      <c r="X78" s="69" t="n">
        <f aca="false">IF($D$18=1,IF(ISNUMBER($GH78),$GH78,0),0)</f>
        <v>0</v>
      </c>
      <c r="Y78" s="71" t="n">
        <f aca="false">IF($F$3="NYMEX",0,VLOOKUP($A78,curvesettle,HLOOKUP($F$3,curvesettle,2,FALSE()),FALSE()))</f>
        <v>-0.42</v>
      </c>
      <c r="Z78" s="63" t="n">
        <f aca="false">IF($F$4="NYMEX",0,VLOOKUP($A78,curvesettle,HLOOKUP($F$4,curvesettle,2,FALSE()),FALSE()))</f>
        <v>0</v>
      </c>
      <c r="AA78" s="65" t="n">
        <f aca="false">IF(ISNUMBER(VLOOKUP($A78,VOLCURVES,HLOOKUP($F$3,VOLCURVES,2,FALSE()),FALSE())),VLOOKUP($A78,VOLCURVES,HLOOKUP($F$3,VOLCURVES,2,FALSE()),FALSE()),1)</f>
        <v>1</v>
      </c>
      <c r="AB78" s="65" t="n">
        <f aca="false">IF(ISNUMBER(VLOOKUP($A78,VOLCURVES,HLOOKUP($F$4,VOLCURVES,2,FALSE()),FALSE())),VLOOKUP($A78,VOLCURVES,HLOOKUP($F$4,VOLCURVES,2,FALSE()),FALSE()),1)</f>
        <v>1</v>
      </c>
      <c r="AC78" s="65" t="n">
        <f aca="false">IF(ISNUMBER(VLOOKUP($A78,CORETABLE,HLOOKUP($F$3,CORETABLE,2,FALSE()),FALSE())),VLOOKUP($A78,CORETABLE,HLOOKUP($F$3,CORETABLE,2,FALSE()),FALSE()),0.99)</f>
        <v>0.96</v>
      </c>
      <c r="AD78" s="68" t="n">
        <f aca="false">F$19</f>
        <v>-0.6</v>
      </c>
      <c r="AE78" s="69" t="n">
        <f aca="false">IF($F$18=1,IF(ISNUMBER($GI78),$GI78,0),0)</f>
        <v>0</v>
      </c>
      <c r="AF78" s="63" t="n">
        <f aca="false">IF($H$3="NYMEX",0,VLOOKUP($A78,curvesettle,HLOOKUP($H$3,curvesettle,2,FALSE()),FALSE()))</f>
        <v>-0.42</v>
      </c>
      <c r="AG78" s="63" t="n">
        <f aca="false">IF($H$4="NYMEX",0,VLOOKUP($A78,curvesettle,HLOOKUP($H$4,curvesettle,2,FALSE()),FALSE()))</f>
        <v>0</v>
      </c>
      <c r="AH78" s="65" t="n">
        <f aca="false">IF(ISNUMBER(VLOOKUP($A78,VOLCURVES,HLOOKUP($H$3,VOLCURVES,2,FALSE()),FALSE())),VLOOKUP($A78,VOLCURVES,HLOOKUP($H$3,VOLCURVES,2,FALSE()),FALSE()),1)</f>
        <v>1</v>
      </c>
      <c r="AI78" s="65" t="n">
        <f aca="false">IF(ISNUMBER(VLOOKUP($A78,VOLCURVES,HLOOKUP($H$4,VOLCURVES,2,FALSE()),FALSE())),VLOOKUP($A78,VOLCURVES,HLOOKUP($H$4,VOLCURVES,2,FALSE()),FALSE()),1)</f>
        <v>1</v>
      </c>
      <c r="AJ78" s="65" t="n">
        <f aca="false">IF(ISNUMBER(VLOOKUP($A78,CORETABLE,HLOOKUP($H$3,CORETABLE,2,FALSE()),FALSE())),VLOOKUP($A78,CORETABLE,HLOOKUP($H$3,CORETABLE,2,FALSE()),FALSE()),0.99)</f>
        <v>0.96</v>
      </c>
      <c r="AK78" s="68" t="n">
        <f aca="false">H$19</f>
        <v>-0.45</v>
      </c>
      <c r="AL78" s="69" t="n">
        <f aca="false">IF($H$18=1,IF(ISNUMBER($GJ78),$GJ78,0),0)</f>
        <v>0</v>
      </c>
      <c r="AM78" s="4" t="n">
        <f aca="false">VLOOKUP($A78,STRADDLE,14,FALSE())</f>
        <v>0.0446087139677753</v>
      </c>
      <c r="AN78" s="72" t="n">
        <f aca="false">A79-A78</f>
        <v>31</v>
      </c>
      <c r="AO78" s="1" t="n">
        <f aca="false">AO77+1</f>
        <v>41</v>
      </c>
      <c r="AP78" s="73" t="n">
        <f aca="false">IF($A78&gt;=AR$32,IF($A78&lt;=AR$33,$AN78,0),0)</f>
        <v>0</v>
      </c>
      <c r="AQ78" s="41" t="n">
        <f aca="false">$B78+$K78+$B$12</f>
        <v>3.1</v>
      </c>
      <c r="AR78" s="41" t="n">
        <f aca="false">$B78+$L78+$B$13</f>
        <v>3.25</v>
      </c>
      <c r="AS78" s="41" t="n">
        <f aca="false">AQ78*AP78</f>
        <v>0</v>
      </c>
      <c r="AT78" s="41" t="n">
        <f aca="false">AR78*AP78</f>
        <v>0</v>
      </c>
      <c r="AU78" s="74" t="n">
        <f aca="false">($C78*$M78)+Q78+$B$14</f>
        <v>0.285</v>
      </c>
      <c r="AV78" s="74" t="n">
        <f aca="false">($C78*$N78)+$B$15</f>
        <v>0.285</v>
      </c>
      <c r="AW78" s="65" t="n">
        <f aca="false">O78+B$16</f>
        <v>0.999</v>
      </c>
      <c r="AX78" s="75" t="n">
        <f aca="false">IF(AP78=0,0,SPRDOPT(AQ78,AR78,$P78,$AM78,AU78,AV78,AW78,$D78,$B$20,0))</f>
        <v>0</v>
      </c>
      <c r="AY78" s="75" t="e">
        <f aca="false">IF(AQ78=0,0,SPRDOPT(AQ78,AR78,$P78,$AM78,AU78,AV78,AW78,$D78,$B$20,1))</f>
        <v>#NAME?</v>
      </c>
      <c r="AZ78" s="75" t="e">
        <f aca="false">IF(AR78=0,0,SPRDOPT(AQ78,AR78,$P78,$AM78,AU78,AV78,AW78,$D78,$B$20,2))</f>
        <v>#NAME?</v>
      </c>
      <c r="BA78" s="75" t="n">
        <f aca="false">IF(AS78=0,0,SPRDOPT(AQ78,AR78,$P78,$AM78,AU78,AV78,AW78,$D78,$B$20,3)/100)</f>
        <v>0</v>
      </c>
      <c r="BB78" s="75" t="n">
        <f aca="false">IF(AT78=0,0,SPRDOPT(AQ78,AR78,$P78,$AM78,AU78,AV78,AW78,$D78,$B$20,4)/100)</f>
        <v>0</v>
      </c>
      <c r="BC78" s="75" t="e">
        <f aca="false">IF(AU78=0,0,SPRDOPT(AQ78,AR78,$P78,$AM78,AU78,AV78,AW78,$D78,$B$20,5)/100)</f>
        <v>#NAME?</v>
      </c>
      <c r="BD78" s="75" t="e">
        <f aca="false">IF(AV78=0,0,SPRDOPT(AQ78,AR78,$P78,$AM78,AU78,AV78,AW78,$D78,$B$20,6)/100)</f>
        <v>#NAME?</v>
      </c>
      <c r="BE78" s="75" t="e">
        <f aca="false">IF(AW78=0,0,SPRDOPT(AQ78,AR78,$P78,$AM78,AU78,AV78,AW78,$D78,$B$20,7)/100)</f>
        <v>#NAME?</v>
      </c>
      <c r="BF78" s="75" t="n">
        <f aca="false">IF(AX78=0,0,SPRDOPT(AQ78,AR78,$P78,$AM78,AU78,AV78,AW78,$D78,$B$20,9)/365)</f>
        <v>0</v>
      </c>
      <c r="BG78" s="75" t="e">
        <f aca="false">AY78+AZ78</f>
        <v>#NAME?</v>
      </c>
      <c r="BH78" s="75" t="n">
        <f aca="false">BB78-BA78</f>
        <v>0</v>
      </c>
      <c r="BI78" s="75" t="e">
        <f aca="false">((AU78/AV78)*BC78)+BD78</f>
        <v>#NAME?</v>
      </c>
      <c r="BJ78" s="75" t="n">
        <f aca="false">AW78*AP78</f>
        <v>0</v>
      </c>
      <c r="BK78" s="76"/>
      <c r="BL78" s="37" t="n">
        <f aca="false">$AP78*AX78</f>
        <v>0</v>
      </c>
      <c r="BM78" s="37" t="e">
        <f aca="false">$AP78*AY78</f>
        <v>#NAME?</v>
      </c>
      <c r="BN78" s="37" t="e">
        <f aca="false">$AP78*AZ78</f>
        <v>#NAME?</v>
      </c>
      <c r="BO78" s="37" t="n">
        <f aca="false">$AP78*BA78</f>
        <v>0</v>
      </c>
      <c r="BP78" s="37" t="n">
        <f aca="false">$AP78*BB78</f>
        <v>0</v>
      </c>
      <c r="BQ78" s="37" t="e">
        <f aca="false">$AP78*BC78</f>
        <v>#NAME?</v>
      </c>
      <c r="BR78" s="37" t="e">
        <f aca="false">$AP78*BD78</f>
        <v>#NAME?</v>
      </c>
      <c r="BS78" s="37" t="e">
        <f aca="false">$AP78*BE78</f>
        <v>#NAME?</v>
      </c>
      <c r="BT78" s="37" t="n">
        <f aca="false">$AP78*BF78</f>
        <v>0</v>
      </c>
      <c r="BU78" s="37" t="e">
        <f aca="false">$AP78*BG78</f>
        <v>#NAME?</v>
      </c>
      <c r="BV78" s="37" t="n">
        <f aca="false">$AP78*BH78</f>
        <v>0</v>
      </c>
      <c r="BW78" s="37" t="e">
        <f aca="false">$AP78*BI78</f>
        <v>#NAME?</v>
      </c>
      <c r="BX78" s="37"/>
      <c r="BZ78" s="73" t="n">
        <f aca="false">IF($A78&gt;=CB$32,IF($A78&lt;=CB$33,$AN78,0),0)</f>
        <v>0</v>
      </c>
      <c r="CA78" s="41" t="n">
        <f aca="false">$B78+$R78+$D$12</f>
        <v>3.48</v>
      </c>
      <c r="CB78" s="41" t="n">
        <f aca="false">$B78+$S78+$D$13</f>
        <v>3.25</v>
      </c>
      <c r="CC78" s="41" t="n">
        <f aca="false">CA78*BZ78</f>
        <v>0</v>
      </c>
      <c r="CD78" s="41" t="n">
        <f aca="false">CB78*BZ78</f>
        <v>0</v>
      </c>
      <c r="CE78" s="74" t="n">
        <f aca="false">($C78*$T78)+X78+$D$14</f>
        <v>0.285</v>
      </c>
      <c r="CF78" s="74" t="n">
        <f aca="false">($C78*$U78)+$D$15</f>
        <v>0.285</v>
      </c>
      <c r="CG78" s="65" t="n">
        <f aca="false">$V78+D$16</f>
        <v>0.98</v>
      </c>
      <c r="CH78" s="75" t="n">
        <f aca="false">IF(BZ78=0,0,SPRDOPT(CA78,CB78,$W78,$AM78,CE78,CF78,CG78,$D78,$D$20,0))</f>
        <v>0</v>
      </c>
      <c r="CI78" s="75" t="e">
        <f aca="false">IF(CA78=0,0,SPRDOPT(CA78,CB78,$W78,$AM78,CE78,CF78,CG78,$D78,$D$20,1))</f>
        <v>#NAME?</v>
      </c>
      <c r="CJ78" s="75" t="e">
        <f aca="false">IF(CB78=0,0,SPRDOPT(CA78,CB78,$W78,$AM78,CE78,CF78,CG78,$D78,$D$20,2))</f>
        <v>#NAME?</v>
      </c>
      <c r="CK78" s="75" t="n">
        <f aca="false">IF(CC78=0,0,SPRDOPT(CA78,CB78,$W78,$AM78,CE78,CF78,CG78,$D78,$D$20,3)/100)</f>
        <v>0</v>
      </c>
      <c r="CL78" s="75" t="n">
        <f aca="false">IF(CD78=0,0,SPRDOPT(CA78,CB78,$W78,$AM78,CE78,CF78,CG78,$D78,$D$20,4)/100)</f>
        <v>0</v>
      </c>
      <c r="CM78" s="75" t="e">
        <f aca="false">IF(CE78=0,0,SPRDOPT(CA78,CB78,$W78,$AM78,CE78,CF78,CG78,$D78,$D$20,5)/100)</f>
        <v>#NAME?</v>
      </c>
      <c r="CN78" s="75" t="e">
        <f aca="false">IF(CF78=0,0,SPRDOPT(CA78,CB78,$W78,$AM78,CE78,CF78,CG78,$D78,$D$20,6)/100)</f>
        <v>#NAME?</v>
      </c>
      <c r="CO78" s="75" t="e">
        <f aca="false">IF(CG78=0,0,SPRDOPT(CA78,CB78,$W78,$AM78,CE78,CF78,CG78,$D78,$D$20,7)/100)</f>
        <v>#NAME?</v>
      </c>
      <c r="CP78" s="75" t="n">
        <f aca="false">IF(CH78=0,0,SPRDOPT(CA78,CB78,$W78,$AM78,CE78,CF78,CG78,$D78,$D$20,9)/365)</f>
        <v>0</v>
      </c>
      <c r="CQ78" s="75" t="e">
        <f aca="false">CI78+CJ78</f>
        <v>#NAME?</v>
      </c>
      <c r="CR78" s="75" t="n">
        <f aca="false">CL78-CK78</f>
        <v>0</v>
      </c>
      <c r="CS78" s="75" t="e">
        <f aca="false">((CE78/CF78)*CM78)+CN78</f>
        <v>#NAME?</v>
      </c>
      <c r="CT78" s="75" t="n">
        <f aca="false">CG78*BZ78</f>
        <v>0</v>
      </c>
      <c r="CU78" s="76"/>
      <c r="CV78" s="37" t="n">
        <f aca="false">BZ78*CH78</f>
        <v>0</v>
      </c>
      <c r="CW78" s="37" t="e">
        <f aca="false">BZ78*CI78</f>
        <v>#NAME?</v>
      </c>
      <c r="CX78" s="37" t="e">
        <f aca="false">BZ78*CJ78</f>
        <v>#NAME?</v>
      </c>
      <c r="CY78" s="37" t="n">
        <f aca="false">BZ78*CK78</f>
        <v>0</v>
      </c>
      <c r="CZ78" s="37" t="n">
        <f aca="false">BZ78*CL78</f>
        <v>0</v>
      </c>
      <c r="DA78" s="37" t="e">
        <f aca="false">BZ78*CM78</f>
        <v>#NAME?</v>
      </c>
      <c r="DB78" s="37" t="e">
        <f aca="false">BZ78*CN78</f>
        <v>#NAME?</v>
      </c>
      <c r="DC78" s="37" t="e">
        <f aca="false">BZ78*CO78</f>
        <v>#NAME?</v>
      </c>
      <c r="DD78" s="37" t="n">
        <f aca="false">BZ78*CP78</f>
        <v>0</v>
      </c>
      <c r="DE78" s="37" t="e">
        <f aca="false">BZ78*CQ78</f>
        <v>#NAME?</v>
      </c>
      <c r="DF78" s="37" t="n">
        <f aca="false">BZ78*CR78</f>
        <v>0</v>
      </c>
      <c r="DG78" s="37" t="e">
        <f aca="false">BZ78*CS78</f>
        <v>#NAME?</v>
      </c>
      <c r="DI78" s="73" t="n">
        <f aca="false">IF($A78&gt;=DK$32,IF($A78&lt;=DK$33,$AN78,0),0)</f>
        <v>0</v>
      </c>
      <c r="DJ78" s="41" t="n">
        <f aca="false">$B78+$Y78+$F$12</f>
        <v>2.83</v>
      </c>
      <c r="DK78" s="41" t="n">
        <f aca="false">$B78+$Z78+$F$13</f>
        <v>3.25</v>
      </c>
      <c r="DL78" s="41" t="n">
        <f aca="false">DJ78*DI78</f>
        <v>0</v>
      </c>
      <c r="DM78" s="41" t="n">
        <f aca="false">DK78*DI78</f>
        <v>0</v>
      </c>
      <c r="DN78" s="74" t="n">
        <f aca="false">($C78*$AA78)+AE78+$F$14</f>
        <v>0.285</v>
      </c>
      <c r="DO78" s="74" t="n">
        <f aca="false">($C78*$AB78)+$F$15</f>
        <v>0.285</v>
      </c>
      <c r="DP78" s="65" t="n">
        <f aca="false">$AC78+$F$16</f>
        <v>0.96</v>
      </c>
      <c r="DQ78" s="75" t="n">
        <f aca="false">IF(DI78=0,0,SPRDOPT(DJ78,DK78,$AD78,$AM78,DN78,DO78,DP78,$D78,$F$20,0))</f>
        <v>0</v>
      </c>
      <c r="DR78" s="75" t="e">
        <f aca="false">IF(DJ78=0,0,SPRDOPT(DJ78,DK78,$AD78,$AM78,DN78,DO78,DP78,$D78,$F$20,1))</f>
        <v>#NAME?</v>
      </c>
      <c r="DS78" s="75" t="e">
        <f aca="false">IF(DK78=0,0,SPRDOPT(DJ78,DK78,$AD78,$AM78,DN78,DO78,DP78,$D78,$F$20,2))</f>
        <v>#NAME?</v>
      </c>
      <c r="DT78" s="75" t="n">
        <f aca="false">IF(DL78=0,0,SPRDOPT(DJ78,DK78,$AD78,$AM78,DN78,DO78,DP78,$D78,$F$20,3)/100)</f>
        <v>0</v>
      </c>
      <c r="DU78" s="75" t="n">
        <f aca="false">IF(DM78=0,0,SPRDOPT(DJ78,DK78,$AD78,$AM78,DN78,DO78,DP78,$D78,$F$20,4)/100)</f>
        <v>0</v>
      </c>
      <c r="DV78" s="75" t="e">
        <f aca="false">IF(DN78=0,0,SPRDOPT(DJ78,DK78,$AD78,$AM78,DN78,DO78,DP78,$D78,$F$20,5)/100)</f>
        <v>#NAME?</v>
      </c>
      <c r="DW78" s="75" t="e">
        <f aca="false">IF(DO78=0,0,SPRDOPT(DJ78,DK78,$AD78,$AM78,DN78,DO78,DP78,$D78,$F$20,6)/100)</f>
        <v>#NAME?</v>
      </c>
      <c r="DX78" s="75" t="e">
        <f aca="false">IF(DP78=0,0,SPRDOPT(DJ78,DK78,$AD78,$AM78,DN78,DO78,DP78,$D78,$F$20,7)/100)</f>
        <v>#NAME?</v>
      </c>
      <c r="DY78" s="75" t="n">
        <f aca="false">IF(DQ78=0,0,SPRDOPT(DJ78,DK78,$AD78,$AM78,DN78,DO78,DP78,$D78,$F$20,9)/365)</f>
        <v>0</v>
      </c>
      <c r="DZ78" s="75" t="e">
        <f aca="false">DR78+DS78</f>
        <v>#NAME?</v>
      </c>
      <c r="EA78" s="75" t="n">
        <f aca="false">DU78-DT78</f>
        <v>0</v>
      </c>
      <c r="EB78" s="75" t="e">
        <f aca="false">((DN78/DO78)*DV78)+DW78</f>
        <v>#NAME?</v>
      </c>
      <c r="EC78" s="75" t="n">
        <f aca="false">DP78*DI78</f>
        <v>0</v>
      </c>
      <c r="ED78" s="75"/>
      <c r="EE78" s="37" t="n">
        <f aca="false">DI78*DQ78</f>
        <v>0</v>
      </c>
      <c r="EF78" s="37" t="e">
        <f aca="false">DI78*DR78</f>
        <v>#NAME?</v>
      </c>
      <c r="EG78" s="37" t="e">
        <f aca="false">DI78*DS78</f>
        <v>#NAME?</v>
      </c>
      <c r="EH78" s="37" t="n">
        <f aca="false">DI78*DT78</f>
        <v>0</v>
      </c>
      <c r="EI78" s="37" t="n">
        <f aca="false">DI78*DU78</f>
        <v>0</v>
      </c>
      <c r="EJ78" s="37" t="e">
        <f aca="false">DI78*DV78</f>
        <v>#NAME?</v>
      </c>
      <c r="EK78" s="37" t="e">
        <f aca="false">DI78*DW78</f>
        <v>#NAME?</v>
      </c>
      <c r="EL78" s="37" t="e">
        <f aca="false">DI78*DX78</f>
        <v>#NAME?</v>
      </c>
      <c r="EM78" s="37" t="n">
        <f aca="false">DI78*DY78</f>
        <v>0</v>
      </c>
      <c r="EN78" s="37" t="e">
        <f aca="false">DI78*DZ78</f>
        <v>#NAME?</v>
      </c>
      <c r="EO78" s="37" t="n">
        <f aca="false">DI78*EA78</f>
        <v>0</v>
      </c>
      <c r="EP78" s="37" t="e">
        <f aca="false">DI78*EB78</f>
        <v>#NAME?</v>
      </c>
      <c r="ER78" s="73" t="n">
        <f aca="false">IF($A78&gt;=ET$32,IF($A78&lt;=ET$33,$AN78,0),0)</f>
        <v>0</v>
      </c>
      <c r="ES78" s="41" t="n">
        <f aca="false">$B78+$AF78+$H$12</f>
        <v>2.89</v>
      </c>
      <c r="ET78" s="41" t="n">
        <f aca="false">$B78+$AG78+$H$13</f>
        <v>3.25</v>
      </c>
      <c r="EU78" s="41" t="n">
        <f aca="false">ES78*ER78</f>
        <v>0</v>
      </c>
      <c r="EV78" s="41" t="n">
        <f aca="false">ET78*ER78</f>
        <v>0</v>
      </c>
      <c r="EW78" s="74" t="n">
        <f aca="false">($C78*$AH78)+AL78+$H$14</f>
        <v>0.285</v>
      </c>
      <c r="EX78" s="74" t="n">
        <f aca="false">($C78*$AI78)+$H$15</f>
        <v>0.285</v>
      </c>
      <c r="EY78" s="65" t="n">
        <f aca="false">$AJ78+$H$16</f>
        <v>0.96</v>
      </c>
      <c r="EZ78" s="75" t="n">
        <f aca="false">IF(ER78=0,0,SPRDOPT(ES78,ET78,$AK78,$AM78,EW78,EX78,EY78,$D78,$H$20,0))</f>
        <v>0</v>
      </c>
      <c r="FA78" s="75" t="e">
        <f aca="false">IF(ES78=0,0,SPRDOPT(ES78,ET78,$AK78,$AM78,EW78,EX78,EY78,$D78,$H$20,1))</f>
        <v>#NAME?</v>
      </c>
      <c r="FB78" s="75" t="e">
        <f aca="false">IF(ET78=0,0,SPRDOPT(ES78,ET78,$AK78,$AM78,EW78,EX78,EY78,$D78,$H$20,2))</f>
        <v>#NAME?</v>
      </c>
      <c r="FC78" s="75" t="n">
        <f aca="false">IF(EU78=0,0,SPRDOPT(ES78,ET78,$AK78,$AM78,EW78,EX78,EY78,$D78,$H$20,3)/100)</f>
        <v>0</v>
      </c>
      <c r="FD78" s="75" t="n">
        <f aca="false">IF(EV78=0,0,SPRDOPT(ES78,ET78,$AK78,$AM78,EW78,EX78,EY78,$D78,$H$20,4)/100)</f>
        <v>0</v>
      </c>
      <c r="FE78" s="75" t="e">
        <f aca="false">IF(EW78=0,0,SPRDOPT(ES78,ET78,$AK78,$AM78,EW78,EX78,EY78,$D78,$H$20,5)/100)</f>
        <v>#NAME?</v>
      </c>
      <c r="FF78" s="75" t="e">
        <f aca="false">IF(EX78=0,0,SPRDOPT(ES78,ET78,$AK78,$AM78,EW78,EX78,EY78,$D78,$H$20,6)/100)</f>
        <v>#NAME?</v>
      </c>
      <c r="FG78" s="75" t="e">
        <f aca="false">IF(EY78=0,0,SPRDOPT(ES78,ET78,$AK78,$AM78,EW78,EX78,EY78,$D78,$H$20,7)/100)</f>
        <v>#NAME?</v>
      </c>
      <c r="FH78" s="75" t="n">
        <f aca="false">IF(EZ78=0,0,SPRDOPT(ES78,ET78,$AK78,$AM78,EW78,EX78,EY78,$D78,$H$20,9)/365)</f>
        <v>0</v>
      </c>
      <c r="FI78" s="75" t="e">
        <f aca="false">FA78+FB78</f>
        <v>#NAME?</v>
      </c>
      <c r="FJ78" s="75" t="n">
        <f aca="false">FD78-FC78</f>
        <v>0</v>
      </c>
      <c r="FK78" s="75" t="e">
        <f aca="false">((EW78/EX78)*FE78)+FF78</f>
        <v>#NAME?</v>
      </c>
      <c r="FL78" s="75" t="n">
        <f aca="false">EY78*ER78</f>
        <v>0</v>
      </c>
      <c r="FM78" s="75"/>
      <c r="FN78" s="37" t="n">
        <f aca="false">$ER78*EZ78</f>
        <v>0</v>
      </c>
      <c r="FO78" s="37" t="e">
        <f aca="false">$ER78*FA78</f>
        <v>#NAME?</v>
      </c>
      <c r="FP78" s="37" t="e">
        <f aca="false">$ER78*FB78</f>
        <v>#NAME?</v>
      </c>
      <c r="FQ78" s="37" t="n">
        <f aca="false">$ER78*FC78</f>
        <v>0</v>
      </c>
      <c r="FR78" s="37" t="n">
        <f aca="false">$ER78*FD78</f>
        <v>0</v>
      </c>
      <c r="FS78" s="37" t="e">
        <f aca="false">$ER78*FE78</f>
        <v>#NAME?</v>
      </c>
      <c r="FT78" s="37" t="e">
        <f aca="false">$ER78*FF78</f>
        <v>#NAME?</v>
      </c>
      <c r="FU78" s="37" t="e">
        <f aca="false">$ER78*FG78</f>
        <v>#NAME?</v>
      </c>
      <c r="FV78" s="37" t="n">
        <f aca="false">$ER78*FH78</f>
        <v>0</v>
      </c>
      <c r="FW78" s="37" t="e">
        <f aca="false">$ER78*FI78</f>
        <v>#NAME?</v>
      </c>
      <c r="FX78" s="37" t="n">
        <f aca="false">$ER78*FJ78</f>
        <v>0</v>
      </c>
      <c r="FY78" s="37" t="e">
        <f aca="false">$ER78*FK78</f>
        <v>#NAME?</v>
      </c>
      <c r="GA78" s="77" t="e">
        <f aca="false">VLOOKUP(A78,skewmonthlook,2,FALSE())</f>
        <v>#REF!</v>
      </c>
      <c r="GB78" s="0" t="e">
        <f aca="false">CONCATENATE(B$3,$GA78)</f>
        <v>#REF!</v>
      </c>
      <c r="GC78" s="0" t="e">
        <f aca="false">CONCATENATE(D$3,$GA78)</f>
        <v>#REF!</v>
      </c>
      <c r="GD78" s="0" t="e">
        <f aca="false">CONCATENATE(F$3,$GA78)</f>
        <v>#REF!</v>
      </c>
      <c r="GE78" s="0" t="e">
        <f aca="false">CONCATENATE(H$3,$GA78)</f>
        <v>#REF!</v>
      </c>
      <c r="GG78" s="65" t="e">
        <f aca="false">VLOOKUP(GB78,skewlook,HLOOKUP($P78,skewlook,2),FALSE())</f>
        <v>#REF!</v>
      </c>
      <c r="GH78" s="65" t="e">
        <f aca="false">VLOOKUP(GC78,skewlook,HLOOKUP($W78,skewlook,2),FALSE())</f>
        <v>#REF!</v>
      </c>
      <c r="GI78" s="65" t="e">
        <f aca="false">VLOOKUP(GD78,skewlook,HLOOKUP($AD78,skewlook,2),FALSE())</f>
        <v>#REF!</v>
      </c>
      <c r="GJ78" s="65" t="e">
        <f aca="false">VLOOKUP(GE78,skewlook,HLOOKUP($AK78,skewlook,2),FALSE())</f>
        <v>#REF!</v>
      </c>
    </row>
    <row r="79" customFormat="false" ht="12.75" hidden="false" customHeight="false" outlineLevel="0" collapsed="false">
      <c r="A79" s="62" t="n">
        <f aca="false">DATE(YEAR(A78),MONTH(A78)+1,1)</f>
        <v>38504</v>
      </c>
      <c r="B79" s="63" t="n">
        <f aca="false">VLOOKUP(A79,STRADDLE,5,FALSE())</f>
        <v>3.285</v>
      </c>
      <c r="C79" s="4" t="n">
        <f aca="false">VLOOKUP(A79,STRADDLE,8,FALSE())</f>
        <v>0.285</v>
      </c>
      <c r="D79" s="64" t="n">
        <f aca="false">VLOOKUP(A79,expiration,2,FALSE())-$B$2</f>
        <v>-7429</v>
      </c>
      <c r="E79" s="65" t="e">
        <f aca="false">AY79</f>
        <v>#NAME?</v>
      </c>
      <c r="F79" s="65" t="e">
        <f aca="false">CI79</f>
        <v>#NAME?</v>
      </c>
      <c r="G79" s="65" t="e">
        <f aca="false">DR79</f>
        <v>#NAME?</v>
      </c>
      <c r="H79" s="65" t="e">
        <f aca="false">FA79</f>
        <v>#NAME?</v>
      </c>
      <c r="I79" s="66"/>
      <c r="J79" s="67"/>
      <c r="K79" s="63" t="n">
        <f aca="false">IF($B$3="NYMEX",0,VLOOKUP($A79,curvesettle,HLOOKUP($B$3,curvesettle,2,FALSE()),FALSE()))</f>
        <v>-0.15</v>
      </c>
      <c r="L79" s="63" t="n">
        <f aca="false">IF($B$4="NYMEX",0,VLOOKUP($A79,curvesettle,HLOOKUP($B$4,curvesettle,2,FALSE()),FALSE()))</f>
        <v>0</v>
      </c>
      <c r="M79" s="65" t="n">
        <f aca="false">IF(ISNUMBER(VLOOKUP($A79,VOLCURVES,HLOOKUP($B$3,VOLCURVES,2,FALSE()),FALSE())),VLOOKUP($A79,VOLCURVES,HLOOKUP($B$3,VOLCURVES,2,FALSE()),FALSE()),1)</f>
        <v>1</v>
      </c>
      <c r="N79" s="65" t="n">
        <f aca="false">IF(ISNUMBER(VLOOKUP($A79,VOLCURVES,HLOOKUP($B$4,VOLCURVES,2,FALSE()),FALSE())),VLOOKUP($A79,VOLCURVES,HLOOKUP($B$4,VOLCURVES,2,FALSE()),FALSE()),1)</f>
        <v>1</v>
      </c>
      <c r="O79" s="65" t="n">
        <f aca="false">IF(ISNUMBER(VLOOKUP($A79,CORETABLE,HLOOKUP($B$3,CORETABLE,2,FALSE()),FALSE())),VLOOKUP($A79,CORETABLE,HLOOKUP($B$3,CORETABLE,2,FALSE()),FALSE()),0.99)</f>
        <v>0.9945</v>
      </c>
      <c r="P79" s="68" t="n">
        <f aca="false">B$19</f>
        <v>-0.2</v>
      </c>
      <c r="Q79" s="69" t="n">
        <f aca="false">IF($B$18=1,IF(ISNUMBER($GG79),$GG79,0),0)</f>
        <v>0</v>
      </c>
      <c r="R79" s="70" t="n">
        <f aca="false">IF($D$3="NYMEX",0,VLOOKUP($A79,curvesettle,HLOOKUP($D$3,curvesettle,2,FALSE()),FALSE()))</f>
        <v>0.23</v>
      </c>
      <c r="S79" s="63" t="n">
        <f aca="false">IF($D$4="NYMEX",0,VLOOKUP($A79,curvesettle,HLOOKUP($D$4,curvesettle,2,FALSE()),FALSE()))</f>
        <v>0</v>
      </c>
      <c r="T79" s="65" t="n">
        <f aca="false">IF(ISNUMBER(VLOOKUP($A79,VOLCURVES,HLOOKUP($D$3,VOLCURVES,2,FALSE()),FALSE())),VLOOKUP($A79,VOLCURVES,HLOOKUP($D$3,VOLCURVES,2,FALSE()),FALSE()),1)</f>
        <v>1</v>
      </c>
      <c r="U79" s="65" t="n">
        <f aca="false">IF(ISNUMBER(VLOOKUP($A79,VOLCURVES,HLOOKUP($D$4,VOLCURVES,2,FALSE()),FALSE())),VLOOKUP($A79,VOLCURVES,HLOOKUP($D$4,VOLCURVES,2,FALSE()),FALSE()),1)</f>
        <v>1</v>
      </c>
      <c r="V79" s="65" t="n">
        <f aca="false">IF(ISNUMBER(VLOOKUP($A79,CORETABLE,HLOOKUP($D$3,CORETABLE,2,FALSE()),FALSE())),VLOOKUP($A79,CORETABLE,HLOOKUP($D$3,CORETABLE,2,FALSE()),FALSE()),0.99)</f>
        <v>0.98</v>
      </c>
      <c r="W79" s="68" t="n">
        <f aca="false">D$19</f>
        <v>0</v>
      </c>
      <c r="X79" s="69" t="n">
        <f aca="false">IF($D$18=1,IF(ISNUMBER($GH79),$GH79,0),0)</f>
        <v>0</v>
      </c>
      <c r="Y79" s="71" t="n">
        <f aca="false">IF($F$3="NYMEX",0,VLOOKUP($A79,curvesettle,HLOOKUP($F$3,curvesettle,2,FALSE()),FALSE()))</f>
        <v>-0.42</v>
      </c>
      <c r="Z79" s="63" t="n">
        <f aca="false">IF($F$4="NYMEX",0,VLOOKUP($A79,curvesettle,HLOOKUP($F$4,curvesettle,2,FALSE()),FALSE()))</f>
        <v>0</v>
      </c>
      <c r="AA79" s="65" t="n">
        <f aca="false">IF(ISNUMBER(VLOOKUP($A79,VOLCURVES,HLOOKUP($F$3,VOLCURVES,2,FALSE()),FALSE())),VLOOKUP($A79,VOLCURVES,HLOOKUP($F$3,VOLCURVES,2,FALSE()),FALSE()),1)</f>
        <v>1</v>
      </c>
      <c r="AB79" s="65" t="n">
        <f aca="false">IF(ISNUMBER(VLOOKUP($A79,VOLCURVES,HLOOKUP($F$4,VOLCURVES,2,FALSE()),FALSE())),VLOOKUP($A79,VOLCURVES,HLOOKUP($F$4,VOLCURVES,2,FALSE()),FALSE()),1)</f>
        <v>1</v>
      </c>
      <c r="AC79" s="65" t="n">
        <f aca="false">IF(ISNUMBER(VLOOKUP($A79,CORETABLE,HLOOKUP($F$3,CORETABLE,2,FALSE()),FALSE())),VLOOKUP($A79,CORETABLE,HLOOKUP($F$3,CORETABLE,2,FALSE()),FALSE()),0.99)</f>
        <v>0.96</v>
      </c>
      <c r="AD79" s="68" t="n">
        <f aca="false">F$19</f>
        <v>-0.6</v>
      </c>
      <c r="AE79" s="69" t="n">
        <f aca="false">IF($F$18=1,IF(ISNUMBER($GI79),$GI79,0),0)</f>
        <v>0</v>
      </c>
      <c r="AF79" s="63" t="n">
        <f aca="false">IF($H$3="NYMEX",0,VLOOKUP($A79,curvesettle,HLOOKUP($H$3,curvesettle,2,FALSE()),FALSE()))</f>
        <v>-0.42</v>
      </c>
      <c r="AG79" s="63" t="n">
        <f aca="false">IF($H$4="NYMEX",0,VLOOKUP($A79,curvesettle,HLOOKUP($H$4,curvesettle,2,FALSE()),FALSE()))</f>
        <v>0</v>
      </c>
      <c r="AH79" s="65" t="n">
        <f aca="false">IF(ISNUMBER(VLOOKUP($A79,VOLCURVES,HLOOKUP($H$3,VOLCURVES,2,FALSE()),FALSE())),VLOOKUP($A79,VOLCURVES,HLOOKUP($H$3,VOLCURVES,2,FALSE()),FALSE()),1)</f>
        <v>1</v>
      </c>
      <c r="AI79" s="65" t="n">
        <f aca="false">IF(ISNUMBER(VLOOKUP($A79,VOLCURVES,HLOOKUP($H$4,VOLCURVES,2,FALSE()),FALSE())),VLOOKUP($A79,VOLCURVES,HLOOKUP($H$4,VOLCURVES,2,FALSE()),FALSE()),1)</f>
        <v>1</v>
      </c>
      <c r="AJ79" s="65" t="n">
        <f aca="false">IF(ISNUMBER(VLOOKUP($A79,CORETABLE,HLOOKUP($H$3,CORETABLE,2,FALSE()),FALSE())),VLOOKUP($A79,CORETABLE,HLOOKUP($H$3,CORETABLE,2,FALSE()),FALSE()),0.99)</f>
        <v>0.96</v>
      </c>
      <c r="AK79" s="68" t="n">
        <f aca="false">H$19</f>
        <v>-0.45</v>
      </c>
      <c r="AL79" s="69" t="n">
        <f aca="false">IF($H$18=1,IF(ISNUMBER($GJ79),$GJ79,0),0)</f>
        <v>0</v>
      </c>
      <c r="AM79" s="4" t="n">
        <f aca="false">VLOOKUP($A79,STRADDLE,14,FALSE())</f>
        <v>0.0450692996917126</v>
      </c>
      <c r="AN79" s="72" t="n">
        <f aca="false">A80-A79</f>
        <v>30</v>
      </c>
      <c r="AO79" s="1" t="n">
        <f aca="false">AO78+1</f>
        <v>42</v>
      </c>
      <c r="AP79" s="73" t="n">
        <f aca="false">IF($A79&gt;=AR$32,IF($A79&lt;=AR$33,$AN79,0),0)</f>
        <v>0</v>
      </c>
      <c r="AQ79" s="41" t="n">
        <f aca="false">$B79+$K79+$B$12</f>
        <v>3.135</v>
      </c>
      <c r="AR79" s="41" t="n">
        <f aca="false">$B79+$L79+$B$13</f>
        <v>3.285</v>
      </c>
      <c r="AS79" s="41" t="n">
        <f aca="false">AQ79*AP79</f>
        <v>0</v>
      </c>
      <c r="AT79" s="41" t="n">
        <f aca="false">AR79*AP79</f>
        <v>0</v>
      </c>
      <c r="AU79" s="74" t="n">
        <f aca="false">($C79*$M79)+Q79+$B$14</f>
        <v>0.285</v>
      </c>
      <c r="AV79" s="74" t="n">
        <f aca="false">($C79*$N79)+$B$15</f>
        <v>0.285</v>
      </c>
      <c r="AW79" s="65" t="n">
        <f aca="false">O79+B$16</f>
        <v>0.999</v>
      </c>
      <c r="AX79" s="75" t="n">
        <f aca="false">IF(AP79=0,0,SPRDOPT(AQ79,AR79,$P79,$AM79,AU79,AV79,AW79,$D79,$B$20,0))</f>
        <v>0</v>
      </c>
      <c r="AY79" s="75" t="e">
        <f aca="false">IF(AQ79=0,0,SPRDOPT(AQ79,AR79,$P79,$AM79,AU79,AV79,AW79,$D79,$B$20,1))</f>
        <v>#NAME?</v>
      </c>
      <c r="AZ79" s="75" t="e">
        <f aca="false">IF(AR79=0,0,SPRDOPT(AQ79,AR79,$P79,$AM79,AU79,AV79,AW79,$D79,$B$20,2))</f>
        <v>#NAME?</v>
      </c>
      <c r="BA79" s="75" t="n">
        <f aca="false">IF(AS79=0,0,SPRDOPT(AQ79,AR79,$P79,$AM79,AU79,AV79,AW79,$D79,$B$20,3)/100)</f>
        <v>0</v>
      </c>
      <c r="BB79" s="75" t="n">
        <f aca="false">IF(AT79=0,0,SPRDOPT(AQ79,AR79,$P79,$AM79,AU79,AV79,AW79,$D79,$B$20,4)/100)</f>
        <v>0</v>
      </c>
      <c r="BC79" s="75" t="e">
        <f aca="false">IF(AU79=0,0,SPRDOPT(AQ79,AR79,$P79,$AM79,AU79,AV79,AW79,$D79,$B$20,5)/100)</f>
        <v>#NAME?</v>
      </c>
      <c r="BD79" s="75" t="e">
        <f aca="false">IF(AV79=0,0,SPRDOPT(AQ79,AR79,$P79,$AM79,AU79,AV79,AW79,$D79,$B$20,6)/100)</f>
        <v>#NAME?</v>
      </c>
      <c r="BE79" s="75" t="e">
        <f aca="false">IF(AW79=0,0,SPRDOPT(AQ79,AR79,$P79,$AM79,AU79,AV79,AW79,$D79,$B$20,7)/100)</f>
        <v>#NAME?</v>
      </c>
      <c r="BF79" s="75" t="n">
        <f aca="false">IF(AX79=0,0,SPRDOPT(AQ79,AR79,$P79,$AM79,AU79,AV79,AW79,$D79,$B$20,9)/365)</f>
        <v>0</v>
      </c>
      <c r="BG79" s="75" t="e">
        <f aca="false">AY79+AZ79</f>
        <v>#NAME?</v>
      </c>
      <c r="BH79" s="75" t="n">
        <f aca="false">BB79-BA79</f>
        <v>0</v>
      </c>
      <c r="BI79" s="75" t="e">
        <f aca="false">((AU79/AV79)*BC79)+BD79</f>
        <v>#NAME?</v>
      </c>
      <c r="BJ79" s="75" t="n">
        <f aca="false">AW79*AP79</f>
        <v>0</v>
      </c>
      <c r="BK79" s="76"/>
      <c r="BL79" s="37" t="n">
        <f aca="false">$AP79*AX79</f>
        <v>0</v>
      </c>
      <c r="BM79" s="37" t="e">
        <f aca="false">$AP79*AY79</f>
        <v>#NAME?</v>
      </c>
      <c r="BN79" s="37" t="e">
        <f aca="false">$AP79*AZ79</f>
        <v>#NAME?</v>
      </c>
      <c r="BO79" s="37" t="n">
        <f aca="false">$AP79*BA79</f>
        <v>0</v>
      </c>
      <c r="BP79" s="37" t="n">
        <f aca="false">$AP79*BB79</f>
        <v>0</v>
      </c>
      <c r="BQ79" s="37" t="e">
        <f aca="false">$AP79*BC79</f>
        <v>#NAME?</v>
      </c>
      <c r="BR79" s="37" t="e">
        <f aca="false">$AP79*BD79</f>
        <v>#NAME?</v>
      </c>
      <c r="BS79" s="37" t="e">
        <f aca="false">$AP79*BE79</f>
        <v>#NAME?</v>
      </c>
      <c r="BT79" s="37" t="n">
        <f aca="false">$AP79*BF79</f>
        <v>0</v>
      </c>
      <c r="BU79" s="37" t="e">
        <f aca="false">$AP79*BG79</f>
        <v>#NAME?</v>
      </c>
      <c r="BV79" s="37" t="n">
        <f aca="false">$AP79*BH79</f>
        <v>0</v>
      </c>
      <c r="BW79" s="37" t="e">
        <f aca="false">$AP79*BI79</f>
        <v>#NAME?</v>
      </c>
      <c r="BX79" s="37"/>
      <c r="BZ79" s="73" t="n">
        <f aca="false">IF($A79&gt;=CB$32,IF($A79&lt;=CB$33,$AN79,0),0)</f>
        <v>0</v>
      </c>
      <c r="CA79" s="41" t="n">
        <f aca="false">$B79+$R79+$D$12</f>
        <v>3.515</v>
      </c>
      <c r="CB79" s="41" t="n">
        <f aca="false">$B79+$S79+$D$13</f>
        <v>3.285</v>
      </c>
      <c r="CC79" s="41" t="n">
        <f aca="false">CA79*BZ79</f>
        <v>0</v>
      </c>
      <c r="CD79" s="41" t="n">
        <f aca="false">CB79*BZ79</f>
        <v>0</v>
      </c>
      <c r="CE79" s="74" t="n">
        <f aca="false">($C79*$T79)+X79+$D$14</f>
        <v>0.285</v>
      </c>
      <c r="CF79" s="74" t="n">
        <f aca="false">($C79*$U79)+$D$15</f>
        <v>0.285</v>
      </c>
      <c r="CG79" s="65" t="n">
        <f aca="false">$V79+D$16</f>
        <v>0.98</v>
      </c>
      <c r="CH79" s="75" t="n">
        <f aca="false">IF(BZ79=0,0,SPRDOPT(CA79,CB79,$W79,$AM79,CE79,CF79,CG79,$D79,$D$20,0))</f>
        <v>0</v>
      </c>
      <c r="CI79" s="75" t="e">
        <f aca="false">IF(CA79=0,0,SPRDOPT(CA79,CB79,$W79,$AM79,CE79,CF79,CG79,$D79,$D$20,1))</f>
        <v>#NAME?</v>
      </c>
      <c r="CJ79" s="75" t="e">
        <f aca="false">IF(CB79=0,0,SPRDOPT(CA79,CB79,$W79,$AM79,CE79,CF79,CG79,$D79,$D$20,2))</f>
        <v>#NAME?</v>
      </c>
      <c r="CK79" s="75" t="n">
        <f aca="false">IF(CC79=0,0,SPRDOPT(CA79,CB79,$W79,$AM79,CE79,CF79,CG79,$D79,$D$20,3)/100)</f>
        <v>0</v>
      </c>
      <c r="CL79" s="75" t="n">
        <f aca="false">IF(CD79=0,0,SPRDOPT(CA79,CB79,$W79,$AM79,CE79,CF79,CG79,$D79,$D$20,4)/100)</f>
        <v>0</v>
      </c>
      <c r="CM79" s="75" t="e">
        <f aca="false">IF(CE79=0,0,SPRDOPT(CA79,CB79,$W79,$AM79,CE79,CF79,CG79,$D79,$D$20,5)/100)</f>
        <v>#NAME?</v>
      </c>
      <c r="CN79" s="75" t="e">
        <f aca="false">IF(CF79=0,0,SPRDOPT(CA79,CB79,$W79,$AM79,CE79,CF79,CG79,$D79,$D$20,6)/100)</f>
        <v>#NAME?</v>
      </c>
      <c r="CO79" s="75" t="e">
        <f aca="false">IF(CG79=0,0,SPRDOPT(CA79,CB79,$W79,$AM79,CE79,CF79,CG79,$D79,$D$20,7)/100)</f>
        <v>#NAME?</v>
      </c>
      <c r="CP79" s="75" t="n">
        <f aca="false">IF(CH79=0,0,SPRDOPT(CA79,CB79,$W79,$AM79,CE79,CF79,CG79,$D79,$D$20,9)/365)</f>
        <v>0</v>
      </c>
      <c r="CQ79" s="75" t="e">
        <f aca="false">CI79+CJ79</f>
        <v>#NAME?</v>
      </c>
      <c r="CR79" s="75" t="n">
        <f aca="false">CL79-CK79</f>
        <v>0</v>
      </c>
      <c r="CS79" s="75" t="e">
        <f aca="false">((CE79/CF79)*CM79)+CN79</f>
        <v>#NAME?</v>
      </c>
      <c r="CT79" s="75" t="n">
        <f aca="false">CG79*BZ79</f>
        <v>0</v>
      </c>
      <c r="CU79" s="76"/>
      <c r="CV79" s="37" t="n">
        <f aca="false">BZ79*CH79</f>
        <v>0</v>
      </c>
      <c r="CW79" s="37" t="e">
        <f aca="false">BZ79*CI79</f>
        <v>#NAME?</v>
      </c>
      <c r="CX79" s="37" t="e">
        <f aca="false">BZ79*CJ79</f>
        <v>#NAME?</v>
      </c>
      <c r="CY79" s="37" t="n">
        <f aca="false">BZ79*CK79</f>
        <v>0</v>
      </c>
      <c r="CZ79" s="37" t="n">
        <f aca="false">BZ79*CL79</f>
        <v>0</v>
      </c>
      <c r="DA79" s="37" t="e">
        <f aca="false">BZ79*CM79</f>
        <v>#NAME?</v>
      </c>
      <c r="DB79" s="37" t="e">
        <f aca="false">BZ79*CN79</f>
        <v>#NAME?</v>
      </c>
      <c r="DC79" s="37" t="e">
        <f aca="false">BZ79*CO79</f>
        <v>#NAME?</v>
      </c>
      <c r="DD79" s="37" t="n">
        <f aca="false">BZ79*CP79</f>
        <v>0</v>
      </c>
      <c r="DE79" s="37" t="e">
        <f aca="false">BZ79*CQ79</f>
        <v>#NAME?</v>
      </c>
      <c r="DF79" s="37" t="n">
        <f aca="false">BZ79*CR79</f>
        <v>0</v>
      </c>
      <c r="DG79" s="37" t="e">
        <f aca="false">BZ79*CS79</f>
        <v>#NAME?</v>
      </c>
      <c r="DI79" s="73" t="n">
        <f aca="false">IF($A79&gt;=DK$32,IF($A79&lt;=DK$33,$AN79,0),0)</f>
        <v>0</v>
      </c>
      <c r="DJ79" s="41" t="n">
        <f aca="false">$B79+$Y79+$F$12</f>
        <v>2.865</v>
      </c>
      <c r="DK79" s="41" t="n">
        <f aca="false">$B79+$Z79+$F$13</f>
        <v>3.285</v>
      </c>
      <c r="DL79" s="41" t="n">
        <f aca="false">DJ79*DI79</f>
        <v>0</v>
      </c>
      <c r="DM79" s="41" t="n">
        <f aca="false">DK79*DI79</f>
        <v>0</v>
      </c>
      <c r="DN79" s="74" t="n">
        <f aca="false">($C79*$AA79)+AE79+$F$14</f>
        <v>0.285</v>
      </c>
      <c r="DO79" s="74" t="n">
        <f aca="false">($C79*$AB79)+$F$15</f>
        <v>0.285</v>
      </c>
      <c r="DP79" s="65" t="n">
        <f aca="false">$AC79+$F$16</f>
        <v>0.96</v>
      </c>
      <c r="DQ79" s="75" t="n">
        <f aca="false">IF(DI79=0,0,SPRDOPT(DJ79,DK79,$AD79,$AM79,DN79,DO79,DP79,$D79,$F$20,0))</f>
        <v>0</v>
      </c>
      <c r="DR79" s="75" t="e">
        <f aca="false">IF(DJ79=0,0,SPRDOPT(DJ79,DK79,$AD79,$AM79,DN79,DO79,DP79,$D79,$F$20,1))</f>
        <v>#NAME?</v>
      </c>
      <c r="DS79" s="75" t="e">
        <f aca="false">IF(DK79=0,0,SPRDOPT(DJ79,DK79,$AD79,$AM79,DN79,DO79,DP79,$D79,$F$20,2))</f>
        <v>#NAME?</v>
      </c>
      <c r="DT79" s="75" t="n">
        <f aca="false">IF(DL79=0,0,SPRDOPT(DJ79,DK79,$AD79,$AM79,DN79,DO79,DP79,$D79,$F$20,3)/100)</f>
        <v>0</v>
      </c>
      <c r="DU79" s="75" t="n">
        <f aca="false">IF(DM79=0,0,SPRDOPT(DJ79,DK79,$AD79,$AM79,DN79,DO79,DP79,$D79,$F$20,4)/100)</f>
        <v>0</v>
      </c>
      <c r="DV79" s="75" t="e">
        <f aca="false">IF(DN79=0,0,SPRDOPT(DJ79,DK79,$AD79,$AM79,DN79,DO79,DP79,$D79,$F$20,5)/100)</f>
        <v>#NAME?</v>
      </c>
      <c r="DW79" s="75" t="e">
        <f aca="false">IF(DO79=0,0,SPRDOPT(DJ79,DK79,$AD79,$AM79,DN79,DO79,DP79,$D79,$F$20,6)/100)</f>
        <v>#NAME?</v>
      </c>
      <c r="DX79" s="75" t="e">
        <f aca="false">IF(DP79=0,0,SPRDOPT(DJ79,DK79,$AD79,$AM79,DN79,DO79,DP79,$D79,$F$20,7)/100)</f>
        <v>#NAME?</v>
      </c>
      <c r="DY79" s="75" t="n">
        <f aca="false">IF(DQ79=0,0,SPRDOPT(DJ79,DK79,$AD79,$AM79,DN79,DO79,DP79,$D79,$F$20,9)/365)</f>
        <v>0</v>
      </c>
      <c r="DZ79" s="75" t="e">
        <f aca="false">DR79+DS79</f>
        <v>#NAME?</v>
      </c>
      <c r="EA79" s="75" t="n">
        <f aca="false">DU79-DT79</f>
        <v>0</v>
      </c>
      <c r="EB79" s="75" t="e">
        <f aca="false">((DN79/DO79)*DV79)+DW79</f>
        <v>#NAME?</v>
      </c>
      <c r="EC79" s="75" t="n">
        <f aca="false">DP79*DI79</f>
        <v>0</v>
      </c>
      <c r="ED79" s="75"/>
      <c r="EE79" s="37" t="n">
        <f aca="false">DI79*DQ79</f>
        <v>0</v>
      </c>
      <c r="EF79" s="37" t="e">
        <f aca="false">DI79*DR79</f>
        <v>#NAME?</v>
      </c>
      <c r="EG79" s="37" t="e">
        <f aca="false">DI79*DS79</f>
        <v>#NAME?</v>
      </c>
      <c r="EH79" s="37" t="n">
        <f aca="false">DI79*DT79</f>
        <v>0</v>
      </c>
      <c r="EI79" s="37" t="n">
        <f aca="false">DI79*DU79</f>
        <v>0</v>
      </c>
      <c r="EJ79" s="37" t="e">
        <f aca="false">DI79*DV79</f>
        <v>#NAME?</v>
      </c>
      <c r="EK79" s="37" t="e">
        <f aca="false">DI79*DW79</f>
        <v>#NAME?</v>
      </c>
      <c r="EL79" s="37" t="e">
        <f aca="false">DI79*DX79</f>
        <v>#NAME?</v>
      </c>
      <c r="EM79" s="37" t="n">
        <f aca="false">DI79*DY79</f>
        <v>0</v>
      </c>
      <c r="EN79" s="37" t="e">
        <f aca="false">DI79*DZ79</f>
        <v>#NAME?</v>
      </c>
      <c r="EO79" s="37" t="n">
        <f aca="false">DI79*EA79</f>
        <v>0</v>
      </c>
      <c r="EP79" s="37" t="e">
        <f aca="false">DI79*EB79</f>
        <v>#NAME?</v>
      </c>
      <c r="ER79" s="73" t="n">
        <f aca="false">IF($A79&gt;=ET$32,IF($A79&lt;=ET$33,$AN79,0),0)</f>
        <v>0</v>
      </c>
      <c r="ES79" s="41" t="n">
        <f aca="false">$B79+$AF79+$H$12</f>
        <v>2.925</v>
      </c>
      <c r="ET79" s="41" t="n">
        <f aca="false">$B79+$AG79+$H$13</f>
        <v>3.285</v>
      </c>
      <c r="EU79" s="41" t="n">
        <f aca="false">ES79*ER79</f>
        <v>0</v>
      </c>
      <c r="EV79" s="41" t="n">
        <f aca="false">ET79*ER79</f>
        <v>0</v>
      </c>
      <c r="EW79" s="74" t="n">
        <f aca="false">($C79*$AH79)+AL79+$H$14</f>
        <v>0.285</v>
      </c>
      <c r="EX79" s="74" t="n">
        <f aca="false">($C79*$AI79)+$H$15</f>
        <v>0.285</v>
      </c>
      <c r="EY79" s="65" t="n">
        <f aca="false">$AJ79+$H$16</f>
        <v>0.96</v>
      </c>
      <c r="EZ79" s="75" t="n">
        <f aca="false">IF(ER79=0,0,SPRDOPT(ES79,ET79,$AK79,$AM79,EW79,EX79,EY79,$D79,$H$20,0))</f>
        <v>0</v>
      </c>
      <c r="FA79" s="75" t="e">
        <f aca="false">IF(ES79=0,0,SPRDOPT(ES79,ET79,$AK79,$AM79,EW79,EX79,EY79,$D79,$H$20,1))</f>
        <v>#NAME?</v>
      </c>
      <c r="FB79" s="75" t="e">
        <f aca="false">IF(ET79=0,0,SPRDOPT(ES79,ET79,$AK79,$AM79,EW79,EX79,EY79,$D79,$H$20,2))</f>
        <v>#NAME?</v>
      </c>
      <c r="FC79" s="75" t="n">
        <f aca="false">IF(EU79=0,0,SPRDOPT(ES79,ET79,$AK79,$AM79,EW79,EX79,EY79,$D79,$H$20,3)/100)</f>
        <v>0</v>
      </c>
      <c r="FD79" s="75" t="n">
        <f aca="false">IF(EV79=0,0,SPRDOPT(ES79,ET79,$AK79,$AM79,EW79,EX79,EY79,$D79,$H$20,4)/100)</f>
        <v>0</v>
      </c>
      <c r="FE79" s="75" t="e">
        <f aca="false">IF(EW79=0,0,SPRDOPT(ES79,ET79,$AK79,$AM79,EW79,EX79,EY79,$D79,$H$20,5)/100)</f>
        <v>#NAME?</v>
      </c>
      <c r="FF79" s="75" t="e">
        <f aca="false">IF(EX79=0,0,SPRDOPT(ES79,ET79,$AK79,$AM79,EW79,EX79,EY79,$D79,$H$20,6)/100)</f>
        <v>#NAME?</v>
      </c>
      <c r="FG79" s="75" t="e">
        <f aca="false">IF(EY79=0,0,SPRDOPT(ES79,ET79,$AK79,$AM79,EW79,EX79,EY79,$D79,$H$20,7)/100)</f>
        <v>#NAME?</v>
      </c>
      <c r="FH79" s="75" t="n">
        <f aca="false">IF(EZ79=0,0,SPRDOPT(ES79,ET79,$AK79,$AM79,EW79,EX79,EY79,$D79,$H$20,9)/365)</f>
        <v>0</v>
      </c>
      <c r="FI79" s="75" t="e">
        <f aca="false">FA79+FB79</f>
        <v>#NAME?</v>
      </c>
      <c r="FJ79" s="75" t="n">
        <f aca="false">FD79-FC79</f>
        <v>0</v>
      </c>
      <c r="FK79" s="75" t="e">
        <f aca="false">((EW79/EX79)*FE79)+FF79</f>
        <v>#NAME?</v>
      </c>
      <c r="FL79" s="75" t="n">
        <f aca="false">EY79*ER79</f>
        <v>0</v>
      </c>
      <c r="FM79" s="75"/>
      <c r="FN79" s="37" t="n">
        <f aca="false">$ER79*EZ79</f>
        <v>0</v>
      </c>
      <c r="FO79" s="37" t="e">
        <f aca="false">$ER79*FA79</f>
        <v>#NAME?</v>
      </c>
      <c r="FP79" s="37" t="e">
        <f aca="false">$ER79*FB79</f>
        <v>#NAME?</v>
      </c>
      <c r="FQ79" s="37" t="n">
        <f aca="false">$ER79*FC79</f>
        <v>0</v>
      </c>
      <c r="FR79" s="37" t="n">
        <f aca="false">$ER79*FD79</f>
        <v>0</v>
      </c>
      <c r="FS79" s="37" t="e">
        <f aca="false">$ER79*FE79</f>
        <v>#NAME?</v>
      </c>
      <c r="FT79" s="37" t="e">
        <f aca="false">$ER79*FF79</f>
        <v>#NAME?</v>
      </c>
      <c r="FU79" s="37" t="e">
        <f aca="false">$ER79*FG79</f>
        <v>#NAME?</v>
      </c>
      <c r="FV79" s="37" t="n">
        <f aca="false">$ER79*FH79</f>
        <v>0</v>
      </c>
      <c r="FW79" s="37" t="e">
        <f aca="false">$ER79*FI79</f>
        <v>#NAME?</v>
      </c>
      <c r="FX79" s="37" t="n">
        <f aca="false">$ER79*FJ79</f>
        <v>0</v>
      </c>
      <c r="FY79" s="37" t="e">
        <f aca="false">$ER79*FK79</f>
        <v>#NAME?</v>
      </c>
      <c r="GA79" s="77" t="e">
        <f aca="false">VLOOKUP(A79,skewmonthlook,2,FALSE())</f>
        <v>#REF!</v>
      </c>
      <c r="GB79" s="0" t="e">
        <f aca="false">CONCATENATE(B$3,$GA79)</f>
        <v>#REF!</v>
      </c>
      <c r="GC79" s="0" t="e">
        <f aca="false">CONCATENATE(D$3,$GA79)</f>
        <v>#REF!</v>
      </c>
      <c r="GD79" s="0" t="e">
        <f aca="false">CONCATENATE(F$3,$GA79)</f>
        <v>#REF!</v>
      </c>
      <c r="GE79" s="0" t="e">
        <f aca="false">CONCATENATE(H$3,$GA79)</f>
        <v>#REF!</v>
      </c>
      <c r="GG79" s="65" t="e">
        <f aca="false">VLOOKUP(GB79,skewlook,HLOOKUP($P79,skewlook,2),FALSE())</f>
        <v>#REF!</v>
      </c>
      <c r="GH79" s="65" t="e">
        <f aca="false">VLOOKUP(GC79,skewlook,HLOOKUP($W79,skewlook,2),FALSE())</f>
        <v>#REF!</v>
      </c>
      <c r="GI79" s="65" t="e">
        <f aca="false">VLOOKUP(GD79,skewlook,HLOOKUP($AD79,skewlook,2),FALSE())</f>
        <v>#REF!</v>
      </c>
      <c r="GJ79" s="65" t="e">
        <f aca="false">VLOOKUP(GE79,skewlook,HLOOKUP($AK79,skewlook,2),FALSE())</f>
        <v>#REF!</v>
      </c>
    </row>
    <row r="80" customFormat="false" ht="12.75" hidden="false" customHeight="false" outlineLevel="0" collapsed="false">
      <c r="A80" s="62" t="n">
        <f aca="false">DATE(YEAR(A79),MONTH(A79)+1,1)</f>
        <v>38534</v>
      </c>
      <c r="B80" s="63" t="n">
        <f aca="false">VLOOKUP(A80,STRADDLE,5,FALSE())</f>
        <v>3.325</v>
      </c>
      <c r="C80" s="4" t="n">
        <f aca="false">VLOOKUP(A80,STRADDLE,8,FALSE())</f>
        <v>0.28</v>
      </c>
      <c r="D80" s="64" t="n">
        <f aca="false">VLOOKUP(A80,expiration,2,FALSE())-$B$2</f>
        <v>-7396</v>
      </c>
      <c r="E80" s="65" t="e">
        <f aca="false">AY80</f>
        <v>#NAME?</v>
      </c>
      <c r="F80" s="65" t="e">
        <f aca="false">CI80</f>
        <v>#NAME?</v>
      </c>
      <c r="G80" s="65" t="e">
        <f aca="false">DR80</f>
        <v>#NAME?</v>
      </c>
      <c r="H80" s="65" t="e">
        <f aca="false">FA80</f>
        <v>#NAME?</v>
      </c>
      <c r="I80" s="66"/>
      <c r="J80" s="67"/>
      <c r="K80" s="63" t="n">
        <f aca="false">IF($B$3="NYMEX",0,VLOOKUP($A80,curvesettle,HLOOKUP($B$3,curvesettle,2,FALSE()),FALSE()))</f>
        <v>-0.15</v>
      </c>
      <c r="L80" s="63" t="n">
        <f aca="false">IF($B$4="NYMEX",0,VLOOKUP($A80,curvesettle,HLOOKUP($B$4,curvesettle,2,FALSE()),FALSE()))</f>
        <v>0</v>
      </c>
      <c r="M80" s="65" t="n">
        <f aca="false">IF(ISNUMBER(VLOOKUP($A80,VOLCURVES,HLOOKUP($B$3,VOLCURVES,2,FALSE()),FALSE())),VLOOKUP($A80,VOLCURVES,HLOOKUP($B$3,VOLCURVES,2,FALSE()),FALSE()),1)</f>
        <v>1</v>
      </c>
      <c r="N80" s="65" t="n">
        <f aca="false">IF(ISNUMBER(VLOOKUP($A80,VOLCURVES,HLOOKUP($B$4,VOLCURVES,2,FALSE()),FALSE())),VLOOKUP($A80,VOLCURVES,HLOOKUP($B$4,VOLCURVES,2,FALSE()),FALSE()),1)</f>
        <v>1</v>
      </c>
      <c r="O80" s="65" t="n">
        <f aca="false">IF(ISNUMBER(VLOOKUP($A80,CORETABLE,HLOOKUP($B$3,CORETABLE,2,FALSE()),FALSE())),VLOOKUP($A80,CORETABLE,HLOOKUP($B$3,CORETABLE,2,FALSE()),FALSE()),0.99)</f>
        <v>0.9945</v>
      </c>
      <c r="P80" s="68" t="n">
        <f aca="false">B$19</f>
        <v>-0.2</v>
      </c>
      <c r="Q80" s="69" t="n">
        <f aca="false">IF($B$18=1,IF(ISNUMBER($GG80),$GG80,0),0)</f>
        <v>0</v>
      </c>
      <c r="R80" s="70" t="n">
        <f aca="false">IF($D$3="NYMEX",0,VLOOKUP($A80,curvesettle,HLOOKUP($D$3,curvesettle,2,FALSE()),FALSE()))</f>
        <v>0.23</v>
      </c>
      <c r="S80" s="63" t="n">
        <f aca="false">IF($D$4="NYMEX",0,VLOOKUP($A80,curvesettle,HLOOKUP($D$4,curvesettle,2,FALSE()),FALSE()))</f>
        <v>0</v>
      </c>
      <c r="T80" s="65" t="n">
        <f aca="false">IF(ISNUMBER(VLOOKUP($A80,VOLCURVES,HLOOKUP($D$3,VOLCURVES,2,FALSE()),FALSE())),VLOOKUP($A80,VOLCURVES,HLOOKUP($D$3,VOLCURVES,2,FALSE()),FALSE()),1)</f>
        <v>1</v>
      </c>
      <c r="U80" s="65" t="n">
        <f aca="false">IF(ISNUMBER(VLOOKUP($A80,VOLCURVES,HLOOKUP($D$4,VOLCURVES,2,FALSE()),FALSE())),VLOOKUP($A80,VOLCURVES,HLOOKUP($D$4,VOLCURVES,2,FALSE()),FALSE()),1)</f>
        <v>1</v>
      </c>
      <c r="V80" s="65" t="n">
        <f aca="false">IF(ISNUMBER(VLOOKUP($A80,CORETABLE,HLOOKUP($D$3,CORETABLE,2,FALSE()),FALSE())),VLOOKUP($A80,CORETABLE,HLOOKUP($D$3,CORETABLE,2,FALSE()),FALSE()),0.99)</f>
        <v>0.98</v>
      </c>
      <c r="W80" s="68" t="n">
        <f aca="false">D$19</f>
        <v>0</v>
      </c>
      <c r="X80" s="69" t="n">
        <f aca="false">IF($D$18=1,IF(ISNUMBER($GH80),$GH80,0),0)</f>
        <v>0</v>
      </c>
      <c r="Y80" s="71" t="n">
        <f aca="false">IF($F$3="NYMEX",0,VLOOKUP($A80,curvesettle,HLOOKUP($F$3,curvesettle,2,FALSE()),FALSE()))</f>
        <v>-0.42</v>
      </c>
      <c r="Z80" s="63" t="n">
        <f aca="false">IF($F$4="NYMEX",0,VLOOKUP($A80,curvesettle,HLOOKUP($F$4,curvesettle,2,FALSE()),FALSE()))</f>
        <v>0</v>
      </c>
      <c r="AA80" s="65" t="n">
        <f aca="false">IF(ISNUMBER(VLOOKUP($A80,VOLCURVES,HLOOKUP($F$3,VOLCURVES,2,FALSE()),FALSE())),VLOOKUP($A80,VOLCURVES,HLOOKUP($F$3,VOLCURVES,2,FALSE()),FALSE()),1)</f>
        <v>1</v>
      </c>
      <c r="AB80" s="65" t="n">
        <f aca="false">IF(ISNUMBER(VLOOKUP($A80,VOLCURVES,HLOOKUP($F$4,VOLCURVES,2,FALSE()),FALSE())),VLOOKUP($A80,VOLCURVES,HLOOKUP($F$4,VOLCURVES,2,FALSE()),FALSE()),1)</f>
        <v>1</v>
      </c>
      <c r="AC80" s="65" t="n">
        <f aca="false">IF(ISNUMBER(VLOOKUP($A80,CORETABLE,HLOOKUP($F$3,CORETABLE,2,FALSE()),FALSE())),VLOOKUP($A80,CORETABLE,HLOOKUP($F$3,CORETABLE,2,FALSE()),FALSE()),0.99)</f>
        <v>0.96</v>
      </c>
      <c r="AD80" s="68" t="n">
        <f aca="false">F$19</f>
        <v>-0.6</v>
      </c>
      <c r="AE80" s="69" t="n">
        <f aca="false">IF($F$18=1,IF(ISNUMBER($GI80),$GI80,0),0)</f>
        <v>0</v>
      </c>
      <c r="AF80" s="63" t="n">
        <f aca="false">IF($H$3="NYMEX",0,VLOOKUP($A80,curvesettle,HLOOKUP($H$3,curvesettle,2,FALSE()),FALSE()))</f>
        <v>-0.42</v>
      </c>
      <c r="AG80" s="63" t="n">
        <f aca="false">IF($H$4="NYMEX",0,VLOOKUP($A80,curvesettle,HLOOKUP($H$4,curvesettle,2,FALSE()),FALSE()))</f>
        <v>0</v>
      </c>
      <c r="AH80" s="65" t="n">
        <f aca="false">IF(ISNUMBER(VLOOKUP($A80,VOLCURVES,HLOOKUP($H$3,VOLCURVES,2,FALSE()),FALSE())),VLOOKUP($A80,VOLCURVES,HLOOKUP($H$3,VOLCURVES,2,FALSE()),FALSE()),1)</f>
        <v>1</v>
      </c>
      <c r="AI80" s="65" t="n">
        <f aca="false">IF(ISNUMBER(VLOOKUP($A80,VOLCURVES,HLOOKUP($H$4,VOLCURVES,2,FALSE()),FALSE())),VLOOKUP($A80,VOLCURVES,HLOOKUP($H$4,VOLCURVES,2,FALSE()),FALSE()),1)</f>
        <v>1</v>
      </c>
      <c r="AJ80" s="65" t="n">
        <f aca="false">IF(ISNUMBER(VLOOKUP($A80,CORETABLE,HLOOKUP($H$3,CORETABLE,2,FALSE()),FALSE())),VLOOKUP($A80,CORETABLE,HLOOKUP($H$3,CORETABLE,2,FALSE()),FALSE()),0.99)</f>
        <v>0.96</v>
      </c>
      <c r="AK80" s="68" t="n">
        <f aca="false">H$19</f>
        <v>-0.45</v>
      </c>
      <c r="AL80" s="69" t="n">
        <f aca="false">IF($H$18=1,IF(ISNUMBER($GJ80),$GJ80,0),0)</f>
        <v>0</v>
      </c>
      <c r="AM80" s="4" t="n">
        <f aca="false">VLOOKUP($A80,STRADDLE,14,FALSE())</f>
        <v>0.0454931128840683</v>
      </c>
      <c r="AN80" s="72" t="n">
        <f aca="false">A81-A80</f>
        <v>31</v>
      </c>
      <c r="AO80" s="1" t="n">
        <f aca="false">AO79+1</f>
        <v>43</v>
      </c>
      <c r="AP80" s="73" t="n">
        <f aca="false">IF($A80&gt;=AR$32,IF($A80&lt;=AR$33,$AN80,0),0)</f>
        <v>0</v>
      </c>
      <c r="AQ80" s="41" t="n">
        <f aca="false">$B80+$K80+$B$12</f>
        <v>3.175</v>
      </c>
      <c r="AR80" s="41" t="n">
        <f aca="false">$B80+$L80+$B$13</f>
        <v>3.325</v>
      </c>
      <c r="AS80" s="41" t="n">
        <f aca="false">AQ80*AP80</f>
        <v>0</v>
      </c>
      <c r="AT80" s="41" t="n">
        <f aca="false">AR80*AP80</f>
        <v>0</v>
      </c>
      <c r="AU80" s="74" t="n">
        <f aca="false">($C80*$M80)+Q80+$B$14</f>
        <v>0.28</v>
      </c>
      <c r="AV80" s="74" t="n">
        <f aca="false">($C80*$N80)+$B$15</f>
        <v>0.28</v>
      </c>
      <c r="AW80" s="65" t="n">
        <f aca="false">O80+B$16</f>
        <v>0.999</v>
      </c>
      <c r="AX80" s="75" t="n">
        <f aca="false">IF(AP80=0,0,SPRDOPT(AQ80,AR80,$P80,$AM80,AU80,AV80,AW80,$D80,$B$20,0))</f>
        <v>0</v>
      </c>
      <c r="AY80" s="75" t="e">
        <f aca="false">IF(AQ80=0,0,SPRDOPT(AQ80,AR80,$P80,$AM80,AU80,AV80,AW80,$D80,$B$20,1))</f>
        <v>#NAME?</v>
      </c>
      <c r="AZ80" s="75" t="e">
        <f aca="false">IF(AR80=0,0,SPRDOPT(AQ80,AR80,$P80,$AM80,AU80,AV80,AW80,$D80,$B$20,2))</f>
        <v>#NAME?</v>
      </c>
      <c r="BA80" s="75" t="n">
        <f aca="false">IF(AS80=0,0,SPRDOPT(AQ80,AR80,$P80,$AM80,AU80,AV80,AW80,$D80,$B$20,3)/100)</f>
        <v>0</v>
      </c>
      <c r="BB80" s="75" t="n">
        <f aca="false">IF(AT80=0,0,SPRDOPT(AQ80,AR80,$P80,$AM80,AU80,AV80,AW80,$D80,$B$20,4)/100)</f>
        <v>0</v>
      </c>
      <c r="BC80" s="75" t="e">
        <f aca="false">IF(AU80=0,0,SPRDOPT(AQ80,AR80,$P80,$AM80,AU80,AV80,AW80,$D80,$B$20,5)/100)</f>
        <v>#NAME?</v>
      </c>
      <c r="BD80" s="75" t="e">
        <f aca="false">IF(AV80=0,0,SPRDOPT(AQ80,AR80,$P80,$AM80,AU80,AV80,AW80,$D80,$B$20,6)/100)</f>
        <v>#NAME?</v>
      </c>
      <c r="BE80" s="75" t="e">
        <f aca="false">IF(AW80=0,0,SPRDOPT(AQ80,AR80,$P80,$AM80,AU80,AV80,AW80,$D80,$B$20,7)/100)</f>
        <v>#NAME?</v>
      </c>
      <c r="BF80" s="75" t="n">
        <f aca="false">IF(AX80=0,0,SPRDOPT(AQ80,AR80,$P80,$AM80,AU80,AV80,AW80,$D80,$B$20,9)/365)</f>
        <v>0</v>
      </c>
      <c r="BG80" s="75" t="e">
        <f aca="false">AY80+AZ80</f>
        <v>#NAME?</v>
      </c>
      <c r="BH80" s="75" t="n">
        <f aca="false">BB80-BA80</f>
        <v>0</v>
      </c>
      <c r="BI80" s="75" t="e">
        <f aca="false">((AU80/AV80)*BC80)+BD80</f>
        <v>#NAME?</v>
      </c>
      <c r="BJ80" s="75" t="n">
        <f aca="false">AW80*AP80</f>
        <v>0</v>
      </c>
      <c r="BK80" s="76"/>
      <c r="BL80" s="37" t="n">
        <f aca="false">$AP80*AX80</f>
        <v>0</v>
      </c>
      <c r="BM80" s="37" t="e">
        <f aca="false">$AP80*AY80</f>
        <v>#NAME?</v>
      </c>
      <c r="BN80" s="37" t="e">
        <f aca="false">$AP80*AZ80</f>
        <v>#NAME?</v>
      </c>
      <c r="BO80" s="37" t="n">
        <f aca="false">$AP80*BA80</f>
        <v>0</v>
      </c>
      <c r="BP80" s="37" t="n">
        <f aca="false">$AP80*BB80</f>
        <v>0</v>
      </c>
      <c r="BQ80" s="37" t="e">
        <f aca="false">$AP80*BC80</f>
        <v>#NAME?</v>
      </c>
      <c r="BR80" s="37" t="e">
        <f aca="false">$AP80*BD80</f>
        <v>#NAME?</v>
      </c>
      <c r="BS80" s="37" t="e">
        <f aca="false">$AP80*BE80</f>
        <v>#NAME?</v>
      </c>
      <c r="BT80" s="37" t="n">
        <f aca="false">$AP80*BF80</f>
        <v>0</v>
      </c>
      <c r="BU80" s="37" t="e">
        <f aca="false">$AP80*BG80</f>
        <v>#NAME?</v>
      </c>
      <c r="BV80" s="37" t="n">
        <f aca="false">$AP80*BH80</f>
        <v>0</v>
      </c>
      <c r="BW80" s="37" t="e">
        <f aca="false">$AP80*BI80</f>
        <v>#NAME?</v>
      </c>
      <c r="BX80" s="37"/>
      <c r="BZ80" s="73" t="n">
        <f aca="false">IF($A80&gt;=CB$32,IF($A80&lt;=CB$33,$AN80,0),0)</f>
        <v>0</v>
      </c>
      <c r="CA80" s="41" t="n">
        <f aca="false">$B80+$R80+$D$12</f>
        <v>3.555</v>
      </c>
      <c r="CB80" s="41" t="n">
        <f aca="false">$B80+$S80+$D$13</f>
        <v>3.325</v>
      </c>
      <c r="CC80" s="41" t="n">
        <f aca="false">CA80*BZ80</f>
        <v>0</v>
      </c>
      <c r="CD80" s="41" t="n">
        <f aca="false">CB80*BZ80</f>
        <v>0</v>
      </c>
      <c r="CE80" s="74" t="n">
        <f aca="false">($C80*$T80)+X80+$D$14</f>
        <v>0.28</v>
      </c>
      <c r="CF80" s="74" t="n">
        <f aca="false">($C80*$U80)+$D$15</f>
        <v>0.28</v>
      </c>
      <c r="CG80" s="65" t="n">
        <f aca="false">$V80+D$16</f>
        <v>0.98</v>
      </c>
      <c r="CH80" s="75" t="n">
        <f aca="false">IF(BZ80=0,0,SPRDOPT(CA80,CB80,$W80,$AM80,CE80,CF80,CG80,$D80,$D$20,0))</f>
        <v>0</v>
      </c>
      <c r="CI80" s="75" t="e">
        <f aca="false">IF(CA80=0,0,SPRDOPT(CA80,CB80,$W80,$AM80,CE80,CF80,CG80,$D80,$D$20,1))</f>
        <v>#NAME?</v>
      </c>
      <c r="CJ80" s="75" t="e">
        <f aca="false">IF(CB80=0,0,SPRDOPT(CA80,CB80,$W80,$AM80,CE80,CF80,CG80,$D80,$D$20,2))</f>
        <v>#NAME?</v>
      </c>
      <c r="CK80" s="75" t="n">
        <f aca="false">IF(CC80=0,0,SPRDOPT(CA80,CB80,$W80,$AM80,CE80,CF80,CG80,$D80,$D$20,3)/100)</f>
        <v>0</v>
      </c>
      <c r="CL80" s="75" t="n">
        <f aca="false">IF(CD80=0,0,SPRDOPT(CA80,CB80,$W80,$AM80,CE80,CF80,CG80,$D80,$D$20,4)/100)</f>
        <v>0</v>
      </c>
      <c r="CM80" s="75" t="e">
        <f aca="false">IF(CE80=0,0,SPRDOPT(CA80,CB80,$W80,$AM80,CE80,CF80,CG80,$D80,$D$20,5)/100)</f>
        <v>#NAME?</v>
      </c>
      <c r="CN80" s="75" t="e">
        <f aca="false">IF(CF80=0,0,SPRDOPT(CA80,CB80,$W80,$AM80,CE80,CF80,CG80,$D80,$D$20,6)/100)</f>
        <v>#NAME?</v>
      </c>
      <c r="CO80" s="75" t="e">
        <f aca="false">IF(CG80=0,0,SPRDOPT(CA80,CB80,$W80,$AM80,CE80,CF80,CG80,$D80,$D$20,7)/100)</f>
        <v>#NAME?</v>
      </c>
      <c r="CP80" s="75" t="n">
        <f aca="false">IF(CH80=0,0,SPRDOPT(CA80,CB80,$W80,$AM80,CE80,CF80,CG80,$D80,$D$20,9)/365)</f>
        <v>0</v>
      </c>
      <c r="CQ80" s="75" t="e">
        <f aca="false">CI80+CJ80</f>
        <v>#NAME?</v>
      </c>
      <c r="CR80" s="75" t="n">
        <f aca="false">CL80-CK80</f>
        <v>0</v>
      </c>
      <c r="CS80" s="75" t="e">
        <f aca="false">((CE80/CF80)*CM80)+CN80</f>
        <v>#NAME?</v>
      </c>
      <c r="CT80" s="75" t="n">
        <f aca="false">CG80*BZ80</f>
        <v>0</v>
      </c>
      <c r="CU80" s="76"/>
      <c r="CV80" s="37" t="n">
        <f aca="false">BZ80*CH80</f>
        <v>0</v>
      </c>
      <c r="CW80" s="37" t="e">
        <f aca="false">BZ80*CI80</f>
        <v>#NAME?</v>
      </c>
      <c r="CX80" s="37" t="e">
        <f aca="false">BZ80*CJ80</f>
        <v>#NAME?</v>
      </c>
      <c r="CY80" s="37" t="n">
        <f aca="false">BZ80*CK80</f>
        <v>0</v>
      </c>
      <c r="CZ80" s="37" t="n">
        <f aca="false">BZ80*CL80</f>
        <v>0</v>
      </c>
      <c r="DA80" s="37" t="e">
        <f aca="false">BZ80*CM80</f>
        <v>#NAME?</v>
      </c>
      <c r="DB80" s="37" t="e">
        <f aca="false">BZ80*CN80</f>
        <v>#NAME?</v>
      </c>
      <c r="DC80" s="37" t="e">
        <f aca="false">BZ80*CO80</f>
        <v>#NAME?</v>
      </c>
      <c r="DD80" s="37" t="n">
        <f aca="false">BZ80*CP80</f>
        <v>0</v>
      </c>
      <c r="DE80" s="37" t="e">
        <f aca="false">BZ80*CQ80</f>
        <v>#NAME?</v>
      </c>
      <c r="DF80" s="37" t="n">
        <f aca="false">BZ80*CR80</f>
        <v>0</v>
      </c>
      <c r="DG80" s="37" t="e">
        <f aca="false">BZ80*CS80</f>
        <v>#NAME?</v>
      </c>
      <c r="DI80" s="73" t="n">
        <f aca="false">IF($A80&gt;=DK$32,IF($A80&lt;=DK$33,$AN80,0),0)</f>
        <v>0</v>
      </c>
      <c r="DJ80" s="41" t="n">
        <f aca="false">$B80+$Y80+$F$12</f>
        <v>2.905</v>
      </c>
      <c r="DK80" s="41" t="n">
        <f aca="false">$B80+$Z80+$F$13</f>
        <v>3.325</v>
      </c>
      <c r="DL80" s="41" t="n">
        <f aca="false">DJ80*DI80</f>
        <v>0</v>
      </c>
      <c r="DM80" s="41" t="n">
        <f aca="false">DK80*DI80</f>
        <v>0</v>
      </c>
      <c r="DN80" s="74" t="n">
        <f aca="false">($C80*$AA80)+AE80+$F$14</f>
        <v>0.28</v>
      </c>
      <c r="DO80" s="74" t="n">
        <f aca="false">($C80*$AB80)+$F$15</f>
        <v>0.28</v>
      </c>
      <c r="DP80" s="65" t="n">
        <f aca="false">$AC80+$F$16</f>
        <v>0.96</v>
      </c>
      <c r="DQ80" s="75" t="n">
        <f aca="false">IF(DI80=0,0,SPRDOPT(DJ80,DK80,$AD80,$AM80,DN80,DO80,DP80,$D80,$F$20,0))</f>
        <v>0</v>
      </c>
      <c r="DR80" s="75" t="e">
        <f aca="false">IF(DJ80=0,0,SPRDOPT(DJ80,DK80,$AD80,$AM80,DN80,DO80,DP80,$D80,$F$20,1))</f>
        <v>#NAME?</v>
      </c>
      <c r="DS80" s="75" t="e">
        <f aca="false">IF(DK80=0,0,SPRDOPT(DJ80,DK80,$AD80,$AM80,DN80,DO80,DP80,$D80,$F$20,2))</f>
        <v>#NAME?</v>
      </c>
      <c r="DT80" s="75" t="n">
        <f aca="false">IF(DL80=0,0,SPRDOPT(DJ80,DK80,$AD80,$AM80,DN80,DO80,DP80,$D80,$F$20,3)/100)</f>
        <v>0</v>
      </c>
      <c r="DU80" s="75" t="n">
        <f aca="false">IF(DM80=0,0,SPRDOPT(DJ80,DK80,$AD80,$AM80,DN80,DO80,DP80,$D80,$F$20,4)/100)</f>
        <v>0</v>
      </c>
      <c r="DV80" s="75" t="e">
        <f aca="false">IF(DN80=0,0,SPRDOPT(DJ80,DK80,$AD80,$AM80,DN80,DO80,DP80,$D80,$F$20,5)/100)</f>
        <v>#NAME?</v>
      </c>
      <c r="DW80" s="75" t="e">
        <f aca="false">IF(DO80=0,0,SPRDOPT(DJ80,DK80,$AD80,$AM80,DN80,DO80,DP80,$D80,$F$20,6)/100)</f>
        <v>#NAME?</v>
      </c>
      <c r="DX80" s="75" t="e">
        <f aca="false">IF(DP80=0,0,SPRDOPT(DJ80,DK80,$AD80,$AM80,DN80,DO80,DP80,$D80,$F$20,7)/100)</f>
        <v>#NAME?</v>
      </c>
      <c r="DY80" s="75" t="n">
        <f aca="false">IF(DQ80=0,0,SPRDOPT(DJ80,DK80,$AD80,$AM80,DN80,DO80,DP80,$D80,$F$20,9)/365)</f>
        <v>0</v>
      </c>
      <c r="DZ80" s="75" t="e">
        <f aca="false">DR80+DS80</f>
        <v>#NAME?</v>
      </c>
      <c r="EA80" s="75" t="n">
        <f aca="false">DU80-DT80</f>
        <v>0</v>
      </c>
      <c r="EB80" s="75" t="e">
        <f aca="false">((DN80/DO80)*DV80)+DW80</f>
        <v>#NAME?</v>
      </c>
      <c r="EC80" s="75" t="n">
        <f aca="false">DP80*DI80</f>
        <v>0</v>
      </c>
      <c r="ED80" s="75"/>
      <c r="EE80" s="37" t="n">
        <f aca="false">DI80*DQ80</f>
        <v>0</v>
      </c>
      <c r="EF80" s="37" t="e">
        <f aca="false">DI80*DR80</f>
        <v>#NAME?</v>
      </c>
      <c r="EG80" s="37" t="e">
        <f aca="false">DI80*DS80</f>
        <v>#NAME?</v>
      </c>
      <c r="EH80" s="37" t="n">
        <f aca="false">DI80*DT80</f>
        <v>0</v>
      </c>
      <c r="EI80" s="37" t="n">
        <f aca="false">DI80*DU80</f>
        <v>0</v>
      </c>
      <c r="EJ80" s="37" t="e">
        <f aca="false">DI80*DV80</f>
        <v>#NAME?</v>
      </c>
      <c r="EK80" s="37" t="e">
        <f aca="false">DI80*DW80</f>
        <v>#NAME?</v>
      </c>
      <c r="EL80" s="37" t="e">
        <f aca="false">DI80*DX80</f>
        <v>#NAME?</v>
      </c>
      <c r="EM80" s="37" t="n">
        <f aca="false">DI80*DY80</f>
        <v>0</v>
      </c>
      <c r="EN80" s="37" t="e">
        <f aca="false">DI80*DZ80</f>
        <v>#NAME?</v>
      </c>
      <c r="EO80" s="37" t="n">
        <f aca="false">DI80*EA80</f>
        <v>0</v>
      </c>
      <c r="EP80" s="37" t="e">
        <f aca="false">DI80*EB80</f>
        <v>#NAME?</v>
      </c>
      <c r="ER80" s="73" t="n">
        <f aca="false">IF($A80&gt;=ET$32,IF($A80&lt;=ET$33,$AN80,0),0)</f>
        <v>0</v>
      </c>
      <c r="ES80" s="41" t="n">
        <f aca="false">$B80+$AF80+$H$12</f>
        <v>2.965</v>
      </c>
      <c r="ET80" s="41" t="n">
        <f aca="false">$B80+$AG80+$H$13</f>
        <v>3.325</v>
      </c>
      <c r="EU80" s="41" t="n">
        <f aca="false">ES80*ER80</f>
        <v>0</v>
      </c>
      <c r="EV80" s="41" t="n">
        <f aca="false">ET80*ER80</f>
        <v>0</v>
      </c>
      <c r="EW80" s="74" t="n">
        <f aca="false">($C80*$AH80)+AL80+$H$14</f>
        <v>0.28</v>
      </c>
      <c r="EX80" s="74" t="n">
        <f aca="false">($C80*$AI80)+$H$15</f>
        <v>0.28</v>
      </c>
      <c r="EY80" s="65" t="n">
        <f aca="false">$AJ80+$H$16</f>
        <v>0.96</v>
      </c>
      <c r="EZ80" s="75" t="n">
        <f aca="false">IF(ER80=0,0,SPRDOPT(ES80,ET80,$AK80,$AM80,EW80,EX80,EY80,$D80,$H$20,0))</f>
        <v>0</v>
      </c>
      <c r="FA80" s="75" t="e">
        <f aca="false">IF(ES80=0,0,SPRDOPT(ES80,ET80,$AK80,$AM80,EW80,EX80,EY80,$D80,$H$20,1))</f>
        <v>#NAME?</v>
      </c>
      <c r="FB80" s="75" t="e">
        <f aca="false">IF(ET80=0,0,SPRDOPT(ES80,ET80,$AK80,$AM80,EW80,EX80,EY80,$D80,$H$20,2))</f>
        <v>#NAME?</v>
      </c>
      <c r="FC80" s="75" t="n">
        <f aca="false">IF(EU80=0,0,SPRDOPT(ES80,ET80,$AK80,$AM80,EW80,EX80,EY80,$D80,$H$20,3)/100)</f>
        <v>0</v>
      </c>
      <c r="FD80" s="75" t="n">
        <f aca="false">IF(EV80=0,0,SPRDOPT(ES80,ET80,$AK80,$AM80,EW80,EX80,EY80,$D80,$H$20,4)/100)</f>
        <v>0</v>
      </c>
      <c r="FE80" s="75" t="e">
        <f aca="false">IF(EW80=0,0,SPRDOPT(ES80,ET80,$AK80,$AM80,EW80,EX80,EY80,$D80,$H$20,5)/100)</f>
        <v>#NAME?</v>
      </c>
      <c r="FF80" s="75" t="e">
        <f aca="false">IF(EX80=0,0,SPRDOPT(ES80,ET80,$AK80,$AM80,EW80,EX80,EY80,$D80,$H$20,6)/100)</f>
        <v>#NAME?</v>
      </c>
      <c r="FG80" s="75" t="e">
        <f aca="false">IF(EY80=0,0,SPRDOPT(ES80,ET80,$AK80,$AM80,EW80,EX80,EY80,$D80,$H$20,7)/100)</f>
        <v>#NAME?</v>
      </c>
      <c r="FH80" s="75" t="n">
        <f aca="false">IF(EZ80=0,0,SPRDOPT(ES80,ET80,$AK80,$AM80,EW80,EX80,EY80,$D80,$H$20,9)/365)</f>
        <v>0</v>
      </c>
      <c r="FI80" s="75" t="e">
        <f aca="false">FA80+FB80</f>
        <v>#NAME?</v>
      </c>
      <c r="FJ80" s="75" t="n">
        <f aca="false">FD80-FC80</f>
        <v>0</v>
      </c>
      <c r="FK80" s="75" t="e">
        <f aca="false">((EW80/EX80)*FE80)+FF80</f>
        <v>#NAME?</v>
      </c>
      <c r="FL80" s="75" t="n">
        <f aca="false">EY80*ER80</f>
        <v>0</v>
      </c>
      <c r="FM80" s="75"/>
      <c r="FN80" s="37" t="n">
        <f aca="false">$ER80*EZ80</f>
        <v>0</v>
      </c>
      <c r="FO80" s="37" t="e">
        <f aca="false">$ER80*FA80</f>
        <v>#NAME?</v>
      </c>
      <c r="FP80" s="37" t="e">
        <f aca="false">$ER80*FB80</f>
        <v>#NAME?</v>
      </c>
      <c r="FQ80" s="37" t="n">
        <f aca="false">$ER80*FC80</f>
        <v>0</v>
      </c>
      <c r="FR80" s="37" t="n">
        <f aca="false">$ER80*FD80</f>
        <v>0</v>
      </c>
      <c r="FS80" s="37" t="e">
        <f aca="false">$ER80*FE80</f>
        <v>#NAME?</v>
      </c>
      <c r="FT80" s="37" t="e">
        <f aca="false">$ER80*FF80</f>
        <v>#NAME?</v>
      </c>
      <c r="FU80" s="37" t="e">
        <f aca="false">$ER80*FG80</f>
        <v>#NAME?</v>
      </c>
      <c r="FV80" s="37" t="n">
        <f aca="false">$ER80*FH80</f>
        <v>0</v>
      </c>
      <c r="FW80" s="37" t="e">
        <f aca="false">$ER80*FI80</f>
        <v>#NAME?</v>
      </c>
      <c r="FX80" s="37" t="n">
        <f aca="false">$ER80*FJ80</f>
        <v>0</v>
      </c>
      <c r="FY80" s="37" t="e">
        <f aca="false">$ER80*FK80</f>
        <v>#NAME?</v>
      </c>
      <c r="GA80" s="77" t="e">
        <f aca="false">VLOOKUP(A80,skewmonthlook,2,FALSE())</f>
        <v>#REF!</v>
      </c>
      <c r="GB80" s="0" t="e">
        <f aca="false">CONCATENATE(B$3,$GA80)</f>
        <v>#REF!</v>
      </c>
      <c r="GC80" s="0" t="e">
        <f aca="false">CONCATENATE(D$3,$GA80)</f>
        <v>#REF!</v>
      </c>
      <c r="GD80" s="0" t="e">
        <f aca="false">CONCATENATE(F$3,$GA80)</f>
        <v>#REF!</v>
      </c>
      <c r="GE80" s="0" t="e">
        <f aca="false">CONCATENATE(H$3,$GA80)</f>
        <v>#REF!</v>
      </c>
      <c r="GG80" s="65" t="e">
        <f aca="false">VLOOKUP(GB80,skewlook,HLOOKUP($P80,skewlook,2),FALSE())</f>
        <v>#REF!</v>
      </c>
      <c r="GH80" s="65" t="e">
        <f aca="false">VLOOKUP(GC80,skewlook,HLOOKUP($W80,skewlook,2),FALSE())</f>
        <v>#REF!</v>
      </c>
      <c r="GI80" s="65" t="e">
        <f aca="false">VLOOKUP(GD80,skewlook,HLOOKUP($AD80,skewlook,2),FALSE())</f>
        <v>#REF!</v>
      </c>
      <c r="GJ80" s="65" t="e">
        <f aca="false">VLOOKUP(GE80,skewlook,HLOOKUP($AK80,skewlook,2),FALSE())</f>
        <v>#REF!</v>
      </c>
    </row>
    <row r="81" customFormat="false" ht="12.75" hidden="false" customHeight="false" outlineLevel="0" collapsed="false">
      <c r="A81" s="62" t="n">
        <f aca="false">DATE(YEAR(A80),MONTH(A80)+1,1)</f>
        <v>38565</v>
      </c>
      <c r="B81" s="63" t="n">
        <f aca="false">VLOOKUP(A81,STRADDLE,5,FALSE())</f>
        <v>3.365</v>
      </c>
      <c r="C81" s="4" t="n">
        <f aca="false">VLOOKUP(A81,STRADDLE,8,FALSE())</f>
        <v>0.28</v>
      </c>
      <c r="D81" s="64" t="n">
        <f aca="false">VLOOKUP(A81,expiration,2,FALSE())-$B$2</f>
        <v>-7367</v>
      </c>
      <c r="E81" s="65" t="e">
        <f aca="false">AY81</f>
        <v>#NAME?</v>
      </c>
      <c r="F81" s="65" t="e">
        <f aca="false">CI81</f>
        <v>#NAME?</v>
      </c>
      <c r="G81" s="65" t="e">
        <f aca="false">DR81</f>
        <v>#NAME?</v>
      </c>
      <c r="H81" s="65" t="e">
        <f aca="false">FA81</f>
        <v>#NAME?</v>
      </c>
      <c r="I81" s="66"/>
      <c r="J81" s="67"/>
      <c r="K81" s="63" t="n">
        <f aca="false">IF($B$3="NYMEX",0,VLOOKUP($A81,curvesettle,HLOOKUP($B$3,curvesettle,2,FALSE()),FALSE()))</f>
        <v>-0.15</v>
      </c>
      <c r="L81" s="63" t="n">
        <f aca="false">IF($B$4="NYMEX",0,VLOOKUP($A81,curvesettle,HLOOKUP($B$4,curvesettle,2,FALSE()),FALSE()))</f>
        <v>0</v>
      </c>
      <c r="M81" s="65" t="n">
        <f aca="false">IF(ISNUMBER(VLOOKUP($A81,VOLCURVES,HLOOKUP($B$3,VOLCURVES,2,FALSE()),FALSE())),VLOOKUP($A81,VOLCURVES,HLOOKUP($B$3,VOLCURVES,2,FALSE()),FALSE()),1)</f>
        <v>1</v>
      </c>
      <c r="N81" s="65" t="n">
        <f aca="false">IF(ISNUMBER(VLOOKUP($A81,VOLCURVES,HLOOKUP($B$4,VOLCURVES,2,FALSE()),FALSE())),VLOOKUP($A81,VOLCURVES,HLOOKUP($B$4,VOLCURVES,2,FALSE()),FALSE()),1)</f>
        <v>1</v>
      </c>
      <c r="O81" s="65" t="n">
        <f aca="false">IF(ISNUMBER(VLOOKUP($A81,CORETABLE,HLOOKUP($B$3,CORETABLE,2,FALSE()),FALSE())),VLOOKUP($A81,CORETABLE,HLOOKUP($B$3,CORETABLE,2,FALSE()),FALSE()),0.99)</f>
        <v>0.9945</v>
      </c>
      <c r="P81" s="68" t="n">
        <f aca="false">B$19</f>
        <v>-0.2</v>
      </c>
      <c r="Q81" s="69" t="n">
        <f aca="false">IF($B$18=1,IF(ISNUMBER($GG81),$GG81,0),0)</f>
        <v>0</v>
      </c>
      <c r="R81" s="70" t="n">
        <f aca="false">IF($D$3="NYMEX",0,VLOOKUP($A81,curvesettle,HLOOKUP($D$3,curvesettle,2,FALSE()),FALSE()))</f>
        <v>0.23</v>
      </c>
      <c r="S81" s="63" t="n">
        <f aca="false">IF($D$4="NYMEX",0,VLOOKUP($A81,curvesettle,HLOOKUP($D$4,curvesettle,2,FALSE()),FALSE()))</f>
        <v>0</v>
      </c>
      <c r="T81" s="65" t="n">
        <f aca="false">IF(ISNUMBER(VLOOKUP($A81,VOLCURVES,HLOOKUP($D$3,VOLCURVES,2,FALSE()),FALSE())),VLOOKUP($A81,VOLCURVES,HLOOKUP($D$3,VOLCURVES,2,FALSE()),FALSE()),1)</f>
        <v>1</v>
      </c>
      <c r="U81" s="65" t="n">
        <f aca="false">IF(ISNUMBER(VLOOKUP($A81,VOLCURVES,HLOOKUP($D$4,VOLCURVES,2,FALSE()),FALSE())),VLOOKUP($A81,VOLCURVES,HLOOKUP($D$4,VOLCURVES,2,FALSE()),FALSE()),1)</f>
        <v>1</v>
      </c>
      <c r="V81" s="65" t="n">
        <f aca="false">IF(ISNUMBER(VLOOKUP($A81,CORETABLE,HLOOKUP($D$3,CORETABLE,2,FALSE()),FALSE())),VLOOKUP($A81,CORETABLE,HLOOKUP($D$3,CORETABLE,2,FALSE()),FALSE()),0.99)</f>
        <v>0.98</v>
      </c>
      <c r="W81" s="68" t="n">
        <f aca="false">D$19</f>
        <v>0</v>
      </c>
      <c r="X81" s="69" t="n">
        <f aca="false">IF($D$18=1,IF(ISNUMBER($GH81),$GH81,0),0)</f>
        <v>0</v>
      </c>
      <c r="Y81" s="71" t="n">
        <f aca="false">IF($F$3="NYMEX",0,VLOOKUP($A81,curvesettle,HLOOKUP($F$3,curvesettle,2,FALSE()),FALSE()))</f>
        <v>-0.42</v>
      </c>
      <c r="Z81" s="63" t="n">
        <f aca="false">IF($F$4="NYMEX",0,VLOOKUP($A81,curvesettle,HLOOKUP($F$4,curvesettle,2,FALSE()),FALSE()))</f>
        <v>0</v>
      </c>
      <c r="AA81" s="65" t="n">
        <f aca="false">IF(ISNUMBER(VLOOKUP($A81,VOLCURVES,HLOOKUP($F$3,VOLCURVES,2,FALSE()),FALSE())),VLOOKUP($A81,VOLCURVES,HLOOKUP($F$3,VOLCURVES,2,FALSE()),FALSE()),1)</f>
        <v>1</v>
      </c>
      <c r="AB81" s="65" t="n">
        <f aca="false">IF(ISNUMBER(VLOOKUP($A81,VOLCURVES,HLOOKUP($F$4,VOLCURVES,2,FALSE()),FALSE())),VLOOKUP($A81,VOLCURVES,HLOOKUP($F$4,VOLCURVES,2,FALSE()),FALSE()),1)</f>
        <v>1</v>
      </c>
      <c r="AC81" s="65" t="n">
        <f aca="false">IF(ISNUMBER(VLOOKUP($A81,CORETABLE,HLOOKUP($F$3,CORETABLE,2,FALSE()),FALSE())),VLOOKUP($A81,CORETABLE,HLOOKUP($F$3,CORETABLE,2,FALSE()),FALSE()),0.99)</f>
        <v>0.96</v>
      </c>
      <c r="AD81" s="68" t="n">
        <f aca="false">F$19</f>
        <v>-0.6</v>
      </c>
      <c r="AE81" s="69" t="n">
        <f aca="false">IF($F$18=1,IF(ISNUMBER($GI81),$GI81,0),0)</f>
        <v>0</v>
      </c>
      <c r="AF81" s="63" t="n">
        <f aca="false">IF($H$3="NYMEX",0,VLOOKUP($A81,curvesettle,HLOOKUP($H$3,curvesettle,2,FALSE()),FALSE()))</f>
        <v>-0.42</v>
      </c>
      <c r="AG81" s="63" t="n">
        <f aca="false">IF($H$4="NYMEX",0,VLOOKUP($A81,curvesettle,HLOOKUP($H$4,curvesettle,2,FALSE()),FALSE()))</f>
        <v>0</v>
      </c>
      <c r="AH81" s="65" t="n">
        <f aca="false">IF(ISNUMBER(VLOOKUP($A81,VOLCURVES,HLOOKUP($H$3,VOLCURVES,2,FALSE()),FALSE())),VLOOKUP($A81,VOLCURVES,HLOOKUP($H$3,VOLCURVES,2,FALSE()),FALSE()),1)</f>
        <v>1</v>
      </c>
      <c r="AI81" s="65" t="n">
        <f aca="false">IF(ISNUMBER(VLOOKUP($A81,VOLCURVES,HLOOKUP($H$4,VOLCURVES,2,FALSE()),FALSE())),VLOOKUP($A81,VOLCURVES,HLOOKUP($H$4,VOLCURVES,2,FALSE()),FALSE()),1)</f>
        <v>1</v>
      </c>
      <c r="AJ81" s="65" t="n">
        <f aca="false">IF(ISNUMBER(VLOOKUP($A81,CORETABLE,HLOOKUP($H$3,CORETABLE,2,FALSE()),FALSE())),VLOOKUP($A81,CORETABLE,HLOOKUP($H$3,CORETABLE,2,FALSE()),FALSE()),0.99)</f>
        <v>0.96</v>
      </c>
      <c r="AK81" s="68" t="n">
        <f aca="false">H$19</f>
        <v>-0.45</v>
      </c>
      <c r="AL81" s="69" t="n">
        <f aca="false">IF($H$18=1,IF(ISNUMBER($GJ81),$GJ81,0),0)</f>
        <v>0</v>
      </c>
      <c r="AM81" s="4" t="n">
        <f aca="false">VLOOKUP($A81,STRADDLE,14,FALSE())</f>
        <v>0.045909969215757</v>
      </c>
      <c r="AN81" s="72" t="n">
        <f aca="false">A82-A81</f>
        <v>31</v>
      </c>
      <c r="AO81" s="1" t="n">
        <f aca="false">AO80+1</f>
        <v>44</v>
      </c>
      <c r="AP81" s="73" t="n">
        <f aca="false">IF($A81&gt;=AR$32,IF($A81&lt;=AR$33,$AN81,0),0)</f>
        <v>0</v>
      </c>
      <c r="AQ81" s="41" t="n">
        <f aca="false">$B81+$K81+$B$12</f>
        <v>3.215</v>
      </c>
      <c r="AR81" s="41" t="n">
        <f aca="false">$B81+$L81+$B$13</f>
        <v>3.365</v>
      </c>
      <c r="AS81" s="41" t="n">
        <f aca="false">AQ81*AP81</f>
        <v>0</v>
      </c>
      <c r="AT81" s="41" t="n">
        <f aca="false">AR81*AP81</f>
        <v>0</v>
      </c>
      <c r="AU81" s="74" t="n">
        <f aca="false">($C81*$M81)+Q81+$B$14</f>
        <v>0.28</v>
      </c>
      <c r="AV81" s="74" t="n">
        <f aca="false">($C81*$N81)+$B$15</f>
        <v>0.28</v>
      </c>
      <c r="AW81" s="65" t="n">
        <f aca="false">O81+B$16</f>
        <v>0.999</v>
      </c>
      <c r="AX81" s="75" t="n">
        <f aca="false">IF(AP81=0,0,SPRDOPT(AQ81,AR81,$P81,$AM81,AU81,AV81,AW81,$D81,$B$20,0))</f>
        <v>0</v>
      </c>
      <c r="AY81" s="75" t="e">
        <f aca="false">IF(AQ81=0,0,SPRDOPT(AQ81,AR81,$P81,$AM81,AU81,AV81,AW81,$D81,$B$20,1))</f>
        <v>#NAME?</v>
      </c>
      <c r="AZ81" s="75" t="e">
        <f aca="false">IF(AR81=0,0,SPRDOPT(AQ81,AR81,$P81,$AM81,AU81,AV81,AW81,$D81,$B$20,2))</f>
        <v>#NAME?</v>
      </c>
      <c r="BA81" s="75" t="n">
        <f aca="false">IF(AS81=0,0,SPRDOPT(AQ81,AR81,$P81,$AM81,AU81,AV81,AW81,$D81,$B$20,3)/100)</f>
        <v>0</v>
      </c>
      <c r="BB81" s="75" t="n">
        <f aca="false">IF(AT81=0,0,SPRDOPT(AQ81,AR81,$P81,$AM81,AU81,AV81,AW81,$D81,$B$20,4)/100)</f>
        <v>0</v>
      </c>
      <c r="BC81" s="75" t="e">
        <f aca="false">IF(AU81=0,0,SPRDOPT(AQ81,AR81,$P81,$AM81,AU81,AV81,AW81,$D81,$B$20,5)/100)</f>
        <v>#NAME?</v>
      </c>
      <c r="BD81" s="75" t="e">
        <f aca="false">IF(AV81=0,0,SPRDOPT(AQ81,AR81,$P81,$AM81,AU81,AV81,AW81,$D81,$B$20,6)/100)</f>
        <v>#NAME?</v>
      </c>
      <c r="BE81" s="75" t="e">
        <f aca="false">IF(AW81=0,0,SPRDOPT(AQ81,AR81,$P81,$AM81,AU81,AV81,AW81,$D81,$B$20,7)/100)</f>
        <v>#NAME?</v>
      </c>
      <c r="BF81" s="75" t="n">
        <f aca="false">IF(AX81=0,0,SPRDOPT(AQ81,AR81,$P81,$AM81,AU81,AV81,AW81,$D81,$B$20,9)/365)</f>
        <v>0</v>
      </c>
      <c r="BG81" s="75" t="e">
        <f aca="false">AY81+AZ81</f>
        <v>#NAME?</v>
      </c>
      <c r="BH81" s="75" t="n">
        <f aca="false">BB81-BA81</f>
        <v>0</v>
      </c>
      <c r="BI81" s="75" t="e">
        <f aca="false">((AU81/AV81)*BC81)+BD81</f>
        <v>#NAME?</v>
      </c>
      <c r="BJ81" s="75" t="n">
        <f aca="false">AW81*AP81</f>
        <v>0</v>
      </c>
      <c r="BK81" s="76"/>
      <c r="BL81" s="37" t="n">
        <f aca="false">$AP81*AX81</f>
        <v>0</v>
      </c>
      <c r="BM81" s="37" t="e">
        <f aca="false">$AP81*AY81</f>
        <v>#NAME?</v>
      </c>
      <c r="BN81" s="37" t="e">
        <f aca="false">$AP81*AZ81</f>
        <v>#NAME?</v>
      </c>
      <c r="BO81" s="37" t="n">
        <f aca="false">$AP81*BA81</f>
        <v>0</v>
      </c>
      <c r="BP81" s="37" t="n">
        <f aca="false">$AP81*BB81</f>
        <v>0</v>
      </c>
      <c r="BQ81" s="37" t="e">
        <f aca="false">$AP81*BC81</f>
        <v>#NAME?</v>
      </c>
      <c r="BR81" s="37" t="e">
        <f aca="false">$AP81*BD81</f>
        <v>#NAME?</v>
      </c>
      <c r="BS81" s="37" t="e">
        <f aca="false">$AP81*BE81</f>
        <v>#NAME?</v>
      </c>
      <c r="BT81" s="37" t="n">
        <f aca="false">$AP81*BF81</f>
        <v>0</v>
      </c>
      <c r="BU81" s="37" t="e">
        <f aca="false">$AP81*BG81</f>
        <v>#NAME?</v>
      </c>
      <c r="BV81" s="37" t="n">
        <f aca="false">$AP81*BH81</f>
        <v>0</v>
      </c>
      <c r="BW81" s="37" t="e">
        <f aca="false">$AP81*BI81</f>
        <v>#NAME?</v>
      </c>
      <c r="BX81" s="37"/>
      <c r="BZ81" s="73" t="n">
        <f aca="false">IF($A81&gt;=CB$32,IF($A81&lt;=CB$33,$AN81,0),0)</f>
        <v>0</v>
      </c>
      <c r="CA81" s="41" t="n">
        <f aca="false">$B81+$R81+$D$12</f>
        <v>3.595</v>
      </c>
      <c r="CB81" s="41" t="n">
        <f aca="false">$B81+$S81+$D$13</f>
        <v>3.365</v>
      </c>
      <c r="CC81" s="41" t="n">
        <f aca="false">CA81*BZ81</f>
        <v>0</v>
      </c>
      <c r="CD81" s="41" t="n">
        <f aca="false">CB81*BZ81</f>
        <v>0</v>
      </c>
      <c r="CE81" s="74" t="n">
        <f aca="false">($C81*$T81)+X81+$D$14</f>
        <v>0.28</v>
      </c>
      <c r="CF81" s="74" t="n">
        <f aca="false">($C81*$U81)+$D$15</f>
        <v>0.28</v>
      </c>
      <c r="CG81" s="65" t="n">
        <f aca="false">$V81+D$16</f>
        <v>0.98</v>
      </c>
      <c r="CH81" s="75" t="n">
        <f aca="false">IF(BZ81=0,0,SPRDOPT(CA81,CB81,$W81,$AM81,CE81,CF81,CG81,$D81,$D$20,0))</f>
        <v>0</v>
      </c>
      <c r="CI81" s="75" t="e">
        <f aca="false">IF(CA81=0,0,SPRDOPT(CA81,CB81,$W81,$AM81,CE81,CF81,CG81,$D81,$D$20,1))</f>
        <v>#NAME?</v>
      </c>
      <c r="CJ81" s="75" t="e">
        <f aca="false">IF(CB81=0,0,SPRDOPT(CA81,CB81,$W81,$AM81,CE81,CF81,CG81,$D81,$D$20,2))</f>
        <v>#NAME?</v>
      </c>
      <c r="CK81" s="75" t="n">
        <f aca="false">IF(CC81=0,0,SPRDOPT(CA81,CB81,$W81,$AM81,CE81,CF81,CG81,$D81,$D$20,3)/100)</f>
        <v>0</v>
      </c>
      <c r="CL81" s="75" t="n">
        <f aca="false">IF(CD81=0,0,SPRDOPT(CA81,CB81,$W81,$AM81,CE81,CF81,CG81,$D81,$D$20,4)/100)</f>
        <v>0</v>
      </c>
      <c r="CM81" s="75" t="e">
        <f aca="false">IF(CE81=0,0,SPRDOPT(CA81,CB81,$W81,$AM81,CE81,CF81,CG81,$D81,$D$20,5)/100)</f>
        <v>#NAME?</v>
      </c>
      <c r="CN81" s="75" t="e">
        <f aca="false">IF(CF81=0,0,SPRDOPT(CA81,CB81,$W81,$AM81,CE81,CF81,CG81,$D81,$D$20,6)/100)</f>
        <v>#NAME?</v>
      </c>
      <c r="CO81" s="75" t="e">
        <f aca="false">IF(CG81=0,0,SPRDOPT(CA81,CB81,$W81,$AM81,CE81,CF81,CG81,$D81,$D$20,7)/100)</f>
        <v>#NAME?</v>
      </c>
      <c r="CP81" s="75" t="n">
        <f aca="false">IF(CH81=0,0,SPRDOPT(CA81,CB81,$W81,$AM81,CE81,CF81,CG81,$D81,$D$20,9)/365)</f>
        <v>0</v>
      </c>
      <c r="CQ81" s="75" t="e">
        <f aca="false">CI81+CJ81</f>
        <v>#NAME?</v>
      </c>
      <c r="CR81" s="75" t="n">
        <f aca="false">CL81-CK81</f>
        <v>0</v>
      </c>
      <c r="CS81" s="75" t="e">
        <f aca="false">((CE81/CF81)*CM81)+CN81</f>
        <v>#NAME?</v>
      </c>
      <c r="CT81" s="75" t="n">
        <f aca="false">CG81*BZ81</f>
        <v>0</v>
      </c>
      <c r="CU81" s="76"/>
      <c r="CV81" s="37" t="n">
        <f aca="false">BZ81*CH81</f>
        <v>0</v>
      </c>
      <c r="CW81" s="37" t="e">
        <f aca="false">BZ81*CI81</f>
        <v>#NAME?</v>
      </c>
      <c r="CX81" s="37" t="e">
        <f aca="false">BZ81*CJ81</f>
        <v>#NAME?</v>
      </c>
      <c r="CY81" s="37" t="n">
        <f aca="false">BZ81*CK81</f>
        <v>0</v>
      </c>
      <c r="CZ81" s="37" t="n">
        <f aca="false">BZ81*CL81</f>
        <v>0</v>
      </c>
      <c r="DA81" s="37" t="e">
        <f aca="false">BZ81*CM81</f>
        <v>#NAME?</v>
      </c>
      <c r="DB81" s="37" t="e">
        <f aca="false">BZ81*CN81</f>
        <v>#NAME?</v>
      </c>
      <c r="DC81" s="37" t="e">
        <f aca="false">BZ81*CO81</f>
        <v>#NAME?</v>
      </c>
      <c r="DD81" s="37" t="n">
        <f aca="false">BZ81*CP81</f>
        <v>0</v>
      </c>
      <c r="DE81" s="37" t="e">
        <f aca="false">BZ81*CQ81</f>
        <v>#NAME?</v>
      </c>
      <c r="DF81" s="37" t="n">
        <f aca="false">BZ81*CR81</f>
        <v>0</v>
      </c>
      <c r="DG81" s="37" t="e">
        <f aca="false">BZ81*CS81</f>
        <v>#NAME?</v>
      </c>
      <c r="DI81" s="73" t="n">
        <f aca="false">IF($A81&gt;=DK$32,IF($A81&lt;=DK$33,$AN81,0),0)</f>
        <v>0</v>
      </c>
      <c r="DJ81" s="41" t="n">
        <f aca="false">$B81+$Y81+$F$12</f>
        <v>2.945</v>
      </c>
      <c r="DK81" s="41" t="n">
        <f aca="false">$B81+$Z81+$F$13</f>
        <v>3.365</v>
      </c>
      <c r="DL81" s="41" t="n">
        <f aca="false">DJ81*DI81</f>
        <v>0</v>
      </c>
      <c r="DM81" s="41" t="n">
        <f aca="false">DK81*DI81</f>
        <v>0</v>
      </c>
      <c r="DN81" s="74" t="n">
        <f aca="false">($C81*$AA81)+AE81+$F$14</f>
        <v>0.28</v>
      </c>
      <c r="DO81" s="74" t="n">
        <f aca="false">($C81*$AB81)+$F$15</f>
        <v>0.28</v>
      </c>
      <c r="DP81" s="65" t="n">
        <f aca="false">$AC81+$F$16</f>
        <v>0.96</v>
      </c>
      <c r="DQ81" s="75" t="n">
        <f aca="false">IF(DI81=0,0,SPRDOPT(DJ81,DK81,$AD81,$AM81,DN81,DO81,DP81,$D81,$F$20,0))</f>
        <v>0</v>
      </c>
      <c r="DR81" s="75" t="e">
        <f aca="false">IF(DJ81=0,0,SPRDOPT(DJ81,DK81,$AD81,$AM81,DN81,DO81,DP81,$D81,$F$20,1))</f>
        <v>#NAME?</v>
      </c>
      <c r="DS81" s="75" t="e">
        <f aca="false">IF(DK81=0,0,SPRDOPT(DJ81,DK81,$AD81,$AM81,DN81,DO81,DP81,$D81,$F$20,2))</f>
        <v>#NAME?</v>
      </c>
      <c r="DT81" s="75" t="n">
        <f aca="false">IF(DL81=0,0,SPRDOPT(DJ81,DK81,$AD81,$AM81,DN81,DO81,DP81,$D81,$F$20,3)/100)</f>
        <v>0</v>
      </c>
      <c r="DU81" s="75" t="n">
        <f aca="false">IF(DM81=0,0,SPRDOPT(DJ81,DK81,$AD81,$AM81,DN81,DO81,DP81,$D81,$F$20,4)/100)</f>
        <v>0</v>
      </c>
      <c r="DV81" s="75" t="e">
        <f aca="false">IF(DN81=0,0,SPRDOPT(DJ81,DK81,$AD81,$AM81,DN81,DO81,DP81,$D81,$F$20,5)/100)</f>
        <v>#NAME?</v>
      </c>
      <c r="DW81" s="75" t="e">
        <f aca="false">IF(DO81=0,0,SPRDOPT(DJ81,DK81,$AD81,$AM81,DN81,DO81,DP81,$D81,$F$20,6)/100)</f>
        <v>#NAME?</v>
      </c>
      <c r="DX81" s="75" t="e">
        <f aca="false">IF(DP81=0,0,SPRDOPT(DJ81,DK81,$AD81,$AM81,DN81,DO81,DP81,$D81,$F$20,7)/100)</f>
        <v>#NAME?</v>
      </c>
      <c r="DY81" s="75" t="n">
        <f aca="false">IF(DQ81=0,0,SPRDOPT(DJ81,DK81,$AD81,$AM81,DN81,DO81,DP81,$D81,$F$20,9)/365)</f>
        <v>0</v>
      </c>
      <c r="DZ81" s="75" t="e">
        <f aca="false">DR81+DS81</f>
        <v>#NAME?</v>
      </c>
      <c r="EA81" s="75" t="n">
        <f aca="false">DU81-DT81</f>
        <v>0</v>
      </c>
      <c r="EB81" s="75" t="e">
        <f aca="false">((DN81/DO81)*DV81)+DW81</f>
        <v>#NAME?</v>
      </c>
      <c r="EC81" s="75" t="n">
        <f aca="false">DP81*DI81</f>
        <v>0</v>
      </c>
      <c r="ED81" s="75"/>
      <c r="EE81" s="37" t="n">
        <f aca="false">DI81*DQ81</f>
        <v>0</v>
      </c>
      <c r="EF81" s="37" t="e">
        <f aca="false">DI81*DR81</f>
        <v>#NAME?</v>
      </c>
      <c r="EG81" s="37" t="e">
        <f aca="false">DI81*DS81</f>
        <v>#NAME?</v>
      </c>
      <c r="EH81" s="37" t="n">
        <f aca="false">DI81*DT81</f>
        <v>0</v>
      </c>
      <c r="EI81" s="37" t="n">
        <f aca="false">DI81*DU81</f>
        <v>0</v>
      </c>
      <c r="EJ81" s="37" t="e">
        <f aca="false">DI81*DV81</f>
        <v>#NAME?</v>
      </c>
      <c r="EK81" s="37" t="e">
        <f aca="false">DI81*DW81</f>
        <v>#NAME?</v>
      </c>
      <c r="EL81" s="37" t="e">
        <f aca="false">DI81*DX81</f>
        <v>#NAME?</v>
      </c>
      <c r="EM81" s="37" t="n">
        <f aca="false">DI81*DY81</f>
        <v>0</v>
      </c>
      <c r="EN81" s="37" t="e">
        <f aca="false">DI81*DZ81</f>
        <v>#NAME?</v>
      </c>
      <c r="EO81" s="37" t="n">
        <f aca="false">DI81*EA81</f>
        <v>0</v>
      </c>
      <c r="EP81" s="37" t="e">
        <f aca="false">DI81*EB81</f>
        <v>#NAME?</v>
      </c>
      <c r="ER81" s="73" t="n">
        <f aca="false">IF($A81&gt;=ET$32,IF($A81&lt;=ET$33,$AN81,0),0)</f>
        <v>0</v>
      </c>
      <c r="ES81" s="41" t="n">
        <f aca="false">$B81+$AF81+$H$12</f>
        <v>3.005</v>
      </c>
      <c r="ET81" s="41" t="n">
        <f aca="false">$B81+$AG81+$H$13</f>
        <v>3.365</v>
      </c>
      <c r="EU81" s="41" t="n">
        <f aca="false">ES81*ER81</f>
        <v>0</v>
      </c>
      <c r="EV81" s="41" t="n">
        <f aca="false">ET81*ER81</f>
        <v>0</v>
      </c>
      <c r="EW81" s="74" t="n">
        <f aca="false">($C81*$AH81)+AL81+$H$14</f>
        <v>0.28</v>
      </c>
      <c r="EX81" s="74" t="n">
        <f aca="false">($C81*$AI81)+$H$15</f>
        <v>0.28</v>
      </c>
      <c r="EY81" s="65" t="n">
        <f aca="false">$AJ81+$H$16</f>
        <v>0.96</v>
      </c>
      <c r="EZ81" s="75" t="n">
        <f aca="false">IF(ER81=0,0,SPRDOPT(ES81,ET81,$AK81,$AM81,EW81,EX81,EY81,$D81,$H$20,0))</f>
        <v>0</v>
      </c>
      <c r="FA81" s="75" t="e">
        <f aca="false">IF(ES81=0,0,SPRDOPT(ES81,ET81,$AK81,$AM81,EW81,EX81,EY81,$D81,$H$20,1))</f>
        <v>#NAME?</v>
      </c>
      <c r="FB81" s="75" t="e">
        <f aca="false">IF(ET81=0,0,SPRDOPT(ES81,ET81,$AK81,$AM81,EW81,EX81,EY81,$D81,$H$20,2))</f>
        <v>#NAME?</v>
      </c>
      <c r="FC81" s="75" t="n">
        <f aca="false">IF(EU81=0,0,SPRDOPT(ES81,ET81,$AK81,$AM81,EW81,EX81,EY81,$D81,$H$20,3)/100)</f>
        <v>0</v>
      </c>
      <c r="FD81" s="75" t="n">
        <f aca="false">IF(EV81=0,0,SPRDOPT(ES81,ET81,$AK81,$AM81,EW81,EX81,EY81,$D81,$H$20,4)/100)</f>
        <v>0</v>
      </c>
      <c r="FE81" s="75" t="e">
        <f aca="false">IF(EW81=0,0,SPRDOPT(ES81,ET81,$AK81,$AM81,EW81,EX81,EY81,$D81,$H$20,5)/100)</f>
        <v>#NAME?</v>
      </c>
      <c r="FF81" s="75" t="e">
        <f aca="false">IF(EX81=0,0,SPRDOPT(ES81,ET81,$AK81,$AM81,EW81,EX81,EY81,$D81,$H$20,6)/100)</f>
        <v>#NAME?</v>
      </c>
      <c r="FG81" s="75" t="e">
        <f aca="false">IF(EY81=0,0,SPRDOPT(ES81,ET81,$AK81,$AM81,EW81,EX81,EY81,$D81,$H$20,7)/100)</f>
        <v>#NAME?</v>
      </c>
      <c r="FH81" s="75" t="n">
        <f aca="false">IF(EZ81=0,0,SPRDOPT(ES81,ET81,$AK81,$AM81,EW81,EX81,EY81,$D81,$H$20,9)/365)</f>
        <v>0</v>
      </c>
      <c r="FI81" s="75" t="e">
        <f aca="false">FA81+FB81</f>
        <v>#NAME?</v>
      </c>
      <c r="FJ81" s="75" t="n">
        <f aca="false">FD81-FC81</f>
        <v>0</v>
      </c>
      <c r="FK81" s="75" t="e">
        <f aca="false">((EW81/EX81)*FE81)+FF81</f>
        <v>#NAME?</v>
      </c>
      <c r="FL81" s="75" t="n">
        <f aca="false">EY81*ER81</f>
        <v>0</v>
      </c>
      <c r="FM81" s="75"/>
      <c r="FN81" s="37" t="n">
        <f aca="false">$ER81*EZ81</f>
        <v>0</v>
      </c>
      <c r="FO81" s="37" t="e">
        <f aca="false">$ER81*FA81</f>
        <v>#NAME?</v>
      </c>
      <c r="FP81" s="37" t="e">
        <f aca="false">$ER81*FB81</f>
        <v>#NAME?</v>
      </c>
      <c r="FQ81" s="37" t="n">
        <f aca="false">$ER81*FC81</f>
        <v>0</v>
      </c>
      <c r="FR81" s="37" t="n">
        <f aca="false">$ER81*FD81</f>
        <v>0</v>
      </c>
      <c r="FS81" s="37" t="e">
        <f aca="false">$ER81*FE81</f>
        <v>#NAME?</v>
      </c>
      <c r="FT81" s="37" t="e">
        <f aca="false">$ER81*FF81</f>
        <v>#NAME?</v>
      </c>
      <c r="FU81" s="37" t="e">
        <f aca="false">$ER81*FG81</f>
        <v>#NAME?</v>
      </c>
      <c r="FV81" s="37" t="n">
        <f aca="false">$ER81*FH81</f>
        <v>0</v>
      </c>
      <c r="FW81" s="37" t="e">
        <f aca="false">$ER81*FI81</f>
        <v>#NAME?</v>
      </c>
      <c r="FX81" s="37" t="n">
        <f aca="false">$ER81*FJ81</f>
        <v>0</v>
      </c>
      <c r="FY81" s="37" t="e">
        <f aca="false">$ER81*FK81</f>
        <v>#NAME?</v>
      </c>
      <c r="GA81" s="77" t="e">
        <f aca="false">VLOOKUP(A81,skewmonthlook,2,FALSE())</f>
        <v>#REF!</v>
      </c>
      <c r="GB81" s="0" t="e">
        <f aca="false">CONCATENATE(B$3,$GA81)</f>
        <v>#REF!</v>
      </c>
      <c r="GC81" s="0" t="e">
        <f aca="false">CONCATENATE(D$3,$GA81)</f>
        <v>#REF!</v>
      </c>
      <c r="GD81" s="0" t="e">
        <f aca="false">CONCATENATE(F$3,$GA81)</f>
        <v>#REF!</v>
      </c>
      <c r="GE81" s="0" t="e">
        <f aca="false">CONCATENATE(H$3,$GA81)</f>
        <v>#REF!</v>
      </c>
      <c r="GG81" s="65" t="e">
        <f aca="false">VLOOKUP(GB81,skewlook,HLOOKUP($P81,skewlook,2),FALSE())</f>
        <v>#REF!</v>
      </c>
      <c r="GH81" s="65" t="e">
        <f aca="false">VLOOKUP(GC81,skewlook,HLOOKUP($W81,skewlook,2),FALSE())</f>
        <v>#REF!</v>
      </c>
      <c r="GI81" s="65" t="e">
        <f aca="false">VLOOKUP(GD81,skewlook,HLOOKUP($AD81,skewlook,2),FALSE())</f>
        <v>#REF!</v>
      </c>
      <c r="GJ81" s="65" t="e">
        <f aca="false">VLOOKUP(GE81,skewlook,HLOOKUP($AK81,skewlook,2),FALSE())</f>
        <v>#REF!</v>
      </c>
    </row>
    <row r="82" customFormat="false" ht="12.75" hidden="false" customHeight="false" outlineLevel="0" collapsed="false">
      <c r="A82" s="62" t="n">
        <f aca="false">DATE(YEAR(A81),MONTH(A81)+1,1)</f>
        <v>38596</v>
      </c>
      <c r="B82" s="63" t="n">
        <f aca="false">VLOOKUP(A82,STRADDLE,5,FALSE())</f>
        <v>3.36</v>
      </c>
      <c r="C82" s="4" t="n">
        <f aca="false">VLOOKUP(A82,STRADDLE,8,FALSE())</f>
        <v>0.28</v>
      </c>
      <c r="D82" s="64" t="n">
        <f aca="false">VLOOKUP(A82,expiration,2,FALSE())-$B$2</f>
        <v>-7334</v>
      </c>
      <c r="E82" s="65" t="e">
        <f aca="false">AY82</f>
        <v>#NAME?</v>
      </c>
      <c r="F82" s="65" t="e">
        <f aca="false">CI82</f>
        <v>#NAME?</v>
      </c>
      <c r="G82" s="65" t="e">
        <f aca="false">DR82</f>
        <v>#NAME?</v>
      </c>
      <c r="H82" s="65" t="e">
        <f aca="false">FA82</f>
        <v>#NAME?</v>
      </c>
      <c r="I82" s="66"/>
      <c r="J82" s="67"/>
      <c r="K82" s="63" t="n">
        <f aca="false">IF($B$3="NYMEX",0,VLOOKUP($A82,curvesettle,HLOOKUP($B$3,curvesettle,2,FALSE()),FALSE()))</f>
        <v>-0.15</v>
      </c>
      <c r="L82" s="63" t="n">
        <f aca="false">IF($B$4="NYMEX",0,VLOOKUP($A82,curvesettle,HLOOKUP($B$4,curvesettle,2,FALSE()),FALSE()))</f>
        <v>0</v>
      </c>
      <c r="M82" s="65" t="n">
        <f aca="false">IF(ISNUMBER(VLOOKUP($A82,VOLCURVES,HLOOKUP($B$3,VOLCURVES,2,FALSE()),FALSE())),VLOOKUP($A82,VOLCURVES,HLOOKUP($B$3,VOLCURVES,2,FALSE()),FALSE()),1)</f>
        <v>1</v>
      </c>
      <c r="N82" s="65" t="n">
        <f aca="false">IF(ISNUMBER(VLOOKUP($A82,VOLCURVES,HLOOKUP($B$4,VOLCURVES,2,FALSE()),FALSE())),VLOOKUP($A82,VOLCURVES,HLOOKUP($B$4,VOLCURVES,2,FALSE()),FALSE()),1)</f>
        <v>1</v>
      </c>
      <c r="O82" s="65" t="n">
        <f aca="false">IF(ISNUMBER(VLOOKUP($A82,CORETABLE,HLOOKUP($B$3,CORETABLE,2,FALSE()),FALSE())),VLOOKUP($A82,CORETABLE,HLOOKUP($B$3,CORETABLE,2,FALSE()),FALSE()),0.99)</f>
        <v>0.9945</v>
      </c>
      <c r="P82" s="68" t="n">
        <f aca="false">B$19</f>
        <v>-0.2</v>
      </c>
      <c r="Q82" s="69" t="n">
        <f aca="false">IF($B$18=1,IF(ISNUMBER($GG82),$GG82,0),0)</f>
        <v>0</v>
      </c>
      <c r="R82" s="70" t="n">
        <f aca="false">IF($D$3="NYMEX",0,VLOOKUP($A82,curvesettle,HLOOKUP($D$3,curvesettle,2,FALSE()),FALSE()))</f>
        <v>0.23</v>
      </c>
      <c r="S82" s="63" t="n">
        <f aca="false">IF($D$4="NYMEX",0,VLOOKUP($A82,curvesettle,HLOOKUP($D$4,curvesettle,2,FALSE()),FALSE()))</f>
        <v>0</v>
      </c>
      <c r="T82" s="65" t="n">
        <f aca="false">IF(ISNUMBER(VLOOKUP($A82,VOLCURVES,HLOOKUP($D$3,VOLCURVES,2,FALSE()),FALSE())),VLOOKUP($A82,VOLCURVES,HLOOKUP($D$3,VOLCURVES,2,FALSE()),FALSE()),1)</f>
        <v>1</v>
      </c>
      <c r="U82" s="65" t="n">
        <f aca="false">IF(ISNUMBER(VLOOKUP($A82,VOLCURVES,HLOOKUP($D$4,VOLCURVES,2,FALSE()),FALSE())),VLOOKUP($A82,VOLCURVES,HLOOKUP($D$4,VOLCURVES,2,FALSE()),FALSE()),1)</f>
        <v>1</v>
      </c>
      <c r="V82" s="65" t="n">
        <f aca="false">IF(ISNUMBER(VLOOKUP($A82,CORETABLE,HLOOKUP($D$3,CORETABLE,2,FALSE()),FALSE())),VLOOKUP($A82,CORETABLE,HLOOKUP($D$3,CORETABLE,2,FALSE()),FALSE()),0.99)</f>
        <v>0.98</v>
      </c>
      <c r="W82" s="68" t="n">
        <f aca="false">D$19</f>
        <v>0</v>
      </c>
      <c r="X82" s="69" t="n">
        <f aca="false">IF($D$18=1,IF(ISNUMBER($GH82),$GH82,0),0)</f>
        <v>0</v>
      </c>
      <c r="Y82" s="71" t="n">
        <f aca="false">IF($F$3="NYMEX",0,VLOOKUP($A82,curvesettle,HLOOKUP($F$3,curvesettle,2,FALSE()),FALSE()))</f>
        <v>-0.42</v>
      </c>
      <c r="Z82" s="63" t="n">
        <f aca="false">IF($F$4="NYMEX",0,VLOOKUP($A82,curvesettle,HLOOKUP($F$4,curvesettle,2,FALSE()),FALSE()))</f>
        <v>0</v>
      </c>
      <c r="AA82" s="65" t="n">
        <f aca="false">IF(ISNUMBER(VLOOKUP($A82,VOLCURVES,HLOOKUP($F$3,VOLCURVES,2,FALSE()),FALSE())),VLOOKUP($A82,VOLCURVES,HLOOKUP($F$3,VOLCURVES,2,FALSE()),FALSE()),1)</f>
        <v>1</v>
      </c>
      <c r="AB82" s="65" t="n">
        <f aca="false">IF(ISNUMBER(VLOOKUP($A82,VOLCURVES,HLOOKUP($F$4,VOLCURVES,2,FALSE()),FALSE())),VLOOKUP($A82,VOLCURVES,HLOOKUP($F$4,VOLCURVES,2,FALSE()),FALSE()),1)</f>
        <v>1</v>
      </c>
      <c r="AC82" s="65" t="n">
        <f aca="false">IF(ISNUMBER(VLOOKUP($A82,CORETABLE,HLOOKUP($F$3,CORETABLE,2,FALSE()),FALSE())),VLOOKUP($A82,CORETABLE,HLOOKUP($F$3,CORETABLE,2,FALSE()),FALSE()),0.99)</f>
        <v>0.96</v>
      </c>
      <c r="AD82" s="68" t="n">
        <f aca="false">F$19</f>
        <v>-0.6</v>
      </c>
      <c r="AE82" s="69" t="n">
        <f aca="false">IF($F$18=1,IF(ISNUMBER($GI82),$GI82,0),0)</f>
        <v>0</v>
      </c>
      <c r="AF82" s="63" t="n">
        <f aca="false">IF($H$3="NYMEX",0,VLOOKUP($A82,curvesettle,HLOOKUP($H$3,curvesettle,2,FALSE()),FALSE()))</f>
        <v>-0.42</v>
      </c>
      <c r="AG82" s="63" t="n">
        <f aca="false">IF($H$4="NYMEX",0,VLOOKUP($A82,curvesettle,HLOOKUP($H$4,curvesettle,2,FALSE()),FALSE()))</f>
        <v>0</v>
      </c>
      <c r="AH82" s="65" t="n">
        <f aca="false">IF(ISNUMBER(VLOOKUP($A82,VOLCURVES,HLOOKUP($H$3,VOLCURVES,2,FALSE()),FALSE())),VLOOKUP($A82,VOLCURVES,HLOOKUP($H$3,VOLCURVES,2,FALSE()),FALSE()),1)</f>
        <v>1</v>
      </c>
      <c r="AI82" s="65" t="n">
        <f aca="false">IF(ISNUMBER(VLOOKUP($A82,VOLCURVES,HLOOKUP($H$4,VOLCURVES,2,FALSE()),FALSE())),VLOOKUP($A82,VOLCURVES,HLOOKUP($H$4,VOLCURVES,2,FALSE()),FALSE()),1)</f>
        <v>1</v>
      </c>
      <c r="AJ82" s="65" t="n">
        <f aca="false">IF(ISNUMBER(VLOOKUP($A82,CORETABLE,HLOOKUP($H$3,CORETABLE,2,FALSE()),FALSE())),VLOOKUP($A82,CORETABLE,HLOOKUP($H$3,CORETABLE,2,FALSE()),FALSE()),0.99)</f>
        <v>0.96</v>
      </c>
      <c r="AK82" s="68" t="n">
        <f aca="false">H$19</f>
        <v>-0.45</v>
      </c>
      <c r="AL82" s="69" t="n">
        <f aca="false">IF($H$18=1,IF(ISNUMBER($GJ82),$GJ82,0),0)</f>
        <v>0</v>
      </c>
      <c r="AM82" s="4" t="n">
        <f aca="false">VLOOKUP($A82,STRADDLE,14,FALSE())</f>
        <v>0.04632682560558</v>
      </c>
      <c r="AN82" s="72" t="n">
        <f aca="false">A83-A82</f>
        <v>30</v>
      </c>
      <c r="AO82" s="1" t="n">
        <f aca="false">AO81+1</f>
        <v>45</v>
      </c>
      <c r="AP82" s="73" t="n">
        <f aca="false">IF($A82&gt;=AR$32,IF($A82&lt;=AR$33,$AN82,0),0)</f>
        <v>0</v>
      </c>
      <c r="AQ82" s="41" t="n">
        <f aca="false">$B82+$K82+$B$12</f>
        <v>3.21</v>
      </c>
      <c r="AR82" s="41" t="n">
        <f aca="false">$B82+$L82+$B$13</f>
        <v>3.36</v>
      </c>
      <c r="AS82" s="41" t="n">
        <f aca="false">AQ82*AP82</f>
        <v>0</v>
      </c>
      <c r="AT82" s="41" t="n">
        <f aca="false">AR82*AP82</f>
        <v>0</v>
      </c>
      <c r="AU82" s="74" t="n">
        <f aca="false">($C82*$M82)+Q82+$B$14</f>
        <v>0.28</v>
      </c>
      <c r="AV82" s="74" t="n">
        <f aca="false">($C82*$N82)+$B$15</f>
        <v>0.28</v>
      </c>
      <c r="AW82" s="65" t="n">
        <f aca="false">O82+B$16</f>
        <v>0.999</v>
      </c>
      <c r="AX82" s="75" t="n">
        <f aca="false">IF(AP82=0,0,SPRDOPT(AQ82,AR82,$P82,$AM82,AU82,AV82,AW82,$D82,$B$20,0))</f>
        <v>0</v>
      </c>
      <c r="AY82" s="75" t="e">
        <f aca="false">IF(AQ82=0,0,SPRDOPT(AQ82,AR82,$P82,$AM82,AU82,AV82,AW82,$D82,$B$20,1))</f>
        <v>#NAME?</v>
      </c>
      <c r="AZ82" s="75" t="e">
        <f aca="false">IF(AR82=0,0,SPRDOPT(AQ82,AR82,$P82,$AM82,AU82,AV82,AW82,$D82,$B$20,2))</f>
        <v>#NAME?</v>
      </c>
      <c r="BA82" s="75" t="n">
        <f aca="false">IF(AS82=0,0,SPRDOPT(AQ82,AR82,$P82,$AM82,AU82,AV82,AW82,$D82,$B$20,3)/100)</f>
        <v>0</v>
      </c>
      <c r="BB82" s="75" t="n">
        <f aca="false">IF(AT82=0,0,SPRDOPT(AQ82,AR82,$P82,$AM82,AU82,AV82,AW82,$D82,$B$20,4)/100)</f>
        <v>0</v>
      </c>
      <c r="BC82" s="75" t="e">
        <f aca="false">IF(AU82=0,0,SPRDOPT(AQ82,AR82,$P82,$AM82,AU82,AV82,AW82,$D82,$B$20,5)/100)</f>
        <v>#NAME?</v>
      </c>
      <c r="BD82" s="75" t="e">
        <f aca="false">IF(AV82=0,0,SPRDOPT(AQ82,AR82,$P82,$AM82,AU82,AV82,AW82,$D82,$B$20,6)/100)</f>
        <v>#NAME?</v>
      </c>
      <c r="BE82" s="75" t="e">
        <f aca="false">IF(AW82=0,0,SPRDOPT(AQ82,AR82,$P82,$AM82,AU82,AV82,AW82,$D82,$B$20,7)/100)</f>
        <v>#NAME?</v>
      </c>
      <c r="BF82" s="75" t="n">
        <f aca="false">IF(AX82=0,0,SPRDOPT(AQ82,AR82,$P82,$AM82,AU82,AV82,AW82,$D82,$B$20,9)/365)</f>
        <v>0</v>
      </c>
      <c r="BG82" s="75" t="e">
        <f aca="false">AY82+AZ82</f>
        <v>#NAME?</v>
      </c>
      <c r="BH82" s="75" t="n">
        <f aca="false">BB82-BA82</f>
        <v>0</v>
      </c>
      <c r="BI82" s="75" t="e">
        <f aca="false">((AU82/AV82)*BC82)+BD82</f>
        <v>#NAME?</v>
      </c>
      <c r="BJ82" s="75" t="n">
        <f aca="false">AW82*AP82</f>
        <v>0</v>
      </c>
      <c r="BK82" s="76"/>
      <c r="BL82" s="37" t="n">
        <f aca="false">$AP82*AX82</f>
        <v>0</v>
      </c>
      <c r="BM82" s="37" t="e">
        <f aca="false">$AP82*AY82</f>
        <v>#NAME?</v>
      </c>
      <c r="BN82" s="37" t="e">
        <f aca="false">$AP82*AZ82</f>
        <v>#NAME?</v>
      </c>
      <c r="BO82" s="37" t="n">
        <f aca="false">$AP82*BA82</f>
        <v>0</v>
      </c>
      <c r="BP82" s="37" t="n">
        <f aca="false">$AP82*BB82</f>
        <v>0</v>
      </c>
      <c r="BQ82" s="37" t="e">
        <f aca="false">$AP82*BC82</f>
        <v>#NAME?</v>
      </c>
      <c r="BR82" s="37" t="e">
        <f aca="false">$AP82*BD82</f>
        <v>#NAME?</v>
      </c>
      <c r="BS82" s="37" t="e">
        <f aca="false">$AP82*BE82</f>
        <v>#NAME?</v>
      </c>
      <c r="BT82" s="37" t="n">
        <f aca="false">$AP82*BF82</f>
        <v>0</v>
      </c>
      <c r="BU82" s="37" t="e">
        <f aca="false">$AP82*BG82</f>
        <v>#NAME?</v>
      </c>
      <c r="BV82" s="37" t="n">
        <f aca="false">$AP82*BH82</f>
        <v>0</v>
      </c>
      <c r="BW82" s="37" t="e">
        <f aca="false">$AP82*BI82</f>
        <v>#NAME?</v>
      </c>
      <c r="BX82" s="37"/>
      <c r="BZ82" s="73" t="n">
        <f aca="false">IF($A82&gt;=CB$32,IF($A82&lt;=CB$33,$AN82,0),0)</f>
        <v>0</v>
      </c>
      <c r="CA82" s="41" t="n">
        <f aca="false">$B82+$R82+$D$12</f>
        <v>3.59</v>
      </c>
      <c r="CB82" s="41" t="n">
        <f aca="false">$B82+$S82+$D$13</f>
        <v>3.36</v>
      </c>
      <c r="CC82" s="41" t="n">
        <f aca="false">CA82*BZ82</f>
        <v>0</v>
      </c>
      <c r="CD82" s="41" t="n">
        <f aca="false">CB82*BZ82</f>
        <v>0</v>
      </c>
      <c r="CE82" s="74" t="n">
        <f aca="false">($C82*$T82)+X82+$D$14</f>
        <v>0.28</v>
      </c>
      <c r="CF82" s="74" t="n">
        <f aca="false">($C82*$U82)+$D$15</f>
        <v>0.28</v>
      </c>
      <c r="CG82" s="65" t="n">
        <f aca="false">$V82+D$16</f>
        <v>0.98</v>
      </c>
      <c r="CH82" s="75" t="n">
        <f aca="false">IF(BZ82=0,0,SPRDOPT(CA82,CB82,$W82,$AM82,CE82,CF82,CG82,$D82,$D$20,0))</f>
        <v>0</v>
      </c>
      <c r="CI82" s="75" t="e">
        <f aca="false">IF(CA82=0,0,SPRDOPT(CA82,CB82,$W82,$AM82,CE82,CF82,CG82,$D82,$D$20,1))</f>
        <v>#NAME?</v>
      </c>
      <c r="CJ82" s="75" t="e">
        <f aca="false">IF(CB82=0,0,SPRDOPT(CA82,CB82,$W82,$AM82,CE82,CF82,CG82,$D82,$D$20,2))</f>
        <v>#NAME?</v>
      </c>
      <c r="CK82" s="75" t="n">
        <f aca="false">IF(CC82=0,0,SPRDOPT(CA82,CB82,$W82,$AM82,CE82,CF82,CG82,$D82,$D$20,3)/100)</f>
        <v>0</v>
      </c>
      <c r="CL82" s="75" t="n">
        <f aca="false">IF(CD82=0,0,SPRDOPT(CA82,CB82,$W82,$AM82,CE82,CF82,CG82,$D82,$D$20,4)/100)</f>
        <v>0</v>
      </c>
      <c r="CM82" s="75" t="e">
        <f aca="false">IF(CE82=0,0,SPRDOPT(CA82,CB82,$W82,$AM82,CE82,CF82,CG82,$D82,$D$20,5)/100)</f>
        <v>#NAME?</v>
      </c>
      <c r="CN82" s="75" t="e">
        <f aca="false">IF(CF82=0,0,SPRDOPT(CA82,CB82,$W82,$AM82,CE82,CF82,CG82,$D82,$D$20,6)/100)</f>
        <v>#NAME?</v>
      </c>
      <c r="CO82" s="75" t="e">
        <f aca="false">IF(CG82=0,0,SPRDOPT(CA82,CB82,$W82,$AM82,CE82,CF82,CG82,$D82,$D$20,7)/100)</f>
        <v>#NAME?</v>
      </c>
      <c r="CP82" s="75" t="n">
        <f aca="false">IF(CH82=0,0,SPRDOPT(CA82,CB82,$W82,$AM82,CE82,CF82,CG82,$D82,$D$20,9)/365)</f>
        <v>0</v>
      </c>
      <c r="CQ82" s="75" t="e">
        <f aca="false">CI82+CJ82</f>
        <v>#NAME?</v>
      </c>
      <c r="CR82" s="75" t="n">
        <f aca="false">CL82-CK82</f>
        <v>0</v>
      </c>
      <c r="CS82" s="75" t="e">
        <f aca="false">((CE82/CF82)*CM82)+CN82</f>
        <v>#NAME?</v>
      </c>
      <c r="CT82" s="75" t="n">
        <f aca="false">CG82*BZ82</f>
        <v>0</v>
      </c>
      <c r="CU82" s="76"/>
      <c r="CV82" s="37" t="n">
        <f aca="false">BZ82*CH82</f>
        <v>0</v>
      </c>
      <c r="CW82" s="37" t="e">
        <f aca="false">BZ82*CI82</f>
        <v>#NAME?</v>
      </c>
      <c r="CX82" s="37" t="e">
        <f aca="false">BZ82*CJ82</f>
        <v>#NAME?</v>
      </c>
      <c r="CY82" s="37" t="n">
        <f aca="false">BZ82*CK82</f>
        <v>0</v>
      </c>
      <c r="CZ82" s="37" t="n">
        <f aca="false">BZ82*CL82</f>
        <v>0</v>
      </c>
      <c r="DA82" s="37" t="e">
        <f aca="false">BZ82*CM82</f>
        <v>#NAME?</v>
      </c>
      <c r="DB82" s="37" t="e">
        <f aca="false">BZ82*CN82</f>
        <v>#NAME?</v>
      </c>
      <c r="DC82" s="37" t="e">
        <f aca="false">BZ82*CO82</f>
        <v>#NAME?</v>
      </c>
      <c r="DD82" s="37" t="n">
        <f aca="false">BZ82*CP82</f>
        <v>0</v>
      </c>
      <c r="DE82" s="37" t="e">
        <f aca="false">BZ82*CQ82</f>
        <v>#NAME?</v>
      </c>
      <c r="DF82" s="37" t="n">
        <f aca="false">BZ82*CR82</f>
        <v>0</v>
      </c>
      <c r="DG82" s="37" t="e">
        <f aca="false">BZ82*CS82</f>
        <v>#NAME?</v>
      </c>
      <c r="DI82" s="73" t="n">
        <f aca="false">IF($A82&gt;=DK$32,IF($A82&lt;=DK$33,$AN82,0),0)</f>
        <v>0</v>
      </c>
      <c r="DJ82" s="41" t="n">
        <f aca="false">$B82+$Y82+$F$12</f>
        <v>2.94</v>
      </c>
      <c r="DK82" s="41" t="n">
        <f aca="false">$B82+$Z82+$F$13</f>
        <v>3.36</v>
      </c>
      <c r="DL82" s="41" t="n">
        <f aca="false">DJ82*DI82</f>
        <v>0</v>
      </c>
      <c r="DM82" s="41" t="n">
        <f aca="false">DK82*DI82</f>
        <v>0</v>
      </c>
      <c r="DN82" s="74" t="n">
        <f aca="false">($C82*$AA82)+AE82+$F$14</f>
        <v>0.28</v>
      </c>
      <c r="DO82" s="74" t="n">
        <f aca="false">($C82*$AB82)+$F$15</f>
        <v>0.28</v>
      </c>
      <c r="DP82" s="65" t="n">
        <f aca="false">$AC82+$F$16</f>
        <v>0.96</v>
      </c>
      <c r="DQ82" s="75" t="n">
        <f aca="false">IF(DI82=0,0,SPRDOPT(DJ82,DK82,$AD82,$AM82,DN82,DO82,DP82,$D82,$F$20,0))</f>
        <v>0</v>
      </c>
      <c r="DR82" s="75" t="e">
        <f aca="false">IF(DJ82=0,0,SPRDOPT(DJ82,DK82,$AD82,$AM82,DN82,DO82,DP82,$D82,$F$20,1))</f>
        <v>#NAME?</v>
      </c>
      <c r="DS82" s="75" t="e">
        <f aca="false">IF(DK82=0,0,SPRDOPT(DJ82,DK82,$AD82,$AM82,DN82,DO82,DP82,$D82,$F$20,2))</f>
        <v>#NAME?</v>
      </c>
      <c r="DT82" s="75" t="n">
        <f aca="false">IF(DL82=0,0,SPRDOPT(DJ82,DK82,$AD82,$AM82,DN82,DO82,DP82,$D82,$F$20,3)/100)</f>
        <v>0</v>
      </c>
      <c r="DU82" s="75" t="n">
        <f aca="false">IF(DM82=0,0,SPRDOPT(DJ82,DK82,$AD82,$AM82,DN82,DO82,DP82,$D82,$F$20,4)/100)</f>
        <v>0</v>
      </c>
      <c r="DV82" s="75" t="e">
        <f aca="false">IF(DN82=0,0,SPRDOPT(DJ82,DK82,$AD82,$AM82,DN82,DO82,DP82,$D82,$F$20,5)/100)</f>
        <v>#NAME?</v>
      </c>
      <c r="DW82" s="75" t="e">
        <f aca="false">IF(DO82=0,0,SPRDOPT(DJ82,DK82,$AD82,$AM82,DN82,DO82,DP82,$D82,$F$20,6)/100)</f>
        <v>#NAME?</v>
      </c>
      <c r="DX82" s="75" t="e">
        <f aca="false">IF(DP82=0,0,SPRDOPT(DJ82,DK82,$AD82,$AM82,DN82,DO82,DP82,$D82,$F$20,7)/100)</f>
        <v>#NAME?</v>
      </c>
      <c r="DY82" s="75" t="n">
        <f aca="false">IF(DQ82=0,0,SPRDOPT(DJ82,DK82,$AD82,$AM82,DN82,DO82,DP82,$D82,$F$20,9)/365)</f>
        <v>0</v>
      </c>
      <c r="DZ82" s="75" t="e">
        <f aca="false">DR82+DS82</f>
        <v>#NAME?</v>
      </c>
      <c r="EA82" s="75" t="n">
        <f aca="false">DU82-DT82</f>
        <v>0</v>
      </c>
      <c r="EB82" s="75" t="e">
        <f aca="false">((DN82/DO82)*DV82)+DW82</f>
        <v>#NAME?</v>
      </c>
      <c r="EC82" s="75" t="n">
        <f aca="false">DP82*DI82</f>
        <v>0</v>
      </c>
      <c r="ED82" s="75"/>
      <c r="EE82" s="37" t="n">
        <f aca="false">DI82*DQ82</f>
        <v>0</v>
      </c>
      <c r="EF82" s="37" t="e">
        <f aca="false">DI82*DR82</f>
        <v>#NAME?</v>
      </c>
      <c r="EG82" s="37" t="e">
        <f aca="false">DI82*DS82</f>
        <v>#NAME?</v>
      </c>
      <c r="EH82" s="37" t="n">
        <f aca="false">DI82*DT82</f>
        <v>0</v>
      </c>
      <c r="EI82" s="37" t="n">
        <f aca="false">DI82*DU82</f>
        <v>0</v>
      </c>
      <c r="EJ82" s="37" t="e">
        <f aca="false">DI82*DV82</f>
        <v>#NAME?</v>
      </c>
      <c r="EK82" s="37" t="e">
        <f aca="false">DI82*DW82</f>
        <v>#NAME?</v>
      </c>
      <c r="EL82" s="37" t="e">
        <f aca="false">DI82*DX82</f>
        <v>#NAME?</v>
      </c>
      <c r="EM82" s="37" t="n">
        <f aca="false">DI82*DY82</f>
        <v>0</v>
      </c>
      <c r="EN82" s="37" t="e">
        <f aca="false">DI82*DZ82</f>
        <v>#NAME?</v>
      </c>
      <c r="EO82" s="37" t="n">
        <f aca="false">DI82*EA82</f>
        <v>0</v>
      </c>
      <c r="EP82" s="37" t="e">
        <f aca="false">DI82*EB82</f>
        <v>#NAME?</v>
      </c>
      <c r="ER82" s="73" t="n">
        <f aca="false">IF($A82&gt;=ET$32,IF($A82&lt;=ET$33,$AN82,0),0)</f>
        <v>0</v>
      </c>
      <c r="ES82" s="41" t="n">
        <f aca="false">$B82+$AF82+$H$12</f>
        <v>3</v>
      </c>
      <c r="ET82" s="41" t="n">
        <f aca="false">$B82+$AG82+$H$13</f>
        <v>3.36</v>
      </c>
      <c r="EU82" s="41" t="n">
        <f aca="false">ES82*ER82</f>
        <v>0</v>
      </c>
      <c r="EV82" s="41" t="n">
        <f aca="false">ET82*ER82</f>
        <v>0</v>
      </c>
      <c r="EW82" s="74" t="n">
        <f aca="false">($C82*$AH82)+AL82+$H$14</f>
        <v>0.28</v>
      </c>
      <c r="EX82" s="74" t="n">
        <f aca="false">($C82*$AI82)+$H$15</f>
        <v>0.28</v>
      </c>
      <c r="EY82" s="65" t="n">
        <f aca="false">$AJ82+$H$16</f>
        <v>0.96</v>
      </c>
      <c r="EZ82" s="75" t="n">
        <f aca="false">IF(ER82=0,0,SPRDOPT(ES82,ET82,$AK82,$AM82,EW82,EX82,EY82,$D82,$H$20,0))</f>
        <v>0</v>
      </c>
      <c r="FA82" s="75" t="e">
        <f aca="false">IF(ES82=0,0,SPRDOPT(ES82,ET82,$AK82,$AM82,EW82,EX82,EY82,$D82,$H$20,1))</f>
        <v>#NAME?</v>
      </c>
      <c r="FB82" s="75" t="e">
        <f aca="false">IF(ET82=0,0,SPRDOPT(ES82,ET82,$AK82,$AM82,EW82,EX82,EY82,$D82,$H$20,2))</f>
        <v>#NAME?</v>
      </c>
      <c r="FC82" s="75" t="n">
        <f aca="false">IF(EU82=0,0,SPRDOPT(ES82,ET82,$AK82,$AM82,EW82,EX82,EY82,$D82,$H$20,3)/100)</f>
        <v>0</v>
      </c>
      <c r="FD82" s="75" t="n">
        <f aca="false">IF(EV82=0,0,SPRDOPT(ES82,ET82,$AK82,$AM82,EW82,EX82,EY82,$D82,$H$20,4)/100)</f>
        <v>0</v>
      </c>
      <c r="FE82" s="75" t="e">
        <f aca="false">IF(EW82=0,0,SPRDOPT(ES82,ET82,$AK82,$AM82,EW82,EX82,EY82,$D82,$H$20,5)/100)</f>
        <v>#NAME?</v>
      </c>
      <c r="FF82" s="75" t="e">
        <f aca="false">IF(EX82=0,0,SPRDOPT(ES82,ET82,$AK82,$AM82,EW82,EX82,EY82,$D82,$H$20,6)/100)</f>
        <v>#NAME?</v>
      </c>
      <c r="FG82" s="75" t="e">
        <f aca="false">IF(EY82=0,0,SPRDOPT(ES82,ET82,$AK82,$AM82,EW82,EX82,EY82,$D82,$H$20,7)/100)</f>
        <v>#NAME?</v>
      </c>
      <c r="FH82" s="75" t="n">
        <f aca="false">IF(EZ82=0,0,SPRDOPT(ES82,ET82,$AK82,$AM82,EW82,EX82,EY82,$D82,$H$20,9)/365)</f>
        <v>0</v>
      </c>
      <c r="FI82" s="75" t="e">
        <f aca="false">FA82+FB82</f>
        <v>#NAME?</v>
      </c>
      <c r="FJ82" s="75" t="n">
        <f aca="false">FD82-FC82</f>
        <v>0</v>
      </c>
      <c r="FK82" s="75" t="e">
        <f aca="false">((EW82/EX82)*FE82)+FF82</f>
        <v>#NAME?</v>
      </c>
      <c r="FL82" s="75" t="n">
        <f aca="false">EY82*ER82</f>
        <v>0</v>
      </c>
      <c r="FM82" s="75"/>
      <c r="FN82" s="37" t="n">
        <f aca="false">$ER82*EZ82</f>
        <v>0</v>
      </c>
      <c r="FO82" s="37" t="e">
        <f aca="false">$ER82*FA82</f>
        <v>#NAME?</v>
      </c>
      <c r="FP82" s="37" t="e">
        <f aca="false">$ER82*FB82</f>
        <v>#NAME?</v>
      </c>
      <c r="FQ82" s="37" t="n">
        <f aca="false">$ER82*FC82</f>
        <v>0</v>
      </c>
      <c r="FR82" s="37" t="n">
        <f aca="false">$ER82*FD82</f>
        <v>0</v>
      </c>
      <c r="FS82" s="37" t="e">
        <f aca="false">$ER82*FE82</f>
        <v>#NAME?</v>
      </c>
      <c r="FT82" s="37" t="e">
        <f aca="false">$ER82*FF82</f>
        <v>#NAME?</v>
      </c>
      <c r="FU82" s="37" t="e">
        <f aca="false">$ER82*FG82</f>
        <v>#NAME?</v>
      </c>
      <c r="FV82" s="37" t="n">
        <f aca="false">$ER82*FH82</f>
        <v>0</v>
      </c>
      <c r="FW82" s="37" t="e">
        <f aca="false">$ER82*FI82</f>
        <v>#NAME?</v>
      </c>
      <c r="FX82" s="37" t="n">
        <f aca="false">$ER82*FJ82</f>
        <v>0</v>
      </c>
      <c r="FY82" s="37" t="e">
        <f aca="false">$ER82*FK82</f>
        <v>#NAME?</v>
      </c>
      <c r="GA82" s="77" t="e">
        <f aca="false">VLOOKUP(A82,skewmonthlook,2,FALSE())</f>
        <v>#REF!</v>
      </c>
      <c r="GB82" s="0" t="e">
        <f aca="false">CONCATENATE(B$3,$GA82)</f>
        <v>#REF!</v>
      </c>
      <c r="GC82" s="0" t="e">
        <f aca="false">CONCATENATE(D$3,$GA82)</f>
        <v>#REF!</v>
      </c>
      <c r="GD82" s="0" t="e">
        <f aca="false">CONCATENATE(F$3,$GA82)</f>
        <v>#REF!</v>
      </c>
      <c r="GE82" s="0" t="e">
        <f aca="false">CONCATENATE(H$3,$GA82)</f>
        <v>#REF!</v>
      </c>
      <c r="GG82" s="65" t="e">
        <f aca="false">VLOOKUP(GB82,skewlook,HLOOKUP($P82,skewlook,2),FALSE())</f>
        <v>#REF!</v>
      </c>
      <c r="GH82" s="65" t="e">
        <f aca="false">VLOOKUP(GC82,skewlook,HLOOKUP($W82,skewlook,2),FALSE())</f>
        <v>#REF!</v>
      </c>
      <c r="GI82" s="65" t="e">
        <f aca="false">VLOOKUP(GD82,skewlook,HLOOKUP($AD82,skewlook,2),FALSE())</f>
        <v>#REF!</v>
      </c>
      <c r="GJ82" s="65" t="e">
        <f aca="false">VLOOKUP(GE82,skewlook,HLOOKUP($AK82,skewlook,2),FALSE())</f>
        <v>#REF!</v>
      </c>
    </row>
    <row r="83" customFormat="false" ht="12.75" hidden="false" customHeight="false" outlineLevel="0" collapsed="false">
      <c r="A83" s="62" t="n">
        <f aca="false">DATE(YEAR(A82),MONTH(A82)+1,1)</f>
        <v>38626</v>
      </c>
      <c r="B83" s="63" t="n">
        <f aca="false">VLOOKUP(A83,STRADDLE,5,FALSE())</f>
        <v>3.385</v>
      </c>
      <c r="C83" s="4" t="n">
        <f aca="false">VLOOKUP(A83,STRADDLE,8,FALSE())</f>
        <v>0.28</v>
      </c>
      <c r="D83" s="64" t="n">
        <f aca="false">VLOOKUP(A83,expiration,2,FALSE())-$B$2</f>
        <v>-7304</v>
      </c>
      <c r="E83" s="65" t="e">
        <f aca="false">AY83</f>
        <v>#NAME?</v>
      </c>
      <c r="F83" s="65" t="e">
        <f aca="false">CI83</f>
        <v>#NAME?</v>
      </c>
      <c r="G83" s="65" t="e">
        <f aca="false">DR83</f>
        <v>#NAME?</v>
      </c>
      <c r="H83" s="65" t="e">
        <f aca="false">FA83</f>
        <v>#NAME?</v>
      </c>
      <c r="I83" s="66"/>
      <c r="J83" s="67"/>
      <c r="K83" s="63" t="n">
        <f aca="false">IF($B$3="NYMEX",0,VLOOKUP($A83,curvesettle,HLOOKUP($B$3,curvesettle,2,FALSE()),FALSE()))</f>
        <v>-0.15</v>
      </c>
      <c r="L83" s="63" t="n">
        <f aca="false">IF($B$4="NYMEX",0,VLOOKUP($A83,curvesettle,HLOOKUP($B$4,curvesettle,2,FALSE()),FALSE()))</f>
        <v>0</v>
      </c>
      <c r="M83" s="65" t="n">
        <f aca="false">IF(ISNUMBER(VLOOKUP($A83,VOLCURVES,HLOOKUP($B$3,VOLCURVES,2,FALSE()),FALSE())),VLOOKUP($A83,VOLCURVES,HLOOKUP($B$3,VOLCURVES,2,FALSE()),FALSE()),1)</f>
        <v>1</v>
      </c>
      <c r="N83" s="65" t="n">
        <f aca="false">IF(ISNUMBER(VLOOKUP($A83,VOLCURVES,HLOOKUP($B$4,VOLCURVES,2,FALSE()),FALSE())),VLOOKUP($A83,VOLCURVES,HLOOKUP($B$4,VOLCURVES,2,FALSE()),FALSE()),1)</f>
        <v>1</v>
      </c>
      <c r="O83" s="65" t="n">
        <f aca="false">IF(ISNUMBER(VLOOKUP($A83,CORETABLE,HLOOKUP($B$3,CORETABLE,2,FALSE()),FALSE())),VLOOKUP($A83,CORETABLE,HLOOKUP($B$3,CORETABLE,2,FALSE()),FALSE()),0.99)</f>
        <v>0.9945</v>
      </c>
      <c r="P83" s="68" t="n">
        <f aca="false">B$19</f>
        <v>-0.2</v>
      </c>
      <c r="Q83" s="69" t="n">
        <f aca="false">IF($B$18=1,IF(ISNUMBER($GG83),$GG83,0),0)</f>
        <v>0</v>
      </c>
      <c r="R83" s="70" t="n">
        <f aca="false">IF($D$3="NYMEX",0,VLOOKUP($A83,curvesettle,HLOOKUP($D$3,curvesettle,2,FALSE()),FALSE()))</f>
        <v>0.23</v>
      </c>
      <c r="S83" s="63" t="n">
        <f aca="false">IF($D$4="NYMEX",0,VLOOKUP($A83,curvesettle,HLOOKUP($D$4,curvesettle,2,FALSE()),FALSE()))</f>
        <v>0</v>
      </c>
      <c r="T83" s="65" t="n">
        <f aca="false">IF(ISNUMBER(VLOOKUP($A83,VOLCURVES,HLOOKUP($D$3,VOLCURVES,2,FALSE()),FALSE())),VLOOKUP($A83,VOLCURVES,HLOOKUP($D$3,VOLCURVES,2,FALSE()),FALSE()),1)</f>
        <v>1</v>
      </c>
      <c r="U83" s="65" t="n">
        <f aca="false">IF(ISNUMBER(VLOOKUP($A83,VOLCURVES,HLOOKUP($D$4,VOLCURVES,2,FALSE()),FALSE())),VLOOKUP($A83,VOLCURVES,HLOOKUP($D$4,VOLCURVES,2,FALSE()),FALSE()),1)</f>
        <v>1</v>
      </c>
      <c r="V83" s="65" t="n">
        <f aca="false">IF(ISNUMBER(VLOOKUP($A83,CORETABLE,HLOOKUP($D$3,CORETABLE,2,FALSE()),FALSE())),VLOOKUP($A83,CORETABLE,HLOOKUP($D$3,CORETABLE,2,FALSE()),FALSE()),0.99)</f>
        <v>0.98</v>
      </c>
      <c r="W83" s="68" t="n">
        <f aca="false">D$19</f>
        <v>0</v>
      </c>
      <c r="X83" s="69" t="n">
        <f aca="false">IF($D$18=1,IF(ISNUMBER($GH83),$GH83,0),0)</f>
        <v>0</v>
      </c>
      <c r="Y83" s="71" t="n">
        <f aca="false">IF($F$3="NYMEX",0,VLOOKUP($A83,curvesettle,HLOOKUP($F$3,curvesettle,2,FALSE()),FALSE()))</f>
        <v>-0.42</v>
      </c>
      <c r="Z83" s="63" t="n">
        <f aca="false">IF($F$4="NYMEX",0,VLOOKUP($A83,curvesettle,HLOOKUP($F$4,curvesettle,2,FALSE()),FALSE()))</f>
        <v>0</v>
      </c>
      <c r="AA83" s="65" t="n">
        <f aca="false">IF(ISNUMBER(VLOOKUP($A83,VOLCURVES,HLOOKUP($F$3,VOLCURVES,2,FALSE()),FALSE())),VLOOKUP($A83,VOLCURVES,HLOOKUP($F$3,VOLCURVES,2,FALSE()),FALSE()),1)</f>
        <v>1</v>
      </c>
      <c r="AB83" s="65" t="n">
        <f aca="false">IF(ISNUMBER(VLOOKUP($A83,VOLCURVES,HLOOKUP($F$4,VOLCURVES,2,FALSE()),FALSE())),VLOOKUP($A83,VOLCURVES,HLOOKUP($F$4,VOLCURVES,2,FALSE()),FALSE()),1)</f>
        <v>1</v>
      </c>
      <c r="AC83" s="65" t="n">
        <f aca="false">IF(ISNUMBER(VLOOKUP($A83,CORETABLE,HLOOKUP($F$3,CORETABLE,2,FALSE()),FALSE())),VLOOKUP($A83,CORETABLE,HLOOKUP($F$3,CORETABLE,2,FALSE()),FALSE()),0.99)</f>
        <v>0.96</v>
      </c>
      <c r="AD83" s="68" t="n">
        <f aca="false">F$19</f>
        <v>-0.6</v>
      </c>
      <c r="AE83" s="69" t="n">
        <f aca="false">IF($F$18=1,IF(ISNUMBER($GI83),$GI83,0),0)</f>
        <v>0</v>
      </c>
      <c r="AF83" s="63" t="n">
        <f aca="false">IF($H$3="NYMEX",0,VLOOKUP($A83,curvesettle,HLOOKUP($H$3,curvesettle,2,FALSE()),FALSE()))</f>
        <v>-0.42</v>
      </c>
      <c r="AG83" s="63" t="n">
        <f aca="false">IF($H$4="NYMEX",0,VLOOKUP($A83,curvesettle,HLOOKUP($H$4,curvesettle,2,FALSE()),FALSE()))</f>
        <v>0</v>
      </c>
      <c r="AH83" s="65" t="n">
        <f aca="false">IF(ISNUMBER(VLOOKUP($A83,VOLCURVES,HLOOKUP($H$3,VOLCURVES,2,FALSE()),FALSE())),VLOOKUP($A83,VOLCURVES,HLOOKUP($H$3,VOLCURVES,2,FALSE()),FALSE()),1)</f>
        <v>1</v>
      </c>
      <c r="AI83" s="65" t="n">
        <f aca="false">IF(ISNUMBER(VLOOKUP($A83,VOLCURVES,HLOOKUP($H$4,VOLCURVES,2,FALSE()),FALSE())),VLOOKUP($A83,VOLCURVES,HLOOKUP($H$4,VOLCURVES,2,FALSE()),FALSE()),1)</f>
        <v>1</v>
      </c>
      <c r="AJ83" s="65" t="n">
        <f aca="false">IF(ISNUMBER(VLOOKUP($A83,CORETABLE,HLOOKUP($H$3,CORETABLE,2,FALSE()),FALSE())),VLOOKUP($A83,CORETABLE,HLOOKUP($H$3,CORETABLE,2,FALSE()),FALSE()),0.99)</f>
        <v>0.96</v>
      </c>
      <c r="AK83" s="68" t="n">
        <f aca="false">H$19</f>
        <v>-0.45</v>
      </c>
      <c r="AL83" s="69" t="n">
        <f aca="false">IF($H$18=1,IF(ISNUMBER($GJ83),$GJ83,0),0)</f>
        <v>0</v>
      </c>
      <c r="AM83" s="4" t="n">
        <f aca="false">VLOOKUP($A83,STRADDLE,14,FALSE())</f>
        <v>0.0467165492653465</v>
      </c>
      <c r="AN83" s="72" t="n">
        <f aca="false">A84-A83</f>
        <v>31</v>
      </c>
      <c r="AO83" s="1" t="n">
        <f aca="false">AO82+1</f>
        <v>46</v>
      </c>
      <c r="AP83" s="73" t="n">
        <f aca="false">IF($A83&gt;=AR$32,IF($A83&lt;=AR$33,$AN83,0),0)</f>
        <v>0</v>
      </c>
      <c r="AQ83" s="41" t="n">
        <f aca="false">$B83+$K83+$B$12</f>
        <v>3.235</v>
      </c>
      <c r="AR83" s="41" t="n">
        <f aca="false">$B83+$L83+$B$13</f>
        <v>3.385</v>
      </c>
      <c r="AS83" s="41" t="n">
        <f aca="false">AQ83*AP83</f>
        <v>0</v>
      </c>
      <c r="AT83" s="41" t="n">
        <f aca="false">AR83*AP83</f>
        <v>0</v>
      </c>
      <c r="AU83" s="74" t="n">
        <f aca="false">($C83*$M83)+Q83+$B$14</f>
        <v>0.28</v>
      </c>
      <c r="AV83" s="74" t="n">
        <f aca="false">($C83*$N83)+$B$15</f>
        <v>0.28</v>
      </c>
      <c r="AW83" s="65" t="n">
        <f aca="false">O83+B$16</f>
        <v>0.999</v>
      </c>
      <c r="AX83" s="75" t="n">
        <f aca="false">IF(AP83=0,0,SPRDOPT(AQ83,AR83,$P83,$AM83,AU83,AV83,AW83,$D83,$B$20,0))</f>
        <v>0</v>
      </c>
      <c r="AY83" s="75" t="e">
        <f aca="false">IF(AQ83=0,0,SPRDOPT(AQ83,AR83,$P83,$AM83,AU83,AV83,AW83,$D83,$B$20,1))</f>
        <v>#NAME?</v>
      </c>
      <c r="AZ83" s="75" t="e">
        <f aca="false">IF(AR83=0,0,SPRDOPT(AQ83,AR83,$P83,$AM83,AU83,AV83,AW83,$D83,$B$20,2))</f>
        <v>#NAME?</v>
      </c>
      <c r="BA83" s="75" t="n">
        <f aca="false">IF(AS83=0,0,SPRDOPT(AQ83,AR83,$P83,$AM83,AU83,AV83,AW83,$D83,$B$20,3)/100)</f>
        <v>0</v>
      </c>
      <c r="BB83" s="75" t="n">
        <f aca="false">IF(AT83=0,0,SPRDOPT(AQ83,AR83,$P83,$AM83,AU83,AV83,AW83,$D83,$B$20,4)/100)</f>
        <v>0</v>
      </c>
      <c r="BC83" s="75" t="e">
        <f aca="false">IF(AU83=0,0,SPRDOPT(AQ83,AR83,$P83,$AM83,AU83,AV83,AW83,$D83,$B$20,5)/100)</f>
        <v>#NAME?</v>
      </c>
      <c r="BD83" s="75" t="e">
        <f aca="false">IF(AV83=0,0,SPRDOPT(AQ83,AR83,$P83,$AM83,AU83,AV83,AW83,$D83,$B$20,6)/100)</f>
        <v>#NAME?</v>
      </c>
      <c r="BE83" s="75" t="e">
        <f aca="false">IF(AW83=0,0,SPRDOPT(AQ83,AR83,$P83,$AM83,AU83,AV83,AW83,$D83,$B$20,7)/100)</f>
        <v>#NAME?</v>
      </c>
      <c r="BF83" s="75" t="n">
        <f aca="false">IF(AX83=0,0,SPRDOPT(AQ83,AR83,$P83,$AM83,AU83,AV83,AW83,$D83,$B$20,9)/365)</f>
        <v>0</v>
      </c>
      <c r="BG83" s="75" t="e">
        <f aca="false">AY83+AZ83</f>
        <v>#NAME?</v>
      </c>
      <c r="BH83" s="75" t="n">
        <f aca="false">BB83-BA83</f>
        <v>0</v>
      </c>
      <c r="BI83" s="75" t="e">
        <f aca="false">((AU83/AV83)*BC83)+BD83</f>
        <v>#NAME?</v>
      </c>
      <c r="BJ83" s="75" t="n">
        <f aca="false">AW83*AP83</f>
        <v>0</v>
      </c>
      <c r="BK83" s="76"/>
      <c r="BL83" s="37" t="n">
        <f aca="false">$AP83*AX83</f>
        <v>0</v>
      </c>
      <c r="BM83" s="37" t="e">
        <f aca="false">$AP83*AY83</f>
        <v>#NAME?</v>
      </c>
      <c r="BN83" s="37" t="e">
        <f aca="false">$AP83*AZ83</f>
        <v>#NAME?</v>
      </c>
      <c r="BO83" s="37" t="n">
        <f aca="false">$AP83*BA83</f>
        <v>0</v>
      </c>
      <c r="BP83" s="37" t="n">
        <f aca="false">$AP83*BB83</f>
        <v>0</v>
      </c>
      <c r="BQ83" s="37" t="e">
        <f aca="false">$AP83*BC83</f>
        <v>#NAME?</v>
      </c>
      <c r="BR83" s="37" t="e">
        <f aca="false">$AP83*BD83</f>
        <v>#NAME?</v>
      </c>
      <c r="BS83" s="37" t="e">
        <f aca="false">$AP83*BE83</f>
        <v>#NAME?</v>
      </c>
      <c r="BT83" s="37" t="n">
        <f aca="false">$AP83*BF83</f>
        <v>0</v>
      </c>
      <c r="BU83" s="37" t="e">
        <f aca="false">$AP83*BG83</f>
        <v>#NAME?</v>
      </c>
      <c r="BV83" s="37" t="n">
        <f aca="false">$AP83*BH83</f>
        <v>0</v>
      </c>
      <c r="BW83" s="37" t="e">
        <f aca="false">$AP83*BI83</f>
        <v>#NAME?</v>
      </c>
      <c r="BX83" s="37"/>
      <c r="BZ83" s="73" t="n">
        <f aca="false">IF($A83&gt;=CB$32,IF($A83&lt;=CB$33,$AN83,0),0)</f>
        <v>0</v>
      </c>
      <c r="CA83" s="41" t="n">
        <f aca="false">$B83+$R83+$D$12</f>
        <v>3.615</v>
      </c>
      <c r="CB83" s="41" t="n">
        <f aca="false">$B83+$S83+$D$13</f>
        <v>3.385</v>
      </c>
      <c r="CC83" s="41" t="n">
        <f aca="false">CA83*BZ83</f>
        <v>0</v>
      </c>
      <c r="CD83" s="41" t="n">
        <f aca="false">CB83*BZ83</f>
        <v>0</v>
      </c>
      <c r="CE83" s="74" t="n">
        <f aca="false">($C83*$T83)+X83+$D$14</f>
        <v>0.28</v>
      </c>
      <c r="CF83" s="74" t="n">
        <f aca="false">($C83*$U83)+$D$15</f>
        <v>0.28</v>
      </c>
      <c r="CG83" s="65" t="n">
        <f aca="false">$V83+D$16</f>
        <v>0.98</v>
      </c>
      <c r="CH83" s="75" t="n">
        <f aca="false">IF(BZ83=0,0,SPRDOPT(CA83,CB83,$W83,$AM83,CE83,CF83,CG83,$D83,$D$20,0))</f>
        <v>0</v>
      </c>
      <c r="CI83" s="75" t="e">
        <f aca="false">IF(CA83=0,0,SPRDOPT(CA83,CB83,$W83,$AM83,CE83,CF83,CG83,$D83,$D$20,1))</f>
        <v>#NAME?</v>
      </c>
      <c r="CJ83" s="75" t="e">
        <f aca="false">IF(CB83=0,0,SPRDOPT(CA83,CB83,$W83,$AM83,CE83,CF83,CG83,$D83,$D$20,2))</f>
        <v>#NAME?</v>
      </c>
      <c r="CK83" s="75" t="n">
        <f aca="false">IF(CC83=0,0,SPRDOPT(CA83,CB83,$W83,$AM83,CE83,CF83,CG83,$D83,$D$20,3)/100)</f>
        <v>0</v>
      </c>
      <c r="CL83" s="75" t="n">
        <f aca="false">IF(CD83=0,0,SPRDOPT(CA83,CB83,$W83,$AM83,CE83,CF83,CG83,$D83,$D$20,4)/100)</f>
        <v>0</v>
      </c>
      <c r="CM83" s="75" t="e">
        <f aca="false">IF(CE83=0,0,SPRDOPT(CA83,CB83,$W83,$AM83,CE83,CF83,CG83,$D83,$D$20,5)/100)</f>
        <v>#NAME?</v>
      </c>
      <c r="CN83" s="75" t="e">
        <f aca="false">IF(CF83=0,0,SPRDOPT(CA83,CB83,$W83,$AM83,CE83,CF83,CG83,$D83,$D$20,6)/100)</f>
        <v>#NAME?</v>
      </c>
      <c r="CO83" s="75" t="e">
        <f aca="false">IF(CG83=0,0,SPRDOPT(CA83,CB83,$W83,$AM83,CE83,CF83,CG83,$D83,$D$20,7)/100)</f>
        <v>#NAME?</v>
      </c>
      <c r="CP83" s="75" t="n">
        <f aca="false">IF(CH83=0,0,SPRDOPT(CA83,CB83,$W83,$AM83,CE83,CF83,CG83,$D83,$D$20,9)/365)</f>
        <v>0</v>
      </c>
      <c r="CQ83" s="75" t="e">
        <f aca="false">CI83+CJ83</f>
        <v>#NAME?</v>
      </c>
      <c r="CR83" s="75" t="n">
        <f aca="false">CL83-CK83</f>
        <v>0</v>
      </c>
      <c r="CS83" s="75" t="e">
        <f aca="false">((CE83/CF83)*CM83)+CN83</f>
        <v>#NAME?</v>
      </c>
      <c r="CT83" s="75" t="n">
        <f aca="false">CG83*BZ83</f>
        <v>0</v>
      </c>
      <c r="CU83" s="76"/>
      <c r="CV83" s="37" t="n">
        <f aca="false">BZ83*CH83</f>
        <v>0</v>
      </c>
      <c r="CW83" s="37" t="e">
        <f aca="false">BZ83*CI83</f>
        <v>#NAME?</v>
      </c>
      <c r="CX83" s="37" t="e">
        <f aca="false">BZ83*CJ83</f>
        <v>#NAME?</v>
      </c>
      <c r="CY83" s="37" t="n">
        <f aca="false">BZ83*CK83</f>
        <v>0</v>
      </c>
      <c r="CZ83" s="37" t="n">
        <f aca="false">BZ83*CL83</f>
        <v>0</v>
      </c>
      <c r="DA83" s="37" t="e">
        <f aca="false">BZ83*CM83</f>
        <v>#NAME?</v>
      </c>
      <c r="DB83" s="37" t="e">
        <f aca="false">BZ83*CN83</f>
        <v>#NAME?</v>
      </c>
      <c r="DC83" s="37" t="e">
        <f aca="false">BZ83*CO83</f>
        <v>#NAME?</v>
      </c>
      <c r="DD83" s="37" t="n">
        <f aca="false">BZ83*CP83</f>
        <v>0</v>
      </c>
      <c r="DE83" s="37" t="e">
        <f aca="false">BZ83*CQ83</f>
        <v>#NAME?</v>
      </c>
      <c r="DF83" s="37" t="n">
        <f aca="false">BZ83*CR83</f>
        <v>0</v>
      </c>
      <c r="DG83" s="37" t="e">
        <f aca="false">BZ83*CS83</f>
        <v>#NAME?</v>
      </c>
      <c r="DI83" s="73" t="n">
        <f aca="false">IF($A83&gt;=DK$32,IF($A83&lt;=DK$33,$AN83,0),0)</f>
        <v>0</v>
      </c>
      <c r="DJ83" s="41" t="n">
        <f aca="false">$B83+$Y83+$F$12</f>
        <v>2.965</v>
      </c>
      <c r="DK83" s="41" t="n">
        <f aca="false">$B83+$Z83+$F$13</f>
        <v>3.385</v>
      </c>
      <c r="DL83" s="41" t="n">
        <f aca="false">DJ83*DI83</f>
        <v>0</v>
      </c>
      <c r="DM83" s="41" t="n">
        <f aca="false">DK83*DI83</f>
        <v>0</v>
      </c>
      <c r="DN83" s="74" t="n">
        <f aca="false">($C83*$AA83)+AE83+$F$14</f>
        <v>0.28</v>
      </c>
      <c r="DO83" s="74" t="n">
        <f aca="false">($C83*$AB83)+$F$15</f>
        <v>0.28</v>
      </c>
      <c r="DP83" s="65" t="n">
        <f aca="false">$AC83+$F$16</f>
        <v>0.96</v>
      </c>
      <c r="DQ83" s="75" t="n">
        <f aca="false">IF(DI83=0,0,SPRDOPT(DJ83,DK83,$AD83,$AM83,DN83,DO83,DP83,$D83,$F$20,0))</f>
        <v>0</v>
      </c>
      <c r="DR83" s="75" t="e">
        <f aca="false">IF(DJ83=0,0,SPRDOPT(DJ83,DK83,$AD83,$AM83,DN83,DO83,DP83,$D83,$F$20,1))</f>
        <v>#NAME?</v>
      </c>
      <c r="DS83" s="75" t="e">
        <f aca="false">IF(DK83=0,0,SPRDOPT(DJ83,DK83,$AD83,$AM83,DN83,DO83,DP83,$D83,$F$20,2))</f>
        <v>#NAME?</v>
      </c>
      <c r="DT83" s="75" t="n">
        <f aca="false">IF(DL83=0,0,SPRDOPT(DJ83,DK83,$AD83,$AM83,DN83,DO83,DP83,$D83,$F$20,3)/100)</f>
        <v>0</v>
      </c>
      <c r="DU83" s="75" t="n">
        <f aca="false">IF(DM83=0,0,SPRDOPT(DJ83,DK83,$AD83,$AM83,DN83,DO83,DP83,$D83,$F$20,4)/100)</f>
        <v>0</v>
      </c>
      <c r="DV83" s="75" t="e">
        <f aca="false">IF(DN83=0,0,SPRDOPT(DJ83,DK83,$AD83,$AM83,DN83,DO83,DP83,$D83,$F$20,5)/100)</f>
        <v>#NAME?</v>
      </c>
      <c r="DW83" s="75" t="e">
        <f aca="false">IF(DO83=0,0,SPRDOPT(DJ83,DK83,$AD83,$AM83,DN83,DO83,DP83,$D83,$F$20,6)/100)</f>
        <v>#NAME?</v>
      </c>
      <c r="DX83" s="75" t="e">
        <f aca="false">IF(DP83=0,0,SPRDOPT(DJ83,DK83,$AD83,$AM83,DN83,DO83,DP83,$D83,$F$20,7)/100)</f>
        <v>#NAME?</v>
      </c>
      <c r="DY83" s="75" t="n">
        <f aca="false">IF(DQ83=0,0,SPRDOPT(DJ83,DK83,$AD83,$AM83,DN83,DO83,DP83,$D83,$F$20,9)/365)</f>
        <v>0</v>
      </c>
      <c r="DZ83" s="75" t="e">
        <f aca="false">DR83+DS83</f>
        <v>#NAME?</v>
      </c>
      <c r="EA83" s="75" t="n">
        <f aca="false">DU83-DT83</f>
        <v>0</v>
      </c>
      <c r="EB83" s="75" t="e">
        <f aca="false">((DN83/DO83)*DV83)+DW83</f>
        <v>#NAME?</v>
      </c>
      <c r="EC83" s="75" t="n">
        <f aca="false">DP83*DI83</f>
        <v>0</v>
      </c>
      <c r="ED83" s="75"/>
      <c r="EE83" s="37" t="n">
        <f aca="false">DI83*DQ83</f>
        <v>0</v>
      </c>
      <c r="EF83" s="37" t="e">
        <f aca="false">DI83*DR83</f>
        <v>#NAME?</v>
      </c>
      <c r="EG83" s="37" t="e">
        <f aca="false">DI83*DS83</f>
        <v>#NAME?</v>
      </c>
      <c r="EH83" s="37" t="n">
        <f aca="false">DI83*DT83</f>
        <v>0</v>
      </c>
      <c r="EI83" s="37" t="n">
        <f aca="false">DI83*DU83</f>
        <v>0</v>
      </c>
      <c r="EJ83" s="37" t="e">
        <f aca="false">DI83*DV83</f>
        <v>#NAME?</v>
      </c>
      <c r="EK83" s="37" t="e">
        <f aca="false">DI83*DW83</f>
        <v>#NAME?</v>
      </c>
      <c r="EL83" s="37" t="e">
        <f aca="false">DI83*DX83</f>
        <v>#NAME?</v>
      </c>
      <c r="EM83" s="37" t="n">
        <f aca="false">DI83*DY83</f>
        <v>0</v>
      </c>
      <c r="EN83" s="37" t="e">
        <f aca="false">DI83*DZ83</f>
        <v>#NAME?</v>
      </c>
      <c r="EO83" s="37" t="n">
        <f aca="false">DI83*EA83</f>
        <v>0</v>
      </c>
      <c r="EP83" s="37" t="e">
        <f aca="false">DI83*EB83</f>
        <v>#NAME?</v>
      </c>
      <c r="ER83" s="73" t="n">
        <f aca="false">IF($A83&gt;=ET$32,IF($A83&lt;=ET$33,$AN83,0),0)</f>
        <v>0</v>
      </c>
      <c r="ES83" s="41" t="n">
        <f aca="false">$B83+$AF83+$H$12</f>
        <v>3.025</v>
      </c>
      <c r="ET83" s="41" t="n">
        <f aca="false">$B83+$AG83+$H$13</f>
        <v>3.385</v>
      </c>
      <c r="EU83" s="41" t="n">
        <f aca="false">ES83*ER83</f>
        <v>0</v>
      </c>
      <c r="EV83" s="41" t="n">
        <f aca="false">ET83*ER83</f>
        <v>0</v>
      </c>
      <c r="EW83" s="74" t="n">
        <f aca="false">($C83*$AH83)+AL83+$H$14</f>
        <v>0.28</v>
      </c>
      <c r="EX83" s="74" t="n">
        <f aca="false">($C83*$AI83)+$H$15</f>
        <v>0.28</v>
      </c>
      <c r="EY83" s="65" t="n">
        <f aca="false">$AJ83+$H$16</f>
        <v>0.96</v>
      </c>
      <c r="EZ83" s="75" t="n">
        <f aca="false">IF(ER83=0,0,SPRDOPT(ES83,ET83,$AK83,$AM83,EW83,EX83,EY83,$D83,$H$20,0))</f>
        <v>0</v>
      </c>
      <c r="FA83" s="75" t="e">
        <f aca="false">IF(ES83=0,0,SPRDOPT(ES83,ET83,$AK83,$AM83,EW83,EX83,EY83,$D83,$H$20,1))</f>
        <v>#NAME?</v>
      </c>
      <c r="FB83" s="75" t="e">
        <f aca="false">IF(ET83=0,0,SPRDOPT(ES83,ET83,$AK83,$AM83,EW83,EX83,EY83,$D83,$H$20,2))</f>
        <v>#NAME?</v>
      </c>
      <c r="FC83" s="75" t="n">
        <f aca="false">IF(EU83=0,0,SPRDOPT(ES83,ET83,$AK83,$AM83,EW83,EX83,EY83,$D83,$H$20,3)/100)</f>
        <v>0</v>
      </c>
      <c r="FD83" s="75" t="n">
        <f aca="false">IF(EV83=0,0,SPRDOPT(ES83,ET83,$AK83,$AM83,EW83,EX83,EY83,$D83,$H$20,4)/100)</f>
        <v>0</v>
      </c>
      <c r="FE83" s="75" t="e">
        <f aca="false">IF(EW83=0,0,SPRDOPT(ES83,ET83,$AK83,$AM83,EW83,EX83,EY83,$D83,$H$20,5)/100)</f>
        <v>#NAME?</v>
      </c>
      <c r="FF83" s="75" t="e">
        <f aca="false">IF(EX83=0,0,SPRDOPT(ES83,ET83,$AK83,$AM83,EW83,EX83,EY83,$D83,$H$20,6)/100)</f>
        <v>#NAME?</v>
      </c>
      <c r="FG83" s="75" t="e">
        <f aca="false">IF(EY83=0,0,SPRDOPT(ES83,ET83,$AK83,$AM83,EW83,EX83,EY83,$D83,$H$20,7)/100)</f>
        <v>#NAME?</v>
      </c>
      <c r="FH83" s="75" t="n">
        <f aca="false">IF(EZ83=0,0,SPRDOPT(ES83,ET83,$AK83,$AM83,EW83,EX83,EY83,$D83,$H$20,9)/365)</f>
        <v>0</v>
      </c>
      <c r="FI83" s="75" t="e">
        <f aca="false">FA83+FB83</f>
        <v>#NAME?</v>
      </c>
      <c r="FJ83" s="75" t="n">
        <f aca="false">FD83-FC83</f>
        <v>0</v>
      </c>
      <c r="FK83" s="75" t="e">
        <f aca="false">((EW83/EX83)*FE83)+FF83</f>
        <v>#NAME?</v>
      </c>
      <c r="FL83" s="75" t="n">
        <f aca="false">EY83*ER83</f>
        <v>0</v>
      </c>
      <c r="FM83" s="75"/>
      <c r="FN83" s="37" t="n">
        <f aca="false">$ER83*EZ83</f>
        <v>0</v>
      </c>
      <c r="FO83" s="37" t="e">
        <f aca="false">$ER83*FA83</f>
        <v>#NAME?</v>
      </c>
      <c r="FP83" s="37" t="e">
        <f aca="false">$ER83*FB83</f>
        <v>#NAME?</v>
      </c>
      <c r="FQ83" s="37" t="n">
        <f aca="false">$ER83*FC83</f>
        <v>0</v>
      </c>
      <c r="FR83" s="37" t="n">
        <f aca="false">$ER83*FD83</f>
        <v>0</v>
      </c>
      <c r="FS83" s="37" t="e">
        <f aca="false">$ER83*FE83</f>
        <v>#NAME?</v>
      </c>
      <c r="FT83" s="37" t="e">
        <f aca="false">$ER83*FF83</f>
        <v>#NAME?</v>
      </c>
      <c r="FU83" s="37" t="e">
        <f aca="false">$ER83*FG83</f>
        <v>#NAME?</v>
      </c>
      <c r="FV83" s="37" t="n">
        <f aca="false">$ER83*FH83</f>
        <v>0</v>
      </c>
      <c r="FW83" s="37" t="e">
        <f aca="false">$ER83*FI83</f>
        <v>#NAME?</v>
      </c>
      <c r="FX83" s="37" t="n">
        <f aca="false">$ER83*FJ83</f>
        <v>0</v>
      </c>
      <c r="FY83" s="37" t="e">
        <f aca="false">$ER83*FK83</f>
        <v>#NAME?</v>
      </c>
      <c r="GA83" s="77" t="e">
        <f aca="false">VLOOKUP(A83,skewmonthlook,2,FALSE())</f>
        <v>#REF!</v>
      </c>
      <c r="GB83" s="0" t="e">
        <f aca="false">CONCATENATE(B$3,$GA83)</f>
        <v>#REF!</v>
      </c>
      <c r="GC83" s="0" t="e">
        <f aca="false">CONCATENATE(D$3,$GA83)</f>
        <v>#REF!</v>
      </c>
      <c r="GD83" s="0" t="e">
        <f aca="false">CONCATENATE(F$3,$GA83)</f>
        <v>#REF!</v>
      </c>
      <c r="GE83" s="0" t="e">
        <f aca="false">CONCATENATE(H$3,$GA83)</f>
        <v>#REF!</v>
      </c>
      <c r="GG83" s="65" t="e">
        <f aca="false">VLOOKUP(GB83,skewlook,HLOOKUP($P83,skewlook,2),FALSE())</f>
        <v>#REF!</v>
      </c>
      <c r="GH83" s="65" t="e">
        <f aca="false">VLOOKUP(GC83,skewlook,HLOOKUP($W83,skewlook,2),FALSE())</f>
        <v>#REF!</v>
      </c>
      <c r="GI83" s="65" t="e">
        <f aca="false">VLOOKUP(GD83,skewlook,HLOOKUP($AD83,skewlook,2),FALSE())</f>
        <v>#REF!</v>
      </c>
      <c r="GJ83" s="65" t="e">
        <f aca="false">VLOOKUP(GE83,skewlook,HLOOKUP($AK83,skewlook,2),FALSE())</f>
        <v>#REF!</v>
      </c>
    </row>
    <row r="84" customFormat="false" ht="12.75" hidden="false" customHeight="false" outlineLevel="0" collapsed="false">
      <c r="A84" s="62" t="n">
        <f aca="false">DATE(YEAR(A83),MONTH(A83)+1,1)</f>
        <v>38657</v>
      </c>
      <c r="B84" s="63" t="n">
        <f aca="false">VLOOKUP(A84,STRADDLE,5,FALSE())</f>
        <v>3.537</v>
      </c>
      <c r="C84" s="4" t="n">
        <f aca="false">VLOOKUP(A84,STRADDLE,8,FALSE())</f>
        <v>0.28</v>
      </c>
      <c r="D84" s="64" t="n">
        <f aca="false">VLOOKUP(A84,expiration,2,FALSE())-$B$2</f>
        <v>-7275</v>
      </c>
      <c r="E84" s="65" t="e">
        <f aca="false">AY84</f>
        <v>#NAME?</v>
      </c>
      <c r="F84" s="65" t="e">
        <f aca="false">CI84</f>
        <v>#NAME?</v>
      </c>
      <c r="G84" s="65" t="e">
        <f aca="false">DR84</f>
        <v>#NAME?</v>
      </c>
      <c r="H84" s="65" t="e">
        <f aca="false">FA84</f>
        <v>#NAME?</v>
      </c>
      <c r="I84" s="66"/>
      <c r="J84" s="67"/>
      <c r="K84" s="63" t="n">
        <f aca="false">IF($B$3="NYMEX",0,VLOOKUP($A84,curvesettle,HLOOKUP($B$3,curvesettle,2,FALSE()),FALSE()))</f>
        <v>-0.15</v>
      </c>
      <c r="L84" s="63" t="n">
        <f aca="false">IF($B$4="NYMEX",0,VLOOKUP($A84,curvesettle,HLOOKUP($B$4,curvesettle,2,FALSE()),FALSE()))</f>
        <v>0</v>
      </c>
      <c r="M84" s="65" t="n">
        <f aca="false">IF(ISNUMBER(VLOOKUP($A84,VOLCURVES,HLOOKUP($B$3,VOLCURVES,2,FALSE()),FALSE())),VLOOKUP($A84,VOLCURVES,HLOOKUP($B$3,VOLCURVES,2,FALSE()),FALSE()),1)</f>
        <v>1</v>
      </c>
      <c r="N84" s="65" t="n">
        <f aca="false">IF(ISNUMBER(VLOOKUP($A84,VOLCURVES,HLOOKUP($B$4,VOLCURVES,2,FALSE()),FALSE())),VLOOKUP($A84,VOLCURVES,HLOOKUP($B$4,VOLCURVES,2,FALSE()),FALSE()),1)</f>
        <v>1</v>
      </c>
      <c r="O84" s="65" t="n">
        <f aca="false">IF(ISNUMBER(VLOOKUP($A84,CORETABLE,HLOOKUP($B$3,CORETABLE,2,FALSE()),FALSE())),VLOOKUP($A84,CORETABLE,HLOOKUP($B$3,CORETABLE,2,FALSE()),FALSE()),0.99)</f>
        <v>0.9945</v>
      </c>
      <c r="P84" s="68" t="n">
        <f aca="false">B$19</f>
        <v>-0.2</v>
      </c>
      <c r="Q84" s="69" t="n">
        <f aca="false">IF($B$18=1,IF(ISNUMBER($GG84),$GG84,0),0)</f>
        <v>0</v>
      </c>
      <c r="R84" s="70" t="n">
        <f aca="false">IF($D$3="NYMEX",0,VLOOKUP($A84,curvesettle,HLOOKUP($D$3,curvesettle,2,FALSE()),FALSE()))</f>
        <v>0.24</v>
      </c>
      <c r="S84" s="63" t="n">
        <f aca="false">IF($D$4="NYMEX",0,VLOOKUP($A84,curvesettle,HLOOKUP($D$4,curvesettle,2,FALSE()),FALSE()))</f>
        <v>0</v>
      </c>
      <c r="T84" s="65" t="n">
        <f aca="false">IF(ISNUMBER(VLOOKUP($A84,VOLCURVES,HLOOKUP($D$3,VOLCURVES,2,FALSE()),FALSE())),VLOOKUP($A84,VOLCURVES,HLOOKUP($D$3,VOLCURVES,2,FALSE()),FALSE()),1)</f>
        <v>1</v>
      </c>
      <c r="U84" s="65" t="n">
        <f aca="false">IF(ISNUMBER(VLOOKUP($A84,VOLCURVES,HLOOKUP($D$4,VOLCURVES,2,FALSE()),FALSE())),VLOOKUP($A84,VOLCURVES,HLOOKUP($D$4,VOLCURVES,2,FALSE()),FALSE()),1)</f>
        <v>1</v>
      </c>
      <c r="V84" s="65" t="n">
        <f aca="false">IF(ISNUMBER(VLOOKUP($A84,CORETABLE,HLOOKUP($D$3,CORETABLE,2,FALSE()),FALSE())),VLOOKUP($A84,CORETABLE,HLOOKUP($D$3,CORETABLE,2,FALSE()),FALSE()),0.99)</f>
        <v>0.98</v>
      </c>
      <c r="W84" s="68" t="n">
        <f aca="false">D$19</f>
        <v>0</v>
      </c>
      <c r="X84" s="69" t="n">
        <f aca="false">IF($D$18=1,IF(ISNUMBER($GH84),$GH84,0),0)</f>
        <v>0</v>
      </c>
      <c r="Y84" s="71" t="n">
        <f aca="false">IF($F$3="NYMEX",0,VLOOKUP($A84,curvesettle,HLOOKUP($F$3,curvesettle,2,FALSE()),FALSE()))</f>
        <v>-0.26</v>
      </c>
      <c r="Z84" s="63" t="n">
        <f aca="false">IF($F$4="NYMEX",0,VLOOKUP($A84,curvesettle,HLOOKUP($F$4,curvesettle,2,FALSE()),FALSE()))</f>
        <v>0</v>
      </c>
      <c r="AA84" s="65" t="n">
        <f aca="false">IF(ISNUMBER(VLOOKUP($A84,VOLCURVES,HLOOKUP($F$3,VOLCURVES,2,FALSE()),FALSE())),VLOOKUP($A84,VOLCURVES,HLOOKUP($F$3,VOLCURVES,2,FALSE()),FALSE()),1)</f>
        <v>1</v>
      </c>
      <c r="AB84" s="65" t="n">
        <f aca="false">IF(ISNUMBER(VLOOKUP($A84,VOLCURVES,HLOOKUP($F$4,VOLCURVES,2,FALSE()),FALSE())),VLOOKUP($A84,VOLCURVES,HLOOKUP($F$4,VOLCURVES,2,FALSE()),FALSE()),1)</f>
        <v>1</v>
      </c>
      <c r="AC84" s="65" t="n">
        <f aca="false">IF(ISNUMBER(VLOOKUP($A84,CORETABLE,HLOOKUP($F$3,CORETABLE,2,FALSE()),FALSE())),VLOOKUP($A84,CORETABLE,HLOOKUP($F$3,CORETABLE,2,FALSE()),FALSE()),0.99)</f>
        <v>0.96</v>
      </c>
      <c r="AD84" s="68" t="n">
        <f aca="false">F$19</f>
        <v>-0.6</v>
      </c>
      <c r="AE84" s="69" t="n">
        <f aca="false">IF($F$18=1,IF(ISNUMBER($GI84),$GI84,0),0)</f>
        <v>0</v>
      </c>
      <c r="AF84" s="63" t="n">
        <f aca="false">IF($H$3="NYMEX",0,VLOOKUP($A84,curvesettle,HLOOKUP($H$3,curvesettle,2,FALSE()),FALSE()))</f>
        <v>-0.26</v>
      </c>
      <c r="AG84" s="63" t="n">
        <f aca="false">IF($H$4="NYMEX",0,VLOOKUP($A84,curvesettle,HLOOKUP($H$4,curvesettle,2,FALSE()),FALSE()))</f>
        <v>0</v>
      </c>
      <c r="AH84" s="65" t="n">
        <f aca="false">IF(ISNUMBER(VLOOKUP($A84,VOLCURVES,HLOOKUP($H$3,VOLCURVES,2,FALSE()),FALSE())),VLOOKUP($A84,VOLCURVES,HLOOKUP($H$3,VOLCURVES,2,FALSE()),FALSE()),1)</f>
        <v>1</v>
      </c>
      <c r="AI84" s="65" t="n">
        <f aca="false">IF(ISNUMBER(VLOOKUP($A84,VOLCURVES,HLOOKUP($H$4,VOLCURVES,2,FALSE()),FALSE())),VLOOKUP($A84,VOLCURVES,HLOOKUP($H$4,VOLCURVES,2,FALSE()),FALSE()),1)</f>
        <v>1</v>
      </c>
      <c r="AJ84" s="65" t="n">
        <f aca="false">IF(ISNUMBER(VLOOKUP($A84,CORETABLE,HLOOKUP($H$3,CORETABLE,2,FALSE()),FALSE())),VLOOKUP($A84,CORETABLE,HLOOKUP($H$3,CORETABLE,2,FALSE()),FALSE()),0.99)</f>
        <v>0.96</v>
      </c>
      <c r="AK84" s="68" t="n">
        <f aca="false">H$19</f>
        <v>-0.45</v>
      </c>
      <c r="AL84" s="69" t="n">
        <f aca="false">IF($H$18=1,IF(ISNUMBER($GJ84),$GJ84,0),0)</f>
        <v>0</v>
      </c>
      <c r="AM84" s="4" t="n">
        <f aca="false">VLOOKUP($A84,STRADDLE,14,FALSE())</f>
        <v>0.0470928800068173</v>
      </c>
      <c r="AN84" s="72" t="n">
        <f aca="false">A85-A84</f>
        <v>30</v>
      </c>
      <c r="AO84" s="1" t="n">
        <f aca="false">AO83+1</f>
        <v>47</v>
      </c>
      <c r="AP84" s="73" t="n">
        <f aca="false">IF($A84&gt;=AR$32,IF($A84&lt;=AR$33,$AN84,0),0)</f>
        <v>0</v>
      </c>
      <c r="AQ84" s="41" t="n">
        <f aca="false">$B84+$K84+$B$12</f>
        <v>3.387</v>
      </c>
      <c r="AR84" s="41" t="n">
        <f aca="false">$B84+$L84+$B$13</f>
        <v>3.537</v>
      </c>
      <c r="AS84" s="41" t="n">
        <f aca="false">AQ84*AP84</f>
        <v>0</v>
      </c>
      <c r="AT84" s="41" t="n">
        <f aca="false">AR84*AP84</f>
        <v>0</v>
      </c>
      <c r="AU84" s="74" t="n">
        <f aca="false">($C84*$M84)+Q84+$B$14</f>
        <v>0.28</v>
      </c>
      <c r="AV84" s="74" t="n">
        <f aca="false">($C84*$N84)+$B$15</f>
        <v>0.28</v>
      </c>
      <c r="AW84" s="65" t="n">
        <f aca="false">O84+B$16</f>
        <v>0.999</v>
      </c>
      <c r="AX84" s="75" t="n">
        <f aca="false">IF(AP84=0,0,SPRDOPT(AQ84,AR84,$P84,$AM84,AU84,AV84,AW84,$D84,$B$20,0))</f>
        <v>0</v>
      </c>
      <c r="AY84" s="75" t="e">
        <f aca="false">IF(AQ84=0,0,SPRDOPT(AQ84,AR84,$P84,$AM84,AU84,AV84,AW84,$D84,$B$20,1))</f>
        <v>#NAME?</v>
      </c>
      <c r="AZ84" s="75" t="e">
        <f aca="false">IF(AR84=0,0,SPRDOPT(AQ84,AR84,$P84,$AM84,AU84,AV84,AW84,$D84,$B$20,2))</f>
        <v>#NAME?</v>
      </c>
      <c r="BA84" s="75" t="n">
        <f aca="false">IF(AS84=0,0,SPRDOPT(AQ84,AR84,$P84,$AM84,AU84,AV84,AW84,$D84,$B$20,3)/100)</f>
        <v>0</v>
      </c>
      <c r="BB84" s="75" t="n">
        <f aca="false">IF(AT84=0,0,SPRDOPT(AQ84,AR84,$P84,$AM84,AU84,AV84,AW84,$D84,$B$20,4)/100)</f>
        <v>0</v>
      </c>
      <c r="BC84" s="75" t="e">
        <f aca="false">IF(AU84=0,0,SPRDOPT(AQ84,AR84,$P84,$AM84,AU84,AV84,AW84,$D84,$B$20,5)/100)</f>
        <v>#NAME?</v>
      </c>
      <c r="BD84" s="75" t="e">
        <f aca="false">IF(AV84=0,0,SPRDOPT(AQ84,AR84,$P84,$AM84,AU84,AV84,AW84,$D84,$B$20,6)/100)</f>
        <v>#NAME?</v>
      </c>
      <c r="BE84" s="75" t="e">
        <f aca="false">IF(AW84=0,0,SPRDOPT(AQ84,AR84,$P84,$AM84,AU84,AV84,AW84,$D84,$B$20,7)/100)</f>
        <v>#NAME?</v>
      </c>
      <c r="BF84" s="75" t="n">
        <f aca="false">IF(AX84=0,0,SPRDOPT(AQ84,AR84,$P84,$AM84,AU84,AV84,AW84,$D84,$B$20,9)/365)</f>
        <v>0</v>
      </c>
      <c r="BG84" s="75" t="e">
        <f aca="false">AY84+AZ84</f>
        <v>#NAME?</v>
      </c>
      <c r="BH84" s="75" t="n">
        <f aca="false">BB84-BA84</f>
        <v>0</v>
      </c>
      <c r="BI84" s="75" t="e">
        <f aca="false">((AU84/AV84)*BC84)+BD84</f>
        <v>#NAME?</v>
      </c>
      <c r="BJ84" s="75" t="n">
        <f aca="false">AW84*AP84</f>
        <v>0</v>
      </c>
      <c r="BK84" s="76"/>
      <c r="BL84" s="37" t="n">
        <f aca="false">$AP84*AX84</f>
        <v>0</v>
      </c>
      <c r="BM84" s="37" t="e">
        <f aca="false">$AP84*AY84</f>
        <v>#NAME?</v>
      </c>
      <c r="BN84" s="37" t="e">
        <f aca="false">$AP84*AZ84</f>
        <v>#NAME?</v>
      </c>
      <c r="BO84" s="37" t="n">
        <f aca="false">$AP84*BA84</f>
        <v>0</v>
      </c>
      <c r="BP84" s="37" t="n">
        <f aca="false">$AP84*BB84</f>
        <v>0</v>
      </c>
      <c r="BQ84" s="37" t="e">
        <f aca="false">$AP84*BC84</f>
        <v>#NAME?</v>
      </c>
      <c r="BR84" s="37" t="e">
        <f aca="false">$AP84*BD84</f>
        <v>#NAME?</v>
      </c>
      <c r="BS84" s="37" t="e">
        <f aca="false">$AP84*BE84</f>
        <v>#NAME?</v>
      </c>
      <c r="BT84" s="37" t="n">
        <f aca="false">$AP84*BF84</f>
        <v>0</v>
      </c>
      <c r="BU84" s="37" t="e">
        <f aca="false">$AP84*BG84</f>
        <v>#NAME?</v>
      </c>
      <c r="BV84" s="37" t="n">
        <f aca="false">$AP84*BH84</f>
        <v>0</v>
      </c>
      <c r="BW84" s="37" t="e">
        <f aca="false">$AP84*BI84</f>
        <v>#NAME?</v>
      </c>
      <c r="BX84" s="37"/>
      <c r="BZ84" s="73" t="n">
        <f aca="false">IF($A84&gt;=CB$32,IF($A84&lt;=CB$33,$AN84,0),0)</f>
        <v>0</v>
      </c>
      <c r="CA84" s="41" t="n">
        <f aca="false">$B84+$R84+$D$12</f>
        <v>3.777</v>
      </c>
      <c r="CB84" s="41" t="n">
        <f aca="false">$B84+$S84+$D$13</f>
        <v>3.537</v>
      </c>
      <c r="CC84" s="41" t="n">
        <f aca="false">CA84*BZ84</f>
        <v>0</v>
      </c>
      <c r="CD84" s="41" t="n">
        <f aca="false">CB84*BZ84</f>
        <v>0</v>
      </c>
      <c r="CE84" s="74" t="n">
        <f aca="false">($C84*$T84)+X84+$D$14</f>
        <v>0.28</v>
      </c>
      <c r="CF84" s="74" t="n">
        <f aca="false">($C84*$U84)+$D$15</f>
        <v>0.28</v>
      </c>
      <c r="CG84" s="65" t="n">
        <f aca="false">$V84+D$16</f>
        <v>0.98</v>
      </c>
      <c r="CH84" s="75" t="n">
        <f aca="false">IF(BZ84=0,0,SPRDOPT(CA84,CB84,$W84,$AM84,CE84,CF84,CG84,$D84,$D$20,0))</f>
        <v>0</v>
      </c>
      <c r="CI84" s="75" t="e">
        <f aca="false">IF(CA84=0,0,SPRDOPT(CA84,CB84,$W84,$AM84,CE84,CF84,CG84,$D84,$D$20,1))</f>
        <v>#NAME?</v>
      </c>
      <c r="CJ84" s="75" t="e">
        <f aca="false">IF(CB84=0,0,SPRDOPT(CA84,CB84,$W84,$AM84,CE84,CF84,CG84,$D84,$D$20,2))</f>
        <v>#NAME?</v>
      </c>
      <c r="CK84" s="75" t="n">
        <f aca="false">IF(CC84=0,0,SPRDOPT(CA84,CB84,$W84,$AM84,CE84,CF84,CG84,$D84,$D$20,3)/100)</f>
        <v>0</v>
      </c>
      <c r="CL84" s="75" t="n">
        <f aca="false">IF(CD84=0,0,SPRDOPT(CA84,CB84,$W84,$AM84,CE84,CF84,CG84,$D84,$D$20,4)/100)</f>
        <v>0</v>
      </c>
      <c r="CM84" s="75" t="e">
        <f aca="false">IF(CE84=0,0,SPRDOPT(CA84,CB84,$W84,$AM84,CE84,CF84,CG84,$D84,$D$20,5)/100)</f>
        <v>#NAME?</v>
      </c>
      <c r="CN84" s="75" t="e">
        <f aca="false">IF(CF84=0,0,SPRDOPT(CA84,CB84,$W84,$AM84,CE84,CF84,CG84,$D84,$D$20,6)/100)</f>
        <v>#NAME?</v>
      </c>
      <c r="CO84" s="75" t="e">
        <f aca="false">IF(CG84=0,0,SPRDOPT(CA84,CB84,$W84,$AM84,CE84,CF84,CG84,$D84,$D$20,7)/100)</f>
        <v>#NAME?</v>
      </c>
      <c r="CP84" s="75" t="n">
        <f aca="false">IF(CH84=0,0,SPRDOPT(CA84,CB84,$W84,$AM84,CE84,CF84,CG84,$D84,$D$20,9)/365)</f>
        <v>0</v>
      </c>
      <c r="CQ84" s="75" t="e">
        <f aca="false">CI84+CJ84</f>
        <v>#NAME?</v>
      </c>
      <c r="CR84" s="75" t="n">
        <f aca="false">CL84-CK84</f>
        <v>0</v>
      </c>
      <c r="CS84" s="75" t="e">
        <f aca="false">((CE84/CF84)*CM84)+CN84</f>
        <v>#NAME?</v>
      </c>
      <c r="CT84" s="75" t="n">
        <f aca="false">CG84*BZ84</f>
        <v>0</v>
      </c>
      <c r="CU84" s="76"/>
      <c r="CV84" s="37" t="n">
        <f aca="false">BZ84*CH84</f>
        <v>0</v>
      </c>
      <c r="CW84" s="37" t="e">
        <f aca="false">BZ84*CI84</f>
        <v>#NAME?</v>
      </c>
      <c r="CX84" s="37" t="e">
        <f aca="false">BZ84*CJ84</f>
        <v>#NAME?</v>
      </c>
      <c r="CY84" s="37" t="n">
        <f aca="false">BZ84*CK84</f>
        <v>0</v>
      </c>
      <c r="CZ84" s="37" t="n">
        <f aca="false">BZ84*CL84</f>
        <v>0</v>
      </c>
      <c r="DA84" s="37" t="e">
        <f aca="false">BZ84*CM84</f>
        <v>#NAME?</v>
      </c>
      <c r="DB84" s="37" t="e">
        <f aca="false">BZ84*CN84</f>
        <v>#NAME?</v>
      </c>
      <c r="DC84" s="37" t="e">
        <f aca="false">BZ84*CO84</f>
        <v>#NAME?</v>
      </c>
      <c r="DD84" s="37" t="n">
        <f aca="false">BZ84*CP84</f>
        <v>0</v>
      </c>
      <c r="DE84" s="37" t="e">
        <f aca="false">BZ84*CQ84</f>
        <v>#NAME?</v>
      </c>
      <c r="DF84" s="37" t="n">
        <f aca="false">BZ84*CR84</f>
        <v>0</v>
      </c>
      <c r="DG84" s="37" t="e">
        <f aca="false">BZ84*CS84</f>
        <v>#NAME?</v>
      </c>
      <c r="DI84" s="73" t="n">
        <f aca="false">IF($A84&gt;=DK$32,IF($A84&lt;=DK$33,$AN84,0),0)</f>
        <v>0</v>
      </c>
      <c r="DJ84" s="41" t="n">
        <f aca="false">$B84+$Y84+$F$12</f>
        <v>3.277</v>
      </c>
      <c r="DK84" s="41" t="n">
        <f aca="false">$B84+$Z84+$F$13</f>
        <v>3.537</v>
      </c>
      <c r="DL84" s="41" t="n">
        <f aca="false">DJ84*DI84</f>
        <v>0</v>
      </c>
      <c r="DM84" s="41" t="n">
        <f aca="false">DK84*DI84</f>
        <v>0</v>
      </c>
      <c r="DN84" s="74" t="n">
        <f aca="false">($C84*$AA84)+AE84+$F$14</f>
        <v>0.28</v>
      </c>
      <c r="DO84" s="74" t="n">
        <f aca="false">($C84*$AB84)+$F$15</f>
        <v>0.28</v>
      </c>
      <c r="DP84" s="65" t="n">
        <f aca="false">$AC84+$F$16</f>
        <v>0.96</v>
      </c>
      <c r="DQ84" s="75" t="n">
        <f aca="false">IF(DI84=0,0,SPRDOPT(DJ84,DK84,$AD84,$AM84,DN84,DO84,DP84,$D84,$F$20,0))</f>
        <v>0</v>
      </c>
      <c r="DR84" s="75" t="e">
        <f aca="false">IF(DJ84=0,0,SPRDOPT(DJ84,DK84,$AD84,$AM84,DN84,DO84,DP84,$D84,$F$20,1))</f>
        <v>#NAME?</v>
      </c>
      <c r="DS84" s="75" t="e">
        <f aca="false">IF(DK84=0,0,SPRDOPT(DJ84,DK84,$AD84,$AM84,DN84,DO84,DP84,$D84,$F$20,2))</f>
        <v>#NAME?</v>
      </c>
      <c r="DT84" s="75" t="n">
        <f aca="false">IF(DL84=0,0,SPRDOPT(DJ84,DK84,$AD84,$AM84,DN84,DO84,DP84,$D84,$F$20,3)/100)</f>
        <v>0</v>
      </c>
      <c r="DU84" s="75" t="n">
        <f aca="false">IF(DM84=0,0,SPRDOPT(DJ84,DK84,$AD84,$AM84,DN84,DO84,DP84,$D84,$F$20,4)/100)</f>
        <v>0</v>
      </c>
      <c r="DV84" s="75" t="e">
        <f aca="false">IF(DN84=0,0,SPRDOPT(DJ84,DK84,$AD84,$AM84,DN84,DO84,DP84,$D84,$F$20,5)/100)</f>
        <v>#NAME?</v>
      </c>
      <c r="DW84" s="75" t="e">
        <f aca="false">IF(DO84=0,0,SPRDOPT(DJ84,DK84,$AD84,$AM84,DN84,DO84,DP84,$D84,$F$20,6)/100)</f>
        <v>#NAME?</v>
      </c>
      <c r="DX84" s="75" t="e">
        <f aca="false">IF(DP84=0,0,SPRDOPT(DJ84,DK84,$AD84,$AM84,DN84,DO84,DP84,$D84,$F$20,7)/100)</f>
        <v>#NAME?</v>
      </c>
      <c r="DY84" s="75" t="n">
        <f aca="false">IF(DQ84=0,0,SPRDOPT(DJ84,DK84,$AD84,$AM84,DN84,DO84,DP84,$D84,$F$20,9)/365)</f>
        <v>0</v>
      </c>
      <c r="DZ84" s="75" t="e">
        <f aca="false">DR84+DS84</f>
        <v>#NAME?</v>
      </c>
      <c r="EA84" s="75" t="n">
        <f aca="false">DU84-DT84</f>
        <v>0</v>
      </c>
      <c r="EB84" s="75" t="e">
        <f aca="false">((DN84/DO84)*DV84)+DW84</f>
        <v>#NAME?</v>
      </c>
      <c r="EC84" s="75" t="n">
        <f aca="false">DP84*DI84</f>
        <v>0</v>
      </c>
      <c r="ED84" s="75"/>
      <c r="EE84" s="37" t="n">
        <f aca="false">DI84*DQ84</f>
        <v>0</v>
      </c>
      <c r="EF84" s="37" t="e">
        <f aca="false">DI84*DR84</f>
        <v>#NAME?</v>
      </c>
      <c r="EG84" s="37" t="e">
        <f aca="false">DI84*DS84</f>
        <v>#NAME?</v>
      </c>
      <c r="EH84" s="37" t="n">
        <f aca="false">DI84*DT84</f>
        <v>0</v>
      </c>
      <c r="EI84" s="37" t="n">
        <f aca="false">DI84*DU84</f>
        <v>0</v>
      </c>
      <c r="EJ84" s="37" t="e">
        <f aca="false">DI84*DV84</f>
        <v>#NAME?</v>
      </c>
      <c r="EK84" s="37" t="e">
        <f aca="false">DI84*DW84</f>
        <v>#NAME?</v>
      </c>
      <c r="EL84" s="37" t="e">
        <f aca="false">DI84*DX84</f>
        <v>#NAME?</v>
      </c>
      <c r="EM84" s="37" t="n">
        <f aca="false">DI84*DY84</f>
        <v>0</v>
      </c>
      <c r="EN84" s="37" t="e">
        <f aca="false">DI84*DZ84</f>
        <v>#NAME?</v>
      </c>
      <c r="EO84" s="37" t="n">
        <f aca="false">DI84*EA84</f>
        <v>0</v>
      </c>
      <c r="EP84" s="37" t="e">
        <f aca="false">DI84*EB84</f>
        <v>#NAME?</v>
      </c>
      <c r="ER84" s="73" t="n">
        <f aca="false">IF($A84&gt;=ET$32,IF($A84&lt;=ET$33,$AN84,0),0)</f>
        <v>0</v>
      </c>
      <c r="ES84" s="41" t="n">
        <f aca="false">$B84+$AF84+$H$12</f>
        <v>3.337</v>
      </c>
      <c r="ET84" s="41" t="n">
        <f aca="false">$B84+$AG84+$H$13</f>
        <v>3.537</v>
      </c>
      <c r="EU84" s="41" t="n">
        <f aca="false">ES84*ER84</f>
        <v>0</v>
      </c>
      <c r="EV84" s="41" t="n">
        <f aca="false">ET84*ER84</f>
        <v>0</v>
      </c>
      <c r="EW84" s="74" t="n">
        <f aca="false">($C84*$AH84)+AL84+$H$14</f>
        <v>0.28</v>
      </c>
      <c r="EX84" s="74" t="n">
        <f aca="false">($C84*$AI84)+$H$15</f>
        <v>0.28</v>
      </c>
      <c r="EY84" s="65" t="n">
        <f aca="false">$AJ84+$H$16</f>
        <v>0.96</v>
      </c>
      <c r="EZ84" s="75" t="n">
        <f aca="false">IF(ER84=0,0,SPRDOPT(ES84,ET84,$AK84,$AM84,EW84,EX84,EY84,$D84,$H$20,0))</f>
        <v>0</v>
      </c>
      <c r="FA84" s="75" t="e">
        <f aca="false">IF(ES84=0,0,SPRDOPT(ES84,ET84,$AK84,$AM84,EW84,EX84,EY84,$D84,$H$20,1))</f>
        <v>#NAME?</v>
      </c>
      <c r="FB84" s="75" t="e">
        <f aca="false">IF(ET84=0,0,SPRDOPT(ES84,ET84,$AK84,$AM84,EW84,EX84,EY84,$D84,$H$20,2))</f>
        <v>#NAME?</v>
      </c>
      <c r="FC84" s="75" t="n">
        <f aca="false">IF(EU84=0,0,SPRDOPT(ES84,ET84,$AK84,$AM84,EW84,EX84,EY84,$D84,$H$20,3)/100)</f>
        <v>0</v>
      </c>
      <c r="FD84" s="75" t="n">
        <f aca="false">IF(EV84=0,0,SPRDOPT(ES84,ET84,$AK84,$AM84,EW84,EX84,EY84,$D84,$H$20,4)/100)</f>
        <v>0</v>
      </c>
      <c r="FE84" s="75" t="e">
        <f aca="false">IF(EW84=0,0,SPRDOPT(ES84,ET84,$AK84,$AM84,EW84,EX84,EY84,$D84,$H$20,5)/100)</f>
        <v>#NAME?</v>
      </c>
      <c r="FF84" s="75" t="e">
        <f aca="false">IF(EX84=0,0,SPRDOPT(ES84,ET84,$AK84,$AM84,EW84,EX84,EY84,$D84,$H$20,6)/100)</f>
        <v>#NAME?</v>
      </c>
      <c r="FG84" s="75" t="e">
        <f aca="false">IF(EY84=0,0,SPRDOPT(ES84,ET84,$AK84,$AM84,EW84,EX84,EY84,$D84,$H$20,7)/100)</f>
        <v>#NAME?</v>
      </c>
      <c r="FH84" s="75" t="n">
        <f aca="false">IF(EZ84=0,0,SPRDOPT(ES84,ET84,$AK84,$AM84,EW84,EX84,EY84,$D84,$H$20,9)/365)</f>
        <v>0</v>
      </c>
      <c r="FI84" s="75" t="e">
        <f aca="false">FA84+FB84</f>
        <v>#NAME?</v>
      </c>
      <c r="FJ84" s="75" t="n">
        <f aca="false">FD84-FC84</f>
        <v>0</v>
      </c>
      <c r="FK84" s="75" t="e">
        <f aca="false">((EW84/EX84)*FE84)+FF84</f>
        <v>#NAME?</v>
      </c>
      <c r="FL84" s="75" t="n">
        <f aca="false">EY84*ER84</f>
        <v>0</v>
      </c>
      <c r="FM84" s="75"/>
      <c r="FN84" s="37" t="n">
        <f aca="false">$ER84*EZ84</f>
        <v>0</v>
      </c>
      <c r="FO84" s="37" t="e">
        <f aca="false">$ER84*FA84</f>
        <v>#NAME?</v>
      </c>
      <c r="FP84" s="37" t="e">
        <f aca="false">$ER84*FB84</f>
        <v>#NAME?</v>
      </c>
      <c r="FQ84" s="37" t="n">
        <f aca="false">$ER84*FC84</f>
        <v>0</v>
      </c>
      <c r="FR84" s="37" t="n">
        <f aca="false">$ER84*FD84</f>
        <v>0</v>
      </c>
      <c r="FS84" s="37" t="e">
        <f aca="false">$ER84*FE84</f>
        <v>#NAME?</v>
      </c>
      <c r="FT84" s="37" t="e">
        <f aca="false">$ER84*FF84</f>
        <v>#NAME?</v>
      </c>
      <c r="FU84" s="37" t="e">
        <f aca="false">$ER84*FG84</f>
        <v>#NAME?</v>
      </c>
      <c r="FV84" s="37" t="n">
        <f aca="false">$ER84*FH84</f>
        <v>0</v>
      </c>
      <c r="FW84" s="37" t="e">
        <f aca="false">$ER84*FI84</f>
        <v>#NAME?</v>
      </c>
      <c r="FX84" s="37" t="n">
        <f aca="false">$ER84*FJ84</f>
        <v>0</v>
      </c>
      <c r="FY84" s="37" t="e">
        <f aca="false">$ER84*FK84</f>
        <v>#NAME?</v>
      </c>
      <c r="GA84" s="77" t="e">
        <f aca="false">VLOOKUP(A84,skewmonthlook,2,FALSE())</f>
        <v>#REF!</v>
      </c>
      <c r="GB84" s="0" t="e">
        <f aca="false">CONCATENATE(B$3,$GA84)</f>
        <v>#REF!</v>
      </c>
      <c r="GC84" s="0" t="e">
        <f aca="false">CONCATENATE(D$3,$GA84)</f>
        <v>#REF!</v>
      </c>
      <c r="GD84" s="0" t="e">
        <f aca="false">CONCATENATE(F$3,$GA84)</f>
        <v>#REF!</v>
      </c>
      <c r="GE84" s="0" t="e">
        <f aca="false">CONCATENATE(H$3,$GA84)</f>
        <v>#REF!</v>
      </c>
      <c r="GG84" s="65" t="e">
        <f aca="false">VLOOKUP(GB84,skewlook,HLOOKUP($P84,skewlook,2),FALSE())</f>
        <v>#REF!</v>
      </c>
      <c r="GH84" s="65" t="e">
        <f aca="false">VLOOKUP(GC84,skewlook,HLOOKUP($W84,skewlook,2),FALSE())</f>
        <v>#REF!</v>
      </c>
      <c r="GI84" s="65" t="e">
        <f aca="false">VLOOKUP(GD84,skewlook,HLOOKUP($AD84,skewlook,2),FALSE())</f>
        <v>#REF!</v>
      </c>
      <c r="GJ84" s="65" t="e">
        <f aca="false">VLOOKUP(GE84,skewlook,HLOOKUP($AK84,skewlook,2),FALSE())</f>
        <v>#REF!</v>
      </c>
    </row>
    <row r="85" customFormat="false" ht="12.75" hidden="false" customHeight="false" outlineLevel="0" collapsed="false">
      <c r="A85" s="62" t="n">
        <f aca="false">DATE(YEAR(A84),MONTH(A84)+1,1)</f>
        <v>38687</v>
      </c>
      <c r="B85" s="63" t="n">
        <f aca="false">VLOOKUP(A85,STRADDLE,5,FALSE())</f>
        <v>3.68</v>
      </c>
      <c r="C85" s="4" t="n">
        <f aca="false">VLOOKUP(A85,STRADDLE,8,FALSE())</f>
        <v>0.28</v>
      </c>
      <c r="D85" s="64" t="n">
        <f aca="false">VLOOKUP(A85,expiration,2,FALSE())-$B$2</f>
        <v>-7243</v>
      </c>
      <c r="E85" s="65" t="e">
        <f aca="false">AY85</f>
        <v>#NAME?</v>
      </c>
      <c r="F85" s="65" t="e">
        <f aca="false">CI85</f>
        <v>#NAME?</v>
      </c>
      <c r="G85" s="65" t="e">
        <f aca="false">DR85</f>
        <v>#NAME?</v>
      </c>
      <c r="H85" s="65" t="e">
        <f aca="false">FA85</f>
        <v>#NAME?</v>
      </c>
      <c r="I85" s="66"/>
      <c r="J85" s="67"/>
      <c r="K85" s="63" t="n">
        <f aca="false">IF($B$3="NYMEX",0,VLOOKUP($A85,curvesettle,HLOOKUP($B$3,curvesettle,2,FALSE()),FALSE()))</f>
        <v>-0.1525</v>
      </c>
      <c r="L85" s="63" t="n">
        <f aca="false">IF($B$4="NYMEX",0,VLOOKUP($A85,curvesettle,HLOOKUP($B$4,curvesettle,2,FALSE()),FALSE()))</f>
        <v>0</v>
      </c>
      <c r="M85" s="65" t="n">
        <f aca="false">IF(ISNUMBER(VLOOKUP($A85,VOLCURVES,HLOOKUP($B$3,VOLCURVES,2,FALSE()),FALSE())),VLOOKUP($A85,VOLCURVES,HLOOKUP($B$3,VOLCURVES,2,FALSE()),FALSE()),1)</f>
        <v>1</v>
      </c>
      <c r="N85" s="65" t="n">
        <f aca="false">IF(ISNUMBER(VLOOKUP($A85,VOLCURVES,HLOOKUP($B$4,VOLCURVES,2,FALSE()),FALSE())),VLOOKUP($A85,VOLCURVES,HLOOKUP($B$4,VOLCURVES,2,FALSE()),FALSE()),1)</f>
        <v>1</v>
      </c>
      <c r="O85" s="65" t="n">
        <f aca="false">IF(ISNUMBER(VLOOKUP($A85,CORETABLE,HLOOKUP($B$3,CORETABLE,2,FALSE()),FALSE())),VLOOKUP($A85,CORETABLE,HLOOKUP($B$3,CORETABLE,2,FALSE()),FALSE()),0.99)</f>
        <v>0.9945</v>
      </c>
      <c r="P85" s="68" t="n">
        <f aca="false">B$19</f>
        <v>-0.2</v>
      </c>
      <c r="Q85" s="69" t="n">
        <f aca="false">IF($B$18=1,IF(ISNUMBER($GG85),$GG85,0),0)</f>
        <v>0</v>
      </c>
      <c r="R85" s="70" t="n">
        <f aca="false">IF($D$3="NYMEX",0,VLOOKUP($A85,curvesettle,HLOOKUP($D$3,curvesettle,2,FALSE()),FALSE()))</f>
        <v>0.24</v>
      </c>
      <c r="S85" s="63" t="n">
        <f aca="false">IF($D$4="NYMEX",0,VLOOKUP($A85,curvesettle,HLOOKUP($D$4,curvesettle,2,FALSE()),FALSE()))</f>
        <v>0</v>
      </c>
      <c r="T85" s="65" t="n">
        <f aca="false">IF(ISNUMBER(VLOOKUP($A85,VOLCURVES,HLOOKUP($D$3,VOLCURVES,2,FALSE()),FALSE())),VLOOKUP($A85,VOLCURVES,HLOOKUP($D$3,VOLCURVES,2,FALSE()),FALSE()),1)</f>
        <v>1</v>
      </c>
      <c r="U85" s="65" t="n">
        <f aca="false">IF(ISNUMBER(VLOOKUP($A85,VOLCURVES,HLOOKUP($D$4,VOLCURVES,2,FALSE()),FALSE())),VLOOKUP($A85,VOLCURVES,HLOOKUP($D$4,VOLCURVES,2,FALSE()),FALSE()),1)</f>
        <v>1</v>
      </c>
      <c r="V85" s="65" t="n">
        <f aca="false">IF(ISNUMBER(VLOOKUP($A85,CORETABLE,HLOOKUP($D$3,CORETABLE,2,FALSE()),FALSE())),VLOOKUP($A85,CORETABLE,HLOOKUP($D$3,CORETABLE,2,FALSE()),FALSE()),0.99)</f>
        <v>0.98</v>
      </c>
      <c r="W85" s="68" t="n">
        <f aca="false">D$19</f>
        <v>0</v>
      </c>
      <c r="X85" s="69" t="n">
        <f aca="false">IF($D$18=1,IF(ISNUMBER($GH85),$GH85,0),0)</f>
        <v>0</v>
      </c>
      <c r="Y85" s="71" t="n">
        <f aca="false">IF($F$3="NYMEX",0,VLOOKUP($A85,curvesettle,HLOOKUP($F$3,curvesettle,2,FALSE()),FALSE()))</f>
        <v>-0.26</v>
      </c>
      <c r="Z85" s="63" t="n">
        <f aca="false">IF($F$4="NYMEX",0,VLOOKUP($A85,curvesettle,HLOOKUP($F$4,curvesettle,2,FALSE()),FALSE()))</f>
        <v>0</v>
      </c>
      <c r="AA85" s="65" t="n">
        <f aca="false">IF(ISNUMBER(VLOOKUP($A85,VOLCURVES,HLOOKUP($F$3,VOLCURVES,2,FALSE()),FALSE())),VLOOKUP($A85,VOLCURVES,HLOOKUP($F$3,VOLCURVES,2,FALSE()),FALSE()),1)</f>
        <v>1</v>
      </c>
      <c r="AB85" s="65" t="n">
        <f aca="false">IF(ISNUMBER(VLOOKUP($A85,VOLCURVES,HLOOKUP($F$4,VOLCURVES,2,FALSE()),FALSE())),VLOOKUP($A85,VOLCURVES,HLOOKUP($F$4,VOLCURVES,2,FALSE()),FALSE()),1)</f>
        <v>1</v>
      </c>
      <c r="AC85" s="65" t="n">
        <f aca="false">IF(ISNUMBER(VLOOKUP($A85,CORETABLE,HLOOKUP($F$3,CORETABLE,2,FALSE()),FALSE())),VLOOKUP($A85,CORETABLE,HLOOKUP($F$3,CORETABLE,2,FALSE()),FALSE()),0.99)</f>
        <v>0.96</v>
      </c>
      <c r="AD85" s="68" t="n">
        <f aca="false">F$19</f>
        <v>-0.6</v>
      </c>
      <c r="AE85" s="69" t="n">
        <f aca="false">IF($F$18=1,IF(ISNUMBER($GI85),$GI85,0),0)</f>
        <v>0</v>
      </c>
      <c r="AF85" s="63" t="n">
        <f aca="false">IF($H$3="NYMEX",0,VLOOKUP($A85,curvesettle,HLOOKUP($H$3,curvesettle,2,FALSE()),FALSE()))</f>
        <v>-0.26</v>
      </c>
      <c r="AG85" s="63" t="n">
        <f aca="false">IF($H$4="NYMEX",0,VLOOKUP($A85,curvesettle,HLOOKUP($H$4,curvesettle,2,FALSE()),FALSE()))</f>
        <v>0</v>
      </c>
      <c r="AH85" s="65" t="n">
        <f aca="false">IF(ISNUMBER(VLOOKUP($A85,VOLCURVES,HLOOKUP($H$3,VOLCURVES,2,FALSE()),FALSE())),VLOOKUP($A85,VOLCURVES,HLOOKUP($H$3,VOLCURVES,2,FALSE()),FALSE()),1)</f>
        <v>1</v>
      </c>
      <c r="AI85" s="65" t="n">
        <f aca="false">IF(ISNUMBER(VLOOKUP($A85,VOLCURVES,HLOOKUP($H$4,VOLCURVES,2,FALSE()),FALSE())),VLOOKUP($A85,VOLCURVES,HLOOKUP($H$4,VOLCURVES,2,FALSE()),FALSE()),1)</f>
        <v>1</v>
      </c>
      <c r="AJ85" s="65" t="n">
        <f aca="false">IF(ISNUMBER(VLOOKUP($A85,CORETABLE,HLOOKUP($H$3,CORETABLE,2,FALSE()),FALSE())),VLOOKUP($A85,CORETABLE,HLOOKUP($H$3,CORETABLE,2,FALSE()),FALSE()),0.99)</f>
        <v>0.96</v>
      </c>
      <c r="AK85" s="68" t="n">
        <f aca="false">H$19</f>
        <v>-0.45</v>
      </c>
      <c r="AL85" s="69" t="n">
        <f aca="false">IF($H$18=1,IF(ISNUMBER($GJ85),$GJ85,0),0)</f>
        <v>0</v>
      </c>
      <c r="AM85" s="4" t="n">
        <f aca="false">VLOOKUP($A85,STRADDLE,14,FALSE())</f>
        <v>0.0474570710920372</v>
      </c>
      <c r="AN85" s="72" t="n">
        <f aca="false">A86-A85</f>
        <v>31</v>
      </c>
      <c r="AO85" s="1" t="n">
        <f aca="false">AO84+1</f>
        <v>48</v>
      </c>
      <c r="AP85" s="73" t="n">
        <f aca="false">IF($A85&gt;=AR$32,IF($A85&lt;=AR$33,$AN85,0),0)</f>
        <v>0</v>
      </c>
      <c r="AQ85" s="41" t="n">
        <f aca="false">$B85+$K85+$B$12</f>
        <v>3.5275</v>
      </c>
      <c r="AR85" s="41" t="n">
        <f aca="false">$B85+$L85+$B$13</f>
        <v>3.68</v>
      </c>
      <c r="AS85" s="41" t="n">
        <f aca="false">AQ85*AP85</f>
        <v>0</v>
      </c>
      <c r="AT85" s="41" t="n">
        <f aca="false">AR85*AP85</f>
        <v>0</v>
      </c>
      <c r="AU85" s="74" t="n">
        <f aca="false">($C85*$M85)+Q85+$B$14</f>
        <v>0.28</v>
      </c>
      <c r="AV85" s="74" t="n">
        <f aca="false">($C85*$N85)+$B$15</f>
        <v>0.28</v>
      </c>
      <c r="AW85" s="65" t="n">
        <f aca="false">O85+B$16</f>
        <v>0.999</v>
      </c>
      <c r="AX85" s="75" t="n">
        <f aca="false">IF(AP85=0,0,SPRDOPT(AQ85,AR85,$P85,$AM85,AU85,AV85,AW85,$D85,$B$20,0))</f>
        <v>0</v>
      </c>
      <c r="AY85" s="75" t="e">
        <f aca="false">IF(AQ85=0,0,SPRDOPT(AQ85,AR85,$P85,$AM85,AU85,AV85,AW85,$D85,$B$20,1))</f>
        <v>#NAME?</v>
      </c>
      <c r="AZ85" s="75" t="e">
        <f aca="false">IF(AR85=0,0,SPRDOPT(AQ85,AR85,$P85,$AM85,AU85,AV85,AW85,$D85,$B$20,2))</f>
        <v>#NAME?</v>
      </c>
      <c r="BA85" s="75" t="n">
        <f aca="false">IF(AS85=0,0,SPRDOPT(AQ85,AR85,$P85,$AM85,AU85,AV85,AW85,$D85,$B$20,3)/100)</f>
        <v>0</v>
      </c>
      <c r="BB85" s="75" t="n">
        <f aca="false">IF(AT85=0,0,SPRDOPT(AQ85,AR85,$P85,$AM85,AU85,AV85,AW85,$D85,$B$20,4)/100)</f>
        <v>0</v>
      </c>
      <c r="BC85" s="75" t="e">
        <f aca="false">IF(AU85=0,0,SPRDOPT(AQ85,AR85,$P85,$AM85,AU85,AV85,AW85,$D85,$B$20,5)/100)</f>
        <v>#NAME?</v>
      </c>
      <c r="BD85" s="75" t="e">
        <f aca="false">IF(AV85=0,0,SPRDOPT(AQ85,AR85,$P85,$AM85,AU85,AV85,AW85,$D85,$B$20,6)/100)</f>
        <v>#NAME?</v>
      </c>
      <c r="BE85" s="75" t="e">
        <f aca="false">IF(AW85=0,0,SPRDOPT(AQ85,AR85,$P85,$AM85,AU85,AV85,AW85,$D85,$B$20,7)/100)</f>
        <v>#NAME?</v>
      </c>
      <c r="BF85" s="75" t="n">
        <f aca="false">IF(AX85=0,0,SPRDOPT(AQ85,AR85,$P85,$AM85,AU85,AV85,AW85,$D85,$B$20,9)/365)</f>
        <v>0</v>
      </c>
      <c r="BG85" s="75" t="e">
        <f aca="false">AY85+AZ85</f>
        <v>#NAME?</v>
      </c>
      <c r="BH85" s="75" t="n">
        <f aca="false">BB85-BA85</f>
        <v>0</v>
      </c>
      <c r="BI85" s="75" t="e">
        <f aca="false">((AU85/AV85)*BC85)+BD85</f>
        <v>#NAME?</v>
      </c>
      <c r="BJ85" s="75" t="n">
        <f aca="false">AW85*AP85</f>
        <v>0</v>
      </c>
      <c r="BK85" s="76"/>
      <c r="BL85" s="37" t="n">
        <f aca="false">$AP85*AX85</f>
        <v>0</v>
      </c>
      <c r="BM85" s="37" t="e">
        <f aca="false">$AP85*AY85</f>
        <v>#NAME?</v>
      </c>
      <c r="BN85" s="37" t="e">
        <f aca="false">$AP85*AZ85</f>
        <v>#NAME?</v>
      </c>
      <c r="BO85" s="37" t="n">
        <f aca="false">$AP85*BA85</f>
        <v>0</v>
      </c>
      <c r="BP85" s="37" t="n">
        <f aca="false">$AP85*BB85</f>
        <v>0</v>
      </c>
      <c r="BQ85" s="37" t="e">
        <f aca="false">$AP85*BC85</f>
        <v>#NAME?</v>
      </c>
      <c r="BR85" s="37" t="e">
        <f aca="false">$AP85*BD85</f>
        <v>#NAME?</v>
      </c>
      <c r="BS85" s="37" t="e">
        <f aca="false">$AP85*BE85</f>
        <v>#NAME?</v>
      </c>
      <c r="BT85" s="37" t="n">
        <f aca="false">$AP85*BF85</f>
        <v>0</v>
      </c>
      <c r="BU85" s="37" t="e">
        <f aca="false">$AP85*BG85</f>
        <v>#NAME?</v>
      </c>
      <c r="BV85" s="37" t="n">
        <f aca="false">$AP85*BH85</f>
        <v>0</v>
      </c>
      <c r="BW85" s="37" t="e">
        <f aca="false">$AP85*BI85</f>
        <v>#NAME?</v>
      </c>
      <c r="BX85" s="37"/>
      <c r="BZ85" s="73" t="n">
        <f aca="false">IF($A85&gt;=CB$32,IF($A85&lt;=CB$33,$AN85,0),0)</f>
        <v>0</v>
      </c>
      <c r="CA85" s="41" t="n">
        <f aca="false">$B85+$R85+$D$12</f>
        <v>3.92</v>
      </c>
      <c r="CB85" s="41" t="n">
        <f aca="false">$B85+$S85+$D$13</f>
        <v>3.68</v>
      </c>
      <c r="CC85" s="41" t="n">
        <f aca="false">CA85*BZ85</f>
        <v>0</v>
      </c>
      <c r="CD85" s="41" t="n">
        <f aca="false">CB85*BZ85</f>
        <v>0</v>
      </c>
      <c r="CE85" s="74" t="n">
        <f aca="false">($C85*$T85)+X85+$D$14</f>
        <v>0.28</v>
      </c>
      <c r="CF85" s="74" t="n">
        <f aca="false">($C85*$U85)+$D$15</f>
        <v>0.28</v>
      </c>
      <c r="CG85" s="65" t="n">
        <f aca="false">$V85+D$16</f>
        <v>0.98</v>
      </c>
      <c r="CH85" s="75" t="n">
        <f aca="false">IF(BZ85=0,0,SPRDOPT(CA85,CB85,$W85,$AM85,CE85,CF85,CG85,$D85,$D$20,0))</f>
        <v>0</v>
      </c>
      <c r="CI85" s="75" t="e">
        <f aca="false">IF(CA85=0,0,SPRDOPT(CA85,CB85,$W85,$AM85,CE85,CF85,CG85,$D85,$D$20,1))</f>
        <v>#NAME?</v>
      </c>
      <c r="CJ85" s="75" t="e">
        <f aca="false">IF(CB85=0,0,SPRDOPT(CA85,CB85,$W85,$AM85,CE85,CF85,CG85,$D85,$D$20,2))</f>
        <v>#NAME?</v>
      </c>
      <c r="CK85" s="75" t="n">
        <f aca="false">IF(CC85=0,0,SPRDOPT(CA85,CB85,$W85,$AM85,CE85,CF85,CG85,$D85,$D$20,3)/100)</f>
        <v>0</v>
      </c>
      <c r="CL85" s="75" t="n">
        <f aca="false">IF(CD85=0,0,SPRDOPT(CA85,CB85,$W85,$AM85,CE85,CF85,CG85,$D85,$D$20,4)/100)</f>
        <v>0</v>
      </c>
      <c r="CM85" s="75" t="e">
        <f aca="false">IF(CE85=0,0,SPRDOPT(CA85,CB85,$W85,$AM85,CE85,CF85,CG85,$D85,$D$20,5)/100)</f>
        <v>#NAME?</v>
      </c>
      <c r="CN85" s="75" t="e">
        <f aca="false">IF(CF85=0,0,SPRDOPT(CA85,CB85,$W85,$AM85,CE85,CF85,CG85,$D85,$D$20,6)/100)</f>
        <v>#NAME?</v>
      </c>
      <c r="CO85" s="75" t="e">
        <f aca="false">IF(CG85=0,0,SPRDOPT(CA85,CB85,$W85,$AM85,CE85,CF85,CG85,$D85,$D$20,7)/100)</f>
        <v>#NAME?</v>
      </c>
      <c r="CP85" s="75" t="n">
        <f aca="false">IF(CH85=0,0,SPRDOPT(CA85,CB85,$W85,$AM85,CE85,CF85,CG85,$D85,$D$20,9)/365)</f>
        <v>0</v>
      </c>
      <c r="CQ85" s="75" t="e">
        <f aca="false">CI85+CJ85</f>
        <v>#NAME?</v>
      </c>
      <c r="CR85" s="75" t="n">
        <f aca="false">CL85-CK85</f>
        <v>0</v>
      </c>
      <c r="CS85" s="75" t="e">
        <f aca="false">((CE85/CF85)*CM85)+CN85</f>
        <v>#NAME?</v>
      </c>
      <c r="CT85" s="75" t="n">
        <f aca="false">CG85*BZ85</f>
        <v>0</v>
      </c>
      <c r="CU85" s="76"/>
      <c r="CV85" s="37" t="n">
        <f aca="false">BZ85*CH85</f>
        <v>0</v>
      </c>
      <c r="CW85" s="37" t="e">
        <f aca="false">BZ85*CI85</f>
        <v>#NAME?</v>
      </c>
      <c r="CX85" s="37" t="e">
        <f aca="false">BZ85*CJ85</f>
        <v>#NAME?</v>
      </c>
      <c r="CY85" s="37" t="n">
        <f aca="false">BZ85*CK85</f>
        <v>0</v>
      </c>
      <c r="CZ85" s="37" t="n">
        <f aca="false">BZ85*CL85</f>
        <v>0</v>
      </c>
      <c r="DA85" s="37" t="e">
        <f aca="false">BZ85*CM85</f>
        <v>#NAME?</v>
      </c>
      <c r="DB85" s="37" t="e">
        <f aca="false">BZ85*CN85</f>
        <v>#NAME?</v>
      </c>
      <c r="DC85" s="37" t="e">
        <f aca="false">BZ85*CO85</f>
        <v>#NAME?</v>
      </c>
      <c r="DD85" s="37" t="n">
        <f aca="false">BZ85*CP85</f>
        <v>0</v>
      </c>
      <c r="DE85" s="37" t="e">
        <f aca="false">BZ85*CQ85</f>
        <v>#NAME?</v>
      </c>
      <c r="DF85" s="37" t="n">
        <f aca="false">BZ85*CR85</f>
        <v>0</v>
      </c>
      <c r="DG85" s="37" t="e">
        <f aca="false">BZ85*CS85</f>
        <v>#NAME?</v>
      </c>
      <c r="DI85" s="73" t="n">
        <f aca="false">IF($A85&gt;=DK$32,IF($A85&lt;=DK$33,$AN85,0),0)</f>
        <v>0</v>
      </c>
      <c r="DJ85" s="41" t="n">
        <f aca="false">$B85+$Y85+$F$12</f>
        <v>3.42</v>
      </c>
      <c r="DK85" s="41" t="n">
        <f aca="false">$B85+$Z85+$F$13</f>
        <v>3.68</v>
      </c>
      <c r="DL85" s="41" t="n">
        <f aca="false">DJ85*DI85</f>
        <v>0</v>
      </c>
      <c r="DM85" s="41" t="n">
        <f aca="false">DK85*DI85</f>
        <v>0</v>
      </c>
      <c r="DN85" s="74" t="n">
        <f aca="false">($C85*$AA85)+AE85+$F$14</f>
        <v>0.28</v>
      </c>
      <c r="DO85" s="74" t="n">
        <f aca="false">($C85*$AB85)+$F$15</f>
        <v>0.28</v>
      </c>
      <c r="DP85" s="65" t="n">
        <f aca="false">$AC85+$F$16</f>
        <v>0.96</v>
      </c>
      <c r="DQ85" s="75" t="n">
        <f aca="false">IF(DI85=0,0,SPRDOPT(DJ85,DK85,$AD85,$AM85,DN85,DO85,DP85,$D85,$F$20,0))</f>
        <v>0</v>
      </c>
      <c r="DR85" s="75" t="e">
        <f aca="false">IF(DJ85=0,0,SPRDOPT(DJ85,DK85,$AD85,$AM85,DN85,DO85,DP85,$D85,$F$20,1))</f>
        <v>#NAME?</v>
      </c>
      <c r="DS85" s="75" t="e">
        <f aca="false">IF(DK85=0,0,SPRDOPT(DJ85,DK85,$AD85,$AM85,DN85,DO85,DP85,$D85,$F$20,2))</f>
        <v>#NAME?</v>
      </c>
      <c r="DT85" s="75" t="n">
        <f aca="false">IF(DL85=0,0,SPRDOPT(DJ85,DK85,$AD85,$AM85,DN85,DO85,DP85,$D85,$F$20,3)/100)</f>
        <v>0</v>
      </c>
      <c r="DU85" s="75" t="n">
        <f aca="false">IF(DM85=0,0,SPRDOPT(DJ85,DK85,$AD85,$AM85,DN85,DO85,DP85,$D85,$F$20,4)/100)</f>
        <v>0</v>
      </c>
      <c r="DV85" s="75" t="e">
        <f aca="false">IF(DN85=0,0,SPRDOPT(DJ85,DK85,$AD85,$AM85,DN85,DO85,DP85,$D85,$F$20,5)/100)</f>
        <v>#NAME?</v>
      </c>
      <c r="DW85" s="75" t="e">
        <f aca="false">IF(DO85=0,0,SPRDOPT(DJ85,DK85,$AD85,$AM85,DN85,DO85,DP85,$D85,$F$20,6)/100)</f>
        <v>#NAME?</v>
      </c>
      <c r="DX85" s="75" t="e">
        <f aca="false">IF(DP85=0,0,SPRDOPT(DJ85,DK85,$AD85,$AM85,DN85,DO85,DP85,$D85,$F$20,7)/100)</f>
        <v>#NAME?</v>
      </c>
      <c r="DY85" s="75" t="n">
        <f aca="false">IF(DQ85=0,0,SPRDOPT(DJ85,DK85,$AD85,$AM85,DN85,DO85,DP85,$D85,$F$20,9)/365)</f>
        <v>0</v>
      </c>
      <c r="DZ85" s="75" t="e">
        <f aca="false">DR85+DS85</f>
        <v>#NAME?</v>
      </c>
      <c r="EA85" s="75" t="n">
        <f aca="false">DU85-DT85</f>
        <v>0</v>
      </c>
      <c r="EB85" s="75" t="e">
        <f aca="false">((DN85/DO85)*DV85)+DW85</f>
        <v>#NAME?</v>
      </c>
      <c r="EC85" s="75" t="n">
        <f aca="false">DP85*DI85</f>
        <v>0</v>
      </c>
      <c r="ED85" s="75"/>
      <c r="EE85" s="37" t="n">
        <f aca="false">DI85*DQ85</f>
        <v>0</v>
      </c>
      <c r="EF85" s="37" t="e">
        <f aca="false">DI85*DR85</f>
        <v>#NAME?</v>
      </c>
      <c r="EG85" s="37" t="e">
        <f aca="false">DI85*DS85</f>
        <v>#NAME?</v>
      </c>
      <c r="EH85" s="37" t="n">
        <f aca="false">DI85*DT85</f>
        <v>0</v>
      </c>
      <c r="EI85" s="37" t="n">
        <f aca="false">DI85*DU85</f>
        <v>0</v>
      </c>
      <c r="EJ85" s="37" t="e">
        <f aca="false">DI85*DV85</f>
        <v>#NAME?</v>
      </c>
      <c r="EK85" s="37" t="e">
        <f aca="false">DI85*DW85</f>
        <v>#NAME?</v>
      </c>
      <c r="EL85" s="37" t="e">
        <f aca="false">DI85*DX85</f>
        <v>#NAME?</v>
      </c>
      <c r="EM85" s="37" t="n">
        <f aca="false">DI85*DY85</f>
        <v>0</v>
      </c>
      <c r="EN85" s="37" t="e">
        <f aca="false">DI85*DZ85</f>
        <v>#NAME?</v>
      </c>
      <c r="EO85" s="37" t="n">
        <f aca="false">DI85*EA85</f>
        <v>0</v>
      </c>
      <c r="EP85" s="37" t="e">
        <f aca="false">DI85*EB85</f>
        <v>#NAME?</v>
      </c>
      <c r="ER85" s="73" t="n">
        <f aca="false">IF($A85&gt;=ET$32,IF($A85&lt;=ET$33,$AN85,0),0)</f>
        <v>0</v>
      </c>
      <c r="ES85" s="41" t="n">
        <f aca="false">$B85+$AF85+$H$12</f>
        <v>3.48</v>
      </c>
      <c r="ET85" s="41" t="n">
        <f aca="false">$B85+$AG85+$H$13</f>
        <v>3.68</v>
      </c>
      <c r="EU85" s="41" t="n">
        <f aca="false">ES85*ER85</f>
        <v>0</v>
      </c>
      <c r="EV85" s="41" t="n">
        <f aca="false">ET85*ER85</f>
        <v>0</v>
      </c>
      <c r="EW85" s="74" t="n">
        <f aca="false">($C85*$AH85)+AL85+$H$14</f>
        <v>0.28</v>
      </c>
      <c r="EX85" s="74" t="n">
        <f aca="false">($C85*$AI85)+$H$15</f>
        <v>0.28</v>
      </c>
      <c r="EY85" s="65" t="n">
        <f aca="false">$AJ85+$H$16</f>
        <v>0.96</v>
      </c>
      <c r="EZ85" s="75" t="n">
        <f aca="false">IF(ER85=0,0,SPRDOPT(ES85,ET85,$AK85,$AM85,EW85,EX85,EY85,$D85,$H$20,0))</f>
        <v>0</v>
      </c>
      <c r="FA85" s="75" t="e">
        <f aca="false">IF(ES85=0,0,SPRDOPT(ES85,ET85,$AK85,$AM85,EW85,EX85,EY85,$D85,$H$20,1))</f>
        <v>#NAME?</v>
      </c>
      <c r="FB85" s="75" t="e">
        <f aca="false">IF(ET85=0,0,SPRDOPT(ES85,ET85,$AK85,$AM85,EW85,EX85,EY85,$D85,$H$20,2))</f>
        <v>#NAME?</v>
      </c>
      <c r="FC85" s="75" t="n">
        <f aca="false">IF(EU85=0,0,SPRDOPT(ES85,ET85,$AK85,$AM85,EW85,EX85,EY85,$D85,$H$20,3)/100)</f>
        <v>0</v>
      </c>
      <c r="FD85" s="75" t="n">
        <f aca="false">IF(EV85=0,0,SPRDOPT(ES85,ET85,$AK85,$AM85,EW85,EX85,EY85,$D85,$H$20,4)/100)</f>
        <v>0</v>
      </c>
      <c r="FE85" s="75" t="e">
        <f aca="false">IF(EW85=0,0,SPRDOPT(ES85,ET85,$AK85,$AM85,EW85,EX85,EY85,$D85,$H$20,5)/100)</f>
        <v>#NAME?</v>
      </c>
      <c r="FF85" s="75" t="e">
        <f aca="false">IF(EX85=0,0,SPRDOPT(ES85,ET85,$AK85,$AM85,EW85,EX85,EY85,$D85,$H$20,6)/100)</f>
        <v>#NAME?</v>
      </c>
      <c r="FG85" s="75" t="e">
        <f aca="false">IF(EY85=0,0,SPRDOPT(ES85,ET85,$AK85,$AM85,EW85,EX85,EY85,$D85,$H$20,7)/100)</f>
        <v>#NAME?</v>
      </c>
      <c r="FH85" s="75" t="n">
        <f aca="false">IF(EZ85=0,0,SPRDOPT(ES85,ET85,$AK85,$AM85,EW85,EX85,EY85,$D85,$H$20,9)/365)</f>
        <v>0</v>
      </c>
      <c r="FI85" s="75" t="e">
        <f aca="false">FA85+FB85</f>
        <v>#NAME?</v>
      </c>
      <c r="FJ85" s="75" t="n">
        <f aca="false">FD85-FC85</f>
        <v>0</v>
      </c>
      <c r="FK85" s="75" t="e">
        <f aca="false">((EW85/EX85)*FE85)+FF85</f>
        <v>#NAME?</v>
      </c>
      <c r="FL85" s="75" t="n">
        <f aca="false">EY85*ER85</f>
        <v>0</v>
      </c>
      <c r="FM85" s="75"/>
      <c r="FN85" s="37" t="n">
        <f aca="false">$ER85*EZ85</f>
        <v>0</v>
      </c>
      <c r="FO85" s="37" t="e">
        <f aca="false">$ER85*FA85</f>
        <v>#NAME?</v>
      </c>
      <c r="FP85" s="37" t="e">
        <f aca="false">$ER85*FB85</f>
        <v>#NAME?</v>
      </c>
      <c r="FQ85" s="37" t="n">
        <f aca="false">$ER85*FC85</f>
        <v>0</v>
      </c>
      <c r="FR85" s="37" t="n">
        <f aca="false">$ER85*FD85</f>
        <v>0</v>
      </c>
      <c r="FS85" s="37" t="e">
        <f aca="false">$ER85*FE85</f>
        <v>#NAME?</v>
      </c>
      <c r="FT85" s="37" t="e">
        <f aca="false">$ER85*FF85</f>
        <v>#NAME?</v>
      </c>
      <c r="FU85" s="37" t="e">
        <f aca="false">$ER85*FG85</f>
        <v>#NAME?</v>
      </c>
      <c r="FV85" s="37" t="n">
        <f aca="false">$ER85*FH85</f>
        <v>0</v>
      </c>
      <c r="FW85" s="37" t="e">
        <f aca="false">$ER85*FI85</f>
        <v>#NAME?</v>
      </c>
      <c r="FX85" s="37" t="n">
        <f aca="false">$ER85*FJ85</f>
        <v>0</v>
      </c>
      <c r="FY85" s="37" t="e">
        <f aca="false">$ER85*FK85</f>
        <v>#NAME?</v>
      </c>
      <c r="GA85" s="77" t="e">
        <f aca="false">VLOOKUP(A85,skewmonthlook,2,FALSE())</f>
        <v>#REF!</v>
      </c>
      <c r="GB85" s="0" t="e">
        <f aca="false">CONCATENATE(B$3,$GA85)</f>
        <v>#REF!</v>
      </c>
      <c r="GC85" s="0" t="e">
        <f aca="false">CONCATENATE(D$3,$GA85)</f>
        <v>#REF!</v>
      </c>
      <c r="GD85" s="0" t="e">
        <f aca="false">CONCATENATE(F$3,$GA85)</f>
        <v>#REF!</v>
      </c>
      <c r="GE85" s="0" t="e">
        <f aca="false">CONCATENATE(H$3,$GA85)</f>
        <v>#REF!</v>
      </c>
      <c r="GG85" s="65" t="e">
        <f aca="false">VLOOKUP(GB85,skewlook,HLOOKUP($P85,skewlook,2),FALSE())</f>
        <v>#REF!</v>
      </c>
      <c r="GH85" s="65" t="e">
        <f aca="false">VLOOKUP(GC85,skewlook,HLOOKUP($W85,skewlook,2),FALSE())</f>
        <v>#REF!</v>
      </c>
      <c r="GI85" s="65" t="e">
        <f aca="false">VLOOKUP(GD85,skewlook,HLOOKUP($AD85,skewlook,2),FALSE())</f>
        <v>#REF!</v>
      </c>
      <c r="GJ85" s="65" t="e">
        <f aca="false">VLOOKUP(GE85,skewlook,HLOOKUP($AK85,skewlook,2),FALSE())</f>
        <v>#REF!</v>
      </c>
    </row>
    <row r="86" customFormat="false" ht="12.75" hidden="false" customHeight="false" outlineLevel="0" collapsed="false">
      <c r="A86" s="62" t="n">
        <f aca="false">DATE(YEAR(A85),MONTH(A85)+1,1)</f>
        <v>38718</v>
      </c>
      <c r="B86" s="63"/>
      <c r="C86" s="4"/>
      <c r="D86" s="63"/>
      <c r="E86" s="65"/>
      <c r="F86" s="64"/>
      <c r="G86" s="4"/>
      <c r="H86" s="4"/>
      <c r="I86" s="66"/>
      <c r="J86" s="67"/>
      <c r="K86" s="63"/>
      <c r="L86" s="63"/>
      <c r="M86" s="65"/>
      <c r="N86" s="65"/>
      <c r="O86" s="65"/>
      <c r="P86" s="65"/>
      <c r="Q86" s="65"/>
      <c r="R86" s="63"/>
      <c r="S86" s="63"/>
      <c r="T86" s="65"/>
      <c r="U86" s="65"/>
      <c r="V86" s="65"/>
      <c r="W86" s="65"/>
      <c r="X86" s="65"/>
      <c r="Y86" s="63"/>
      <c r="Z86" s="63"/>
      <c r="AA86" s="65"/>
      <c r="AB86" s="65"/>
      <c r="AC86" s="65"/>
      <c r="AD86" s="65"/>
      <c r="AE86" s="65"/>
      <c r="AF86" s="63"/>
      <c r="AG86" s="63"/>
      <c r="AH86" s="65"/>
      <c r="AI86" s="65"/>
      <c r="AJ86" s="65"/>
      <c r="AK86" s="65"/>
      <c r="AM86" s="4"/>
      <c r="AN86" s="72"/>
    </row>
    <row r="87" customFormat="false" ht="12.75" hidden="false" customHeight="false" outlineLevel="0" collapsed="false">
      <c r="A87" s="62"/>
      <c r="B87" s="63"/>
      <c r="C87" s="4"/>
      <c r="D87" s="63"/>
      <c r="E87" s="65"/>
      <c r="F87" s="64"/>
      <c r="G87" s="4"/>
      <c r="H87" s="4"/>
      <c r="I87" s="66"/>
      <c r="J87" s="67"/>
      <c r="K87" s="63"/>
      <c r="L87" s="63"/>
      <c r="M87" s="65"/>
      <c r="N87" s="65"/>
      <c r="O87" s="65"/>
      <c r="P87" s="65"/>
      <c r="Q87" s="65"/>
      <c r="R87" s="63"/>
      <c r="S87" s="63"/>
      <c r="T87" s="65"/>
      <c r="U87" s="65"/>
      <c r="V87" s="65"/>
      <c r="W87" s="65"/>
      <c r="X87" s="65"/>
      <c r="Y87" s="63"/>
      <c r="Z87" s="63"/>
      <c r="AA87" s="65"/>
      <c r="AB87" s="65"/>
      <c r="AC87" s="65"/>
      <c r="AD87" s="65"/>
      <c r="AE87" s="65"/>
      <c r="AF87" s="63"/>
      <c r="AG87" s="63"/>
      <c r="AH87" s="65"/>
      <c r="AI87" s="65"/>
      <c r="AJ87" s="65"/>
      <c r="AK87" s="65"/>
      <c r="AM87" s="4"/>
      <c r="AN87" s="72"/>
    </row>
    <row r="88" customFormat="false" ht="12.75" hidden="false" customHeight="false" outlineLevel="0" collapsed="false">
      <c r="A88" s="62"/>
      <c r="B88" s="63"/>
      <c r="C88" s="4"/>
      <c r="D88" s="63"/>
      <c r="E88" s="65"/>
      <c r="F88" s="64"/>
      <c r="G88" s="4"/>
      <c r="H88" s="4"/>
      <c r="I88" s="66"/>
      <c r="J88" s="67"/>
      <c r="K88" s="63"/>
      <c r="L88" s="63"/>
      <c r="M88" s="65"/>
      <c r="N88" s="65"/>
      <c r="O88" s="65"/>
      <c r="P88" s="65"/>
      <c r="Q88" s="65"/>
      <c r="R88" s="63"/>
      <c r="S88" s="63"/>
      <c r="T88" s="65"/>
      <c r="U88" s="65"/>
      <c r="V88" s="65"/>
      <c r="W88" s="65"/>
      <c r="X88" s="65"/>
      <c r="Y88" s="63"/>
      <c r="Z88" s="63"/>
      <c r="AA88" s="65"/>
      <c r="AB88" s="65"/>
      <c r="AC88" s="65"/>
      <c r="AD88" s="65"/>
      <c r="AE88" s="65"/>
      <c r="AF88" s="63"/>
      <c r="AG88" s="63"/>
      <c r="AH88" s="65"/>
      <c r="AI88" s="65"/>
      <c r="AJ88" s="65"/>
      <c r="AK88" s="65"/>
      <c r="AM88" s="4"/>
      <c r="AN88" s="72"/>
    </row>
    <row r="89" customFormat="false" ht="12.75" hidden="false" customHeight="false" outlineLevel="0" collapsed="false">
      <c r="A89" s="62"/>
      <c r="B89" s="63"/>
      <c r="C89" s="4"/>
      <c r="D89" s="63"/>
      <c r="E89" s="65"/>
      <c r="F89" s="64"/>
      <c r="G89" s="4"/>
      <c r="H89" s="4"/>
      <c r="I89" s="66"/>
      <c r="J89" s="67"/>
      <c r="K89" s="63"/>
      <c r="L89" s="63"/>
      <c r="M89" s="65"/>
      <c r="N89" s="65"/>
      <c r="O89" s="65"/>
      <c r="P89" s="65"/>
      <c r="Q89" s="65"/>
      <c r="R89" s="63"/>
      <c r="S89" s="63"/>
      <c r="T89" s="65"/>
      <c r="U89" s="65"/>
      <c r="V89" s="65"/>
      <c r="W89" s="65"/>
      <c r="X89" s="65"/>
      <c r="Y89" s="63"/>
      <c r="Z89" s="63"/>
      <c r="AA89" s="65"/>
      <c r="AB89" s="65"/>
      <c r="AC89" s="65"/>
      <c r="AD89" s="65"/>
      <c r="AE89" s="65"/>
      <c r="AF89" s="63"/>
      <c r="AG89" s="63"/>
      <c r="AH89" s="65"/>
      <c r="AI89" s="65"/>
      <c r="AJ89" s="65"/>
      <c r="AK89" s="65"/>
      <c r="AM89" s="4"/>
      <c r="AN89" s="72"/>
    </row>
    <row r="90" customFormat="false" ht="12.75" hidden="false" customHeight="false" outlineLevel="0" collapsed="false">
      <c r="A90" s="62"/>
      <c r="B90" s="63"/>
      <c r="C90" s="4"/>
      <c r="D90" s="63"/>
      <c r="E90" s="65"/>
      <c r="F90" s="64"/>
      <c r="G90" s="4"/>
      <c r="H90" s="4"/>
      <c r="I90" s="66"/>
      <c r="J90" s="67"/>
      <c r="K90" s="63"/>
      <c r="L90" s="63"/>
      <c r="M90" s="65"/>
      <c r="N90" s="65"/>
      <c r="O90" s="65"/>
      <c r="P90" s="65"/>
      <c r="Q90" s="65"/>
      <c r="R90" s="63"/>
      <c r="S90" s="63"/>
      <c r="T90" s="65"/>
      <c r="U90" s="65"/>
      <c r="V90" s="65"/>
      <c r="W90" s="65"/>
      <c r="X90" s="65"/>
      <c r="Y90" s="63"/>
      <c r="Z90" s="63"/>
      <c r="AA90" s="65"/>
      <c r="AB90" s="65"/>
      <c r="AC90" s="65"/>
      <c r="AD90" s="65"/>
      <c r="AE90" s="65"/>
      <c r="AF90" s="63"/>
      <c r="AG90" s="63"/>
      <c r="AH90" s="65"/>
      <c r="AI90" s="65"/>
      <c r="AJ90" s="65"/>
      <c r="AK90" s="65"/>
      <c r="AM90" s="4"/>
      <c r="AN90" s="72"/>
    </row>
    <row r="91" customFormat="false" ht="12.75" hidden="false" customHeight="false" outlineLevel="0" collapsed="false">
      <c r="A91" s="62"/>
      <c r="B91" s="63"/>
      <c r="C91" s="4"/>
      <c r="D91" s="63"/>
      <c r="E91" s="65"/>
      <c r="F91" s="64"/>
      <c r="G91" s="4"/>
      <c r="H91" s="4"/>
      <c r="I91" s="66"/>
      <c r="J91" s="67"/>
      <c r="K91" s="63"/>
      <c r="L91" s="63"/>
      <c r="M91" s="65"/>
      <c r="N91" s="65"/>
      <c r="O91" s="65"/>
      <c r="P91" s="65"/>
      <c r="Q91" s="65"/>
      <c r="R91" s="63"/>
      <c r="S91" s="63"/>
      <c r="T91" s="65"/>
      <c r="U91" s="65"/>
      <c r="V91" s="65"/>
      <c r="W91" s="65"/>
      <c r="X91" s="65"/>
      <c r="Y91" s="63"/>
      <c r="Z91" s="63"/>
      <c r="AA91" s="65"/>
      <c r="AB91" s="65"/>
      <c r="AC91" s="65"/>
      <c r="AD91" s="65"/>
      <c r="AE91" s="65"/>
      <c r="AF91" s="63"/>
      <c r="AG91" s="63"/>
      <c r="AH91" s="65"/>
      <c r="AI91" s="65"/>
      <c r="AJ91" s="65"/>
      <c r="AK91" s="65"/>
      <c r="AM91" s="4"/>
      <c r="AN91" s="72"/>
    </row>
    <row r="92" customFormat="false" ht="12.75" hidden="false" customHeight="false" outlineLevel="0" collapsed="false">
      <c r="A92" s="62"/>
      <c r="B92" s="63"/>
      <c r="C92" s="4"/>
      <c r="D92" s="63"/>
      <c r="E92" s="65"/>
      <c r="F92" s="64"/>
      <c r="G92" s="4"/>
      <c r="H92" s="4"/>
      <c r="I92" s="66"/>
      <c r="J92" s="67"/>
      <c r="K92" s="63"/>
      <c r="L92" s="63"/>
      <c r="M92" s="65"/>
      <c r="N92" s="65"/>
      <c r="O92" s="65"/>
      <c r="P92" s="65"/>
      <c r="Q92" s="65"/>
      <c r="R92" s="63"/>
      <c r="S92" s="63"/>
      <c r="T92" s="65"/>
      <c r="U92" s="65"/>
      <c r="V92" s="65"/>
      <c r="W92" s="65"/>
      <c r="X92" s="65"/>
      <c r="Y92" s="63"/>
      <c r="Z92" s="63"/>
      <c r="AA92" s="65"/>
      <c r="AB92" s="65"/>
      <c r="AC92" s="65"/>
      <c r="AD92" s="65"/>
      <c r="AE92" s="65"/>
      <c r="AF92" s="63"/>
      <c r="AG92" s="63"/>
      <c r="AH92" s="65"/>
      <c r="AI92" s="65"/>
      <c r="AJ92" s="65"/>
      <c r="AK92" s="65"/>
      <c r="AM92" s="4"/>
      <c r="AN92" s="72"/>
    </row>
    <row r="93" customFormat="false" ht="12.75" hidden="false" customHeight="false" outlineLevel="0" collapsed="false">
      <c r="A93" s="62"/>
      <c r="B93" s="63"/>
      <c r="C93" s="4"/>
      <c r="D93" s="63"/>
      <c r="E93" s="65"/>
      <c r="F93" s="64"/>
      <c r="G93" s="4"/>
      <c r="H93" s="4"/>
      <c r="I93" s="66"/>
      <c r="J93" s="67"/>
      <c r="K93" s="63"/>
      <c r="L93" s="63"/>
      <c r="M93" s="65"/>
      <c r="N93" s="65"/>
      <c r="O93" s="65"/>
      <c r="P93" s="65"/>
      <c r="Q93" s="65"/>
      <c r="R93" s="63"/>
      <c r="S93" s="63"/>
      <c r="T93" s="65"/>
      <c r="U93" s="65"/>
      <c r="V93" s="65"/>
      <c r="W93" s="65"/>
      <c r="X93" s="65"/>
      <c r="Y93" s="63"/>
      <c r="Z93" s="63"/>
      <c r="AA93" s="65"/>
      <c r="AB93" s="65"/>
      <c r="AC93" s="65"/>
      <c r="AD93" s="65"/>
      <c r="AE93" s="65"/>
      <c r="AF93" s="63"/>
      <c r="AG93" s="63"/>
      <c r="AH93" s="65"/>
      <c r="AI93" s="65"/>
      <c r="AJ93" s="65"/>
      <c r="AK93" s="65"/>
      <c r="AM93" s="4"/>
      <c r="AN93" s="72"/>
    </row>
    <row r="94" customFormat="false" ht="12.75" hidden="false" customHeight="false" outlineLevel="0" collapsed="false">
      <c r="A94" s="62"/>
      <c r="B94" s="63"/>
      <c r="C94" s="4"/>
      <c r="D94" s="63"/>
      <c r="E94" s="65"/>
      <c r="F94" s="64"/>
      <c r="G94" s="4"/>
      <c r="H94" s="4"/>
      <c r="I94" s="66"/>
      <c r="J94" s="67"/>
      <c r="K94" s="63"/>
      <c r="L94" s="63"/>
      <c r="M94" s="65"/>
      <c r="N94" s="65"/>
      <c r="O94" s="65"/>
      <c r="P94" s="65"/>
      <c r="Q94" s="65"/>
      <c r="R94" s="63"/>
      <c r="S94" s="63"/>
      <c r="T94" s="65"/>
      <c r="U94" s="65"/>
      <c r="V94" s="65"/>
      <c r="W94" s="65"/>
      <c r="X94" s="65"/>
      <c r="Y94" s="63"/>
      <c r="Z94" s="63"/>
      <c r="AA94" s="65"/>
      <c r="AB94" s="65"/>
      <c r="AC94" s="65"/>
      <c r="AD94" s="65"/>
      <c r="AE94" s="65"/>
      <c r="AF94" s="63"/>
      <c r="AG94" s="63"/>
      <c r="AH94" s="65"/>
      <c r="AI94" s="65"/>
      <c r="AJ94" s="65"/>
      <c r="AK94" s="65"/>
      <c r="AM94" s="4"/>
      <c r="AN94" s="72"/>
    </row>
    <row r="95" customFormat="false" ht="12.75" hidden="false" customHeight="false" outlineLevel="0" collapsed="false">
      <c r="A95" s="62"/>
      <c r="B95" s="63"/>
      <c r="C95" s="4"/>
      <c r="D95" s="63"/>
      <c r="E95" s="65"/>
      <c r="F95" s="64"/>
      <c r="G95" s="4"/>
      <c r="H95" s="4"/>
      <c r="I95" s="66"/>
      <c r="J95" s="67"/>
      <c r="K95" s="63"/>
      <c r="L95" s="63"/>
      <c r="M95" s="65"/>
      <c r="N95" s="65"/>
      <c r="O95" s="65"/>
      <c r="P95" s="65"/>
      <c r="Q95" s="65"/>
      <c r="R95" s="63"/>
      <c r="S95" s="63"/>
      <c r="T95" s="65"/>
      <c r="U95" s="65"/>
      <c r="V95" s="65"/>
      <c r="W95" s="65"/>
      <c r="X95" s="65"/>
      <c r="Y95" s="63"/>
      <c r="Z95" s="63"/>
      <c r="AA95" s="65"/>
      <c r="AB95" s="65"/>
      <c r="AC95" s="65"/>
      <c r="AD95" s="65"/>
      <c r="AE95" s="65"/>
      <c r="AF95" s="63"/>
      <c r="AG95" s="63"/>
      <c r="AH95" s="65"/>
      <c r="AI95" s="65"/>
      <c r="AJ95" s="65"/>
      <c r="AK95" s="65"/>
      <c r="AM95" s="4"/>
      <c r="AN95" s="72"/>
    </row>
    <row r="96" customFormat="false" ht="12.75" hidden="false" customHeight="false" outlineLevel="0" collapsed="false">
      <c r="A96" s="62"/>
      <c r="B96" s="63"/>
      <c r="C96" s="4"/>
      <c r="D96" s="63"/>
      <c r="E96" s="65"/>
      <c r="F96" s="64"/>
      <c r="G96" s="4"/>
      <c r="H96" s="4"/>
      <c r="I96" s="66"/>
      <c r="J96" s="67"/>
      <c r="K96" s="63"/>
      <c r="L96" s="63"/>
      <c r="M96" s="65"/>
      <c r="N96" s="65"/>
      <c r="O96" s="65"/>
      <c r="P96" s="65"/>
      <c r="Q96" s="65"/>
      <c r="R96" s="63"/>
      <c r="S96" s="63"/>
      <c r="T96" s="65"/>
      <c r="U96" s="65"/>
      <c r="V96" s="65"/>
      <c r="W96" s="65"/>
      <c r="X96" s="65"/>
      <c r="Y96" s="63"/>
      <c r="Z96" s="63"/>
      <c r="AA96" s="65"/>
      <c r="AB96" s="65"/>
      <c r="AC96" s="65"/>
      <c r="AD96" s="65"/>
      <c r="AE96" s="65"/>
      <c r="AF96" s="63"/>
      <c r="AG96" s="63"/>
      <c r="AH96" s="65"/>
      <c r="AI96" s="65"/>
      <c r="AJ96" s="65"/>
      <c r="AK96" s="65"/>
      <c r="AM96" s="4"/>
      <c r="AN96" s="72"/>
    </row>
    <row r="97" customFormat="false" ht="12.75" hidden="false" customHeight="false" outlineLevel="0" collapsed="false">
      <c r="A97" s="62"/>
      <c r="B97" s="63"/>
      <c r="C97" s="4"/>
      <c r="D97" s="63"/>
      <c r="E97" s="65"/>
      <c r="F97" s="64"/>
      <c r="G97" s="4"/>
      <c r="H97" s="4"/>
      <c r="I97" s="66"/>
      <c r="J97" s="67"/>
      <c r="K97" s="63"/>
      <c r="L97" s="63"/>
      <c r="M97" s="65"/>
      <c r="N97" s="65"/>
      <c r="O97" s="65"/>
      <c r="P97" s="65"/>
      <c r="Q97" s="65"/>
      <c r="R97" s="63"/>
      <c r="S97" s="63"/>
      <c r="T97" s="65"/>
      <c r="U97" s="65"/>
      <c r="V97" s="65"/>
      <c r="W97" s="65"/>
      <c r="X97" s="65"/>
      <c r="Y97" s="63"/>
      <c r="Z97" s="63"/>
      <c r="AA97" s="65"/>
      <c r="AB97" s="65"/>
      <c r="AC97" s="65"/>
      <c r="AD97" s="65"/>
      <c r="AE97" s="65"/>
      <c r="AF97" s="63"/>
      <c r="AG97" s="63"/>
      <c r="AH97" s="65"/>
      <c r="AI97" s="65"/>
      <c r="AJ97" s="65"/>
      <c r="AK97" s="65"/>
      <c r="AM97" s="4"/>
      <c r="AN97" s="72"/>
    </row>
    <row r="98" customFormat="false" ht="12.75" hidden="false" customHeight="false" outlineLevel="0" collapsed="false">
      <c r="A98" s="62"/>
      <c r="B98" s="63"/>
      <c r="C98" s="4"/>
      <c r="D98" s="63"/>
      <c r="E98" s="65"/>
      <c r="F98" s="64"/>
      <c r="G98" s="4"/>
      <c r="H98" s="4"/>
      <c r="I98" s="66"/>
      <c r="J98" s="67"/>
      <c r="K98" s="63"/>
      <c r="L98" s="63"/>
      <c r="M98" s="65"/>
      <c r="N98" s="65"/>
      <c r="O98" s="65"/>
      <c r="P98" s="65"/>
      <c r="Q98" s="65"/>
      <c r="R98" s="63"/>
      <c r="S98" s="63"/>
      <c r="T98" s="65"/>
      <c r="U98" s="65"/>
      <c r="V98" s="65"/>
      <c r="W98" s="65"/>
      <c r="X98" s="65"/>
      <c r="Y98" s="63"/>
      <c r="Z98" s="63"/>
      <c r="AA98" s="65"/>
      <c r="AB98" s="65"/>
      <c r="AC98" s="65"/>
      <c r="AD98" s="65"/>
      <c r="AE98" s="65"/>
      <c r="AF98" s="63"/>
      <c r="AG98" s="63"/>
      <c r="AH98" s="65"/>
      <c r="AI98" s="65"/>
      <c r="AJ98" s="65"/>
      <c r="AK98" s="65"/>
      <c r="AM98" s="4"/>
      <c r="AN98" s="72"/>
    </row>
    <row r="99" customFormat="false" ht="12.75" hidden="false" customHeight="false" outlineLevel="0" collapsed="false">
      <c r="A99" s="62"/>
      <c r="B99" s="63"/>
      <c r="C99" s="4"/>
      <c r="D99" s="63"/>
      <c r="E99" s="65"/>
      <c r="F99" s="64"/>
      <c r="G99" s="4"/>
      <c r="H99" s="4"/>
      <c r="I99" s="66"/>
      <c r="J99" s="67"/>
      <c r="K99" s="63"/>
      <c r="L99" s="63"/>
      <c r="M99" s="65"/>
      <c r="N99" s="65"/>
      <c r="O99" s="65"/>
      <c r="P99" s="65"/>
      <c r="Q99" s="65"/>
      <c r="R99" s="63"/>
      <c r="S99" s="63"/>
      <c r="T99" s="65"/>
      <c r="U99" s="65"/>
      <c r="V99" s="65"/>
      <c r="W99" s="65"/>
      <c r="X99" s="65"/>
      <c r="Y99" s="63"/>
      <c r="Z99" s="63"/>
      <c r="AA99" s="65"/>
      <c r="AB99" s="65"/>
      <c r="AC99" s="65"/>
      <c r="AD99" s="65"/>
      <c r="AE99" s="65"/>
      <c r="AF99" s="63"/>
      <c r="AG99" s="63"/>
      <c r="AH99" s="65"/>
      <c r="AI99" s="65"/>
      <c r="AJ99" s="65"/>
      <c r="AK99" s="65"/>
      <c r="AM99" s="4"/>
      <c r="AN99" s="72"/>
    </row>
    <row r="100" customFormat="false" ht="12.75" hidden="false" customHeight="false" outlineLevel="0" collapsed="false">
      <c r="A100" s="62"/>
      <c r="B100" s="63"/>
      <c r="C100" s="4"/>
      <c r="D100" s="63"/>
      <c r="E100" s="65"/>
      <c r="F100" s="64"/>
      <c r="G100" s="4"/>
      <c r="H100" s="4"/>
      <c r="I100" s="66"/>
      <c r="J100" s="67"/>
      <c r="K100" s="63"/>
      <c r="L100" s="63"/>
      <c r="M100" s="65"/>
      <c r="N100" s="65"/>
      <c r="O100" s="65"/>
      <c r="P100" s="65"/>
      <c r="Q100" s="65"/>
      <c r="R100" s="63"/>
      <c r="S100" s="63"/>
      <c r="T100" s="65"/>
      <c r="U100" s="65"/>
      <c r="V100" s="65"/>
      <c r="W100" s="65"/>
      <c r="X100" s="65"/>
      <c r="Y100" s="63"/>
      <c r="Z100" s="63"/>
      <c r="AA100" s="65"/>
      <c r="AB100" s="65"/>
      <c r="AC100" s="65"/>
      <c r="AD100" s="65"/>
      <c r="AE100" s="65"/>
      <c r="AF100" s="63"/>
      <c r="AG100" s="63"/>
      <c r="AH100" s="65"/>
      <c r="AI100" s="65"/>
      <c r="AJ100" s="65"/>
      <c r="AK100" s="65"/>
      <c r="AM100" s="4"/>
      <c r="AN100" s="72"/>
    </row>
    <row r="101" customFormat="false" ht="12.75" hidden="false" customHeight="false" outlineLevel="0" collapsed="false">
      <c r="A101" s="62"/>
      <c r="B101" s="63"/>
      <c r="C101" s="4"/>
      <c r="D101" s="63"/>
      <c r="E101" s="65"/>
      <c r="F101" s="64"/>
      <c r="G101" s="4"/>
      <c r="H101" s="4"/>
      <c r="I101" s="66"/>
      <c r="J101" s="67"/>
      <c r="K101" s="63"/>
      <c r="L101" s="63"/>
      <c r="M101" s="65"/>
      <c r="N101" s="65"/>
      <c r="O101" s="65"/>
      <c r="P101" s="65"/>
      <c r="Q101" s="65"/>
      <c r="R101" s="63"/>
      <c r="S101" s="63"/>
      <c r="T101" s="65"/>
      <c r="U101" s="65"/>
      <c r="V101" s="65"/>
      <c r="W101" s="65"/>
      <c r="X101" s="65"/>
      <c r="Y101" s="63"/>
      <c r="Z101" s="63"/>
      <c r="AA101" s="65"/>
      <c r="AB101" s="65"/>
      <c r="AC101" s="65"/>
      <c r="AD101" s="65"/>
      <c r="AE101" s="65"/>
      <c r="AF101" s="63"/>
      <c r="AG101" s="63"/>
      <c r="AH101" s="65"/>
      <c r="AI101" s="65"/>
      <c r="AJ101" s="65"/>
      <c r="AK101" s="65"/>
      <c r="AM101" s="4"/>
      <c r="AN101" s="72"/>
    </row>
    <row r="102" customFormat="false" ht="12.75" hidden="false" customHeight="false" outlineLevel="0" collapsed="false">
      <c r="A102" s="62"/>
      <c r="B102" s="63"/>
      <c r="C102" s="4"/>
      <c r="D102" s="63"/>
      <c r="E102" s="65"/>
      <c r="F102" s="64"/>
      <c r="G102" s="4"/>
      <c r="H102" s="4"/>
      <c r="I102" s="66"/>
      <c r="J102" s="67"/>
      <c r="K102" s="63"/>
      <c r="L102" s="63"/>
      <c r="M102" s="65"/>
      <c r="N102" s="65"/>
      <c r="O102" s="65"/>
      <c r="P102" s="65"/>
      <c r="Q102" s="65"/>
      <c r="R102" s="63"/>
      <c r="S102" s="63"/>
      <c r="T102" s="65"/>
      <c r="U102" s="65"/>
      <c r="V102" s="65"/>
      <c r="W102" s="65"/>
      <c r="X102" s="65"/>
      <c r="Y102" s="63"/>
      <c r="Z102" s="63"/>
      <c r="AA102" s="65"/>
      <c r="AB102" s="65"/>
      <c r="AC102" s="65"/>
      <c r="AD102" s="65"/>
      <c r="AE102" s="65"/>
      <c r="AF102" s="63"/>
      <c r="AG102" s="63"/>
      <c r="AH102" s="65"/>
      <c r="AI102" s="65"/>
      <c r="AJ102" s="65"/>
      <c r="AK102" s="65"/>
      <c r="AM102" s="4"/>
      <c r="AN102" s="72"/>
    </row>
    <row r="103" customFormat="false" ht="12.75" hidden="false" customHeight="false" outlineLevel="0" collapsed="false">
      <c r="A103" s="62"/>
      <c r="B103" s="63"/>
      <c r="C103" s="4"/>
      <c r="D103" s="63"/>
      <c r="E103" s="65"/>
      <c r="F103" s="64"/>
      <c r="G103" s="4"/>
      <c r="H103" s="4"/>
      <c r="I103" s="66"/>
      <c r="J103" s="67"/>
      <c r="K103" s="63"/>
      <c r="L103" s="63"/>
      <c r="M103" s="65"/>
      <c r="N103" s="65"/>
      <c r="O103" s="65"/>
      <c r="P103" s="65"/>
      <c r="Q103" s="65"/>
      <c r="R103" s="63"/>
      <c r="S103" s="63"/>
      <c r="T103" s="65"/>
      <c r="U103" s="65"/>
      <c r="V103" s="65"/>
      <c r="W103" s="65"/>
      <c r="X103" s="65"/>
      <c r="Y103" s="63"/>
      <c r="Z103" s="63"/>
      <c r="AA103" s="65"/>
      <c r="AB103" s="65"/>
      <c r="AC103" s="65"/>
      <c r="AD103" s="65"/>
      <c r="AE103" s="65"/>
      <c r="AF103" s="63"/>
      <c r="AG103" s="63"/>
      <c r="AH103" s="65"/>
      <c r="AI103" s="65"/>
      <c r="AJ103" s="65"/>
      <c r="AK103" s="65"/>
      <c r="AM103" s="4"/>
      <c r="AN103" s="72"/>
    </row>
    <row r="104" customFormat="false" ht="12.75" hidden="false" customHeight="false" outlineLevel="0" collapsed="false">
      <c r="A104" s="62"/>
      <c r="B104" s="63"/>
      <c r="C104" s="4"/>
      <c r="D104" s="63"/>
      <c r="E104" s="65"/>
      <c r="F104" s="64"/>
      <c r="G104" s="4"/>
      <c r="H104" s="4"/>
      <c r="I104" s="66"/>
      <c r="J104" s="67"/>
      <c r="K104" s="63"/>
      <c r="L104" s="63"/>
      <c r="M104" s="65"/>
      <c r="N104" s="65"/>
      <c r="O104" s="65"/>
      <c r="P104" s="65"/>
      <c r="Q104" s="65"/>
      <c r="R104" s="63"/>
      <c r="S104" s="63"/>
      <c r="T104" s="65"/>
      <c r="U104" s="65"/>
      <c r="V104" s="65"/>
      <c r="W104" s="65"/>
      <c r="X104" s="65"/>
      <c r="Y104" s="63"/>
      <c r="Z104" s="63"/>
      <c r="AA104" s="65"/>
      <c r="AB104" s="65"/>
      <c r="AC104" s="65"/>
      <c r="AD104" s="65"/>
      <c r="AE104" s="65"/>
      <c r="AF104" s="63"/>
      <c r="AG104" s="63"/>
      <c r="AH104" s="65"/>
      <c r="AI104" s="65"/>
      <c r="AJ104" s="65"/>
      <c r="AK104" s="65"/>
      <c r="AM104" s="4"/>
      <c r="AN104" s="72"/>
    </row>
    <row r="105" customFormat="false" ht="12.75" hidden="false" customHeight="false" outlineLevel="0" collapsed="false">
      <c r="A105" s="62"/>
      <c r="B105" s="63"/>
      <c r="C105" s="4"/>
      <c r="D105" s="63"/>
      <c r="E105" s="65"/>
      <c r="F105" s="64"/>
      <c r="G105" s="4"/>
      <c r="H105" s="4"/>
      <c r="I105" s="66"/>
      <c r="J105" s="67"/>
      <c r="K105" s="63"/>
      <c r="L105" s="63"/>
      <c r="M105" s="65"/>
      <c r="N105" s="65"/>
      <c r="O105" s="65"/>
      <c r="P105" s="65"/>
      <c r="Q105" s="65"/>
      <c r="R105" s="63"/>
      <c r="S105" s="63"/>
      <c r="T105" s="65"/>
      <c r="U105" s="65"/>
      <c r="V105" s="65"/>
      <c r="W105" s="65"/>
      <c r="X105" s="65"/>
      <c r="Y105" s="63"/>
      <c r="Z105" s="63"/>
      <c r="AA105" s="65"/>
      <c r="AB105" s="65"/>
      <c r="AC105" s="65"/>
      <c r="AD105" s="65"/>
      <c r="AE105" s="65"/>
      <c r="AF105" s="63"/>
      <c r="AG105" s="63"/>
      <c r="AH105" s="65"/>
      <c r="AI105" s="65"/>
      <c r="AJ105" s="65"/>
      <c r="AK105" s="65"/>
      <c r="AM105" s="4"/>
      <c r="AN105" s="72"/>
    </row>
    <row r="106" customFormat="false" ht="12.75" hidden="false" customHeight="false" outlineLevel="0" collapsed="false">
      <c r="A106" s="62"/>
      <c r="B106" s="63"/>
      <c r="C106" s="4"/>
      <c r="D106" s="63"/>
      <c r="E106" s="65"/>
      <c r="F106" s="64"/>
      <c r="G106" s="4"/>
      <c r="H106" s="4"/>
      <c r="I106" s="66"/>
      <c r="J106" s="67"/>
      <c r="K106" s="63"/>
      <c r="L106" s="63"/>
      <c r="M106" s="65"/>
      <c r="N106" s="65"/>
      <c r="O106" s="65"/>
      <c r="P106" s="65"/>
      <c r="Q106" s="65"/>
      <c r="R106" s="63"/>
      <c r="S106" s="63"/>
      <c r="T106" s="65"/>
      <c r="U106" s="65"/>
      <c r="V106" s="65"/>
      <c r="W106" s="65"/>
      <c r="X106" s="65"/>
      <c r="Y106" s="63"/>
      <c r="Z106" s="63"/>
      <c r="AA106" s="65"/>
      <c r="AB106" s="65"/>
      <c r="AC106" s="65"/>
      <c r="AD106" s="65"/>
      <c r="AE106" s="65"/>
      <c r="AF106" s="63"/>
      <c r="AG106" s="63"/>
      <c r="AH106" s="65"/>
      <c r="AI106" s="65"/>
      <c r="AJ106" s="65"/>
      <c r="AK106" s="65"/>
      <c r="AM106" s="4"/>
      <c r="AN106" s="72"/>
    </row>
    <row r="107" customFormat="false" ht="12.75" hidden="false" customHeight="false" outlineLevel="0" collapsed="false">
      <c r="A107" s="62"/>
      <c r="B107" s="63"/>
      <c r="C107" s="4"/>
      <c r="D107" s="63"/>
      <c r="E107" s="65"/>
      <c r="F107" s="64"/>
      <c r="G107" s="4"/>
      <c r="H107" s="4"/>
      <c r="I107" s="66"/>
      <c r="J107" s="67"/>
      <c r="K107" s="63"/>
      <c r="L107" s="63"/>
      <c r="M107" s="65"/>
      <c r="N107" s="65"/>
      <c r="O107" s="65"/>
      <c r="P107" s="65"/>
      <c r="Q107" s="65"/>
      <c r="R107" s="63"/>
      <c r="S107" s="63"/>
      <c r="T107" s="65"/>
      <c r="U107" s="65"/>
      <c r="V107" s="65"/>
      <c r="W107" s="65"/>
      <c r="X107" s="65"/>
      <c r="Y107" s="63"/>
      <c r="Z107" s="63"/>
      <c r="AA107" s="65"/>
      <c r="AB107" s="65"/>
      <c r="AC107" s="65"/>
      <c r="AD107" s="65"/>
      <c r="AE107" s="65"/>
      <c r="AF107" s="63"/>
      <c r="AG107" s="63"/>
      <c r="AH107" s="65"/>
      <c r="AI107" s="65"/>
      <c r="AJ107" s="65"/>
      <c r="AK107" s="65"/>
      <c r="AM107" s="4"/>
      <c r="AN107" s="72"/>
    </row>
    <row r="108" customFormat="false" ht="12.75" hidden="false" customHeight="false" outlineLevel="0" collapsed="false">
      <c r="A108" s="62"/>
      <c r="B108" s="63"/>
      <c r="C108" s="4"/>
      <c r="D108" s="63"/>
      <c r="E108" s="65"/>
      <c r="F108" s="64"/>
      <c r="G108" s="4"/>
      <c r="H108" s="4"/>
      <c r="I108" s="66"/>
      <c r="J108" s="67"/>
      <c r="K108" s="63"/>
      <c r="L108" s="63"/>
      <c r="M108" s="65"/>
      <c r="N108" s="65"/>
      <c r="O108" s="65"/>
      <c r="P108" s="65"/>
      <c r="Q108" s="65"/>
      <c r="R108" s="63"/>
      <c r="S108" s="63"/>
      <c r="T108" s="65"/>
      <c r="U108" s="65"/>
      <c r="V108" s="65"/>
      <c r="W108" s="65"/>
      <c r="X108" s="65"/>
      <c r="Y108" s="63"/>
      <c r="Z108" s="63"/>
      <c r="AA108" s="65"/>
      <c r="AB108" s="65"/>
      <c r="AC108" s="65"/>
      <c r="AD108" s="65"/>
      <c r="AE108" s="65"/>
      <c r="AF108" s="63"/>
      <c r="AG108" s="63"/>
      <c r="AH108" s="65"/>
      <c r="AI108" s="65"/>
      <c r="AJ108" s="65"/>
      <c r="AK108" s="65"/>
      <c r="AM108" s="4"/>
      <c r="AN108" s="72"/>
    </row>
    <row r="109" customFormat="false" ht="12.75" hidden="false" customHeight="false" outlineLevel="0" collapsed="false">
      <c r="A109" s="62"/>
      <c r="B109" s="63"/>
      <c r="C109" s="4"/>
      <c r="D109" s="63"/>
      <c r="E109" s="65"/>
      <c r="F109" s="64"/>
      <c r="G109" s="4"/>
      <c r="H109" s="4"/>
      <c r="I109" s="66"/>
      <c r="J109" s="67"/>
      <c r="K109" s="63"/>
      <c r="L109" s="63"/>
      <c r="M109" s="65"/>
      <c r="N109" s="65"/>
      <c r="O109" s="65"/>
      <c r="P109" s="65"/>
      <c r="Q109" s="65"/>
      <c r="R109" s="63"/>
      <c r="S109" s="63"/>
      <c r="T109" s="65"/>
      <c r="U109" s="65"/>
      <c r="V109" s="65"/>
      <c r="W109" s="65"/>
      <c r="X109" s="65"/>
      <c r="Y109" s="63"/>
      <c r="Z109" s="63"/>
      <c r="AA109" s="65"/>
      <c r="AB109" s="65"/>
      <c r="AC109" s="65"/>
      <c r="AD109" s="65"/>
      <c r="AE109" s="65"/>
      <c r="AF109" s="63"/>
      <c r="AG109" s="63"/>
      <c r="AH109" s="65"/>
      <c r="AI109" s="65"/>
      <c r="AJ109" s="65"/>
      <c r="AK109" s="65"/>
      <c r="AM109" s="4"/>
      <c r="AN109" s="72"/>
    </row>
    <row r="110" customFormat="false" ht="12.75" hidden="false" customHeight="false" outlineLevel="0" collapsed="false">
      <c r="A110" s="62"/>
      <c r="B110" s="63"/>
      <c r="C110" s="4"/>
      <c r="D110" s="63"/>
      <c r="E110" s="65"/>
      <c r="F110" s="64"/>
      <c r="G110" s="4"/>
      <c r="H110" s="4"/>
      <c r="I110" s="66"/>
      <c r="J110" s="67"/>
      <c r="K110" s="63"/>
      <c r="L110" s="63"/>
      <c r="M110" s="65"/>
      <c r="N110" s="65"/>
      <c r="O110" s="65"/>
      <c r="P110" s="65"/>
      <c r="Q110" s="65"/>
      <c r="R110" s="63"/>
      <c r="S110" s="63"/>
      <c r="T110" s="65"/>
      <c r="U110" s="65"/>
      <c r="V110" s="65"/>
      <c r="W110" s="65"/>
      <c r="X110" s="65"/>
      <c r="Y110" s="63"/>
      <c r="Z110" s="63"/>
      <c r="AA110" s="65"/>
      <c r="AB110" s="65"/>
      <c r="AC110" s="65"/>
      <c r="AD110" s="65"/>
      <c r="AE110" s="65"/>
      <c r="AF110" s="63"/>
      <c r="AG110" s="63"/>
      <c r="AH110" s="65"/>
      <c r="AI110" s="65"/>
      <c r="AJ110" s="65"/>
      <c r="AK110" s="65"/>
      <c r="AM110" s="4"/>
      <c r="AN110" s="72"/>
    </row>
    <row r="111" customFormat="false" ht="12.75" hidden="false" customHeight="false" outlineLevel="0" collapsed="false">
      <c r="A111" s="62"/>
      <c r="B111" s="63"/>
      <c r="C111" s="4"/>
      <c r="D111" s="63"/>
      <c r="E111" s="65"/>
      <c r="F111" s="64"/>
      <c r="G111" s="4"/>
      <c r="H111" s="4"/>
      <c r="I111" s="66"/>
      <c r="J111" s="67"/>
      <c r="K111" s="63"/>
      <c r="L111" s="63"/>
      <c r="M111" s="65"/>
      <c r="N111" s="65"/>
      <c r="O111" s="65"/>
      <c r="P111" s="65"/>
      <c r="Q111" s="65"/>
      <c r="R111" s="63"/>
      <c r="S111" s="63"/>
      <c r="T111" s="65"/>
      <c r="U111" s="65"/>
      <c r="V111" s="65"/>
      <c r="W111" s="65"/>
      <c r="X111" s="65"/>
      <c r="Y111" s="63"/>
      <c r="Z111" s="63"/>
      <c r="AA111" s="65"/>
      <c r="AB111" s="65"/>
      <c r="AC111" s="65"/>
      <c r="AD111" s="65"/>
      <c r="AE111" s="65"/>
      <c r="AF111" s="63"/>
      <c r="AG111" s="63"/>
      <c r="AH111" s="65"/>
      <c r="AI111" s="65"/>
      <c r="AJ111" s="65"/>
      <c r="AK111" s="65"/>
      <c r="AM111" s="4"/>
      <c r="AN111" s="72"/>
    </row>
    <row r="112" customFormat="false" ht="12.75" hidden="false" customHeight="false" outlineLevel="0" collapsed="false">
      <c r="A112" s="62"/>
      <c r="B112" s="63"/>
      <c r="C112" s="4"/>
      <c r="D112" s="63"/>
      <c r="E112" s="65"/>
      <c r="F112" s="64"/>
      <c r="G112" s="4"/>
      <c r="H112" s="4"/>
      <c r="I112" s="66"/>
      <c r="J112" s="67"/>
      <c r="K112" s="63"/>
      <c r="L112" s="63"/>
      <c r="M112" s="65"/>
      <c r="N112" s="65"/>
      <c r="O112" s="65"/>
      <c r="P112" s="65"/>
      <c r="Q112" s="65"/>
      <c r="R112" s="63"/>
      <c r="S112" s="63"/>
      <c r="T112" s="65"/>
      <c r="U112" s="65"/>
      <c r="V112" s="65"/>
      <c r="W112" s="65"/>
      <c r="X112" s="65"/>
      <c r="Y112" s="63"/>
      <c r="Z112" s="63"/>
      <c r="AA112" s="65"/>
      <c r="AB112" s="65"/>
      <c r="AC112" s="65"/>
      <c r="AD112" s="65"/>
      <c r="AE112" s="65"/>
      <c r="AF112" s="63"/>
      <c r="AG112" s="63"/>
      <c r="AH112" s="65"/>
      <c r="AI112" s="65"/>
      <c r="AJ112" s="65"/>
      <c r="AK112" s="65"/>
      <c r="AM112" s="4"/>
      <c r="AN112" s="72"/>
    </row>
    <row r="113" customFormat="false" ht="12.75" hidden="false" customHeight="false" outlineLevel="0" collapsed="false">
      <c r="A113" s="62"/>
      <c r="B113" s="63"/>
      <c r="C113" s="4"/>
      <c r="D113" s="63"/>
      <c r="E113" s="65"/>
      <c r="F113" s="64"/>
      <c r="G113" s="4"/>
      <c r="H113" s="4"/>
      <c r="I113" s="66"/>
      <c r="J113" s="67"/>
      <c r="K113" s="63"/>
      <c r="L113" s="63"/>
      <c r="M113" s="65"/>
      <c r="N113" s="65"/>
      <c r="O113" s="65"/>
      <c r="P113" s="65"/>
      <c r="Q113" s="65"/>
      <c r="R113" s="63"/>
      <c r="S113" s="63"/>
      <c r="T113" s="65"/>
      <c r="U113" s="65"/>
      <c r="V113" s="65"/>
      <c r="W113" s="65"/>
      <c r="X113" s="65"/>
      <c r="Y113" s="63"/>
      <c r="Z113" s="63"/>
      <c r="AA113" s="65"/>
      <c r="AB113" s="65"/>
      <c r="AC113" s="65"/>
      <c r="AD113" s="65"/>
      <c r="AE113" s="65"/>
      <c r="AF113" s="63"/>
      <c r="AG113" s="63"/>
      <c r="AH113" s="65"/>
      <c r="AI113" s="65"/>
      <c r="AJ113" s="65"/>
      <c r="AK113" s="65"/>
      <c r="AM113" s="4"/>
      <c r="AN113" s="72"/>
    </row>
    <row r="114" customFormat="false" ht="12.75" hidden="false" customHeight="false" outlineLevel="0" collapsed="false">
      <c r="A114" s="62"/>
      <c r="B114" s="63"/>
      <c r="C114" s="4"/>
      <c r="D114" s="63"/>
      <c r="E114" s="65"/>
      <c r="F114" s="64"/>
      <c r="G114" s="4"/>
      <c r="H114" s="4"/>
      <c r="I114" s="66"/>
      <c r="J114" s="67"/>
      <c r="K114" s="63"/>
      <c r="L114" s="63"/>
      <c r="M114" s="65"/>
      <c r="N114" s="65"/>
      <c r="O114" s="65"/>
      <c r="P114" s="65"/>
      <c r="Q114" s="65"/>
      <c r="R114" s="63"/>
      <c r="S114" s="63"/>
      <c r="T114" s="65"/>
      <c r="U114" s="65"/>
      <c r="V114" s="65"/>
      <c r="W114" s="65"/>
      <c r="X114" s="65"/>
      <c r="Y114" s="63"/>
      <c r="Z114" s="63"/>
      <c r="AA114" s="65"/>
      <c r="AB114" s="65"/>
      <c r="AC114" s="65"/>
      <c r="AD114" s="65"/>
      <c r="AE114" s="65"/>
      <c r="AF114" s="63"/>
      <c r="AG114" s="63"/>
      <c r="AH114" s="65"/>
      <c r="AI114" s="65"/>
      <c r="AJ114" s="65"/>
      <c r="AK114" s="65"/>
      <c r="AM114" s="4"/>
      <c r="AN114" s="72"/>
    </row>
    <row r="115" customFormat="false" ht="12.75" hidden="false" customHeight="false" outlineLevel="0" collapsed="false">
      <c r="A115" s="62"/>
      <c r="B115" s="63"/>
      <c r="C115" s="4"/>
      <c r="D115" s="63"/>
      <c r="E115" s="65"/>
      <c r="F115" s="64"/>
      <c r="G115" s="4"/>
      <c r="H115" s="4"/>
      <c r="I115" s="66"/>
      <c r="J115" s="67"/>
      <c r="K115" s="63"/>
      <c r="L115" s="63"/>
      <c r="M115" s="65"/>
      <c r="N115" s="65"/>
      <c r="O115" s="65"/>
      <c r="P115" s="65"/>
      <c r="Q115" s="65"/>
      <c r="R115" s="63"/>
      <c r="S115" s="63"/>
      <c r="T115" s="65"/>
      <c r="U115" s="65"/>
      <c r="V115" s="65"/>
      <c r="W115" s="65"/>
      <c r="X115" s="65"/>
      <c r="Y115" s="63"/>
      <c r="Z115" s="63"/>
      <c r="AA115" s="65"/>
      <c r="AB115" s="65"/>
      <c r="AC115" s="65"/>
      <c r="AD115" s="65"/>
      <c r="AE115" s="65"/>
      <c r="AF115" s="63"/>
      <c r="AG115" s="63"/>
      <c r="AH115" s="65"/>
      <c r="AI115" s="65"/>
      <c r="AJ115" s="65"/>
      <c r="AK115" s="65"/>
      <c r="AM115" s="4"/>
      <c r="AN115" s="72"/>
    </row>
    <row r="116" customFormat="false" ht="12.75" hidden="false" customHeight="false" outlineLevel="0" collapsed="false">
      <c r="A116" s="62"/>
      <c r="B116" s="63"/>
      <c r="C116" s="4"/>
      <c r="D116" s="63"/>
      <c r="E116" s="65"/>
      <c r="F116" s="64"/>
      <c r="G116" s="4"/>
      <c r="H116" s="4"/>
      <c r="I116" s="66"/>
      <c r="J116" s="67"/>
      <c r="K116" s="63"/>
      <c r="L116" s="63"/>
      <c r="M116" s="65"/>
      <c r="N116" s="65"/>
      <c r="O116" s="65"/>
      <c r="P116" s="65"/>
      <c r="Q116" s="65"/>
      <c r="R116" s="63"/>
      <c r="S116" s="63"/>
      <c r="T116" s="65"/>
      <c r="U116" s="65"/>
      <c r="V116" s="65"/>
      <c r="W116" s="65"/>
      <c r="X116" s="65"/>
      <c r="Y116" s="63"/>
      <c r="Z116" s="63"/>
      <c r="AA116" s="65"/>
      <c r="AB116" s="65"/>
      <c r="AC116" s="65"/>
      <c r="AD116" s="65"/>
      <c r="AE116" s="65"/>
      <c r="AF116" s="63"/>
      <c r="AG116" s="63"/>
      <c r="AH116" s="65"/>
      <c r="AI116" s="65"/>
      <c r="AJ116" s="65"/>
      <c r="AK116" s="65"/>
      <c r="AM116" s="4"/>
      <c r="AN116" s="72"/>
    </row>
    <row r="117" customFormat="false" ht="12.75" hidden="false" customHeight="false" outlineLevel="0" collapsed="false">
      <c r="A117" s="62"/>
      <c r="B117" s="63"/>
      <c r="C117" s="4"/>
      <c r="D117" s="63"/>
      <c r="E117" s="65"/>
      <c r="F117" s="64"/>
      <c r="G117" s="4"/>
      <c r="H117" s="4"/>
      <c r="I117" s="66"/>
      <c r="J117" s="67"/>
      <c r="K117" s="63"/>
      <c r="L117" s="63"/>
      <c r="M117" s="65"/>
      <c r="N117" s="65"/>
      <c r="O117" s="65"/>
      <c r="P117" s="65"/>
      <c r="Q117" s="65"/>
      <c r="R117" s="63"/>
      <c r="S117" s="63"/>
      <c r="T117" s="65"/>
      <c r="U117" s="65"/>
      <c r="V117" s="65"/>
      <c r="W117" s="65"/>
      <c r="X117" s="65"/>
      <c r="Y117" s="63"/>
      <c r="Z117" s="63"/>
      <c r="AA117" s="65"/>
      <c r="AB117" s="65"/>
      <c r="AC117" s="65"/>
      <c r="AD117" s="65"/>
      <c r="AE117" s="65"/>
      <c r="AF117" s="63"/>
      <c r="AG117" s="63"/>
      <c r="AH117" s="65"/>
      <c r="AI117" s="65"/>
      <c r="AJ117" s="65"/>
      <c r="AK117" s="65"/>
      <c r="AM117" s="4"/>
      <c r="AN117" s="72"/>
    </row>
    <row r="118" customFormat="false" ht="12.75" hidden="false" customHeight="false" outlineLevel="0" collapsed="false">
      <c r="A118" s="62"/>
      <c r="B118" s="63"/>
      <c r="C118" s="4"/>
      <c r="D118" s="63"/>
      <c r="E118" s="65"/>
      <c r="F118" s="64"/>
      <c r="G118" s="4"/>
      <c r="H118" s="4"/>
      <c r="I118" s="66"/>
      <c r="J118" s="67"/>
      <c r="K118" s="63"/>
      <c r="L118" s="63"/>
      <c r="M118" s="65"/>
      <c r="N118" s="65"/>
      <c r="O118" s="65"/>
      <c r="P118" s="65"/>
      <c r="Q118" s="65"/>
      <c r="R118" s="63"/>
      <c r="S118" s="63"/>
      <c r="T118" s="65"/>
      <c r="U118" s="65"/>
      <c r="V118" s="65"/>
      <c r="W118" s="65"/>
      <c r="X118" s="65"/>
      <c r="Y118" s="63"/>
      <c r="Z118" s="63"/>
      <c r="AA118" s="65"/>
      <c r="AB118" s="65"/>
      <c r="AC118" s="65"/>
      <c r="AD118" s="65"/>
      <c r="AE118" s="65"/>
      <c r="AF118" s="63"/>
      <c r="AG118" s="63"/>
      <c r="AH118" s="65"/>
      <c r="AI118" s="65"/>
      <c r="AJ118" s="65"/>
      <c r="AK118" s="65"/>
      <c r="AM118" s="4"/>
      <c r="AN118" s="72"/>
    </row>
    <row r="119" customFormat="false" ht="12.75" hidden="false" customHeight="false" outlineLevel="0" collapsed="false">
      <c r="A119" s="62"/>
      <c r="B119" s="63"/>
      <c r="C119" s="4"/>
      <c r="D119" s="63"/>
      <c r="E119" s="65"/>
      <c r="F119" s="64"/>
      <c r="G119" s="4"/>
      <c r="H119" s="4"/>
      <c r="I119" s="66"/>
      <c r="J119" s="67"/>
      <c r="K119" s="63"/>
      <c r="L119" s="63"/>
      <c r="M119" s="65"/>
      <c r="N119" s="65"/>
      <c r="O119" s="65"/>
      <c r="P119" s="65"/>
      <c r="Q119" s="65"/>
      <c r="R119" s="63"/>
      <c r="S119" s="63"/>
      <c r="T119" s="65"/>
      <c r="U119" s="65"/>
      <c r="V119" s="65"/>
      <c r="W119" s="65"/>
      <c r="X119" s="65"/>
      <c r="Y119" s="63"/>
      <c r="Z119" s="63"/>
      <c r="AA119" s="65"/>
      <c r="AB119" s="65"/>
      <c r="AC119" s="65"/>
      <c r="AD119" s="65"/>
      <c r="AE119" s="65"/>
      <c r="AF119" s="63"/>
      <c r="AG119" s="63"/>
      <c r="AH119" s="65"/>
      <c r="AI119" s="65"/>
      <c r="AJ119" s="65"/>
      <c r="AK119" s="65"/>
      <c r="AM119" s="4"/>
      <c r="AN119" s="72"/>
    </row>
    <row r="120" customFormat="false" ht="12.75" hidden="false" customHeight="false" outlineLevel="0" collapsed="false">
      <c r="A120" s="62"/>
      <c r="B120" s="63"/>
      <c r="C120" s="4"/>
      <c r="D120" s="63"/>
      <c r="E120" s="65"/>
      <c r="F120" s="64"/>
      <c r="G120" s="4"/>
      <c r="H120" s="4"/>
      <c r="I120" s="66"/>
      <c r="J120" s="67"/>
      <c r="K120" s="63"/>
      <c r="L120" s="63"/>
      <c r="M120" s="65"/>
      <c r="N120" s="65"/>
      <c r="O120" s="65"/>
      <c r="P120" s="65"/>
      <c r="Q120" s="65"/>
      <c r="R120" s="63"/>
      <c r="S120" s="63"/>
      <c r="T120" s="65"/>
      <c r="U120" s="65"/>
      <c r="V120" s="65"/>
      <c r="W120" s="65"/>
      <c r="X120" s="65"/>
      <c r="Y120" s="63"/>
      <c r="Z120" s="63"/>
      <c r="AA120" s="65"/>
      <c r="AB120" s="65"/>
      <c r="AC120" s="65"/>
      <c r="AD120" s="65"/>
      <c r="AE120" s="65"/>
      <c r="AF120" s="63"/>
      <c r="AG120" s="63"/>
      <c r="AH120" s="65"/>
      <c r="AI120" s="65"/>
      <c r="AJ120" s="65"/>
      <c r="AK120" s="65"/>
      <c r="AM120" s="4"/>
      <c r="AN120" s="72"/>
    </row>
    <row r="121" customFormat="false" ht="12.75" hidden="false" customHeight="false" outlineLevel="0" collapsed="false">
      <c r="A121" s="62"/>
      <c r="B121" s="63"/>
      <c r="C121" s="4"/>
      <c r="D121" s="63"/>
      <c r="E121" s="65"/>
      <c r="F121" s="64"/>
      <c r="G121" s="4"/>
      <c r="H121" s="4"/>
      <c r="I121" s="66"/>
      <c r="J121" s="67"/>
      <c r="K121" s="63"/>
      <c r="L121" s="63"/>
      <c r="M121" s="65"/>
      <c r="N121" s="65"/>
      <c r="O121" s="65"/>
      <c r="P121" s="65"/>
      <c r="Q121" s="65"/>
      <c r="R121" s="63"/>
      <c r="S121" s="63"/>
      <c r="T121" s="65"/>
      <c r="U121" s="65"/>
      <c r="V121" s="65"/>
      <c r="W121" s="65"/>
      <c r="X121" s="65"/>
      <c r="Y121" s="63"/>
      <c r="Z121" s="63"/>
      <c r="AA121" s="65"/>
      <c r="AB121" s="65"/>
      <c r="AC121" s="65"/>
      <c r="AD121" s="65"/>
      <c r="AE121" s="65"/>
      <c r="AF121" s="63"/>
      <c r="AG121" s="63"/>
      <c r="AH121" s="65"/>
      <c r="AI121" s="65"/>
      <c r="AJ121" s="65"/>
      <c r="AK121" s="65"/>
      <c r="AM121" s="4"/>
      <c r="AN121" s="72"/>
    </row>
    <row r="122" customFormat="false" ht="12.75" hidden="false" customHeight="false" outlineLevel="0" collapsed="false">
      <c r="A122" s="62"/>
      <c r="B122" s="63"/>
      <c r="C122" s="4"/>
      <c r="D122" s="63"/>
      <c r="E122" s="65"/>
      <c r="F122" s="64"/>
      <c r="G122" s="4"/>
      <c r="H122" s="4"/>
      <c r="I122" s="66"/>
      <c r="J122" s="67"/>
      <c r="K122" s="63"/>
      <c r="L122" s="63"/>
      <c r="M122" s="65"/>
      <c r="N122" s="65"/>
      <c r="O122" s="65"/>
      <c r="P122" s="65"/>
      <c r="Q122" s="65"/>
      <c r="R122" s="63"/>
      <c r="S122" s="63"/>
      <c r="T122" s="65"/>
      <c r="U122" s="65"/>
      <c r="V122" s="65"/>
      <c r="W122" s="65"/>
      <c r="X122" s="65"/>
      <c r="Y122" s="63"/>
      <c r="Z122" s="63"/>
      <c r="AA122" s="65"/>
      <c r="AB122" s="65"/>
      <c r="AC122" s="65"/>
      <c r="AD122" s="65"/>
      <c r="AE122" s="65"/>
      <c r="AF122" s="63"/>
      <c r="AG122" s="63"/>
      <c r="AH122" s="65"/>
      <c r="AI122" s="65"/>
      <c r="AJ122" s="65"/>
      <c r="AK122" s="65"/>
      <c r="AM122" s="4"/>
      <c r="AN122" s="72"/>
    </row>
    <row r="123" customFormat="false" ht="12.75" hidden="false" customHeight="false" outlineLevel="0" collapsed="false">
      <c r="A123" s="62"/>
      <c r="B123" s="63"/>
      <c r="C123" s="4"/>
      <c r="D123" s="63"/>
      <c r="E123" s="65"/>
      <c r="F123" s="64"/>
      <c r="G123" s="4"/>
      <c r="H123" s="4"/>
      <c r="I123" s="66"/>
      <c r="J123" s="67"/>
      <c r="K123" s="63"/>
      <c r="L123" s="63"/>
      <c r="M123" s="65"/>
      <c r="N123" s="65"/>
      <c r="O123" s="65"/>
      <c r="P123" s="65"/>
      <c r="Q123" s="65"/>
      <c r="R123" s="63"/>
      <c r="S123" s="63"/>
      <c r="T123" s="65"/>
      <c r="U123" s="65"/>
      <c r="V123" s="65"/>
      <c r="W123" s="65"/>
      <c r="X123" s="65"/>
      <c r="Y123" s="63"/>
      <c r="Z123" s="63"/>
      <c r="AA123" s="65"/>
      <c r="AB123" s="65"/>
      <c r="AC123" s="65"/>
      <c r="AD123" s="65"/>
      <c r="AE123" s="65"/>
      <c r="AF123" s="63"/>
      <c r="AG123" s="63"/>
      <c r="AH123" s="65"/>
      <c r="AI123" s="65"/>
      <c r="AJ123" s="65"/>
      <c r="AK123" s="65"/>
      <c r="AM123" s="4"/>
      <c r="AN123" s="72"/>
    </row>
    <row r="124" customFormat="false" ht="12.75" hidden="false" customHeight="false" outlineLevel="0" collapsed="false">
      <c r="A124" s="62"/>
      <c r="B124" s="63"/>
      <c r="C124" s="4"/>
      <c r="D124" s="63"/>
      <c r="E124" s="65"/>
      <c r="F124" s="64"/>
      <c r="G124" s="4"/>
      <c r="H124" s="4"/>
      <c r="I124" s="66"/>
      <c r="J124" s="67"/>
      <c r="K124" s="63"/>
      <c r="L124" s="63"/>
      <c r="M124" s="65"/>
      <c r="N124" s="65"/>
      <c r="O124" s="65"/>
      <c r="P124" s="65"/>
      <c r="Q124" s="65"/>
      <c r="R124" s="63"/>
      <c r="S124" s="63"/>
      <c r="T124" s="65"/>
      <c r="U124" s="65"/>
      <c r="V124" s="65"/>
      <c r="W124" s="65"/>
      <c r="X124" s="65"/>
      <c r="Y124" s="63"/>
      <c r="Z124" s="63"/>
      <c r="AA124" s="65"/>
      <c r="AB124" s="65"/>
      <c r="AC124" s="65"/>
      <c r="AD124" s="65"/>
      <c r="AE124" s="65"/>
      <c r="AF124" s="63"/>
      <c r="AG124" s="63"/>
      <c r="AH124" s="65"/>
      <c r="AI124" s="65"/>
      <c r="AJ124" s="65"/>
      <c r="AK124" s="65"/>
      <c r="AM124" s="4"/>
      <c r="AN124" s="72"/>
    </row>
    <row r="125" customFormat="false" ht="12.75" hidden="false" customHeight="false" outlineLevel="0" collapsed="false">
      <c r="A125" s="62"/>
      <c r="B125" s="63"/>
      <c r="C125" s="4"/>
      <c r="D125" s="63"/>
      <c r="E125" s="65"/>
      <c r="F125" s="64"/>
      <c r="G125" s="4"/>
      <c r="H125" s="4"/>
      <c r="I125" s="66"/>
      <c r="J125" s="67"/>
      <c r="K125" s="63"/>
      <c r="L125" s="63"/>
      <c r="M125" s="65"/>
      <c r="N125" s="65"/>
      <c r="O125" s="65"/>
      <c r="P125" s="65"/>
      <c r="Q125" s="65"/>
      <c r="R125" s="63"/>
      <c r="S125" s="63"/>
      <c r="T125" s="65"/>
      <c r="U125" s="65"/>
      <c r="V125" s="65"/>
      <c r="W125" s="65"/>
      <c r="X125" s="65"/>
      <c r="Y125" s="63"/>
      <c r="Z125" s="63"/>
      <c r="AA125" s="65"/>
      <c r="AB125" s="65"/>
      <c r="AC125" s="65"/>
      <c r="AD125" s="65"/>
      <c r="AE125" s="65"/>
      <c r="AF125" s="63"/>
      <c r="AG125" s="63"/>
      <c r="AH125" s="65"/>
      <c r="AI125" s="65"/>
      <c r="AJ125" s="65"/>
      <c r="AK125" s="65"/>
      <c r="AM125" s="4"/>
      <c r="AN125" s="72"/>
    </row>
    <row r="126" customFormat="false" ht="12.75" hidden="false" customHeight="false" outlineLevel="0" collapsed="false">
      <c r="A126" s="62"/>
      <c r="B126" s="63"/>
      <c r="C126" s="4"/>
      <c r="D126" s="63"/>
      <c r="E126" s="65"/>
      <c r="F126" s="64"/>
      <c r="G126" s="4"/>
      <c r="H126" s="4"/>
      <c r="I126" s="66"/>
      <c r="J126" s="67"/>
      <c r="K126" s="63"/>
      <c r="L126" s="63"/>
      <c r="M126" s="65"/>
      <c r="N126" s="65"/>
      <c r="O126" s="65"/>
      <c r="P126" s="65"/>
      <c r="Q126" s="65"/>
      <c r="R126" s="63"/>
      <c r="S126" s="63"/>
      <c r="T126" s="65"/>
      <c r="U126" s="65"/>
      <c r="V126" s="65"/>
      <c r="W126" s="65"/>
      <c r="X126" s="65"/>
      <c r="Y126" s="63"/>
      <c r="Z126" s="63"/>
      <c r="AA126" s="65"/>
      <c r="AB126" s="65"/>
      <c r="AC126" s="65"/>
      <c r="AD126" s="65"/>
      <c r="AE126" s="65"/>
      <c r="AF126" s="63"/>
      <c r="AG126" s="63"/>
      <c r="AH126" s="65"/>
      <c r="AI126" s="65"/>
      <c r="AJ126" s="65"/>
      <c r="AK126" s="65"/>
      <c r="AM126" s="4"/>
      <c r="AN126" s="72"/>
    </row>
    <row r="127" customFormat="false" ht="12.75" hidden="false" customHeight="false" outlineLevel="0" collapsed="false">
      <c r="A127" s="62"/>
      <c r="B127" s="63"/>
      <c r="C127" s="4"/>
      <c r="D127" s="63"/>
      <c r="E127" s="65"/>
      <c r="F127" s="64"/>
      <c r="G127" s="4"/>
      <c r="H127" s="4"/>
      <c r="I127" s="66"/>
      <c r="J127" s="67"/>
      <c r="K127" s="63"/>
      <c r="L127" s="63"/>
      <c r="M127" s="65"/>
      <c r="N127" s="65"/>
      <c r="O127" s="65"/>
      <c r="P127" s="65"/>
      <c r="Q127" s="65"/>
      <c r="R127" s="63"/>
      <c r="S127" s="63"/>
      <c r="T127" s="65"/>
      <c r="U127" s="65"/>
      <c r="V127" s="65"/>
      <c r="W127" s="65"/>
      <c r="X127" s="65"/>
      <c r="Y127" s="63"/>
      <c r="Z127" s="63"/>
      <c r="AA127" s="65"/>
      <c r="AB127" s="65"/>
      <c r="AC127" s="65"/>
      <c r="AD127" s="65"/>
      <c r="AE127" s="65"/>
      <c r="AF127" s="63"/>
      <c r="AG127" s="63"/>
      <c r="AH127" s="65"/>
      <c r="AI127" s="65"/>
      <c r="AJ127" s="65"/>
      <c r="AK127" s="65"/>
      <c r="AM127" s="4"/>
      <c r="AN127" s="72"/>
    </row>
    <row r="128" customFormat="false" ht="12.75" hidden="false" customHeight="false" outlineLevel="0" collapsed="false">
      <c r="A128" s="62"/>
      <c r="B128" s="63"/>
      <c r="C128" s="4"/>
      <c r="D128" s="63"/>
      <c r="E128" s="65"/>
      <c r="F128" s="64"/>
      <c r="G128" s="4"/>
      <c r="H128" s="4"/>
      <c r="I128" s="66"/>
      <c r="J128" s="67"/>
      <c r="K128" s="63"/>
      <c r="L128" s="63"/>
      <c r="M128" s="65"/>
      <c r="N128" s="65"/>
      <c r="O128" s="65"/>
      <c r="P128" s="65"/>
      <c r="Q128" s="65"/>
      <c r="R128" s="63"/>
      <c r="S128" s="63"/>
      <c r="T128" s="65"/>
      <c r="U128" s="65"/>
      <c r="V128" s="65"/>
      <c r="W128" s="65"/>
      <c r="X128" s="65"/>
      <c r="Y128" s="63"/>
      <c r="Z128" s="63"/>
      <c r="AA128" s="65"/>
      <c r="AB128" s="65"/>
      <c r="AC128" s="65"/>
      <c r="AD128" s="65"/>
      <c r="AE128" s="65"/>
      <c r="AF128" s="63"/>
      <c r="AG128" s="63"/>
      <c r="AH128" s="65"/>
      <c r="AI128" s="65"/>
      <c r="AJ128" s="65"/>
      <c r="AK128" s="65"/>
      <c r="AM128" s="4"/>
      <c r="AN128" s="72"/>
    </row>
    <row r="129" customFormat="false" ht="12.75" hidden="false" customHeight="false" outlineLevel="0" collapsed="false">
      <c r="A129" s="62"/>
      <c r="B129" s="63"/>
      <c r="C129" s="4"/>
      <c r="D129" s="63"/>
      <c r="E129" s="65"/>
      <c r="F129" s="64"/>
      <c r="G129" s="4"/>
      <c r="H129" s="4"/>
      <c r="I129" s="66"/>
      <c r="J129" s="67"/>
      <c r="K129" s="63"/>
      <c r="L129" s="63"/>
      <c r="M129" s="65"/>
      <c r="N129" s="65"/>
      <c r="O129" s="65"/>
      <c r="P129" s="65"/>
      <c r="Q129" s="65"/>
      <c r="R129" s="63"/>
      <c r="S129" s="63"/>
      <c r="T129" s="65"/>
      <c r="U129" s="65"/>
      <c r="V129" s="65"/>
      <c r="W129" s="65"/>
      <c r="X129" s="65"/>
      <c r="Y129" s="63"/>
      <c r="Z129" s="63"/>
      <c r="AA129" s="65"/>
      <c r="AB129" s="65"/>
      <c r="AC129" s="65"/>
      <c r="AD129" s="65"/>
      <c r="AE129" s="65"/>
      <c r="AF129" s="63"/>
      <c r="AG129" s="63"/>
      <c r="AH129" s="65"/>
      <c r="AI129" s="65"/>
      <c r="AJ129" s="65"/>
      <c r="AK129" s="65"/>
      <c r="AM129" s="4"/>
      <c r="AN129" s="72"/>
    </row>
    <row r="130" customFormat="false" ht="12.75" hidden="false" customHeight="false" outlineLevel="0" collapsed="false">
      <c r="A130" s="62"/>
      <c r="B130" s="63"/>
      <c r="C130" s="4"/>
      <c r="D130" s="63"/>
      <c r="E130" s="65"/>
      <c r="F130" s="64"/>
      <c r="G130" s="4"/>
      <c r="H130" s="4"/>
      <c r="I130" s="66"/>
      <c r="J130" s="67"/>
      <c r="K130" s="63"/>
      <c r="L130" s="63"/>
      <c r="M130" s="65"/>
      <c r="N130" s="65"/>
      <c r="O130" s="65"/>
      <c r="P130" s="65"/>
      <c r="Q130" s="65"/>
      <c r="R130" s="63"/>
      <c r="S130" s="63"/>
      <c r="T130" s="65"/>
      <c r="U130" s="65"/>
      <c r="V130" s="65"/>
      <c r="W130" s="65"/>
      <c r="X130" s="65"/>
      <c r="Y130" s="63"/>
      <c r="Z130" s="63"/>
      <c r="AA130" s="65"/>
      <c r="AB130" s="65"/>
      <c r="AC130" s="65"/>
      <c r="AD130" s="65"/>
      <c r="AE130" s="65"/>
      <c r="AF130" s="63"/>
      <c r="AG130" s="63"/>
      <c r="AH130" s="65"/>
      <c r="AI130" s="65"/>
      <c r="AJ130" s="65"/>
      <c r="AK130" s="65"/>
      <c r="AM130" s="4"/>
      <c r="AN130" s="72"/>
    </row>
    <row r="131" customFormat="false" ht="12.75" hidden="false" customHeight="false" outlineLevel="0" collapsed="false">
      <c r="A131" s="62"/>
      <c r="B131" s="63"/>
      <c r="C131" s="4"/>
      <c r="D131" s="63"/>
      <c r="E131" s="65"/>
      <c r="F131" s="64"/>
      <c r="G131" s="4"/>
      <c r="H131" s="4"/>
      <c r="I131" s="66"/>
      <c r="J131" s="67"/>
      <c r="K131" s="63"/>
      <c r="L131" s="63"/>
      <c r="M131" s="65"/>
      <c r="N131" s="65"/>
      <c r="O131" s="65"/>
      <c r="P131" s="65"/>
      <c r="Q131" s="65"/>
      <c r="R131" s="63"/>
      <c r="S131" s="63"/>
      <c r="T131" s="65"/>
      <c r="U131" s="65"/>
      <c r="V131" s="65"/>
      <c r="W131" s="65"/>
      <c r="X131" s="65"/>
      <c r="Y131" s="63"/>
      <c r="Z131" s="63"/>
      <c r="AA131" s="65"/>
      <c r="AB131" s="65"/>
      <c r="AC131" s="65"/>
      <c r="AD131" s="65"/>
      <c r="AE131" s="65"/>
      <c r="AF131" s="63"/>
      <c r="AG131" s="63"/>
      <c r="AH131" s="65"/>
      <c r="AI131" s="65"/>
      <c r="AJ131" s="65"/>
      <c r="AK131" s="65"/>
      <c r="AM131" s="4"/>
      <c r="AN131" s="72"/>
    </row>
    <row r="132" customFormat="false" ht="12.75" hidden="false" customHeight="false" outlineLevel="0" collapsed="false">
      <c r="A132" s="62"/>
      <c r="B132" s="63"/>
      <c r="C132" s="4"/>
      <c r="D132" s="63"/>
      <c r="E132" s="65"/>
      <c r="F132" s="64"/>
      <c r="G132" s="4"/>
      <c r="H132" s="4"/>
      <c r="I132" s="66"/>
      <c r="J132" s="67"/>
      <c r="K132" s="63"/>
      <c r="L132" s="63"/>
      <c r="M132" s="65"/>
      <c r="N132" s="65"/>
      <c r="O132" s="65"/>
      <c r="P132" s="65"/>
      <c r="Q132" s="65"/>
      <c r="R132" s="63"/>
      <c r="S132" s="63"/>
      <c r="T132" s="65"/>
      <c r="U132" s="65"/>
      <c r="V132" s="65"/>
      <c r="W132" s="65"/>
      <c r="X132" s="65"/>
      <c r="Y132" s="63"/>
      <c r="Z132" s="63"/>
      <c r="AA132" s="65"/>
      <c r="AB132" s="65"/>
      <c r="AC132" s="65"/>
      <c r="AD132" s="65"/>
      <c r="AE132" s="65"/>
      <c r="AF132" s="63"/>
      <c r="AG132" s="63"/>
      <c r="AH132" s="65"/>
      <c r="AI132" s="65"/>
      <c r="AJ132" s="65"/>
      <c r="AK132" s="65"/>
      <c r="AM132" s="4"/>
      <c r="AN132" s="72"/>
    </row>
    <row r="133" customFormat="false" ht="12.75" hidden="false" customHeight="false" outlineLevel="0" collapsed="false">
      <c r="A133" s="62"/>
      <c r="B133" s="63"/>
      <c r="C133" s="4"/>
      <c r="D133" s="63"/>
      <c r="E133" s="65"/>
      <c r="F133" s="64"/>
      <c r="G133" s="4"/>
      <c r="H133" s="4"/>
      <c r="I133" s="66"/>
      <c r="J133" s="67"/>
      <c r="K133" s="63"/>
      <c r="L133" s="63"/>
      <c r="M133" s="65"/>
      <c r="N133" s="65"/>
      <c r="O133" s="65"/>
      <c r="P133" s="65"/>
      <c r="Q133" s="65"/>
      <c r="R133" s="63"/>
      <c r="S133" s="63"/>
      <c r="T133" s="65"/>
      <c r="U133" s="65"/>
      <c r="V133" s="65"/>
      <c r="W133" s="65"/>
      <c r="X133" s="65"/>
      <c r="Y133" s="63"/>
      <c r="Z133" s="63"/>
      <c r="AA133" s="65"/>
      <c r="AB133" s="65"/>
      <c r="AC133" s="65"/>
      <c r="AD133" s="65"/>
      <c r="AE133" s="65"/>
      <c r="AF133" s="63"/>
      <c r="AG133" s="63"/>
      <c r="AH133" s="65"/>
      <c r="AI133" s="65"/>
      <c r="AJ133" s="65"/>
      <c r="AK133" s="65"/>
      <c r="AM133" s="4"/>
      <c r="AN133" s="72"/>
    </row>
    <row r="134" customFormat="false" ht="12.75" hidden="false" customHeight="false" outlineLevel="0" collapsed="false">
      <c r="A134" s="62"/>
      <c r="B134" s="63"/>
      <c r="C134" s="4"/>
      <c r="D134" s="63"/>
      <c r="E134" s="65"/>
      <c r="F134" s="64"/>
      <c r="G134" s="4"/>
      <c r="H134" s="4"/>
      <c r="I134" s="66"/>
      <c r="J134" s="67"/>
      <c r="K134" s="63"/>
      <c r="L134" s="63"/>
      <c r="M134" s="65"/>
      <c r="N134" s="65"/>
      <c r="O134" s="65"/>
      <c r="P134" s="65"/>
      <c r="Q134" s="65"/>
      <c r="R134" s="63"/>
      <c r="S134" s="63"/>
      <c r="T134" s="65"/>
      <c r="U134" s="65"/>
      <c r="V134" s="65"/>
      <c r="W134" s="65"/>
      <c r="X134" s="65"/>
      <c r="Y134" s="63"/>
      <c r="Z134" s="63"/>
      <c r="AA134" s="65"/>
      <c r="AB134" s="65"/>
      <c r="AC134" s="65"/>
      <c r="AD134" s="65"/>
      <c r="AE134" s="65"/>
      <c r="AF134" s="63"/>
      <c r="AG134" s="63"/>
      <c r="AH134" s="65"/>
      <c r="AI134" s="65"/>
      <c r="AJ134" s="65"/>
      <c r="AK134" s="65"/>
      <c r="AM134" s="4"/>
      <c r="AN134" s="72"/>
    </row>
    <row r="135" customFormat="false" ht="12.75" hidden="false" customHeight="false" outlineLevel="0" collapsed="false">
      <c r="A135" s="62"/>
      <c r="B135" s="63"/>
      <c r="C135" s="4"/>
      <c r="D135" s="63"/>
      <c r="E135" s="65"/>
      <c r="F135" s="64"/>
      <c r="G135" s="4"/>
      <c r="H135" s="4"/>
      <c r="I135" s="66"/>
      <c r="J135" s="67"/>
      <c r="K135" s="63"/>
      <c r="L135" s="63"/>
      <c r="M135" s="65"/>
      <c r="N135" s="65"/>
      <c r="O135" s="65"/>
      <c r="P135" s="65"/>
      <c r="Q135" s="65"/>
      <c r="R135" s="63"/>
      <c r="S135" s="63"/>
      <c r="T135" s="65"/>
      <c r="U135" s="65"/>
      <c r="V135" s="65"/>
      <c r="W135" s="65"/>
      <c r="X135" s="65"/>
      <c r="Y135" s="63"/>
      <c r="Z135" s="63"/>
      <c r="AA135" s="65"/>
      <c r="AB135" s="65"/>
      <c r="AC135" s="65"/>
      <c r="AD135" s="65"/>
      <c r="AE135" s="65"/>
      <c r="AF135" s="63"/>
      <c r="AG135" s="63"/>
      <c r="AH135" s="65"/>
      <c r="AI135" s="65"/>
      <c r="AJ135" s="65"/>
      <c r="AK135" s="65"/>
      <c r="AM135" s="4"/>
      <c r="AN135" s="72"/>
    </row>
    <row r="136" customFormat="false" ht="12.75" hidden="false" customHeight="false" outlineLevel="0" collapsed="false">
      <c r="A136" s="62"/>
      <c r="B136" s="63"/>
      <c r="C136" s="4"/>
      <c r="D136" s="63"/>
      <c r="E136" s="65"/>
      <c r="F136" s="64"/>
      <c r="G136" s="4"/>
      <c r="H136" s="4"/>
      <c r="I136" s="66"/>
      <c r="J136" s="67"/>
      <c r="K136" s="63"/>
      <c r="L136" s="63"/>
      <c r="M136" s="65"/>
      <c r="N136" s="65"/>
      <c r="O136" s="65"/>
      <c r="P136" s="65"/>
      <c r="Q136" s="65"/>
      <c r="R136" s="63"/>
      <c r="S136" s="63"/>
      <c r="T136" s="65"/>
      <c r="U136" s="65"/>
      <c r="V136" s="65"/>
      <c r="W136" s="65"/>
      <c r="X136" s="65"/>
      <c r="Y136" s="63"/>
      <c r="Z136" s="63"/>
      <c r="AA136" s="65"/>
      <c r="AB136" s="65"/>
      <c r="AC136" s="65"/>
      <c r="AD136" s="65"/>
      <c r="AE136" s="65"/>
      <c r="AF136" s="63"/>
      <c r="AG136" s="63"/>
      <c r="AH136" s="65"/>
      <c r="AI136" s="65"/>
      <c r="AJ136" s="65"/>
      <c r="AK136" s="65"/>
      <c r="AM136" s="4"/>
      <c r="AN136" s="72"/>
    </row>
    <row r="137" customFormat="false" ht="12.75" hidden="false" customHeight="false" outlineLevel="0" collapsed="false">
      <c r="A137" s="62"/>
      <c r="B137" s="63"/>
      <c r="C137" s="4"/>
      <c r="D137" s="63"/>
      <c r="E137" s="65"/>
      <c r="F137" s="64"/>
      <c r="G137" s="4"/>
      <c r="H137" s="4"/>
      <c r="I137" s="66"/>
      <c r="J137" s="67"/>
      <c r="K137" s="63"/>
      <c r="L137" s="63"/>
      <c r="M137" s="65"/>
      <c r="N137" s="65"/>
      <c r="O137" s="65"/>
      <c r="P137" s="65"/>
      <c r="Q137" s="65"/>
      <c r="R137" s="63"/>
      <c r="S137" s="63"/>
      <c r="T137" s="65"/>
      <c r="U137" s="65"/>
      <c r="V137" s="65"/>
      <c r="W137" s="65"/>
      <c r="X137" s="65"/>
      <c r="Y137" s="63"/>
      <c r="Z137" s="63"/>
      <c r="AA137" s="65"/>
      <c r="AB137" s="65"/>
      <c r="AC137" s="65"/>
      <c r="AD137" s="65"/>
      <c r="AE137" s="65"/>
      <c r="AF137" s="63"/>
      <c r="AG137" s="63"/>
      <c r="AH137" s="65"/>
      <c r="AI137" s="65"/>
      <c r="AJ137" s="65"/>
      <c r="AK137" s="65"/>
      <c r="AM137" s="4"/>
      <c r="AN137" s="72"/>
    </row>
    <row r="138" customFormat="false" ht="12.75" hidden="false" customHeight="false" outlineLevel="0" collapsed="false">
      <c r="A138" s="62"/>
      <c r="B138" s="63"/>
      <c r="C138" s="4"/>
      <c r="D138" s="63"/>
      <c r="E138" s="65"/>
      <c r="F138" s="64"/>
      <c r="G138" s="4"/>
      <c r="H138" s="4"/>
      <c r="I138" s="66"/>
      <c r="J138" s="67"/>
      <c r="K138" s="63"/>
      <c r="L138" s="63"/>
      <c r="M138" s="65"/>
      <c r="N138" s="65"/>
      <c r="O138" s="65"/>
      <c r="P138" s="65"/>
      <c r="Q138" s="65"/>
      <c r="R138" s="63"/>
      <c r="S138" s="63"/>
      <c r="T138" s="65"/>
      <c r="U138" s="65"/>
      <c r="V138" s="65"/>
      <c r="W138" s="65"/>
      <c r="X138" s="65"/>
      <c r="Y138" s="63"/>
      <c r="Z138" s="63"/>
      <c r="AA138" s="65"/>
      <c r="AB138" s="65"/>
      <c r="AC138" s="65"/>
      <c r="AD138" s="65"/>
      <c r="AE138" s="65"/>
      <c r="AF138" s="63"/>
      <c r="AG138" s="63"/>
      <c r="AH138" s="65"/>
      <c r="AI138" s="65"/>
      <c r="AJ138" s="65"/>
      <c r="AK138" s="65"/>
      <c r="AM138" s="4"/>
      <c r="AN138" s="72"/>
    </row>
    <row r="139" customFormat="false" ht="12.75" hidden="false" customHeight="false" outlineLevel="0" collapsed="false">
      <c r="A139" s="62"/>
      <c r="B139" s="63"/>
      <c r="C139" s="4"/>
      <c r="D139" s="63"/>
      <c r="E139" s="65"/>
      <c r="F139" s="64"/>
      <c r="G139" s="4"/>
      <c r="H139" s="4"/>
      <c r="I139" s="66"/>
      <c r="J139" s="67"/>
      <c r="K139" s="63"/>
      <c r="L139" s="63"/>
      <c r="M139" s="65"/>
      <c r="N139" s="65"/>
      <c r="O139" s="65"/>
      <c r="P139" s="65"/>
      <c r="Q139" s="65"/>
      <c r="R139" s="63"/>
      <c r="S139" s="63"/>
      <c r="T139" s="65"/>
      <c r="U139" s="65"/>
      <c r="V139" s="65"/>
      <c r="W139" s="65"/>
      <c r="X139" s="65"/>
      <c r="Y139" s="63"/>
      <c r="Z139" s="63"/>
      <c r="AA139" s="65"/>
      <c r="AB139" s="65"/>
      <c r="AC139" s="65"/>
      <c r="AD139" s="65"/>
      <c r="AE139" s="65"/>
      <c r="AF139" s="63"/>
      <c r="AG139" s="63"/>
      <c r="AH139" s="65"/>
      <c r="AI139" s="65"/>
      <c r="AJ139" s="65"/>
      <c r="AK139" s="65"/>
      <c r="AM139" s="4"/>
      <c r="AN139" s="72"/>
    </row>
    <row r="140" customFormat="false" ht="12.75" hidden="false" customHeight="false" outlineLevel="0" collapsed="false">
      <c r="A140" s="62"/>
      <c r="B140" s="78"/>
      <c r="C140" s="79"/>
      <c r="E140" s="80"/>
      <c r="F140" s="80"/>
      <c r="G140" s="80"/>
      <c r="H140" s="81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BZ140" s="8"/>
      <c r="DI140" s="8"/>
      <c r="ER140" s="8"/>
    </row>
    <row r="141" customFormat="false" ht="12.75" hidden="false" customHeight="false" outlineLevel="0" collapsed="false">
      <c r="A141" s="82"/>
      <c r="B141" s="78"/>
      <c r="C141" s="79"/>
      <c r="E141" s="80"/>
      <c r="F141" s="80"/>
      <c r="G141" s="80"/>
      <c r="H141" s="81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BZ141" s="8"/>
      <c r="DI141" s="8"/>
      <c r="ER141" s="8"/>
    </row>
    <row r="142" customFormat="false" ht="12.75" hidden="false" customHeight="false" outlineLevel="0" collapsed="false">
      <c r="A142" s="82"/>
      <c r="B142" s="78"/>
      <c r="C142" s="79"/>
      <c r="E142" s="80"/>
      <c r="F142" s="80"/>
      <c r="G142" s="80"/>
      <c r="H142" s="81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BZ142" s="8"/>
      <c r="DI142" s="8"/>
      <c r="ER142" s="8"/>
    </row>
    <row r="143" customFormat="false" ht="12.75" hidden="false" customHeight="false" outlineLevel="0" collapsed="false">
      <c r="A143" s="82"/>
      <c r="B143" s="78"/>
      <c r="C143" s="79"/>
      <c r="E143" s="80"/>
      <c r="F143" s="80"/>
      <c r="G143" s="80"/>
      <c r="H143" s="81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BZ143" s="8"/>
      <c r="DI143" s="8"/>
      <c r="ER143" s="8"/>
    </row>
    <row r="144" customFormat="false" ht="12.75" hidden="false" customHeight="false" outlineLevel="0" collapsed="false">
      <c r="A144" s="82"/>
      <c r="B144" s="78"/>
      <c r="C144" s="79"/>
      <c r="E144" s="80"/>
      <c r="F144" s="80"/>
      <c r="G144" s="80"/>
      <c r="H144" s="81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BZ144" s="8"/>
      <c r="DI144" s="8"/>
      <c r="ER144" s="8"/>
    </row>
    <row r="145" customFormat="false" ht="12.75" hidden="false" customHeight="false" outlineLevel="0" collapsed="false">
      <c r="A145" s="82"/>
      <c r="B145" s="78"/>
      <c r="C145" s="79"/>
      <c r="E145" s="80"/>
      <c r="F145" s="80"/>
      <c r="G145" s="80"/>
      <c r="H145" s="81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BZ145" s="8"/>
      <c r="DI145" s="8"/>
      <c r="ER145" s="8"/>
    </row>
    <row r="146" customFormat="false" ht="12.75" hidden="false" customHeight="false" outlineLevel="0" collapsed="false">
      <c r="A146" s="82"/>
      <c r="B146" s="78"/>
      <c r="C146" s="79"/>
      <c r="E146" s="80"/>
      <c r="F146" s="80"/>
      <c r="G146" s="80"/>
      <c r="H146" s="81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BZ146" s="8"/>
      <c r="DI146" s="8"/>
      <c r="ER146" s="8"/>
    </row>
    <row r="147" customFormat="false" ht="12.75" hidden="false" customHeight="false" outlineLevel="0" collapsed="false">
      <c r="A147" s="82"/>
      <c r="B147" s="78"/>
      <c r="C147" s="79"/>
      <c r="E147" s="80"/>
      <c r="F147" s="80"/>
      <c r="G147" s="80"/>
      <c r="H147" s="81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BZ147" s="8"/>
      <c r="DI147" s="8"/>
      <c r="ER147" s="8"/>
    </row>
    <row r="148" customFormat="false" ht="12.75" hidden="false" customHeight="false" outlineLevel="0" collapsed="false">
      <c r="A148" s="82"/>
      <c r="B148" s="78"/>
      <c r="C148" s="79"/>
      <c r="E148" s="80"/>
      <c r="F148" s="80"/>
      <c r="G148" s="80"/>
      <c r="H148" s="81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BZ148" s="8"/>
      <c r="DI148" s="8"/>
      <c r="ER148" s="8"/>
    </row>
    <row r="149" customFormat="false" ht="12.75" hidden="false" customHeight="false" outlineLevel="0" collapsed="false">
      <c r="A149" s="82"/>
      <c r="B149" s="78"/>
      <c r="C149" s="79"/>
      <c r="E149" s="80"/>
      <c r="F149" s="80"/>
      <c r="G149" s="80"/>
      <c r="H149" s="81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BZ149" s="8"/>
      <c r="DI149" s="8"/>
      <c r="ER149" s="8"/>
    </row>
    <row r="150" customFormat="false" ht="12.75" hidden="false" customHeight="false" outlineLevel="0" collapsed="false">
      <c r="A150" s="82"/>
      <c r="B150" s="78"/>
      <c r="C150" s="79"/>
      <c r="E150" s="80"/>
      <c r="F150" s="80"/>
      <c r="G150" s="80"/>
      <c r="H150" s="81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BZ150" s="8"/>
      <c r="DI150" s="8"/>
      <c r="ER150" s="8"/>
    </row>
    <row r="151" customFormat="false" ht="12.75" hidden="false" customHeight="false" outlineLevel="0" collapsed="false">
      <c r="A151" s="83"/>
      <c r="E151" s="84"/>
      <c r="F151" s="84"/>
      <c r="G151" s="84"/>
      <c r="H151" s="81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BZ151" s="8"/>
      <c r="DI151" s="8"/>
      <c r="ER151" s="8"/>
    </row>
    <row r="152" customFormat="false" ht="12.75" hidden="false" customHeight="false" outlineLevel="0" collapsed="false">
      <c r="A152" s="82"/>
      <c r="B152" s="78"/>
      <c r="C152" s="79"/>
      <c r="E152" s="80"/>
      <c r="F152" s="80"/>
      <c r="G152" s="80"/>
      <c r="H152" s="81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BZ152" s="8"/>
      <c r="DI152" s="8"/>
      <c r="ER152" s="8"/>
    </row>
    <row r="153" customFormat="false" ht="12.75" hidden="false" customHeight="false" outlineLevel="0" collapsed="false">
      <c r="B153" s="82"/>
      <c r="C153" s="85"/>
      <c r="D153" s="86"/>
      <c r="E153" s="58"/>
      <c r="F153" s="58"/>
      <c r="G153" s="58"/>
      <c r="H153" s="80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"/>
      <c r="AN153" s="58"/>
      <c r="AO153" s="58"/>
      <c r="AP153" s="8"/>
      <c r="BZ153" s="8"/>
      <c r="DI153" s="8"/>
      <c r="ER153" s="8"/>
    </row>
    <row r="154" customFormat="false" ht="12.75" hidden="false" customHeight="false" outlineLevel="0" collapsed="false">
      <c r="B154" s="82"/>
      <c r="C154" s="85"/>
      <c r="D154" s="86"/>
      <c r="E154" s="58"/>
      <c r="F154" s="58"/>
      <c r="G154" s="58"/>
      <c r="H154" s="80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"/>
      <c r="AN154" s="58"/>
      <c r="AO154" s="58"/>
      <c r="AP154" s="8"/>
      <c r="BZ154" s="8"/>
      <c r="DI154" s="8"/>
      <c r="ER154" s="8"/>
    </row>
    <row r="155" customFormat="false" ht="12.75" hidden="false" customHeight="false" outlineLevel="0" collapsed="false">
      <c r="B155" s="82"/>
      <c r="C155" s="85"/>
      <c r="D155" s="86"/>
      <c r="E155" s="58"/>
      <c r="F155" s="58"/>
      <c r="G155" s="58"/>
      <c r="H155" s="80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"/>
      <c r="AN155" s="58"/>
      <c r="AO155" s="58"/>
      <c r="AP155" s="8"/>
      <c r="BZ155" s="8"/>
      <c r="DI155" s="8"/>
      <c r="ER155" s="8"/>
    </row>
    <row r="156" customFormat="false" ht="12.75" hidden="false" customHeight="false" outlineLevel="0" collapsed="false">
      <c r="B156" s="82"/>
      <c r="C156" s="85"/>
      <c r="D156" s="86"/>
      <c r="E156" s="58"/>
      <c r="F156" s="58"/>
      <c r="G156" s="58"/>
      <c r="H156" s="80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"/>
      <c r="AN156" s="58"/>
      <c r="AO156" s="58"/>
      <c r="AP156" s="8"/>
      <c r="BZ156" s="8"/>
      <c r="DI156" s="8"/>
      <c r="ER156" s="8"/>
    </row>
    <row r="157" customFormat="false" ht="12.75" hidden="false" customHeight="false" outlineLevel="0" collapsed="false">
      <c r="B157" s="82"/>
      <c r="C157" s="85"/>
      <c r="D157" s="86"/>
      <c r="E157" s="58"/>
      <c r="F157" s="58"/>
      <c r="G157" s="58"/>
      <c r="H157" s="80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"/>
      <c r="AN157" s="58"/>
      <c r="AO157" s="58"/>
      <c r="AP157" s="8"/>
      <c r="BZ157" s="8"/>
      <c r="DI157" s="8"/>
      <c r="ER157" s="8"/>
    </row>
    <row r="158" customFormat="false" ht="12.75" hidden="false" customHeight="false" outlineLevel="0" collapsed="false">
      <c r="B158" s="82"/>
      <c r="C158" s="85"/>
      <c r="D158" s="86"/>
      <c r="E158" s="58"/>
      <c r="F158" s="58"/>
      <c r="G158" s="58"/>
      <c r="H158" s="80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"/>
      <c r="AN158" s="58"/>
      <c r="AO158" s="58"/>
      <c r="AP158" s="8"/>
      <c r="BZ158" s="8"/>
      <c r="DI158" s="8"/>
      <c r="ER158" s="8"/>
    </row>
    <row r="159" customFormat="false" ht="12.75" hidden="false" customHeight="false" outlineLevel="0" collapsed="false">
      <c r="B159" s="82"/>
      <c r="C159" s="85"/>
      <c r="D159" s="86"/>
      <c r="E159" s="58"/>
      <c r="F159" s="58"/>
      <c r="G159" s="58"/>
      <c r="H159" s="80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"/>
      <c r="AN159" s="58"/>
      <c r="AO159" s="58"/>
      <c r="AP159" s="8"/>
      <c r="BZ159" s="8"/>
      <c r="DI159" s="8"/>
      <c r="ER159" s="8"/>
    </row>
    <row r="160" customFormat="false" ht="12.75" hidden="false" customHeight="false" outlineLevel="0" collapsed="false">
      <c r="B160" s="82"/>
      <c r="C160" s="85"/>
      <c r="D160" s="86"/>
      <c r="E160" s="58"/>
      <c r="F160" s="58"/>
      <c r="G160" s="58"/>
      <c r="H160" s="80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"/>
      <c r="AN160" s="58"/>
      <c r="AO160" s="58"/>
      <c r="AP160" s="8"/>
      <c r="BZ160" s="8"/>
      <c r="DI160" s="8"/>
      <c r="ER160" s="8"/>
    </row>
    <row r="161" customFormat="false" ht="12.75" hidden="false" customHeight="false" outlineLevel="0" collapsed="false">
      <c r="B161" s="82"/>
      <c r="C161" s="85"/>
      <c r="D161" s="86"/>
      <c r="E161" s="58"/>
      <c r="F161" s="58"/>
      <c r="G161" s="58"/>
      <c r="H161" s="80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"/>
      <c r="AN161" s="58"/>
      <c r="AO161" s="58"/>
      <c r="AP161" s="8"/>
      <c r="BZ161" s="8"/>
      <c r="DI161" s="8"/>
      <c r="ER161" s="8"/>
    </row>
    <row r="162" customFormat="false" ht="12.75" hidden="false" customHeight="false" outlineLevel="0" collapsed="false">
      <c r="B162" s="82"/>
      <c r="C162" s="85"/>
      <c r="D162" s="86"/>
      <c r="E162" s="58"/>
      <c r="F162" s="58"/>
      <c r="G162" s="58"/>
      <c r="H162" s="80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"/>
      <c r="AN162" s="58"/>
      <c r="AO162" s="58"/>
      <c r="AP162" s="8"/>
      <c r="BZ162" s="8"/>
      <c r="DI162" s="8"/>
      <c r="ER162" s="8"/>
    </row>
    <row r="163" customFormat="false" ht="12.75" hidden="false" customHeight="false" outlineLevel="0" collapsed="false">
      <c r="B163" s="82"/>
      <c r="C163" s="85"/>
      <c r="D163" s="86"/>
      <c r="E163" s="58"/>
      <c r="F163" s="58"/>
      <c r="G163" s="58"/>
      <c r="H163" s="80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"/>
      <c r="AN163" s="58"/>
      <c r="AO163" s="58"/>
      <c r="AP163" s="8"/>
      <c r="BZ163" s="8"/>
      <c r="DI163" s="8"/>
      <c r="ER163" s="8"/>
    </row>
    <row r="164" customFormat="false" ht="12.75" hidden="false" customHeight="false" outlineLevel="0" collapsed="false">
      <c r="B164" s="82"/>
      <c r="C164" s="85"/>
      <c r="D164" s="86"/>
      <c r="E164" s="58"/>
      <c r="F164" s="58"/>
      <c r="G164" s="58"/>
      <c r="H164" s="80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"/>
      <c r="AN164" s="58"/>
      <c r="AO164" s="58"/>
      <c r="AP164" s="8"/>
      <c r="BZ164" s="8"/>
      <c r="DI164" s="8"/>
      <c r="ER164" s="8"/>
    </row>
    <row r="165" customFormat="false" ht="13.5" hidden="false" customHeight="false" outlineLevel="0" collapsed="false">
      <c r="B165" s="82"/>
      <c r="C165" s="85"/>
      <c r="D165" s="88"/>
      <c r="E165" s="58"/>
      <c r="F165" s="58"/>
      <c r="G165" s="58"/>
      <c r="H165" s="80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"/>
      <c r="AN165" s="8"/>
      <c r="AO165" s="8"/>
      <c r="AP165" s="8"/>
      <c r="BZ165" s="8"/>
      <c r="DI165" s="8"/>
      <c r="ER165" s="8"/>
    </row>
    <row r="166" customFormat="false" ht="12.75" hidden="false" customHeight="false" outlineLevel="0" collapsed="false">
      <c r="B166" s="82"/>
      <c r="C166" s="85"/>
      <c r="D166" s="89"/>
      <c r="E166" s="58"/>
      <c r="F166" s="58"/>
      <c r="G166" s="58"/>
      <c r="H166" s="80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"/>
      <c r="AN166" s="8"/>
      <c r="AO166" s="8"/>
      <c r="AP166" s="8"/>
      <c r="BZ166" s="8"/>
      <c r="DI166" s="8"/>
      <c r="ER166" s="8"/>
    </row>
    <row r="167" customFormat="false" ht="13.5" hidden="false" customHeight="false" outlineLevel="0" collapsed="false">
      <c r="B167" s="82"/>
      <c r="C167" s="85"/>
      <c r="D167" s="90"/>
      <c r="E167" s="58"/>
      <c r="F167" s="58"/>
      <c r="G167" s="58"/>
      <c r="H167" s="80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"/>
      <c r="AN167" s="8"/>
      <c r="AO167" s="8"/>
      <c r="AP167" s="8"/>
      <c r="BZ167" s="8"/>
      <c r="DI167" s="8"/>
      <c r="ER167" s="8"/>
    </row>
    <row r="168" customFormat="false" ht="13.5" hidden="false" customHeight="false" outlineLevel="0" collapsed="false">
      <c r="B168" s="82"/>
      <c r="C168" s="85"/>
      <c r="D168" s="90"/>
      <c r="E168" s="58"/>
      <c r="F168" s="58"/>
      <c r="G168" s="58"/>
      <c r="H168" s="80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"/>
      <c r="AN168" s="8"/>
      <c r="AO168" s="8"/>
      <c r="AP168" s="8"/>
      <c r="BZ168" s="8"/>
      <c r="DI168" s="8"/>
      <c r="ER168" s="8"/>
    </row>
    <row r="169" customFormat="false" ht="12.75" hidden="false" customHeight="false" outlineLevel="0" collapsed="false">
      <c r="B169" s="82"/>
      <c r="C169" s="85"/>
      <c r="D169" s="91"/>
      <c r="E169" s="58"/>
      <c r="F169" s="58"/>
      <c r="G169" s="58"/>
      <c r="H169" s="80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"/>
      <c r="AN169" s="8"/>
      <c r="AO169" s="8"/>
      <c r="AP169" s="8"/>
      <c r="BZ169" s="8"/>
      <c r="DI169" s="8"/>
      <c r="ER169" s="8"/>
    </row>
    <row r="170" customFormat="false" ht="12.75" hidden="false" customHeight="false" outlineLevel="0" collapsed="false">
      <c r="B170" s="82"/>
      <c r="C170" s="85"/>
      <c r="D170" s="91"/>
      <c r="E170" s="58"/>
      <c r="F170" s="58"/>
      <c r="G170" s="58"/>
      <c r="H170" s="80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"/>
      <c r="AN170" s="8"/>
      <c r="AO170" s="8"/>
      <c r="AP170" s="8"/>
      <c r="BZ170" s="8"/>
      <c r="DI170" s="8"/>
      <c r="ER170" s="8"/>
    </row>
    <row r="171" customFormat="false" ht="12.75" hidden="false" customHeight="false" outlineLevel="0" collapsed="false">
      <c r="B171" s="82"/>
      <c r="C171" s="85"/>
      <c r="D171" s="91"/>
      <c r="E171" s="58"/>
      <c r="F171" s="58"/>
      <c r="G171" s="58"/>
      <c r="H171" s="80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"/>
      <c r="AN171" s="8"/>
      <c r="AO171" s="8"/>
      <c r="AP171" s="8"/>
      <c r="BZ171" s="8"/>
      <c r="DI171" s="8"/>
      <c r="ER171" s="8"/>
    </row>
    <row r="172" customFormat="false" ht="12.75" hidden="false" customHeight="false" outlineLevel="0" collapsed="false">
      <c r="B172" s="82"/>
      <c r="C172" s="85"/>
      <c r="D172" s="91"/>
      <c r="E172" s="58"/>
      <c r="F172" s="58"/>
      <c r="G172" s="58"/>
      <c r="H172" s="80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"/>
      <c r="AN172" s="8"/>
      <c r="AO172" s="8"/>
      <c r="AP172" s="8"/>
      <c r="BZ172" s="8"/>
      <c r="DI172" s="8"/>
      <c r="ER172" s="8"/>
    </row>
    <row r="173" customFormat="false" ht="12.75" hidden="false" customHeight="false" outlineLevel="0" collapsed="false">
      <c r="B173" s="82"/>
      <c r="C173" s="85"/>
      <c r="D173" s="91"/>
      <c r="E173" s="58"/>
      <c r="F173" s="58"/>
      <c r="G173" s="58"/>
      <c r="H173" s="80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"/>
      <c r="AN173" s="8"/>
      <c r="AO173" s="8"/>
      <c r="AP173" s="8"/>
      <c r="BZ173" s="8"/>
      <c r="DI173" s="8"/>
      <c r="ER173" s="8"/>
    </row>
    <row r="174" customFormat="false" ht="12.75" hidden="false" customHeight="false" outlineLevel="0" collapsed="false">
      <c r="B174" s="82"/>
      <c r="C174" s="85"/>
      <c r="D174" s="91"/>
      <c r="E174" s="58"/>
      <c r="F174" s="58"/>
      <c r="G174" s="58"/>
      <c r="H174" s="80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"/>
      <c r="AP174" s="8"/>
      <c r="BZ174" s="8"/>
      <c r="DI174" s="8"/>
      <c r="ER174" s="8"/>
    </row>
    <row r="175" customFormat="false" ht="12.75" hidden="false" customHeight="false" outlineLevel="0" collapsed="false">
      <c r="B175" s="82"/>
      <c r="C175" s="85"/>
      <c r="D175" s="91"/>
      <c r="E175" s="58"/>
      <c r="F175" s="58"/>
      <c r="G175" s="58"/>
      <c r="H175" s="80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"/>
      <c r="AN175" s="8"/>
      <c r="AO175" s="8"/>
      <c r="AP175" s="8"/>
      <c r="BZ175" s="8"/>
      <c r="DI175" s="8"/>
      <c r="ER175" s="8"/>
    </row>
    <row r="176" customFormat="false" ht="12.75" hidden="false" customHeight="false" outlineLevel="0" collapsed="false">
      <c r="B176" s="82"/>
      <c r="C176" s="85"/>
      <c r="D176" s="91"/>
      <c r="E176" s="58"/>
      <c r="F176" s="58"/>
      <c r="G176" s="58"/>
      <c r="H176" s="80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"/>
      <c r="AN176" s="8"/>
      <c r="AO176" s="8"/>
      <c r="AP176" s="8"/>
      <c r="BZ176" s="8"/>
      <c r="DI176" s="8"/>
      <c r="ER176" s="8"/>
    </row>
    <row r="177" customFormat="false" ht="12.75" hidden="false" customHeight="false" outlineLevel="0" collapsed="false">
      <c r="B177" s="82"/>
      <c r="C177" s="85"/>
      <c r="D177" s="91"/>
      <c r="E177" s="58"/>
      <c r="F177" s="58"/>
      <c r="G177" s="58"/>
      <c r="H177" s="80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"/>
      <c r="AN177" s="8"/>
      <c r="AO177" s="8"/>
      <c r="AP177" s="8"/>
      <c r="BZ177" s="8"/>
      <c r="DI177" s="8"/>
      <c r="ER177" s="8"/>
    </row>
    <row r="178" customFormat="false" ht="12.75" hidden="false" customHeight="false" outlineLevel="0" collapsed="false">
      <c r="B178" s="82"/>
      <c r="C178" s="85"/>
      <c r="D178" s="91"/>
      <c r="E178" s="58"/>
      <c r="F178" s="58"/>
      <c r="G178" s="58"/>
      <c r="H178" s="80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"/>
      <c r="AN178" s="8"/>
      <c r="AO178" s="8"/>
      <c r="AP178" s="8"/>
      <c r="BZ178" s="8"/>
      <c r="DI178" s="8"/>
      <c r="ER178" s="8"/>
    </row>
    <row r="179" customFormat="false" ht="12.75" hidden="false" customHeight="false" outlineLevel="0" collapsed="false">
      <c r="B179" s="82"/>
      <c r="C179" s="85"/>
      <c r="D179" s="91"/>
      <c r="E179" s="58"/>
      <c r="F179" s="58"/>
      <c r="G179" s="58"/>
      <c r="H179" s="80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"/>
      <c r="AN179" s="8"/>
      <c r="AO179" s="8"/>
      <c r="AP179" s="8"/>
      <c r="BZ179" s="8"/>
      <c r="DI179" s="8"/>
      <c r="ER179" s="8"/>
    </row>
    <row r="180" customFormat="false" ht="12.75" hidden="false" customHeight="false" outlineLevel="0" collapsed="false">
      <c r="B180" s="82"/>
      <c r="C180" s="85"/>
      <c r="D180" s="91"/>
      <c r="E180" s="58"/>
      <c r="F180" s="58"/>
      <c r="G180" s="58"/>
      <c r="H180" s="80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"/>
      <c r="AN180" s="8"/>
      <c r="AO180" s="8"/>
      <c r="AP180" s="8"/>
      <c r="BZ180" s="8"/>
      <c r="DI180" s="8"/>
      <c r="ER180" s="8"/>
    </row>
    <row r="181" customFormat="false" ht="12.75" hidden="false" customHeight="false" outlineLevel="0" collapsed="false">
      <c r="B181" s="82"/>
      <c r="C181" s="85"/>
      <c r="D181" s="91"/>
      <c r="E181" s="58"/>
      <c r="F181" s="58"/>
      <c r="G181" s="58"/>
      <c r="H181" s="80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"/>
      <c r="AN181" s="8"/>
      <c r="AO181" s="8"/>
      <c r="AP181" s="8"/>
      <c r="BZ181" s="8"/>
      <c r="DI181" s="8"/>
      <c r="ER181" s="8"/>
    </row>
    <row r="182" customFormat="false" ht="12.75" hidden="false" customHeight="false" outlineLevel="0" collapsed="false">
      <c r="B182" s="82"/>
      <c r="C182" s="85"/>
      <c r="D182" s="91"/>
      <c r="E182" s="58"/>
      <c r="F182" s="58"/>
      <c r="G182" s="58"/>
      <c r="H182" s="80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"/>
      <c r="AN182" s="8"/>
      <c r="AO182" s="8"/>
      <c r="AP182" s="8"/>
      <c r="BZ182" s="8"/>
      <c r="DI182" s="8"/>
      <c r="ER182" s="8"/>
    </row>
    <row r="183" customFormat="false" ht="12.75" hidden="false" customHeight="false" outlineLevel="0" collapsed="false">
      <c r="B183" s="82"/>
      <c r="C183" s="85"/>
      <c r="D183" s="91"/>
      <c r="E183" s="58"/>
      <c r="F183" s="58"/>
      <c r="G183" s="58"/>
      <c r="H183" s="80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"/>
      <c r="AN183" s="8"/>
      <c r="AO183" s="8"/>
      <c r="AP183" s="8"/>
      <c r="BZ183" s="8"/>
      <c r="DI183" s="8"/>
      <c r="ER183" s="8"/>
    </row>
    <row r="184" customFormat="false" ht="12.75" hidden="false" customHeight="false" outlineLevel="0" collapsed="false">
      <c r="B184" s="82"/>
      <c r="C184" s="85"/>
      <c r="D184" s="91"/>
      <c r="E184" s="58"/>
      <c r="F184" s="58"/>
      <c r="G184" s="58"/>
      <c r="H184" s="80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"/>
      <c r="AN184" s="8"/>
      <c r="AO184" s="8"/>
      <c r="AP184" s="8"/>
      <c r="BZ184" s="8"/>
      <c r="DI184" s="8"/>
      <c r="ER184" s="8"/>
    </row>
    <row r="185" customFormat="false" ht="12.75" hidden="false" customHeight="false" outlineLevel="0" collapsed="false">
      <c r="B185" s="82"/>
      <c r="C185" s="85"/>
      <c r="D185" s="91"/>
      <c r="E185" s="58"/>
      <c r="F185" s="58"/>
      <c r="G185" s="58"/>
      <c r="H185" s="80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"/>
      <c r="AN185" s="8"/>
      <c r="AO185" s="8"/>
      <c r="AP185" s="8"/>
      <c r="BZ185" s="8"/>
      <c r="DI185" s="8"/>
      <c r="ER185" s="8"/>
    </row>
    <row r="186" customFormat="false" ht="12.75" hidden="false" customHeight="false" outlineLevel="0" collapsed="false">
      <c r="B186" s="82"/>
      <c r="C186" s="85"/>
      <c r="D186" s="91"/>
      <c r="E186" s="58"/>
      <c r="F186" s="58"/>
      <c r="G186" s="58"/>
      <c r="H186" s="80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"/>
      <c r="AN186" s="8"/>
      <c r="AO186" s="8"/>
      <c r="AP186" s="8"/>
      <c r="BZ186" s="8"/>
      <c r="DI186" s="8"/>
      <c r="ER186" s="8"/>
    </row>
    <row r="187" customFormat="false" ht="12.75" hidden="false" customHeight="false" outlineLevel="0" collapsed="false">
      <c r="B187" s="82"/>
      <c r="C187" s="85"/>
      <c r="D187" s="91"/>
      <c r="E187" s="58"/>
      <c r="F187" s="58"/>
      <c r="G187" s="58"/>
      <c r="H187" s="80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"/>
      <c r="AN187" s="8"/>
      <c r="AO187" s="8"/>
      <c r="AP187" s="8"/>
      <c r="BZ187" s="8"/>
      <c r="DI187" s="8"/>
      <c r="ER187" s="8"/>
    </row>
    <row r="188" customFormat="false" ht="12.75" hidden="false" customHeight="false" outlineLevel="0" collapsed="false">
      <c r="B188" s="82"/>
      <c r="C188" s="85"/>
      <c r="D188" s="91"/>
      <c r="E188" s="58"/>
      <c r="F188" s="58"/>
      <c r="G188" s="58"/>
      <c r="H188" s="80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"/>
      <c r="AN188" s="8"/>
      <c r="AO188" s="8"/>
      <c r="AP188" s="8"/>
      <c r="BZ188" s="8"/>
      <c r="DI188" s="8"/>
      <c r="ER188" s="8"/>
    </row>
    <row r="189" customFormat="false" ht="12.75" hidden="false" customHeight="false" outlineLevel="0" collapsed="false">
      <c r="B189" s="82"/>
      <c r="C189" s="85"/>
      <c r="D189" s="91"/>
      <c r="E189" s="58"/>
      <c r="F189" s="58"/>
      <c r="G189" s="58"/>
      <c r="H189" s="80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"/>
      <c r="AN189" s="8"/>
      <c r="AO189" s="8"/>
      <c r="AP189" s="8"/>
      <c r="BZ189" s="8"/>
      <c r="DI189" s="8"/>
      <c r="ER189" s="8"/>
    </row>
    <row r="190" customFormat="false" ht="12.75" hidden="false" customHeight="false" outlineLevel="0" collapsed="false">
      <c r="B190" s="82"/>
      <c r="C190" s="85"/>
      <c r="D190" s="91"/>
      <c r="E190" s="58"/>
      <c r="F190" s="58"/>
      <c r="G190" s="58"/>
      <c r="H190" s="80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"/>
      <c r="AN190" s="8"/>
      <c r="AO190" s="8"/>
      <c r="AP190" s="8"/>
      <c r="BZ190" s="8"/>
      <c r="DI190" s="8"/>
      <c r="ER190" s="8"/>
    </row>
    <row r="191" customFormat="false" ht="12.75" hidden="false" customHeight="false" outlineLevel="0" collapsed="false">
      <c r="B191" s="82"/>
      <c r="C191" s="85"/>
      <c r="D191" s="91"/>
      <c r="E191" s="58"/>
      <c r="F191" s="58"/>
      <c r="G191" s="58"/>
      <c r="H191" s="80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"/>
      <c r="AN191" s="8"/>
      <c r="AO191" s="8"/>
      <c r="AP191" s="8"/>
      <c r="BZ191" s="8"/>
      <c r="DI191" s="8"/>
      <c r="ER191" s="8"/>
    </row>
    <row r="192" customFormat="false" ht="12.75" hidden="false" customHeight="false" outlineLevel="0" collapsed="false">
      <c r="B192" s="82"/>
      <c r="C192" s="85"/>
      <c r="D192" s="91"/>
      <c r="E192" s="58"/>
      <c r="F192" s="58"/>
      <c r="G192" s="58"/>
      <c r="H192" s="80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"/>
      <c r="AN192" s="8"/>
      <c r="AO192" s="8"/>
      <c r="AP192" s="8"/>
      <c r="BZ192" s="8"/>
      <c r="DI192" s="8"/>
      <c r="ER192" s="8"/>
    </row>
    <row r="193" customFormat="false" ht="12.75" hidden="false" customHeight="false" outlineLevel="0" collapsed="false">
      <c r="B193" s="82"/>
      <c r="C193" s="85"/>
      <c r="D193" s="91"/>
      <c r="E193" s="58"/>
      <c r="F193" s="58"/>
      <c r="G193" s="58"/>
      <c r="H193" s="80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"/>
      <c r="AN193" s="8"/>
      <c r="AO193" s="8"/>
      <c r="AP193" s="8"/>
      <c r="BZ193" s="8"/>
      <c r="DI193" s="8"/>
      <c r="ER193" s="8"/>
    </row>
    <row r="194" customFormat="false" ht="12.75" hidden="false" customHeight="false" outlineLevel="0" collapsed="false">
      <c r="B194" s="82"/>
      <c r="C194" s="85"/>
      <c r="D194" s="91"/>
      <c r="E194" s="58"/>
      <c r="F194" s="58"/>
      <c r="G194" s="58"/>
      <c r="H194" s="80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"/>
      <c r="AN194" s="8"/>
      <c r="AO194" s="8"/>
      <c r="AP194" s="8"/>
      <c r="BZ194" s="8"/>
      <c r="DI194" s="8"/>
      <c r="ER194" s="8"/>
    </row>
    <row r="195" customFormat="false" ht="12.75" hidden="false" customHeight="false" outlineLevel="0" collapsed="false">
      <c r="B195" s="82"/>
      <c r="C195" s="85"/>
      <c r="D195" s="91"/>
      <c r="E195" s="58"/>
      <c r="F195" s="58"/>
      <c r="G195" s="58"/>
      <c r="H195" s="80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"/>
      <c r="AN195" s="8"/>
      <c r="AO195" s="8"/>
      <c r="AP195" s="8"/>
      <c r="BZ195" s="8"/>
      <c r="DI195" s="8"/>
      <c r="ER195" s="8"/>
    </row>
    <row r="196" customFormat="false" ht="12.75" hidden="false" customHeight="false" outlineLevel="0" collapsed="false">
      <c r="B196" s="82"/>
      <c r="C196" s="85"/>
      <c r="D196" s="91"/>
      <c r="E196" s="58"/>
      <c r="F196" s="58"/>
      <c r="G196" s="58"/>
      <c r="H196" s="80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"/>
      <c r="AN196" s="8"/>
      <c r="AO196" s="8"/>
      <c r="AP196" s="8"/>
      <c r="BZ196" s="8"/>
      <c r="DI196" s="8"/>
      <c r="ER196" s="8"/>
    </row>
    <row r="197" customFormat="false" ht="12.75" hidden="false" customHeight="false" outlineLevel="0" collapsed="false">
      <c r="B197" s="82"/>
      <c r="C197" s="85"/>
      <c r="D197" s="91"/>
      <c r="E197" s="58"/>
      <c r="F197" s="58"/>
      <c r="G197" s="58"/>
      <c r="H197" s="80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"/>
      <c r="AN197" s="8"/>
      <c r="AO197" s="8"/>
      <c r="AP197" s="8"/>
      <c r="BZ197" s="8"/>
      <c r="DI197" s="8"/>
      <c r="ER197" s="8"/>
    </row>
    <row r="198" customFormat="false" ht="12.75" hidden="false" customHeight="false" outlineLevel="0" collapsed="false">
      <c r="B198" s="82"/>
      <c r="C198" s="85"/>
      <c r="D198" s="91"/>
      <c r="E198" s="58"/>
      <c r="F198" s="58"/>
      <c r="G198" s="58"/>
      <c r="H198" s="80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"/>
      <c r="AN198" s="8"/>
      <c r="AO198" s="8"/>
      <c r="AP198" s="8"/>
      <c r="BZ198" s="8"/>
      <c r="DI198" s="8"/>
      <c r="ER198" s="8"/>
    </row>
    <row r="199" customFormat="false" ht="12.75" hidden="false" customHeight="false" outlineLevel="0" collapsed="false">
      <c r="B199" s="92"/>
      <c r="C199" s="91"/>
      <c r="D199" s="91"/>
      <c r="E199" s="58"/>
      <c r="F199" s="58"/>
      <c r="G199" s="58"/>
      <c r="H199" s="80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"/>
      <c r="AN199" s="8"/>
      <c r="AO199" s="8"/>
      <c r="AP199" s="8"/>
      <c r="BZ199" s="8"/>
      <c r="DI199" s="8"/>
      <c r="ER199" s="8"/>
    </row>
    <row r="200" customFormat="false" ht="12.75" hidden="false" customHeight="false" outlineLevel="0" collapsed="false">
      <c r="B200" s="92"/>
      <c r="C200" s="91"/>
      <c r="D200" s="91"/>
      <c r="E200" s="58"/>
      <c r="F200" s="58"/>
      <c r="G200" s="58"/>
      <c r="H200" s="80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"/>
      <c r="AN200" s="8"/>
      <c r="AO200" s="8"/>
      <c r="AP200" s="8"/>
      <c r="BZ200" s="8"/>
      <c r="DI200" s="8"/>
      <c r="ER200" s="8"/>
    </row>
    <row r="201" customFormat="false" ht="12.75" hidden="false" customHeight="false" outlineLevel="0" collapsed="false">
      <c r="B201" s="92"/>
      <c r="C201" s="91"/>
      <c r="D201" s="91"/>
      <c r="E201" s="58"/>
      <c r="F201" s="58"/>
      <c r="G201" s="58"/>
      <c r="H201" s="80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"/>
      <c r="AN201" s="8"/>
      <c r="AO201" s="8"/>
      <c r="AP201" s="8"/>
      <c r="BZ201" s="8"/>
      <c r="DI201" s="8"/>
      <c r="ER201" s="8"/>
    </row>
    <row r="202" customFormat="false" ht="12.75" hidden="false" customHeight="false" outlineLevel="0" collapsed="false">
      <c r="B202" s="92"/>
      <c r="C202" s="91"/>
      <c r="D202" s="91"/>
      <c r="E202" s="58"/>
      <c r="F202" s="58"/>
      <c r="G202" s="58"/>
      <c r="H202" s="80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"/>
      <c r="AN202" s="8"/>
      <c r="AO202" s="8"/>
      <c r="AP202" s="8"/>
      <c r="BZ202" s="8"/>
      <c r="DI202" s="8"/>
      <c r="ER202" s="8"/>
    </row>
    <row r="203" customFormat="false" ht="12.75" hidden="false" customHeight="false" outlineLevel="0" collapsed="false">
      <c r="B203" s="92"/>
      <c r="C203" s="91"/>
      <c r="D203" s="91"/>
      <c r="E203" s="58"/>
      <c r="F203" s="58"/>
      <c r="G203" s="58"/>
      <c r="H203" s="80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"/>
      <c r="AN203" s="8"/>
      <c r="AO203" s="8"/>
      <c r="AP203" s="8"/>
      <c r="BZ203" s="8"/>
      <c r="DI203" s="8"/>
      <c r="ER203" s="8"/>
    </row>
    <row r="204" customFormat="false" ht="12.75" hidden="false" customHeight="false" outlineLevel="0" collapsed="false">
      <c r="B204" s="92"/>
      <c r="C204" s="91"/>
      <c r="D204" s="91"/>
      <c r="E204" s="58"/>
      <c r="F204" s="58"/>
      <c r="G204" s="58"/>
      <c r="H204" s="80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"/>
      <c r="AN204" s="8"/>
      <c r="AO204" s="8"/>
      <c r="AP204" s="8"/>
      <c r="BZ204" s="8"/>
      <c r="DI204" s="8"/>
      <c r="ER204" s="8"/>
    </row>
    <row r="205" customFormat="false" ht="12.75" hidden="false" customHeight="false" outlineLevel="0" collapsed="false">
      <c r="B205" s="92"/>
      <c r="C205" s="91"/>
      <c r="D205" s="91"/>
      <c r="E205" s="58"/>
      <c r="F205" s="58"/>
      <c r="G205" s="58"/>
      <c r="H205" s="80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"/>
      <c r="AN205" s="8"/>
      <c r="AO205" s="8"/>
      <c r="AP205" s="8"/>
      <c r="BZ205" s="8"/>
      <c r="DI205" s="8"/>
      <c r="ER205" s="8"/>
    </row>
    <row r="206" customFormat="false" ht="12.75" hidden="false" customHeight="false" outlineLevel="0" collapsed="false">
      <c r="B206" s="92"/>
      <c r="C206" s="91"/>
      <c r="D206" s="91"/>
      <c r="E206" s="58"/>
      <c r="F206" s="58"/>
      <c r="G206" s="58"/>
      <c r="H206" s="80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"/>
      <c r="AN206" s="8"/>
      <c r="AO206" s="8"/>
      <c r="AP206" s="8"/>
      <c r="BZ206" s="8"/>
      <c r="DI206" s="8"/>
      <c r="ER206" s="8"/>
    </row>
    <row r="207" customFormat="false" ht="12.75" hidden="false" customHeight="false" outlineLevel="0" collapsed="false">
      <c r="B207" s="92"/>
      <c r="C207" s="91"/>
      <c r="D207" s="91"/>
      <c r="E207" s="58"/>
      <c r="F207" s="58"/>
      <c r="G207" s="58"/>
      <c r="H207" s="80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"/>
      <c r="AN207" s="8"/>
      <c r="AO207" s="8"/>
      <c r="AP207" s="8"/>
      <c r="BZ207" s="8"/>
      <c r="DI207" s="8"/>
      <c r="ER207" s="8"/>
    </row>
    <row r="208" customFormat="false" ht="12.75" hidden="false" customHeight="false" outlineLevel="0" collapsed="false">
      <c r="B208" s="92"/>
      <c r="C208" s="91"/>
      <c r="D208" s="91"/>
      <c r="E208" s="58"/>
      <c r="F208" s="58"/>
      <c r="G208" s="58"/>
      <c r="H208" s="80"/>
      <c r="I208" s="87"/>
      <c r="J208" s="87"/>
      <c r="K208" s="87"/>
      <c r="L208" s="87"/>
      <c r="M208" s="87"/>
      <c r="N208" s="87"/>
      <c r="O208" s="87"/>
      <c r="P208" s="87"/>
      <c r="Q208" s="87"/>
      <c r="R208" s="87"/>
      <c r="S208" s="87"/>
      <c r="T208" s="87"/>
      <c r="U208" s="87"/>
      <c r="V208" s="87"/>
      <c r="W208" s="87"/>
      <c r="X208" s="87"/>
      <c r="Y208" s="87"/>
      <c r="Z208" s="87"/>
      <c r="AA208" s="87"/>
      <c r="AB208" s="87"/>
      <c r="AC208" s="87"/>
      <c r="AD208" s="87"/>
      <c r="AE208" s="87"/>
      <c r="AF208" s="87"/>
      <c r="AG208" s="87"/>
      <c r="AH208" s="87"/>
      <c r="AI208" s="87"/>
      <c r="AJ208" s="87"/>
      <c r="AK208" s="87"/>
      <c r="AL208" s="87"/>
      <c r="AM208" s="8"/>
      <c r="AN208" s="8"/>
      <c r="AO208" s="8"/>
      <c r="AP208" s="8"/>
      <c r="BZ208" s="8"/>
      <c r="DI208" s="8"/>
      <c r="ER208" s="8"/>
    </row>
    <row r="209" customFormat="false" ht="12.75" hidden="false" customHeight="false" outlineLevel="0" collapsed="false">
      <c r="B209" s="92"/>
      <c r="C209" s="91"/>
      <c r="D209" s="91"/>
      <c r="E209" s="58"/>
      <c r="F209" s="58"/>
      <c r="G209" s="58"/>
      <c r="H209" s="80"/>
      <c r="I209" s="87"/>
      <c r="J209" s="87"/>
      <c r="K209" s="87"/>
      <c r="L209" s="87"/>
      <c r="M209" s="87"/>
      <c r="N209" s="87"/>
      <c r="O209" s="87"/>
      <c r="P209" s="87"/>
      <c r="Q209" s="87"/>
      <c r="R209" s="87"/>
      <c r="S209" s="87"/>
      <c r="T209" s="87"/>
      <c r="U209" s="87"/>
      <c r="V209" s="87"/>
      <c r="W209" s="87"/>
      <c r="X209" s="87"/>
      <c r="Y209" s="87"/>
      <c r="Z209" s="87"/>
      <c r="AA209" s="87"/>
      <c r="AB209" s="87"/>
      <c r="AC209" s="87"/>
      <c r="AD209" s="87"/>
      <c r="AE209" s="87"/>
      <c r="AF209" s="87"/>
      <c r="AG209" s="87"/>
      <c r="AH209" s="87"/>
      <c r="AI209" s="87"/>
      <c r="AJ209" s="87"/>
      <c r="AK209" s="87"/>
      <c r="AL209" s="87"/>
      <c r="AM209" s="8"/>
      <c r="AN209" s="8"/>
      <c r="AO209" s="8"/>
      <c r="AP209" s="8"/>
      <c r="BZ209" s="8"/>
      <c r="DI209" s="8"/>
      <c r="ER209" s="8"/>
    </row>
    <row r="210" customFormat="false" ht="12.75" hidden="false" customHeight="false" outlineLevel="0" collapsed="false">
      <c r="B210" s="92"/>
      <c r="C210" s="91"/>
      <c r="D210" s="91"/>
      <c r="E210" s="58"/>
      <c r="F210" s="58"/>
      <c r="G210" s="58"/>
      <c r="H210" s="80"/>
      <c r="I210" s="87"/>
      <c r="J210" s="87"/>
      <c r="K210" s="87"/>
      <c r="L210" s="87"/>
      <c r="M210" s="87"/>
      <c r="N210" s="87"/>
      <c r="O210" s="87"/>
      <c r="P210" s="87"/>
      <c r="Q210" s="87"/>
      <c r="R210" s="87"/>
      <c r="S210" s="87"/>
      <c r="T210" s="87"/>
      <c r="U210" s="87"/>
      <c r="V210" s="87"/>
      <c r="W210" s="87"/>
      <c r="X210" s="87"/>
      <c r="Y210" s="87"/>
      <c r="Z210" s="87"/>
      <c r="AA210" s="87"/>
      <c r="AB210" s="87"/>
      <c r="AC210" s="87"/>
      <c r="AD210" s="87"/>
      <c r="AE210" s="87"/>
      <c r="AF210" s="87"/>
      <c r="AG210" s="87"/>
      <c r="AH210" s="87"/>
      <c r="AI210" s="87"/>
      <c r="AJ210" s="87"/>
      <c r="AK210" s="87"/>
      <c r="AL210" s="87"/>
      <c r="AM210" s="8"/>
      <c r="AN210" s="8"/>
      <c r="AO210" s="8"/>
      <c r="AP210" s="8"/>
      <c r="BZ210" s="8"/>
      <c r="DI210" s="8"/>
      <c r="ER210" s="8"/>
    </row>
    <row r="211" customFormat="false" ht="12.75" hidden="false" customHeight="false" outlineLevel="0" collapsed="false">
      <c r="B211" s="92"/>
      <c r="C211" s="91"/>
      <c r="D211" s="91"/>
      <c r="E211" s="58"/>
      <c r="F211" s="58"/>
      <c r="G211" s="58"/>
      <c r="H211" s="80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  <c r="Z211" s="87"/>
      <c r="AA211" s="87"/>
      <c r="AB211" s="87"/>
      <c r="AC211" s="87"/>
      <c r="AD211" s="87"/>
      <c r="AE211" s="87"/>
      <c r="AF211" s="87"/>
      <c r="AG211" s="87"/>
      <c r="AH211" s="87"/>
      <c r="AI211" s="87"/>
      <c r="AJ211" s="87"/>
      <c r="AK211" s="87"/>
      <c r="AL211" s="87"/>
      <c r="AM211" s="8"/>
      <c r="AN211" s="8"/>
      <c r="AO211" s="8"/>
      <c r="AP211" s="8"/>
      <c r="BZ211" s="8"/>
      <c r="DI211" s="8"/>
      <c r="ER211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P27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AE3" activePane="bottomRight" state="frozen"/>
      <selection pane="topLeft" activeCell="A1" activeCellId="0" sqref="A1"/>
      <selection pane="topRight" activeCell="AE1" activeCellId="0" sqref="AE1"/>
      <selection pane="bottomLeft" activeCell="A3" activeCellId="0" sqref="A3"/>
      <selection pane="bottomRight" activeCell="AE9" activeCellId="0" sqref="AE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28"/>
    <col collapsed="false" customWidth="true" hidden="false" outlineLevel="0" max="3" min="3" style="0" width="10.99"/>
    <col collapsed="false" customWidth="true" hidden="false" outlineLevel="0" max="4" min="4" style="0" width="15.99"/>
    <col collapsed="false" customWidth="true" hidden="false" outlineLevel="0" max="5" min="5" style="0" width="17.7"/>
    <col collapsed="false" customWidth="true" hidden="false" outlineLevel="0" max="6" min="6" style="0" width="11.42"/>
    <col collapsed="false" customWidth="true" hidden="false" outlineLevel="0" max="7" min="7" style="0" width="12.28"/>
    <col collapsed="false" customWidth="true" hidden="false" outlineLevel="0" max="8" min="8" style="0" width="15.13"/>
    <col collapsed="false" customWidth="true" hidden="false" outlineLevel="0" max="9" min="9" style="0" width="18.41"/>
    <col collapsed="false" customWidth="true" hidden="false" outlineLevel="0" max="10" min="10" style="0" width="13.14"/>
    <col collapsed="false" customWidth="true" hidden="false" outlineLevel="0" max="11" min="11" style="0" width="16.84"/>
    <col collapsed="false" customWidth="true" hidden="false" outlineLevel="0" max="12" min="12" style="0" width="13.41"/>
    <col collapsed="false" customWidth="true" hidden="false" outlineLevel="0" max="13" min="13" style="0" width="11.99"/>
    <col collapsed="false" customWidth="true" hidden="false" outlineLevel="0" max="14" min="14" style="0" width="12.99"/>
    <col collapsed="false" customWidth="true" hidden="false" outlineLevel="0" max="15" min="15" style="0" width="12.28"/>
    <col collapsed="false" customWidth="true" hidden="false" outlineLevel="0" max="16" min="16" style="0" width="12.42"/>
    <col collapsed="false" customWidth="true" hidden="false" outlineLevel="0" max="17" min="17" style="0" width="9.7"/>
    <col collapsed="false" customWidth="true" hidden="false" outlineLevel="0" max="18" min="18" style="0" width="14.56"/>
    <col collapsed="false" customWidth="true" hidden="false" outlineLevel="0" max="21" min="19" style="0" width="9.28"/>
    <col collapsed="false" customWidth="true" hidden="false" outlineLevel="0" max="23" min="23" style="0" width="10.85"/>
    <col collapsed="false" customWidth="true" hidden="false" outlineLevel="0" max="24" min="24" style="0" width="13.14"/>
    <col collapsed="false" customWidth="true" hidden="false" outlineLevel="0" max="25" min="25" style="0" width="13.99"/>
    <col collapsed="false" customWidth="true" hidden="false" outlineLevel="0" max="26" min="26" style="0" width="14.7"/>
    <col collapsed="false" customWidth="true" hidden="false" outlineLevel="0" max="27" min="27" style="0" width="12.42"/>
    <col collapsed="false" customWidth="true" hidden="false" outlineLevel="0" max="28" min="28" style="0" width="13.14"/>
    <col collapsed="false" customWidth="true" hidden="false" outlineLevel="0" max="29" min="29" style="0" width="10.99"/>
    <col collapsed="false" customWidth="true" hidden="false" outlineLevel="0" max="30" min="30" style="0" width="15.99"/>
    <col collapsed="false" customWidth="true" hidden="false" outlineLevel="0" max="31" min="31" style="0" width="17.42"/>
    <col collapsed="false" customWidth="true" hidden="false" outlineLevel="0" max="32" min="32" style="0" width="12.28"/>
    <col collapsed="false" customWidth="true" hidden="false" outlineLevel="0" max="33" min="33" style="0" width="14.7"/>
    <col collapsed="false" customWidth="true" hidden="false" outlineLevel="0" max="34" min="34" style="0" width="15.13"/>
    <col collapsed="false" customWidth="true" hidden="false" outlineLevel="0" max="35" min="35" style="0" width="14.56"/>
    <col collapsed="false" customWidth="true" hidden="false" outlineLevel="0" max="36" min="36" style="0" width="18.56"/>
    <col collapsed="false" customWidth="true" hidden="false" outlineLevel="0" max="37" min="37" style="0" width="17.99"/>
    <col collapsed="false" customWidth="true" hidden="false" outlineLevel="0" max="38" min="38" style="0" width="17.14"/>
    <col collapsed="false" customWidth="true" hidden="false" outlineLevel="0" max="39" min="39" style="0" width="10.85"/>
    <col collapsed="false" customWidth="true" hidden="false" outlineLevel="0" max="40" min="40" style="0" width="10.99"/>
    <col collapsed="false" customWidth="true" hidden="false" outlineLevel="0" max="41" min="41" style="0" width="5.85"/>
  </cols>
  <sheetData>
    <row r="1" customFormat="false" ht="12.75" hidden="false" customHeight="false" outlineLevel="0" collapsed="false">
      <c r="A1" s="313" t="s">
        <v>268</v>
      </c>
      <c r="B1" s="314" t="s">
        <v>235</v>
      </c>
      <c r="C1" s="314" t="s">
        <v>237</v>
      </c>
      <c r="D1" s="314" t="s">
        <v>80</v>
      </c>
      <c r="E1" s="314" t="s">
        <v>132</v>
      </c>
      <c r="F1" s="314" t="s">
        <v>236</v>
      </c>
      <c r="G1" s="314" t="s">
        <v>41</v>
      </c>
      <c r="H1" s="314" t="s">
        <v>128</v>
      </c>
      <c r="I1" s="314" t="s">
        <v>238</v>
      </c>
      <c r="J1" s="314" t="s">
        <v>26</v>
      </c>
      <c r="K1" s="314" t="s">
        <v>239</v>
      </c>
      <c r="L1" s="314" t="s">
        <v>240</v>
      </c>
      <c r="M1" s="314" t="s">
        <v>141</v>
      </c>
      <c r="N1" s="314" t="s">
        <v>269</v>
      </c>
      <c r="O1" s="314" t="s">
        <v>270</v>
      </c>
      <c r="P1" s="314" t="s">
        <v>33</v>
      </c>
      <c r="Q1" s="314" t="s">
        <v>258</v>
      </c>
      <c r="R1" s="314" t="s">
        <v>271</v>
      </c>
      <c r="S1" s="314" t="s">
        <v>242</v>
      </c>
      <c r="T1" s="314" t="s">
        <v>243</v>
      </c>
      <c r="U1" s="314" t="s">
        <v>18</v>
      </c>
      <c r="V1" s="314" t="s">
        <v>244</v>
      </c>
      <c r="W1" s="314" t="s">
        <v>84</v>
      </c>
      <c r="X1" s="314" t="s">
        <v>83</v>
      </c>
      <c r="Y1" s="314" t="s">
        <v>245</v>
      </c>
      <c r="Z1" s="314" t="s">
        <v>246</v>
      </c>
      <c r="AA1" s="314" t="s">
        <v>127</v>
      </c>
      <c r="AB1" s="314" t="s">
        <v>123</v>
      </c>
      <c r="AC1" s="314" t="s">
        <v>272</v>
      </c>
      <c r="AD1" s="314" t="s">
        <v>273</v>
      </c>
      <c r="AE1" s="314" t="s">
        <v>21</v>
      </c>
      <c r="AF1" s="314" t="s">
        <v>37</v>
      </c>
      <c r="AG1" s="314" t="s">
        <v>81</v>
      </c>
      <c r="AH1" s="314" t="s">
        <v>35</v>
      </c>
      <c r="AI1" s="314" t="s">
        <v>274</v>
      </c>
      <c r="AJ1" s="314" t="s">
        <v>117</v>
      </c>
      <c r="AK1" s="314" t="s">
        <v>28</v>
      </c>
      <c r="AL1" s="314" t="s">
        <v>39</v>
      </c>
      <c r="AM1" s="314" t="s">
        <v>116</v>
      </c>
      <c r="AN1" s="314" t="s">
        <v>24</v>
      </c>
      <c r="AO1" s="314" t="s">
        <v>32</v>
      </c>
    </row>
    <row r="2" customFormat="false" ht="12.75" hidden="false" customHeight="false" outlineLevel="0" collapsed="false">
      <c r="A2" s="315"/>
      <c r="B2" s="316" t="n">
        <v>2</v>
      </c>
      <c r="C2" s="316" t="n">
        <f aca="false">B2+1</f>
        <v>3</v>
      </c>
      <c r="D2" s="316" t="n">
        <f aca="false">C2+1</f>
        <v>4</v>
      </c>
      <c r="E2" s="316" t="n">
        <f aca="false">D2+1</f>
        <v>5</v>
      </c>
      <c r="F2" s="316" t="n">
        <f aca="false">E2+1</f>
        <v>6</v>
      </c>
      <c r="G2" s="316" t="n">
        <f aca="false">F2+1</f>
        <v>7</v>
      </c>
      <c r="H2" s="316" t="n">
        <f aca="false">G2+1</f>
        <v>8</v>
      </c>
      <c r="I2" s="316" t="n">
        <f aca="false">H2+1</f>
        <v>9</v>
      </c>
      <c r="J2" s="316" t="n">
        <f aca="false">I2+1</f>
        <v>10</v>
      </c>
      <c r="K2" s="316" t="n">
        <f aca="false">J2+1</f>
        <v>11</v>
      </c>
      <c r="L2" s="316" t="n">
        <f aca="false">K2+1</f>
        <v>12</v>
      </c>
      <c r="M2" s="316" t="n">
        <f aca="false">L2+1</f>
        <v>13</v>
      </c>
      <c r="N2" s="316" t="n">
        <f aca="false">M2+1</f>
        <v>14</v>
      </c>
      <c r="O2" s="316" t="n">
        <f aca="false">N2+1</f>
        <v>15</v>
      </c>
      <c r="P2" s="316" t="n">
        <f aca="false">O2+1</f>
        <v>16</v>
      </c>
      <c r="Q2" s="316" t="n">
        <f aca="false">P2+1</f>
        <v>17</v>
      </c>
      <c r="R2" s="316" t="n">
        <f aca="false">Q2+1</f>
        <v>18</v>
      </c>
      <c r="S2" s="316" t="n">
        <f aca="false">R2+1</f>
        <v>19</v>
      </c>
      <c r="T2" s="316" t="n">
        <f aca="false">S2+1</f>
        <v>20</v>
      </c>
      <c r="U2" s="316" t="n">
        <f aca="false">T2+1</f>
        <v>21</v>
      </c>
      <c r="V2" s="316" t="n">
        <f aca="false">U2+1</f>
        <v>22</v>
      </c>
      <c r="W2" s="316" t="n">
        <f aca="false">V2+1</f>
        <v>23</v>
      </c>
      <c r="X2" s="316" t="n">
        <f aca="false">W2+1</f>
        <v>24</v>
      </c>
      <c r="Y2" s="316" t="n">
        <f aca="false">X2+1</f>
        <v>25</v>
      </c>
      <c r="Z2" s="316" t="n">
        <f aca="false">Y2+1</f>
        <v>26</v>
      </c>
      <c r="AA2" s="316" t="n">
        <f aca="false">Z2+1</f>
        <v>27</v>
      </c>
      <c r="AB2" s="316" t="n">
        <f aca="false">AA2+1</f>
        <v>28</v>
      </c>
      <c r="AC2" s="316" t="n">
        <f aca="false">AB2+1</f>
        <v>29</v>
      </c>
      <c r="AD2" s="316" t="n">
        <f aca="false">AC2+1</f>
        <v>30</v>
      </c>
      <c r="AE2" s="316" t="n">
        <f aca="false">AD2+1</f>
        <v>31</v>
      </c>
      <c r="AF2" s="316" t="n">
        <f aca="false">AE2+1</f>
        <v>32</v>
      </c>
      <c r="AG2" s="316" t="n">
        <f aca="false">AF2+1</f>
        <v>33</v>
      </c>
      <c r="AH2" s="316" t="n">
        <f aca="false">AG2+1</f>
        <v>34</v>
      </c>
      <c r="AI2" s="316" t="n">
        <f aca="false">AH2+1</f>
        <v>35</v>
      </c>
      <c r="AJ2" s="316" t="n">
        <f aca="false">AI2+1</f>
        <v>36</v>
      </c>
      <c r="AK2" s="316" t="n">
        <f aca="false">AJ2+1</f>
        <v>37</v>
      </c>
      <c r="AL2" s="316" t="n">
        <f aca="false">AK2+1</f>
        <v>38</v>
      </c>
      <c r="AM2" s="316" t="n">
        <f aca="false">AL2+1</f>
        <v>39</v>
      </c>
      <c r="AN2" s="316" t="n">
        <f aca="false">AM2+1</f>
        <v>40</v>
      </c>
      <c r="AO2" s="316" t="n">
        <f aca="false">AN2+1</f>
        <v>41</v>
      </c>
    </row>
    <row r="3" customFormat="false" ht="12.75" hidden="false" customHeight="false" outlineLevel="0" collapsed="false">
      <c r="A3" s="317"/>
      <c r="B3" s="318" t="s">
        <v>235</v>
      </c>
      <c r="C3" s="318" t="s">
        <v>237</v>
      </c>
      <c r="D3" s="318" t="s">
        <v>80</v>
      </c>
      <c r="E3" s="318" t="s">
        <v>132</v>
      </c>
      <c r="F3" s="318" t="s">
        <v>236</v>
      </c>
      <c r="G3" s="318" t="s">
        <v>41</v>
      </c>
      <c r="H3" s="318" t="s">
        <v>128</v>
      </c>
      <c r="I3" s="318" t="s">
        <v>238</v>
      </c>
      <c r="J3" s="318" t="s">
        <v>26</v>
      </c>
      <c r="K3" s="318" t="s">
        <v>239</v>
      </c>
      <c r="L3" s="318" t="s">
        <v>240</v>
      </c>
      <c r="M3" s="318" t="s">
        <v>141</v>
      </c>
      <c r="N3" s="318" t="s">
        <v>269</v>
      </c>
      <c r="O3" s="318" t="s">
        <v>270</v>
      </c>
      <c r="P3" s="318" t="s">
        <v>33</v>
      </c>
      <c r="Q3" s="318" t="s">
        <v>258</v>
      </c>
      <c r="R3" s="318" t="s">
        <v>271</v>
      </c>
      <c r="S3" s="318" t="s">
        <v>242</v>
      </c>
      <c r="T3" s="318" t="s">
        <v>243</v>
      </c>
      <c r="U3" s="318" t="s">
        <v>18</v>
      </c>
      <c r="V3" s="318" t="s">
        <v>244</v>
      </c>
      <c r="W3" s="318" t="s">
        <v>84</v>
      </c>
      <c r="X3" s="318" t="s">
        <v>83</v>
      </c>
      <c r="Y3" s="318" t="s">
        <v>245</v>
      </c>
      <c r="Z3" s="318" t="s">
        <v>246</v>
      </c>
      <c r="AA3" s="318" t="s">
        <v>127</v>
      </c>
      <c r="AB3" s="318" t="s">
        <v>123</v>
      </c>
      <c r="AC3" s="318" t="s">
        <v>272</v>
      </c>
      <c r="AD3" s="318" t="s">
        <v>273</v>
      </c>
      <c r="AE3" s="318" t="s">
        <v>21</v>
      </c>
      <c r="AF3" s="318" t="s">
        <v>37</v>
      </c>
      <c r="AG3" s="318" t="s">
        <v>81</v>
      </c>
      <c r="AH3" s="318" t="s">
        <v>35</v>
      </c>
      <c r="AI3" s="318" t="s">
        <v>274</v>
      </c>
      <c r="AJ3" s="318" t="s">
        <v>117</v>
      </c>
      <c r="AK3" s="0" t="s">
        <v>28</v>
      </c>
      <c r="AL3" s="0" t="s">
        <v>39</v>
      </c>
      <c r="AM3" s="0" t="s">
        <v>116</v>
      </c>
      <c r="AN3" s="0" t="s">
        <v>24</v>
      </c>
      <c r="AO3" s="0" t="s">
        <v>32</v>
      </c>
    </row>
    <row r="4" customFormat="false" ht="12.75" hidden="false" customHeight="false" outlineLevel="0" collapsed="false">
      <c r="A4" s="317" t="n">
        <v>36800</v>
      </c>
      <c r="B4" s="318" t="e">
        <f aca="false">#REF!+#REF!</f>
        <v>#REF!</v>
      </c>
      <c r="C4" s="318" t="e">
        <f aca="false">#REF!+#REF!</f>
        <v>#REF!</v>
      </c>
      <c r="D4" s="318" t="e">
        <f aca="false">#REF!+#REF!</f>
        <v>#REF!</v>
      </c>
      <c r="E4" s="318" t="e">
        <f aca="false">#REF!+#REF!</f>
        <v>#REF!</v>
      </c>
      <c r="F4" s="318" t="e">
        <f aca="false">#REF!+#REF!</f>
        <v>#REF!</v>
      </c>
      <c r="G4" s="318" t="e">
        <f aca="false">#REF!+#REF!</f>
        <v>#REF!</v>
      </c>
      <c r="H4" s="318" t="e">
        <f aca="false">#REF!+#REF!</f>
        <v>#REF!</v>
      </c>
      <c r="I4" s="318" t="e">
        <f aca="false">#REF!+#REF!</f>
        <v>#REF!</v>
      </c>
      <c r="J4" s="318" t="e">
        <f aca="false">#REF!+#REF!</f>
        <v>#REF!</v>
      </c>
      <c r="K4" s="318" t="e">
        <f aca="false">#REF!+#REF!</f>
        <v>#REF!</v>
      </c>
      <c r="L4" s="318" t="e">
        <f aca="false">#REF!+#REF!</f>
        <v>#REF!</v>
      </c>
      <c r="M4" s="318" t="e">
        <f aca="false">#REF!+#REF!</f>
        <v>#REF!</v>
      </c>
      <c r="N4" s="318" t="e">
        <f aca="false">#REF!+#REF!</f>
        <v>#REF!</v>
      </c>
      <c r="O4" s="318" t="e">
        <f aca="false">#REF!+#REF!</f>
        <v>#REF!</v>
      </c>
      <c r="P4" s="318" t="e">
        <f aca="false">#REF!+#REF!</f>
        <v>#REF!</v>
      </c>
      <c r="Q4" s="318" t="e">
        <f aca="false">#REF!+#REF!</f>
        <v>#REF!</v>
      </c>
      <c r="R4" s="318" t="e">
        <f aca="false">#REF!+#REF!</f>
        <v>#REF!</v>
      </c>
      <c r="S4" s="318" t="e">
        <f aca="false">#REF!+#REF!</f>
        <v>#REF!</v>
      </c>
      <c r="T4" s="318" t="e">
        <f aca="false">#REF!+#REF!</f>
        <v>#REF!</v>
      </c>
      <c r="U4" s="318" t="e">
        <f aca="false">#REF!+#REF!</f>
        <v>#REF!</v>
      </c>
      <c r="V4" s="318" t="e">
        <f aca="false">#REF!+#REF!</f>
        <v>#REF!</v>
      </c>
      <c r="W4" s="318" t="e">
        <f aca="false">#REF!+#REF!</f>
        <v>#REF!</v>
      </c>
      <c r="X4" s="318" t="e">
        <f aca="false">#REF!+#REF!</f>
        <v>#REF!</v>
      </c>
      <c r="Y4" s="318" t="e">
        <f aca="false">#REF!+#REF!</f>
        <v>#REF!</v>
      </c>
      <c r="Z4" s="318" t="e">
        <f aca="false">#REF!+#REF!</f>
        <v>#REF!</v>
      </c>
      <c r="AA4" s="318" t="e">
        <f aca="false">#REF!+#REF!</f>
        <v>#REF!</v>
      </c>
      <c r="AB4" s="318" t="e">
        <f aca="false">#REF!+#REF!</f>
        <v>#REF!</v>
      </c>
      <c r="AC4" s="318" t="e">
        <f aca="false">#REF!+#REF!</f>
        <v>#REF!</v>
      </c>
      <c r="AD4" s="318" t="e">
        <f aca="false">#REF!+#REF!</f>
        <v>#REF!</v>
      </c>
      <c r="AE4" s="318" t="e">
        <f aca="false">#REF!+#REF!</f>
        <v>#REF!</v>
      </c>
      <c r="AF4" s="318" t="e">
        <f aca="false">#REF!+#REF!</f>
        <v>#REF!</v>
      </c>
      <c r="AG4" s="318" t="e">
        <f aca="false">#REF!+#REF!</f>
        <v>#REF!</v>
      </c>
      <c r="AH4" s="318" t="e">
        <f aca="false">#REF!+#REF!</f>
        <v>#REF!</v>
      </c>
      <c r="AI4" s="318" t="e">
        <f aca="false">#REF!+#REF!</f>
        <v>#REF!</v>
      </c>
      <c r="AJ4" s="318" t="e">
        <f aca="false">#REF!+#REF!</f>
        <v>#REF!</v>
      </c>
      <c r="AK4" s="318" t="e">
        <f aca="false">#REF!+#REF!</f>
        <v>#REF!</v>
      </c>
      <c r="AL4" s="318" t="e">
        <f aca="false">#REF!+#REF!</f>
        <v>#REF!</v>
      </c>
      <c r="AM4" s="318" t="e">
        <f aca="false">#REF!+#REF!</f>
        <v>#REF!</v>
      </c>
      <c r="AN4" s="318" t="e">
        <f aca="false">#REF!+#REF!</f>
        <v>#REF!</v>
      </c>
      <c r="AO4" s="318" t="e">
        <f aca="false">#REF!+#REF!</f>
        <v>#REF!</v>
      </c>
    </row>
    <row r="5" customFormat="false" ht="12.75" hidden="false" customHeight="false" outlineLevel="0" collapsed="false">
      <c r="A5" s="317" t="n">
        <v>36831</v>
      </c>
      <c r="B5" s="318" t="e">
        <f aca="false">#REF!+#REF!</f>
        <v>#REF!</v>
      </c>
      <c r="C5" s="318" t="e">
        <f aca="false">#REF!+#REF!</f>
        <v>#REF!</v>
      </c>
      <c r="D5" s="318" t="e">
        <f aca="false">#REF!+#REF!</f>
        <v>#REF!</v>
      </c>
      <c r="E5" s="318" t="e">
        <f aca="false">#REF!+#REF!</f>
        <v>#REF!</v>
      </c>
      <c r="F5" s="318" t="e">
        <f aca="false">#REF!+#REF!</f>
        <v>#REF!</v>
      </c>
      <c r="G5" s="318" t="e">
        <f aca="false">#REF!+#REF!</f>
        <v>#REF!</v>
      </c>
      <c r="H5" s="318" t="e">
        <f aca="false">#REF!+#REF!</f>
        <v>#REF!</v>
      </c>
      <c r="I5" s="318" t="e">
        <f aca="false">#REF!+#REF!</f>
        <v>#REF!</v>
      </c>
      <c r="J5" s="318" t="e">
        <f aca="false">#REF!+#REF!</f>
        <v>#REF!</v>
      </c>
      <c r="K5" s="318" t="e">
        <f aca="false">#REF!+#REF!</f>
        <v>#REF!</v>
      </c>
      <c r="L5" s="318" t="e">
        <f aca="false">#REF!+#REF!</f>
        <v>#REF!</v>
      </c>
      <c r="M5" s="318" t="e">
        <f aca="false">#REF!+#REF!</f>
        <v>#REF!</v>
      </c>
      <c r="N5" s="318" t="e">
        <f aca="false">#REF!+#REF!</f>
        <v>#REF!</v>
      </c>
      <c r="O5" s="318" t="e">
        <f aca="false">#REF!+#REF!</f>
        <v>#REF!</v>
      </c>
      <c r="P5" s="318" t="e">
        <f aca="false">#REF!+#REF!</f>
        <v>#REF!</v>
      </c>
      <c r="Q5" s="318" t="e">
        <f aca="false">#REF!+#REF!</f>
        <v>#REF!</v>
      </c>
      <c r="R5" s="318" t="e">
        <f aca="false">#REF!+#REF!</f>
        <v>#REF!</v>
      </c>
      <c r="S5" s="318" t="e">
        <f aca="false">#REF!+#REF!</f>
        <v>#REF!</v>
      </c>
      <c r="T5" s="318" t="e">
        <f aca="false">#REF!+#REF!</f>
        <v>#REF!</v>
      </c>
      <c r="U5" s="318" t="e">
        <f aca="false">#REF!+#REF!</f>
        <v>#REF!</v>
      </c>
      <c r="V5" s="318" t="e">
        <f aca="false">#REF!+#REF!</f>
        <v>#REF!</v>
      </c>
      <c r="W5" s="318" t="e">
        <f aca="false">#REF!+#REF!</f>
        <v>#REF!</v>
      </c>
      <c r="X5" s="318" t="e">
        <f aca="false">#REF!+#REF!</f>
        <v>#REF!</v>
      </c>
      <c r="Y5" s="318" t="e">
        <f aca="false">#REF!+#REF!</f>
        <v>#REF!</v>
      </c>
      <c r="Z5" s="318" t="e">
        <f aca="false">#REF!+#REF!</f>
        <v>#REF!</v>
      </c>
      <c r="AA5" s="318" t="e">
        <f aca="false">#REF!+#REF!</f>
        <v>#REF!</v>
      </c>
      <c r="AB5" s="318" t="e">
        <f aca="false">#REF!+#REF!</f>
        <v>#REF!</v>
      </c>
      <c r="AC5" s="318" t="e">
        <f aca="false">#REF!+#REF!</f>
        <v>#REF!</v>
      </c>
      <c r="AD5" s="318" t="e">
        <f aca="false">#REF!+#REF!</f>
        <v>#REF!</v>
      </c>
      <c r="AE5" s="318" t="e">
        <f aca="false">#REF!+#REF!</f>
        <v>#REF!</v>
      </c>
      <c r="AF5" s="318" t="e">
        <f aca="false">#REF!+#REF!</f>
        <v>#REF!</v>
      </c>
      <c r="AG5" s="318" t="e">
        <f aca="false">#REF!+#REF!</f>
        <v>#REF!</v>
      </c>
      <c r="AH5" s="318" t="e">
        <f aca="false">#REF!+#REF!</f>
        <v>#REF!</v>
      </c>
      <c r="AI5" s="318" t="e">
        <f aca="false">#REF!+#REF!</f>
        <v>#REF!</v>
      </c>
      <c r="AJ5" s="318" t="e">
        <f aca="false">#REF!+#REF!</f>
        <v>#REF!</v>
      </c>
      <c r="AK5" s="318" t="e">
        <f aca="false">#REF!+#REF!</f>
        <v>#REF!</v>
      </c>
      <c r="AL5" s="318" t="e">
        <f aca="false">#REF!+#REF!</f>
        <v>#REF!</v>
      </c>
      <c r="AM5" s="318" t="e">
        <f aca="false">#REF!+#REF!</f>
        <v>#REF!</v>
      </c>
      <c r="AN5" s="318" t="e">
        <f aca="false">#REF!+#REF!</f>
        <v>#REF!</v>
      </c>
      <c r="AO5" s="318" t="e">
        <f aca="false">#REF!+#REF!</f>
        <v>#REF!</v>
      </c>
    </row>
    <row r="6" customFormat="false" ht="12.75" hidden="false" customHeight="false" outlineLevel="0" collapsed="false">
      <c r="A6" s="317" t="n">
        <v>36861</v>
      </c>
      <c r="B6" s="318" t="n">
        <v>1</v>
      </c>
      <c r="C6" s="318" t="n">
        <v>1</v>
      </c>
      <c r="D6" s="318" t="n">
        <v>1</v>
      </c>
      <c r="E6" s="318" t="n">
        <v>1</v>
      </c>
      <c r="F6" s="318" t="n">
        <v>1</v>
      </c>
      <c r="G6" s="318" t="n">
        <v>1.05</v>
      </c>
      <c r="H6" s="318" t="n">
        <v>1</v>
      </c>
      <c r="I6" s="318" t="n">
        <v>1</v>
      </c>
      <c r="J6" s="318" t="n">
        <v>1</v>
      </c>
      <c r="K6" s="318" t="n">
        <v>1</v>
      </c>
      <c r="L6" s="318" t="n">
        <v>1</v>
      </c>
      <c r="M6" s="318" t="n">
        <v>1</v>
      </c>
      <c r="N6" s="318" t="n">
        <v>1</v>
      </c>
      <c r="O6" s="318" t="n">
        <v>1</v>
      </c>
      <c r="P6" s="318" t="n">
        <v>1</v>
      </c>
      <c r="Q6" s="318" t="n">
        <v>1</v>
      </c>
      <c r="R6" s="318" t="n">
        <v>1</v>
      </c>
      <c r="S6" s="318" t="n">
        <v>1.02</v>
      </c>
      <c r="T6" s="318" t="n">
        <v>1</v>
      </c>
      <c r="U6" s="318" t="n">
        <v>1</v>
      </c>
      <c r="V6" s="318" t="n">
        <v>1</v>
      </c>
      <c r="W6" s="318" t="n">
        <v>1</v>
      </c>
      <c r="X6" s="318" t="n">
        <v>1</v>
      </c>
      <c r="Y6" s="318" t="n">
        <v>1</v>
      </c>
      <c r="Z6" s="318" t="n">
        <v>1</v>
      </c>
      <c r="AA6" s="318" t="n">
        <v>1</v>
      </c>
      <c r="AB6" s="318" t="n">
        <v>1</v>
      </c>
      <c r="AC6" s="318" t="n">
        <v>1</v>
      </c>
      <c r="AD6" s="318" t="n">
        <v>1</v>
      </c>
      <c r="AE6" s="318" t="n">
        <v>1.05</v>
      </c>
      <c r="AF6" s="318" t="n">
        <v>1.1</v>
      </c>
      <c r="AG6" s="318" t="n">
        <v>1.18</v>
      </c>
      <c r="AH6" s="318" t="n">
        <v>1.05</v>
      </c>
      <c r="AI6" s="318" t="n">
        <v>1</v>
      </c>
      <c r="AJ6" s="318" t="n">
        <v>1</v>
      </c>
      <c r="AK6" s="318" t="n">
        <v>1.05</v>
      </c>
      <c r="AL6" s="318" t="n">
        <v>1</v>
      </c>
      <c r="AM6" s="318" t="n">
        <v>1</v>
      </c>
      <c r="AN6" s="318" t="n">
        <v>1</v>
      </c>
      <c r="AO6" s="318" t="e">
        <f aca="false">#REF!+#REF!</f>
        <v>#REF!</v>
      </c>
    </row>
    <row r="7" customFormat="false" ht="12.75" hidden="false" customHeight="false" outlineLevel="0" collapsed="false">
      <c r="A7" s="317" t="n">
        <v>36892</v>
      </c>
      <c r="B7" s="318" t="n">
        <v>1</v>
      </c>
      <c r="C7" s="318" t="n">
        <v>1</v>
      </c>
      <c r="D7" s="318" t="n">
        <v>1</v>
      </c>
      <c r="E7" s="318" t="n">
        <v>1</v>
      </c>
      <c r="F7" s="318" t="n">
        <v>1</v>
      </c>
      <c r="G7" s="318" t="n">
        <v>1.05</v>
      </c>
      <c r="H7" s="318" t="n">
        <v>1</v>
      </c>
      <c r="I7" s="318" t="n">
        <v>1</v>
      </c>
      <c r="J7" s="318" t="n">
        <v>1</v>
      </c>
      <c r="K7" s="318" t="n">
        <v>1</v>
      </c>
      <c r="L7" s="318" t="n">
        <v>1</v>
      </c>
      <c r="M7" s="318" t="n">
        <v>1</v>
      </c>
      <c r="N7" s="318" t="n">
        <v>1</v>
      </c>
      <c r="O7" s="318" t="n">
        <v>1</v>
      </c>
      <c r="P7" s="318" t="n">
        <v>1</v>
      </c>
      <c r="Q7" s="318" t="n">
        <v>1</v>
      </c>
      <c r="R7" s="318" t="n">
        <v>1</v>
      </c>
      <c r="S7" s="318" t="n">
        <v>1.02</v>
      </c>
      <c r="T7" s="318" t="n">
        <v>1</v>
      </c>
      <c r="U7" s="318" t="n">
        <v>1</v>
      </c>
      <c r="V7" s="318" t="n">
        <v>1</v>
      </c>
      <c r="W7" s="318" t="n">
        <v>1</v>
      </c>
      <c r="X7" s="318" t="n">
        <v>1</v>
      </c>
      <c r="Y7" s="318" t="n">
        <v>1</v>
      </c>
      <c r="Z7" s="318" t="n">
        <v>1</v>
      </c>
      <c r="AA7" s="318" t="n">
        <v>1</v>
      </c>
      <c r="AB7" s="318" t="n">
        <v>1</v>
      </c>
      <c r="AC7" s="318" t="n">
        <v>1</v>
      </c>
      <c r="AD7" s="318" t="n">
        <v>1</v>
      </c>
      <c r="AE7" s="318" t="n">
        <v>1.05</v>
      </c>
      <c r="AF7" s="318" t="n">
        <v>1</v>
      </c>
      <c r="AG7" s="318" t="n">
        <v>1.3</v>
      </c>
      <c r="AH7" s="318" t="n">
        <v>1.05</v>
      </c>
      <c r="AI7" s="318" t="n">
        <v>1</v>
      </c>
      <c r="AJ7" s="318" t="n">
        <v>1</v>
      </c>
      <c r="AK7" s="318" t="n">
        <v>1.05</v>
      </c>
      <c r="AL7" s="318" t="n">
        <v>1</v>
      </c>
      <c r="AM7" s="318" t="n">
        <v>1</v>
      </c>
      <c r="AN7" s="318" t="n">
        <v>1</v>
      </c>
      <c r="AO7" s="318" t="e">
        <f aca="false">#REF!+#REF!</f>
        <v>#REF!</v>
      </c>
    </row>
    <row r="8" customFormat="false" ht="12.75" hidden="false" customHeight="false" outlineLevel="0" collapsed="false">
      <c r="A8" s="317" t="n">
        <v>36923</v>
      </c>
      <c r="B8" s="318" t="n">
        <v>1</v>
      </c>
      <c r="C8" s="318" t="n">
        <v>1</v>
      </c>
      <c r="D8" s="318" t="n">
        <v>1</v>
      </c>
      <c r="E8" s="318" t="n">
        <v>1</v>
      </c>
      <c r="F8" s="318" t="n">
        <v>1</v>
      </c>
      <c r="G8" s="318" t="n">
        <v>1.05</v>
      </c>
      <c r="H8" s="318" t="n">
        <v>1</v>
      </c>
      <c r="I8" s="318" t="n">
        <v>1</v>
      </c>
      <c r="J8" s="318" t="n">
        <v>1</v>
      </c>
      <c r="K8" s="318" t="n">
        <v>1</v>
      </c>
      <c r="L8" s="318" t="n">
        <v>1</v>
      </c>
      <c r="M8" s="318" t="n">
        <v>1</v>
      </c>
      <c r="N8" s="318" t="n">
        <v>1</v>
      </c>
      <c r="O8" s="318" t="n">
        <v>1</v>
      </c>
      <c r="P8" s="318" t="n">
        <v>1</v>
      </c>
      <c r="Q8" s="318" t="n">
        <v>1</v>
      </c>
      <c r="R8" s="318" t="n">
        <v>1</v>
      </c>
      <c r="S8" s="318" t="n">
        <v>1.02</v>
      </c>
      <c r="T8" s="318" t="n">
        <v>1</v>
      </c>
      <c r="U8" s="318" t="n">
        <v>1</v>
      </c>
      <c r="V8" s="318" t="n">
        <v>1</v>
      </c>
      <c r="W8" s="318" t="n">
        <v>1</v>
      </c>
      <c r="X8" s="318" t="n">
        <v>1</v>
      </c>
      <c r="Y8" s="318" t="n">
        <v>1</v>
      </c>
      <c r="Z8" s="318" t="n">
        <v>1</v>
      </c>
      <c r="AA8" s="318" t="n">
        <v>1</v>
      </c>
      <c r="AB8" s="318" t="n">
        <v>1</v>
      </c>
      <c r="AC8" s="318" t="n">
        <v>1</v>
      </c>
      <c r="AD8" s="318" t="n">
        <v>1</v>
      </c>
      <c r="AE8" s="318" t="n">
        <v>1.05</v>
      </c>
      <c r="AF8" s="318" t="n">
        <v>1.1</v>
      </c>
      <c r="AG8" s="318" t="n">
        <v>1.15</v>
      </c>
      <c r="AH8" s="318" t="n">
        <v>1.05</v>
      </c>
      <c r="AI8" s="318" t="n">
        <v>1</v>
      </c>
      <c r="AJ8" s="318" t="n">
        <v>1</v>
      </c>
      <c r="AK8" s="318" t="n">
        <v>1.05</v>
      </c>
      <c r="AL8" s="318" t="n">
        <v>1</v>
      </c>
      <c r="AM8" s="318" t="n">
        <v>1</v>
      </c>
      <c r="AN8" s="318" t="n">
        <v>1</v>
      </c>
      <c r="AO8" s="318" t="e">
        <f aca="false">#REF!+#REF!</f>
        <v>#REF!</v>
      </c>
    </row>
    <row r="9" customFormat="false" ht="12.75" hidden="false" customHeight="false" outlineLevel="0" collapsed="false">
      <c r="A9" s="317" t="n">
        <v>36951</v>
      </c>
      <c r="B9" s="318" t="n">
        <v>1</v>
      </c>
      <c r="C9" s="318" t="n">
        <v>1</v>
      </c>
      <c r="D9" s="318" t="n">
        <v>1</v>
      </c>
      <c r="E9" s="318" t="n">
        <v>1</v>
      </c>
      <c r="F9" s="318" t="n">
        <v>1</v>
      </c>
      <c r="G9" s="318" t="n">
        <v>1.05</v>
      </c>
      <c r="H9" s="318" t="n">
        <v>1</v>
      </c>
      <c r="I9" s="318" t="n">
        <v>1</v>
      </c>
      <c r="J9" s="318" t="n">
        <v>1</v>
      </c>
      <c r="K9" s="318" t="n">
        <v>1</v>
      </c>
      <c r="L9" s="318" t="n">
        <v>1</v>
      </c>
      <c r="M9" s="318" t="n">
        <v>1</v>
      </c>
      <c r="N9" s="318" t="n">
        <v>1</v>
      </c>
      <c r="O9" s="318" t="n">
        <v>1</v>
      </c>
      <c r="P9" s="318" t="n">
        <v>1</v>
      </c>
      <c r="Q9" s="318" t="n">
        <v>1</v>
      </c>
      <c r="R9" s="318" t="n">
        <v>1</v>
      </c>
      <c r="S9" s="318" t="n">
        <v>1.02</v>
      </c>
      <c r="T9" s="318" t="n">
        <v>1</v>
      </c>
      <c r="U9" s="318" t="n">
        <v>1</v>
      </c>
      <c r="V9" s="318" t="n">
        <v>1</v>
      </c>
      <c r="W9" s="318" t="n">
        <v>1</v>
      </c>
      <c r="X9" s="318" t="n">
        <v>1</v>
      </c>
      <c r="Y9" s="318" t="n">
        <v>1</v>
      </c>
      <c r="Z9" s="318" t="n">
        <v>1</v>
      </c>
      <c r="AA9" s="318" t="n">
        <v>1</v>
      </c>
      <c r="AB9" s="318" t="n">
        <v>1</v>
      </c>
      <c r="AC9" s="318" t="n">
        <v>1</v>
      </c>
      <c r="AD9" s="318" t="n">
        <v>1</v>
      </c>
      <c r="AE9" s="318" t="n">
        <v>1.05</v>
      </c>
      <c r="AF9" s="318" t="n">
        <v>1.1</v>
      </c>
      <c r="AG9" s="318" t="n">
        <v>1.05</v>
      </c>
      <c r="AH9" s="318" t="n">
        <v>1.05</v>
      </c>
      <c r="AI9" s="318" t="n">
        <v>1</v>
      </c>
      <c r="AJ9" s="318" t="n">
        <v>1</v>
      </c>
      <c r="AK9" s="318" t="n">
        <v>1.05</v>
      </c>
      <c r="AL9" s="318" t="n">
        <v>1</v>
      </c>
      <c r="AM9" s="318" t="n">
        <v>1</v>
      </c>
      <c r="AN9" s="318" t="n">
        <v>1</v>
      </c>
      <c r="AO9" s="318" t="e">
        <f aca="false">#REF!+#REF!</f>
        <v>#REF!</v>
      </c>
    </row>
    <row r="10" customFormat="false" ht="12.75" hidden="false" customHeight="false" outlineLevel="0" collapsed="false">
      <c r="A10" s="317" t="n">
        <v>36982</v>
      </c>
      <c r="B10" s="318" t="n">
        <v>1</v>
      </c>
      <c r="C10" s="318" t="n">
        <v>1</v>
      </c>
      <c r="D10" s="318" t="n">
        <v>1</v>
      </c>
      <c r="E10" s="318" t="n">
        <v>1</v>
      </c>
      <c r="F10" s="318" t="n">
        <v>1</v>
      </c>
      <c r="G10" s="318" t="n">
        <v>1</v>
      </c>
      <c r="H10" s="318" t="n">
        <v>1</v>
      </c>
      <c r="I10" s="318" t="n">
        <v>1</v>
      </c>
      <c r="J10" s="318" t="n">
        <v>1</v>
      </c>
      <c r="K10" s="318" t="n">
        <v>1</v>
      </c>
      <c r="L10" s="318" t="n">
        <v>1</v>
      </c>
      <c r="M10" s="318" t="n">
        <v>1</v>
      </c>
      <c r="N10" s="318" t="n">
        <v>1</v>
      </c>
      <c r="O10" s="318" t="n">
        <v>1</v>
      </c>
      <c r="P10" s="318" t="n">
        <v>1</v>
      </c>
      <c r="Q10" s="318" t="n">
        <v>1</v>
      </c>
      <c r="R10" s="318" t="n">
        <v>1</v>
      </c>
      <c r="S10" s="318" t="n">
        <v>1.02</v>
      </c>
      <c r="T10" s="318" t="n">
        <v>1</v>
      </c>
      <c r="U10" s="318" t="n">
        <v>1</v>
      </c>
      <c r="V10" s="318" t="n">
        <v>1</v>
      </c>
      <c r="W10" s="318" t="n">
        <v>1</v>
      </c>
      <c r="X10" s="318" t="n">
        <v>1</v>
      </c>
      <c r="Y10" s="318" t="n">
        <v>1.02</v>
      </c>
      <c r="Z10" s="318" t="n">
        <v>1</v>
      </c>
      <c r="AA10" s="318" t="n">
        <v>1</v>
      </c>
      <c r="AB10" s="318" t="n">
        <v>1</v>
      </c>
      <c r="AC10" s="318" t="n">
        <v>1</v>
      </c>
      <c r="AD10" s="318" t="n">
        <v>0.98</v>
      </c>
      <c r="AE10" s="318" t="n">
        <v>0.98</v>
      </c>
      <c r="AF10" s="318" t="n">
        <v>0.98</v>
      </c>
      <c r="AG10" s="318" t="n">
        <v>0.98</v>
      </c>
      <c r="AH10" s="318" t="n">
        <v>1.05</v>
      </c>
      <c r="AI10" s="318" t="n">
        <v>1</v>
      </c>
      <c r="AJ10" s="318" t="n">
        <v>1</v>
      </c>
      <c r="AK10" s="318" t="n">
        <v>1.02</v>
      </c>
      <c r="AL10" s="318" t="n">
        <v>1</v>
      </c>
      <c r="AM10" s="318" t="n">
        <v>1</v>
      </c>
      <c r="AN10" s="318" t="n">
        <v>1</v>
      </c>
      <c r="AO10" s="318" t="e">
        <f aca="false">#REF!+#REF!</f>
        <v>#REF!</v>
      </c>
    </row>
    <row r="11" customFormat="false" ht="12.75" hidden="false" customHeight="false" outlineLevel="0" collapsed="false">
      <c r="A11" s="317" t="n">
        <v>37012</v>
      </c>
      <c r="B11" s="318" t="n">
        <v>1</v>
      </c>
      <c r="C11" s="318" t="n">
        <v>1</v>
      </c>
      <c r="D11" s="318" t="n">
        <v>1</v>
      </c>
      <c r="E11" s="318" t="n">
        <v>1</v>
      </c>
      <c r="F11" s="318" t="n">
        <v>1</v>
      </c>
      <c r="G11" s="318" t="n">
        <v>1</v>
      </c>
      <c r="H11" s="318" t="n">
        <v>1</v>
      </c>
      <c r="I11" s="318" t="n">
        <v>1</v>
      </c>
      <c r="J11" s="318" t="n">
        <v>1</v>
      </c>
      <c r="K11" s="318" t="n">
        <v>1</v>
      </c>
      <c r="L11" s="318" t="n">
        <v>1</v>
      </c>
      <c r="M11" s="318" t="n">
        <v>1</v>
      </c>
      <c r="N11" s="318" t="n">
        <v>1</v>
      </c>
      <c r="O11" s="318" t="n">
        <v>1</v>
      </c>
      <c r="P11" s="318" t="n">
        <v>1</v>
      </c>
      <c r="Q11" s="318" t="n">
        <v>1</v>
      </c>
      <c r="R11" s="318" t="n">
        <v>1</v>
      </c>
      <c r="S11" s="318" t="n">
        <v>1.02</v>
      </c>
      <c r="T11" s="318" t="n">
        <v>1</v>
      </c>
      <c r="U11" s="318" t="n">
        <v>1</v>
      </c>
      <c r="V11" s="318" t="n">
        <v>1</v>
      </c>
      <c r="W11" s="318" t="n">
        <v>1</v>
      </c>
      <c r="X11" s="318" t="n">
        <v>1</v>
      </c>
      <c r="Y11" s="318" t="n">
        <v>1.02</v>
      </c>
      <c r="Z11" s="318" t="n">
        <v>1</v>
      </c>
      <c r="AA11" s="318" t="n">
        <v>1</v>
      </c>
      <c r="AB11" s="318" t="n">
        <v>1</v>
      </c>
      <c r="AC11" s="318" t="n">
        <v>1</v>
      </c>
      <c r="AD11" s="318" t="n">
        <v>0.98</v>
      </c>
      <c r="AE11" s="318" t="n">
        <v>0.98</v>
      </c>
      <c r="AF11" s="318" t="n">
        <v>0.98</v>
      </c>
      <c r="AG11" s="318" t="n">
        <v>0.98</v>
      </c>
      <c r="AH11" s="318" t="n">
        <v>1.05</v>
      </c>
      <c r="AI11" s="318" t="n">
        <v>1</v>
      </c>
      <c r="AJ11" s="318" t="n">
        <v>1</v>
      </c>
      <c r="AK11" s="318" t="n">
        <v>1.02</v>
      </c>
      <c r="AL11" s="318" t="n">
        <v>1</v>
      </c>
      <c r="AM11" s="318" t="n">
        <v>1</v>
      </c>
      <c r="AN11" s="318" t="n">
        <v>1</v>
      </c>
      <c r="AO11" s="318" t="e">
        <f aca="false">#REF!+#REF!</f>
        <v>#REF!</v>
      </c>
    </row>
    <row r="12" customFormat="false" ht="12.75" hidden="false" customHeight="false" outlineLevel="0" collapsed="false">
      <c r="A12" s="317" t="n">
        <v>37043</v>
      </c>
      <c r="B12" s="318" t="n">
        <v>1</v>
      </c>
      <c r="C12" s="318" t="n">
        <v>1</v>
      </c>
      <c r="D12" s="318" t="n">
        <v>1</v>
      </c>
      <c r="E12" s="318" t="n">
        <v>1</v>
      </c>
      <c r="F12" s="318" t="n">
        <v>1</v>
      </c>
      <c r="G12" s="318" t="n">
        <v>1</v>
      </c>
      <c r="H12" s="318" t="n">
        <v>1</v>
      </c>
      <c r="I12" s="318" t="n">
        <v>1</v>
      </c>
      <c r="J12" s="318" t="n">
        <v>1</v>
      </c>
      <c r="K12" s="318" t="n">
        <v>1</v>
      </c>
      <c r="L12" s="318" t="n">
        <v>1</v>
      </c>
      <c r="M12" s="318" t="n">
        <v>1</v>
      </c>
      <c r="N12" s="318" t="n">
        <v>1</v>
      </c>
      <c r="O12" s="318" t="n">
        <v>1</v>
      </c>
      <c r="P12" s="318" t="n">
        <v>1</v>
      </c>
      <c r="Q12" s="318" t="n">
        <v>1</v>
      </c>
      <c r="R12" s="318" t="n">
        <v>1</v>
      </c>
      <c r="S12" s="318" t="n">
        <v>1.02</v>
      </c>
      <c r="T12" s="318" t="n">
        <v>1</v>
      </c>
      <c r="U12" s="318" t="n">
        <v>1</v>
      </c>
      <c r="V12" s="318" t="n">
        <v>1</v>
      </c>
      <c r="W12" s="318" t="n">
        <v>1</v>
      </c>
      <c r="X12" s="318" t="n">
        <v>1</v>
      </c>
      <c r="Y12" s="318" t="n">
        <v>1.02</v>
      </c>
      <c r="Z12" s="318" t="n">
        <v>1</v>
      </c>
      <c r="AA12" s="318" t="n">
        <v>1</v>
      </c>
      <c r="AB12" s="318" t="n">
        <v>1</v>
      </c>
      <c r="AC12" s="318" t="n">
        <v>1</v>
      </c>
      <c r="AD12" s="318" t="n">
        <v>0.98</v>
      </c>
      <c r="AE12" s="318" t="n">
        <v>0.98</v>
      </c>
      <c r="AF12" s="318" t="n">
        <v>0.98</v>
      </c>
      <c r="AG12" s="318" t="n">
        <v>0.98</v>
      </c>
      <c r="AH12" s="318" t="n">
        <v>1.05</v>
      </c>
      <c r="AI12" s="318" t="n">
        <v>1</v>
      </c>
      <c r="AJ12" s="318" t="n">
        <v>1</v>
      </c>
      <c r="AK12" s="318" t="n">
        <v>1.02</v>
      </c>
      <c r="AL12" s="318" t="n">
        <v>1</v>
      </c>
      <c r="AM12" s="318" t="n">
        <v>1</v>
      </c>
      <c r="AN12" s="318" t="n">
        <v>1</v>
      </c>
      <c r="AO12" s="318" t="e">
        <f aca="false">#REF!+#REF!</f>
        <v>#REF!</v>
      </c>
    </row>
    <row r="13" customFormat="false" ht="12.75" hidden="false" customHeight="false" outlineLevel="0" collapsed="false">
      <c r="A13" s="317" t="n">
        <v>37073</v>
      </c>
      <c r="B13" s="318" t="n">
        <v>1</v>
      </c>
      <c r="C13" s="318" t="n">
        <v>1</v>
      </c>
      <c r="D13" s="318" t="n">
        <v>1</v>
      </c>
      <c r="E13" s="318" t="n">
        <v>1</v>
      </c>
      <c r="F13" s="318" t="n">
        <v>1</v>
      </c>
      <c r="G13" s="318" t="n">
        <v>1</v>
      </c>
      <c r="H13" s="318" t="n">
        <v>1</v>
      </c>
      <c r="I13" s="318" t="n">
        <v>1</v>
      </c>
      <c r="J13" s="318" t="n">
        <v>1</v>
      </c>
      <c r="K13" s="318" t="n">
        <v>1</v>
      </c>
      <c r="L13" s="318" t="n">
        <v>1</v>
      </c>
      <c r="M13" s="318" t="n">
        <v>1</v>
      </c>
      <c r="N13" s="318" t="n">
        <v>1</v>
      </c>
      <c r="O13" s="318" t="n">
        <v>1</v>
      </c>
      <c r="P13" s="318" t="n">
        <v>1</v>
      </c>
      <c r="Q13" s="318" t="n">
        <v>1</v>
      </c>
      <c r="R13" s="318" t="n">
        <v>1</v>
      </c>
      <c r="S13" s="318" t="n">
        <v>1</v>
      </c>
      <c r="T13" s="318" t="n">
        <v>1.02</v>
      </c>
      <c r="U13" s="318" t="n">
        <v>1</v>
      </c>
      <c r="V13" s="318" t="n">
        <v>1</v>
      </c>
      <c r="W13" s="318" t="n">
        <v>1</v>
      </c>
      <c r="X13" s="318" t="n">
        <v>1</v>
      </c>
      <c r="Y13" s="318" t="n">
        <v>1</v>
      </c>
      <c r="Z13" s="318" t="n">
        <v>1.02</v>
      </c>
      <c r="AA13" s="318" t="n">
        <v>1</v>
      </c>
      <c r="AB13" s="318" t="n">
        <v>1</v>
      </c>
      <c r="AC13" s="318" t="n">
        <v>1</v>
      </c>
      <c r="AD13" s="318" t="n">
        <v>1</v>
      </c>
      <c r="AE13" s="318" t="n">
        <v>0.98</v>
      </c>
      <c r="AF13" s="318" t="n">
        <v>0.98</v>
      </c>
      <c r="AG13" s="318" t="n">
        <v>0.98</v>
      </c>
      <c r="AH13" s="318" t="n">
        <v>0.98</v>
      </c>
      <c r="AI13" s="318" t="n">
        <v>1.05</v>
      </c>
      <c r="AJ13" s="318" t="n">
        <v>1</v>
      </c>
      <c r="AK13" s="318" t="n">
        <v>1</v>
      </c>
      <c r="AL13" s="318" t="n">
        <v>1.02</v>
      </c>
      <c r="AM13" s="318" t="n">
        <v>1</v>
      </c>
      <c r="AN13" s="318" t="n">
        <v>1</v>
      </c>
      <c r="AO13" s="318" t="n">
        <v>1.3</v>
      </c>
    </row>
    <row r="14" customFormat="false" ht="12.75" hidden="false" customHeight="false" outlineLevel="0" collapsed="false">
      <c r="A14" s="317" t="n">
        <v>37104</v>
      </c>
      <c r="B14" s="318" t="n">
        <v>1</v>
      </c>
      <c r="C14" s="318" t="n">
        <v>1</v>
      </c>
      <c r="D14" s="318" t="n">
        <v>1</v>
      </c>
      <c r="E14" s="318" t="n">
        <v>1</v>
      </c>
      <c r="F14" s="318" t="n">
        <v>1</v>
      </c>
      <c r="G14" s="318" t="n">
        <v>1</v>
      </c>
      <c r="H14" s="318" t="n">
        <v>1</v>
      </c>
      <c r="I14" s="318" t="n">
        <v>1</v>
      </c>
      <c r="J14" s="318" t="n">
        <v>1</v>
      </c>
      <c r="K14" s="318" t="n">
        <v>1</v>
      </c>
      <c r="L14" s="318" t="n">
        <v>1</v>
      </c>
      <c r="M14" s="318" t="n">
        <v>1</v>
      </c>
      <c r="N14" s="318" t="n">
        <v>1</v>
      </c>
      <c r="O14" s="318" t="n">
        <v>1</v>
      </c>
      <c r="P14" s="318" t="n">
        <v>1</v>
      </c>
      <c r="Q14" s="318" t="n">
        <v>1</v>
      </c>
      <c r="R14" s="318" t="n">
        <v>1</v>
      </c>
      <c r="S14" s="318" t="n">
        <v>1</v>
      </c>
      <c r="T14" s="318" t="n">
        <v>1.02</v>
      </c>
      <c r="U14" s="318" t="n">
        <v>1</v>
      </c>
      <c r="V14" s="318" t="n">
        <v>1</v>
      </c>
      <c r="W14" s="318" t="n">
        <v>1</v>
      </c>
      <c r="X14" s="318" t="n">
        <v>1</v>
      </c>
      <c r="Y14" s="318" t="n">
        <v>1</v>
      </c>
      <c r="Z14" s="318" t="n">
        <v>1.02</v>
      </c>
      <c r="AA14" s="318" t="n">
        <v>1</v>
      </c>
      <c r="AB14" s="318" t="n">
        <v>1</v>
      </c>
      <c r="AC14" s="318" t="n">
        <v>1</v>
      </c>
      <c r="AD14" s="318" t="n">
        <v>1</v>
      </c>
      <c r="AE14" s="318" t="n">
        <v>0.98</v>
      </c>
      <c r="AF14" s="318" t="n">
        <v>0.98</v>
      </c>
      <c r="AG14" s="318" t="n">
        <v>0.98</v>
      </c>
      <c r="AH14" s="318" t="n">
        <v>0.98</v>
      </c>
      <c r="AI14" s="318" t="n">
        <v>1.05</v>
      </c>
      <c r="AJ14" s="318" t="n">
        <v>1</v>
      </c>
      <c r="AK14" s="318" t="n">
        <v>1</v>
      </c>
      <c r="AL14" s="318" t="n">
        <v>1.02</v>
      </c>
      <c r="AM14" s="318" t="n">
        <v>1</v>
      </c>
      <c r="AN14" s="318" t="n">
        <v>1</v>
      </c>
      <c r="AO14" s="318" t="n">
        <v>1.3</v>
      </c>
    </row>
    <row r="15" customFormat="false" ht="12.75" hidden="false" customHeight="false" outlineLevel="0" collapsed="false">
      <c r="A15" s="317" t="n">
        <v>37135</v>
      </c>
      <c r="B15" s="318" t="n">
        <v>1</v>
      </c>
      <c r="C15" s="318" t="n">
        <v>1</v>
      </c>
      <c r="D15" s="318" t="n">
        <v>1</v>
      </c>
      <c r="E15" s="318" t="n">
        <v>1</v>
      </c>
      <c r="F15" s="318" t="n">
        <v>1</v>
      </c>
      <c r="G15" s="318" t="n">
        <v>1</v>
      </c>
      <c r="H15" s="318" t="n">
        <v>1</v>
      </c>
      <c r="I15" s="318" t="n">
        <v>1</v>
      </c>
      <c r="J15" s="318" t="n">
        <v>1</v>
      </c>
      <c r="K15" s="318" t="n">
        <v>1</v>
      </c>
      <c r="L15" s="318" t="n">
        <v>1</v>
      </c>
      <c r="M15" s="318" t="n">
        <v>1</v>
      </c>
      <c r="N15" s="318" t="n">
        <v>1</v>
      </c>
      <c r="O15" s="318" t="n">
        <v>1</v>
      </c>
      <c r="P15" s="318" t="n">
        <v>1</v>
      </c>
      <c r="Q15" s="318" t="n">
        <v>1</v>
      </c>
      <c r="R15" s="318" t="n">
        <v>1</v>
      </c>
      <c r="S15" s="318" t="n">
        <v>1</v>
      </c>
      <c r="T15" s="318" t="n">
        <v>1.02</v>
      </c>
      <c r="U15" s="318" t="n">
        <v>1</v>
      </c>
      <c r="V15" s="318" t="n">
        <v>1</v>
      </c>
      <c r="W15" s="318" t="n">
        <v>1</v>
      </c>
      <c r="X15" s="318" t="n">
        <v>1</v>
      </c>
      <c r="Y15" s="318" t="n">
        <v>1</v>
      </c>
      <c r="Z15" s="318" t="n">
        <v>1.02</v>
      </c>
      <c r="AA15" s="318" t="n">
        <v>1</v>
      </c>
      <c r="AB15" s="318" t="n">
        <v>1</v>
      </c>
      <c r="AC15" s="318" t="n">
        <v>1</v>
      </c>
      <c r="AD15" s="318" t="n">
        <v>1</v>
      </c>
      <c r="AE15" s="318" t="n">
        <v>0.98</v>
      </c>
      <c r="AF15" s="318" t="n">
        <v>0.98</v>
      </c>
      <c r="AG15" s="318" t="n">
        <v>0.98</v>
      </c>
      <c r="AH15" s="318" t="n">
        <v>0.98</v>
      </c>
      <c r="AI15" s="318" t="n">
        <v>1.05</v>
      </c>
      <c r="AJ15" s="318" t="n">
        <v>1</v>
      </c>
      <c r="AK15" s="318" t="n">
        <v>1</v>
      </c>
      <c r="AL15" s="318" t="n">
        <v>1.02</v>
      </c>
      <c r="AM15" s="318" t="n">
        <v>1</v>
      </c>
      <c r="AN15" s="318" t="n">
        <v>1</v>
      </c>
      <c r="AO15" s="318" t="n">
        <v>1.3</v>
      </c>
    </row>
    <row r="16" customFormat="false" ht="12.75" hidden="false" customHeight="false" outlineLevel="0" collapsed="false">
      <c r="A16" s="317" t="n">
        <v>37165</v>
      </c>
      <c r="B16" s="318" t="n">
        <v>1</v>
      </c>
      <c r="C16" s="318" t="n">
        <v>1</v>
      </c>
      <c r="D16" s="318" t="n">
        <v>1</v>
      </c>
      <c r="E16" s="318" t="n">
        <v>1</v>
      </c>
      <c r="F16" s="318" t="n">
        <v>1</v>
      </c>
      <c r="G16" s="318" t="n">
        <v>1</v>
      </c>
      <c r="H16" s="318" t="n">
        <v>1</v>
      </c>
      <c r="I16" s="318" t="n">
        <v>1</v>
      </c>
      <c r="J16" s="318" t="n">
        <v>1</v>
      </c>
      <c r="K16" s="318" t="n">
        <v>1</v>
      </c>
      <c r="L16" s="318" t="n">
        <v>1</v>
      </c>
      <c r="M16" s="318" t="n">
        <v>1</v>
      </c>
      <c r="N16" s="318" t="n">
        <v>1</v>
      </c>
      <c r="O16" s="318" t="n">
        <v>1</v>
      </c>
      <c r="P16" s="318" t="n">
        <v>1</v>
      </c>
      <c r="Q16" s="318" t="n">
        <v>1</v>
      </c>
      <c r="R16" s="318" t="n">
        <v>1</v>
      </c>
      <c r="S16" s="318" t="n">
        <v>1</v>
      </c>
      <c r="T16" s="318" t="n">
        <v>1.02</v>
      </c>
      <c r="U16" s="318" t="n">
        <v>1</v>
      </c>
      <c r="V16" s="318" t="n">
        <v>1</v>
      </c>
      <c r="W16" s="318" t="n">
        <v>1</v>
      </c>
      <c r="X16" s="318" t="n">
        <v>1</v>
      </c>
      <c r="Y16" s="318" t="n">
        <v>1</v>
      </c>
      <c r="Z16" s="318" t="n">
        <v>1.02</v>
      </c>
      <c r="AA16" s="318" t="n">
        <v>1</v>
      </c>
      <c r="AB16" s="318" t="n">
        <v>1</v>
      </c>
      <c r="AC16" s="318" t="n">
        <v>1</v>
      </c>
      <c r="AD16" s="318" t="n">
        <v>1</v>
      </c>
      <c r="AE16" s="318" t="n">
        <v>0.98</v>
      </c>
      <c r="AF16" s="318" t="n">
        <v>0.98</v>
      </c>
      <c r="AG16" s="318" t="n">
        <v>0.98</v>
      </c>
      <c r="AH16" s="318" t="n">
        <v>0.98</v>
      </c>
      <c r="AI16" s="318" t="n">
        <v>1.05</v>
      </c>
      <c r="AJ16" s="318" t="n">
        <v>1</v>
      </c>
      <c r="AK16" s="318" t="n">
        <v>1</v>
      </c>
      <c r="AL16" s="318" t="n">
        <v>1.02</v>
      </c>
      <c r="AM16" s="318" t="n">
        <v>1</v>
      </c>
      <c r="AN16" s="318" t="n">
        <v>1</v>
      </c>
      <c r="AO16" s="318" t="n">
        <v>1</v>
      </c>
    </row>
    <row r="17" customFormat="false" ht="12.75" hidden="false" customHeight="false" outlineLevel="0" collapsed="false">
      <c r="A17" s="317" t="n">
        <v>37196</v>
      </c>
      <c r="B17" s="318" t="n">
        <v>1</v>
      </c>
      <c r="C17" s="318" t="n">
        <v>1</v>
      </c>
      <c r="D17" s="318" t="n">
        <v>1</v>
      </c>
      <c r="E17" s="318" t="n">
        <v>1</v>
      </c>
      <c r="F17" s="318" t="n">
        <v>1</v>
      </c>
      <c r="G17" s="318" t="n">
        <v>1</v>
      </c>
      <c r="H17" s="318" t="n">
        <v>1</v>
      </c>
      <c r="I17" s="318" t="n">
        <v>1</v>
      </c>
      <c r="J17" s="318" t="n">
        <v>1</v>
      </c>
      <c r="K17" s="318" t="n">
        <v>1</v>
      </c>
      <c r="L17" s="318" t="n">
        <v>1</v>
      </c>
      <c r="M17" s="318" t="n">
        <v>1</v>
      </c>
      <c r="N17" s="318" t="n">
        <v>1</v>
      </c>
      <c r="O17" s="318" t="n">
        <v>1</v>
      </c>
      <c r="P17" s="318" t="n">
        <v>1</v>
      </c>
      <c r="Q17" s="318" t="n">
        <v>1</v>
      </c>
      <c r="R17" s="318" t="n">
        <v>1</v>
      </c>
      <c r="S17" s="318" t="n">
        <v>1</v>
      </c>
      <c r="T17" s="318" t="n">
        <v>1.02</v>
      </c>
      <c r="U17" s="318" t="n">
        <v>1</v>
      </c>
      <c r="V17" s="318" t="n">
        <v>1</v>
      </c>
      <c r="W17" s="318" t="n">
        <v>1</v>
      </c>
      <c r="X17" s="318" t="n">
        <v>1</v>
      </c>
      <c r="Y17" s="318" t="n">
        <v>1</v>
      </c>
      <c r="Z17" s="318" t="n">
        <v>1</v>
      </c>
      <c r="AA17" s="318" t="n">
        <v>1</v>
      </c>
      <c r="AB17" s="318" t="n">
        <v>1</v>
      </c>
      <c r="AC17" s="318" t="n">
        <v>1</v>
      </c>
      <c r="AD17" s="318" t="n">
        <v>1</v>
      </c>
      <c r="AE17" s="318" t="n">
        <v>1</v>
      </c>
      <c r="AF17" s="318" t="n">
        <v>1</v>
      </c>
      <c r="AG17" s="318" t="n">
        <v>1.1</v>
      </c>
      <c r="AH17" s="318" t="n">
        <v>1</v>
      </c>
      <c r="AI17" s="318" t="n">
        <v>1.05</v>
      </c>
      <c r="AJ17" s="318" t="n">
        <v>1</v>
      </c>
      <c r="AK17" s="318" t="n">
        <v>1</v>
      </c>
      <c r="AL17" s="318" t="n">
        <v>1.02</v>
      </c>
      <c r="AM17" s="318" t="n">
        <v>1</v>
      </c>
      <c r="AN17" s="318" t="n">
        <v>1</v>
      </c>
      <c r="AO17" s="318" t="n">
        <v>1.08</v>
      </c>
      <c r="AP17" s="318" t="n">
        <v>1.1</v>
      </c>
    </row>
    <row r="18" customFormat="false" ht="12.75" hidden="false" customHeight="false" outlineLevel="0" collapsed="false">
      <c r="A18" s="317" t="n">
        <v>37226</v>
      </c>
      <c r="B18" s="318" t="n">
        <v>1</v>
      </c>
      <c r="C18" s="318" t="n">
        <v>1</v>
      </c>
      <c r="D18" s="318" t="n">
        <v>1</v>
      </c>
      <c r="E18" s="318" t="n">
        <v>1</v>
      </c>
      <c r="F18" s="318" t="n">
        <v>1</v>
      </c>
      <c r="G18" s="318" t="n">
        <v>1</v>
      </c>
      <c r="H18" s="318" t="n">
        <v>1</v>
      </c>
      <c r="I18" s="318" t="n">
        <v>1</v>
      </c>
      <c r="J18" s="318" t="n">
        <v>1</v>
      </c>
      <c r="K18" s="318" t="n">
        <v>1</v>
      </c>
      <c r="L18" s="318" t="n">
        <v>1</v>
      </c>
      <c r="M18" s="318" t="n">
        <v>1</v>
      </c>
      <c r="N18" s="318" t="n">
        <v>1</v>
      </c>
      <c r="O18" s="318" t="n">
        <v>1</v>
      </c>
      <c r="P18" s="318" t="n">
        <v>1.03</v>
      </c>
      <c r="Q18" s="318" t="n">
        <v>1.03</v>
      </c>
      <c r="R18" s="318" t="n">
        <v>1</v>
      </c>
      <c r="S18" s="318" t="n">
        <v>1</v>
      </c>
      <c r="T18" s="318" t="n">
        <v>1.02</v>
      </c>
      <c r="U18" s="318" t="n">
        <v>1</v>
      </c>
      <c r="V18" s="318" t="n">
        <v>1</v>
      </c>
      <c r="W18" s="318" t="n">
        <v>1</v>
      </c>
      <c r="X18" s="318" t="n">
        <v>1</v>
      </c>
      <c r="Y18" s="318" t="n">
        <v>1</v>
      </c>
      <c r="Z18" s="318" t="n">
        <v>1</v>
      </c>
      <c r="AA18" s="318" t="n">
        <v>1</v>
      </c>
      <c r="AB18" s="318" t="n">
        <v>1</v>
      </c>
      <c r="AC18" s="318" t="n">
        <v>1</v>
      </c>
      <c r="AD18" s="318" t="n">
        <v>1</v>
      </c>
      <c r="AE18" s="318" t="n">
        <v>1</v>
      </c>
      <c r="AF18" s="318" t="n">
        <v>1</v>
      </c>
      <c r="AG18" s="318" t="n">
        <v>1.1</v>
      </c>
      <c r="AH18" s="318" t="n">
        <v>1.02</v>
      </c>
      <c r="AI18" s="318" t="n">
        <v>1.05</v>
      </c>
      <c r="AJ18" s="318" t="n">
        <v>1</v>
      </c>
      <c r="AK18" s="318" t="n">
        <v>1</v>
      </c>
      <c r="AL18" s="318" t="n">
        <v>1.02</v>
      </c>
      <c r="AM18" s="318" t="n">
        <v>1</v>
      </c>
      <c r="AN18" s="318" t="n">
        <v>1</v>
      </c>
      <c r="AO18" s="318" t="n">
        <v>1.08</v>
      </c>
      <c r="AP18" s="318" t="n">
        <v>1.05</v>
      </c>
    </row>
    <row r="19" customFormat="false" ht="12.75" hidden="false" customHeight="false" outlineLevel="0" collapsed="false">
      <c r="A19" s="317" t="n">
        <v>37257</v>
      </c>
      <c r="B19" s="318" t="n">
        <v>1</v>
      </c>
      <c r="C19" s="318" t="n">
        <v>1</v>
      </c>
      <c r="D19" s="318" t="n">
        <v>1</v>
      </c>
      <c r="E19" s="318" t="n">
        <v>1</v>
      </c>
      <c r="F19" s="318" t="n">
        <v>1</v>
      </c>
      <c r="G19" s="318" t="n">
        <v>1</v>
      </c>
      <c r="H19" s="318" t="n">
        <v>1</v>
      </c>
      <c r="I19" s="318" t="n">
        <v>1</v>
      </c>
      <c r="J19" s="318" t="n">
        <v>1</v>
      </c>
      <c r="K19" s="318" t="n">
        <v>1</v>
      </c>
      <c r="L19" s="318" t="n">
        <v>1</v>
      </c>
      <c r="M19" s="318" t="n">
        <v>1</v>
      </c>
      <c r="N19" s="318" t="n">
        <v>1</v>
      </c>
      <c r="O19" s="318" t="n">
        <v>1</v>
      </c>
      <c r="P19" s="318" t="n">
        <v>1.03</v>
      </c>
      <c r="Q19" s="318" t="n">
        <v>1.03</v>
      </c>
      <c r="R19" s="318" t="n">
        <v>1</v>
      </c>
      <c r="S19" s="318" t="n">
        <v>1</v>
      </c>
      <c r="T19" s="318" t="n">
        <v>1.02</v>
      </c>
      <c r="U19" s="318" t="n">
        <v>1</v>
      </c>
      <c r="V19" s="318" t="n">
        <v>1</v>
      </c>
      <c r="W19" s="318" t="n">
        <v>1</v>
      </c>
      <c r="X19" s="318" t="n">
        <v>1</v>
      </c>
      <c r="Y19" s="318" t="n">
        <v>1</v>
      </c>
      <c r="Z19" s="318" t="n">
        <v>1</v>
      </c>
      <c r="AA19" s="318" t="n">
        <v>1</v>
      </c>
      <c r="AB19" s="318" t="n">
        <v>1</v>
      </c>
      <c r="AC19" s="318" t="n">
        <v>1</v>
      </c>
      <c r="AD19" s="318" t="n">
        <v>1</v>
      </c>
      <c r="AE19" s="318" t="n">
        <v>1</v>
      </c>
      <c r="AF19" s="318" t="n">
        <v>1</v>
      </c>
      <c r="AG19" s="318" t="n">
        <v>1</v>
      </c>
      <c r="AH19" s="318" t="n">
        <v>1.15</v>
      </c>
      <c r="AI19" s="318" t="n">
        <v>1.05</v>
      </c>
      <c r="AJ19" s="318" t="n">
        <v>1</v>
      </c>
      <c r="AK19" s="318" t="n">
        <v>1</v>
      </c>
      <c r="AL19" s="318" t="n">
        <v>1.02</v>
      </c>
      <c r="AM19" s="318" t="n">
        <v>1</v>
      </c>
      <c r="AN19" s="318" t="n">
        <v>1</v>
      </c>
      <c r="AO19" s="318" t="n">
        <v>1.08</v>
      </c>
      <c r="AP19" s="318" t="n">
        <v>1.1</v>
      </c>
    </row>
    <row r="20" customFormat="false" ht="12.75" hidden="false" customHeight="false" outlineLevel="0" collapsed="false">
      <c r="A20" s="317" t="n">
        <v>37288</v>
      </c>
      <c r="B20" s="318" t="n">
        <v>1</v>
      </c>
      <c r="C20" s="318" t="n">
        <v>1</v>
      </c>
      <c r="D20" s="318" t="n">
        <v>1</v>
      </c>
      <c r="E20" s="318" t="n">
        <v>1</v>
      </c>
      <c r="F20" s="318" t="n">
        <v>1</v>
      </c>
      <c r="G20" s="318" t="n">
        <v>1</v>
      </c>
      <c r="H20" s="318" t="n">
        <v>1</v>
      </c>
      <c r="I20" s="318" t="n">
        <v>1</v>
      </c>
      <c r="J20" s="318" t="n">
        <v>1</v>
      </c>
      <c r="K20" s="318" t="n">
        <v>1</v>
      </c>
      <c r="L20" s="318" t="n">
        <v>1</v>
      </c>
      <c r="M20" s="318" t="n">
        <v>1</v>
      </c>
      <c r="N20" s="318" t="n">
        <v>1</v>
      </c>
      <c r="O20" s="318" t="n">
        <v>1</v>
      </c>
      <c r="P20" s="318" t="n">
        <v>1.03</v>
      </c>
      <c r="Q20" s="318" t="n">
        <v>1.03</v>
      </c>
      <c r="R20" s="318" t="n">
        <v>1</v>
      </c>
      <c r="S20" s="318" t="n">
        <v>1</v>
      </c>
      <c r="T20" s="318" t="n">
        <v>1.02</v>
      </c>
      <c r="U20" s="318" t="n">
        <v>1</v>
      </c>
      <c r="V20" s="318" t="n">
        <v>1</v>
      </c>
      <c r="W20" s="318" t="n">
        <v>1</v>
      </c>
      <c r="X20" s="318" t="n">
        <v>1</v>
      </c>
      <c r="Y20" s="318" t="n">
        <v>1</v>
      </c>
      <c r="Z20" s="318" t="n">
        <v>1</v>
      </c>
      <c r="AA20" s="318" t="n">
        <v>1</v>
      </c>
      <c r="AB20" s="318" t="n">
        <v>1</v>
      </c>
      <c r="AC20" s="318" t="n">
        <v>1</v>
      </c>
      <c r="AD20" s="318" t="n">
        <v>1</v>
      </c>
      <c r="AE20" s="318" t="n">
        <v>1</v>
      </c>
      <c r="AF20" s="318" t="n">
        <v>1</v>
      </c>
      <c r="AG20" s="318" t="n">
        <v>1.1</v>
      </c>
      <c r="AH20" s="318" t="n">
        <v>1.15</v>
      </c>
      <c r="AI20" s="318" t="n">
        <v>1.05</v>
      </c>
      <c r="AJ20" s="318" t="n">
        <v>1</v>
      </c>
      <c r="AK20" s="318" t="n">
        <v>1</v>
      </c>
      <c r="AL20" s="318" t="n">
        <v>1.02</v>
      </c>
      <c r="AM20" s="318" t="n">
        <v>1</v>
      </c>
      <c r="AN20" s="318" t="n">
        <v>1</v>
      </c>
      <c r="AO20" s="318" t="n">
        <v>1.08</v>
      </c>
      <c r="AP20" s="318" t="n">
        <v>1.05</v>
      </c>
    </row>
    <row r="21" customFormat="false" ht="12.75" hidden="false" customHeight="false" outlineLevel="0" collapsed="false">
      <c r="A21" s="317" t="n">
        <v>37316</v>
      </c>
      <c r="B21" s="318" t="n">
        <v>1</v>
      </c>
      <c r="C21" s="318" t="n">
        <v>1</v>
      </c>
      <c r="D21" s="318" t="n">
        <v>1</v>
      </c>
      <c r="E21" s="318" t="n">
        <v>1</v>
      </c>
      <c r="F21" s="318" t="n">
        <v>1</v>
      </c>
      <c r="G21" s="318" t="n">
        <v>1</v>
      </c>
      <c r="H21" s="318" t="n">
        <v>1</v>
      </c>
      <c r="I21" s="318" t="n">
        <v>1</v>
      </c>
      <c r="J21" s="318" t="n">
        <v>1</v>
      </c>
      <c r="K21" s="318" t="n">
        <v>1</v>
      </c>
      <c r="L21" s="318" t="n">
        <v>1</v>
      </c>
      <c r="M21" s="318" t="n">
        <v>1</v>
      </c>
      <c r="N21" s="318" t="n">
        <v>1</v>
      </c>
      <c r="O21" s="318" t="n">
        <v>1</v>
      </c>
      <c r="P21" s="318" t="n">
        <v>1.03</v>
      </c>
      <c r="Q21" s="318" t="n">
        <v>1.03</v>
      </c>
      <c r="R21" s="318" t="n">
        <v>1</v>
      </c>
      <c r="S21" s="318" t="n">
        <v>1</v>
      </c>
      <c r="T21" s="318" t="n">
        <v>1.02</v>
      </c>
      <c r="U21" s="318" t="n">
        <v>1</v>
      </c>
      <c r="V21" s="318" t="n">
        <v>1</v>
      </c>
      <c r="W21" s="318" t="n">
        <v>1</v>
      </c>
      <c r="X21" s="318" t="n">
        <v>1</v>
      </c>
      <c r="Y21" s="318" t="n">
        <v>1</v>
      </c>
      <c r="Z21" s="318" t="n">
        <v>1</v>
      </c>
      <c r="AA21" s="318" t="n">
        <v>1</v>
      </c>
      <c r="AB21" s="318" t="n">
        <v>1</v>
      </c>
      <c r="AC21" s="318" t="n">
        <v>1</v>
      </c>
      <c r="AD21" s="318" t="n">
        <v>1</v>
      </c>
      <c r="AE21" s="318" t="n">
        <v>1</v>
      </c>
      <c r="AF21" s="318" t="n">
        <v>1</v>
      </c>
      <c r="AG21" s="318" t="n">
        <v>1.1</v>
      </c>
      <c r="AH21" s="318" t="n">
        <v>1.08</v>
      </c>
      <c r="AI21" s="318" t="n">
        <v>1.05</v>
      </c>
      <c r="AJ21" s="318" t="n">
        <v>1</v>
      </c>
      <c r="AK21" s="318" t="n">
        <v>1</v>
      </c>
      <c r="AL21" s="318" t="n">
        <v>1.02</v>
      </c>
      <c r="AM21" s="318" t="n">
        <v>1</v>
      </c>
      <c r="AN21" s="318" t="n">
        <v>1</v>
      </c>
      <c r="AO21" s="318" t="n">
        <v>1.08</v>
      </c>
      <c r="AP21" s="318" t="n">
        <v>1.07</v>
      </c>
    </row>
    <row r="22" customFormat="false" ht="12.75" hidden="false" customHeight="false" outlineLevel="0" collapsed="false">
      <c r="A22" s="317" t="n">
        <v>37347</v>
      </c>
      <c r="B22" s="318" t="n">
        <v>1</v>
      </c>
      <c r="C22" s="318" t="n">
        <v>1</v>
      </c>
      <c r="D22" s="318" t="n">
        <v>1</v>
      </c>
      <c r="E22" s="318" t="n">
        <v>1</v>
      </c>
      <c r="F22" s="318" t="n">
        <v>1</v>
      </c>
      <c r="G22" s="318" t="n">
        <v>1</v>
      </c>
      <c r="H22" s="318" t="n">
        <v>1</v>
      </c>
      <c r="I22" s="318" t="n">
        <v>1</v>
      </c>
      <c r="J22" s="318" t="n">
        <v>1</v>
      </c>
      <c r="K22" s="318" t="n">
        <v>1</v>
      </c>
      <c r="L22" s="318" t="n">
        <v>1</v>
      </c>
      <c r="M22" s="318" t="n">
        <v>1</v>
      </c>
      <c r="N22" s="318" t="n">
        <v>1</v>
      </c>
      <c r="O22" s="318" t="n">
        <v>1</v>
      </c>
      <c r="P22" s="318" t="n">
        <v>1.03</v>
      </c>
      <c r="Q22" s="318" t="n">
        <v>1.03</v>
      </c>
      <c r="R22" s="318" t="n">
        <v>1</v>
      </c>
      <c r="S22" s="318" t="n">
        <v>1</v>
      </c>
      <c r="T22" s="318" t="n">
        <v>1.02</v>
      </c>
      <c r="U22" s="318" t="n">
        <v>1</v>
      </c>
      <c r="V22" s="318" t="n">
        <v>1</v>
      </c>
      <c r="W22" s="318" t="n">
        <v>1</v>
      </c>
      <c r="X22" s="318" t="n">
        <v>1</v>
      </c>
      <c r="Y22" s="318" t="n">
        <v>1</v>
      </c>
      <c r="Z22" s="318" t="n">
        <v>1.02</v>
      </c>
      <c r="AA22" s="318" t="n">
        <v>1</v>
      </c>
      <c r="AB22" s="318" t="n">
        <v>1</v>
      </c>
      <c r="AC22" s="318" t="n">
        <v>1</v>
      </c>
      <c r="AD22" s="318" t="n">
        <v>1</v>
      </c>
      <c r="AE22" s="318" t="n">
        <v>0.98</v>
      </c>
      <c r="AF22" s="318" t="n">
        <v>0.98</v>
      </c>
      <c r="AG22" s="318" t="n">
        <v>0.98</v>
      </c>
      <c r="AH22" s="318" t="n">
        <v>1</v>
      </c>
      <c r="AI22" s="318" t="n">
        <v>1.05</v>
      </c>
      <c r="AJ22" s="318" t="n">
        <v>1</v>
      </c>
      <c r="AK22" s="318" t="n">
        <v>1</v>
      </c>
      <c r="AL22" s="318" t="n">
        <v>1.02</v>
      </c>
      <c r="AM22" s="318" t="n">
        <v>1</v>
      </c>
      <c r="AN22" s="318" t="n">
        <v>1</v>
      </c>
      <c r="AO22" s="318" t="n">
        <v>1</v>
      </c>
    </row>
    <row r="23" customFormat="false" ht="12.75" hidden="false" customHeight="false" outlineLevel="0" collapsed="false">
      <c r="A23" s="317" t="n">
        <v>37377</v>
      </c>
      <c r="B23" s="318" t="n">
        <v>1</v>
      </c>
      <c r="C23" s="318" t="n">
        <v>1</v>
      </c>
      <c r="D23" s="318" t="n">
        <v>1</v>
      </c>
      <c r="E23" s="318" t="n">
        <v>1</v>
      </c>
      <c r="F23" s="318" t="n">
        <v>1</v>
      </c>
      <c r="G23" s="318" t="n">
        <v>1</v>
      </c>
      <c r="H23" s="318" t="n">
        <v>1</v>
      </c>
      <c r="I23" s="318" t="n">
        <v>1</v>
      </c>
      <c r="J23" s="318" t="n">
        <v>1</v>
      </c>
      <c r="K23" s="318" t="n">
        <v>1</v>
      </c>
      <c r="L23" s="318" t="n">
        <v>1</v>
      </c>
      <c r="M23" s="318" t="n">
        <v>1</v>
      </c>
      <c r="N23" s="318" t="n">
        <v>1</v>
      </c>
      <c r="O23" s="318" t="n">
        <v>1</v>
      </c>
      <c r="P23" s="318" t="n">
        <v>1.03</v>
      </c>
      <c r="Q23" s="318" t="n">
        <v>1.03</v>
      </c>
      <c r="R23" s="318" t="n">
        <v>1</v>
      </c>
      <c r="S23" s="318" t="n">
        <v>1</v>
      </c>
      <c r="T23" s="318" t="n">
        <v>1.02</v>
      </c>
      <c r="U23" s="318" t="n">
        <v>1</v>
      </c>
      <c r="V23" s="318" t="n">
        <v>1</v>
      </c>
      <c r="W23" s="318" t="n">
        <v>1</v>
      </c>
      <c r="X23" s="318" t="n">
        <v>1</v>
      </c>
      <c r="Y23" s="318" t="n">
        <v>1</v>
      </c>
      <c r="Z23" s="318" t="n">
        <v>1.02</v>
      </c>
      <c r="AA23" s="318" t="n">
        <v>1</v>
      </c>
      <c r="AB23" s="318" t="n">
        <v>1</v>
      </c>
      <c r="AC23" s="318" t="n">
        <v>1</v>
      </c>
      <c r="AD23" s="318" t="n">
        <v>1</v>
      </c>
      <c r="AE23" s="318" t="n">
        <v>0.98</v>
      </c>
      <c r="AF23" s="318" t="n">
        <v>0.98</v>
      </c>
      <c r="AG23" s="318" t="n">
        <v>0.98</v>
      </c>
      <c r="AH23" s="318" t="n">
        <v>1</v>
      </c>
      <c r="AI23" s="318" t="n">
        <v>1.05</v>
      </c>
      <c r="AJ23" s="318" t="n">
        <v>1</v>
      </c>
      <c r="AK23" s="318" t="n">
        <v>1</v>
      </c>
      <c r="AL23" s="318" t="n">
        <v>1.02</v>
      </c>
      <c r="AM23" s="318" t="n">
        <v>1</v>
      </c>
      <c r="AN23" s="318" t="n">
        <v>1</v>
      </c>
      <c r="AO23" s="318" t="n">
        <v>1</v>
      </c>
    </row>
    <row r="24" customFormat="false" ht="12.75" hidden="false" customHeight="false" outlineLevel="0" collapsed="false">
      <c r="A24" s="317" t="n">
        <v>37408</v>
      </c>
      <c r="B24" s="318" t="n">
        <v>1</v>
      </c>
      <c r="C24" s="318" t="n">
        <v>1</v>
      </c>
      <c r="D24" s="318" t="n">
        <v>1</v>
      </c>
      <c r="E24" s="318" t="n">
        <v>1</v>
      </c>
      <c r="F24" s="318" t="n">
        <v>1</v>
      </c>
      <c r="G24" s="318" t="n">
        <v>1</v>
      </c>
      <c r="H24" s="318" t="n">
        <v>1</v>
      </c>
      <c r="I24" s="318" t="n">
        <v>1</v>
      </c>
      <c r="J24" s="318" t="n">
        <v>1</v>
      </c>
      <c r="K24" s="318" t="n">
        <v>1</v>
      </c>
      <c r="L24" s="318" t="n">
        <v>1</v>
      </c>
      <c r="M24" s="318" t="n">
        <v>1</v>
      </c>
      <c r="N24" s="318" t="n">
        <v>1</v>
      </c>
      <c r="O24" s="318" t="n">
        <v>1</v>
      </c>
      <c r="P24" s="318" t="n">
        <v>1.03</v>
      </c>
      <c r="Q24" s="318" t="n">
        <v>1.03</v>
      </c>
      <c r="R24" s="318" t="n">
        <v>1</v>
      </c>
      <c r="S24" s="318" t="n">
        <v>1</v>
      </c>
      <c r="T24" s="318" t="n">
        <v>1.02</v>
      </c>
      <c r="U24" s="318" t="n">
        <v>1</v>
      </c>
      <c r="V24" s="318" t="n">
        <v>1</v>
      </c>
      <c r="W24" s="318" t="n">
        <v>1</v>
      </c>
      <c r="X24" s="318" t="n">
        <v>1</v>
      </c>
      <c r="Y24" s="318" t="n">
        <v>1</v>
      </c>
      <c r="Z24" s="318" t="n">
        <v>1.02</v>
      </c>
      <c r="AA24" s="318" t="n">
        <v>1</v>
      </c>
      <c r="AB24" s="318" t="n">
        <v>1</v>
      </c>
      <c r="AC24" s="318" t="n">
        <v>1</v>
      </c>
      <c r="AD24" s="318" t="n">
        <v>1</v>
      </c>
      <c r="AE24" s="318" t="n">
        <v>0.98</v>
      </c>
      <c r="AF24" s="318" t="n">
        <v>0.98</v>
      </c>
      <c r="AG24" s="318" t="n">
        <v>0.98</v>
      </c>
      <c r="AH24" s="318" t="n">
        <v>1</v>
      </c>
      <c r="AI24" s="318" t="n">
        <v>1.05</v>
      </c>
      <c r="AJ24" s="318" t="n">
        <v>1</v>
      </c>
      <c r="AK24" s="318" t="n">
        <v>1</v>
      </c>
      <c r="AL24" s="318" t="n">
        <v>1.02</v>
      </c>
      <c r="AM24" s="318" t="n">
        <v>1</v>
      </c>
      <c r="AN24" s="318" t="n">
        <v>1</v>
      </c>
      <c r="AO24" s="318" t="n">
        <v>1</v>
      </c>
    </row>
    <row r="25" customFormat="false" ht="12.75" hidden="false" customHeight="false" outlineLevel="0" collapsed="false">
      <c r="A25" s="317" t="n">
        <v>37438</v>
      </c>
      <c r="B25" s="318" t="n">
        <v>1</v>
      </c>
      <c r="C25" s="318" t="n">
        <v>1</v>
      </c>
      <c r="D25" s="318" t="n">
        <v>1</v>
      </c>
      <c r="E25" s="318" t="n">
        <v>1</v>
      </c>
      <c r="F25" s="318" t="n">
        <v>1</v>
      </c>
      <c r="G25" s="318" t="n">
        <v>1</v>
      </c>
      <c r="H25" s="318" t="n">
        <v>1</v>
      </c>
      <c r="I25" s="318" t="n">
        <v>1</v>
      </c>
      <c r="J25" s="318" t="n">
        <v>1</v>
      </c>
      <c r="K25" s="318" t="n">
        <v>1</v>
      </c>
      <c r="L25" s="318" t="n">
        <v>1</v>
      </c>
      <c r="M25" s="318" t="n">
        <v>1</v>
      </c>
      <c r="N25" s="318" t="n">
        <v>1</v>
      </c>
      <c r="O25" s="318" t="n">
        <v>1</v>
      </c>
      <c r="P25" s="318" t="n">
        <v>1.03</v>
      </c>
      <c r="Q25" s="318" t="n">
        <v>1.03</v>
      </c>
      <c r="R25" s="318" t="n">
        <v>1</v>
      </c>
      <c r="S25" s="318" t="n">
        <v>1</v>
      </c>
      <c r="T25" s="318" t="n">
        <v>1.02</v>
      </c>
      <c r="U25" s="318" t="n">
        <v>1</v>
      </c>
      <c r="V25" s="318" t="n">
        <v>1</v>
      </c>
      <c r="W25" s="318" t="n">
        <v>1</v>
      </c>
      <c r="X25" s="318" t="n">
        <v>1</v>
      </c>
      <c r="Y25" s="318" t="n">
        <v>1</v>
      </c>
      <c r="Z25" s="318" t="n">
        <v>1.02</v>
      </c>
      <c r="AA25" s="318" t="n">
        <v>1</v>
      </c>
      <c r="AB25" s="318" t="n">
        <v>1</v>
      </c>
      <c r="AC25" s="318" t="n">
        <v>1</v>
      </c>
      <c r="AD25" s="318" t="n">
        <v>1</v>
      </c>
      <c r="AE25" s="318" t="n">
        <v>0.98</v>
      </c>
      <c r="AF25" s="318" t="n">
        <v>0.98</v>
      </c>
      <c r="AG25" s="318" t="n">
        <v>0.98</v>
      </c>
      <c r="AH25" s="318" t="n">
        <v>1</v>
      </c>
      <c r="AI25" s="318" t="n">
        <v>1.05</v>
      </c>
      <c r="AJ25" s="318" t="n">
        <v>1</v>
      </c>
      <c r="AK25" s="318" t="n">
        <v>1</v>
      </c>
      <c r="AL25" s="318" t="n">
        <v>1.02</v>
      </c>
      <c r="AM25" s="318" t="n">
        <v>1</v>
      </c>
      <c r="AN25" s="318" t="n">
        <v>1</v>
      </c>
      <c r="AO25" s="318" t="n">
        <v>1</v>
      </c>
    </row>
    <row r="26" customFormat="false" ht="12.75" hidden="false" customHeight="false" outlineLevel="0" collapsed="false">
      <c r="A26" s="317" t="n">
        <v>37469</v>
      </c>
      <c r="B26" s="318" t="n">
        <v>1</v>
      </c>
      <c r="C26" s="318" t="n">
        <v>1</v>
      </c>
      <c r="D26" s="318" t="n">
        <v>1</v>
      </c>
      <c r="E26" s="318" t="n">
        <v>1</v>
      </c>
      <c r="F26" s="318" t="n">
        <v>1</v>
      </c>
      <c r="G26" s="318" t="n">
        <v>1</v>
      </c>
      <c r="H26" s="318" t="n">
        <v>1</v>
      </c>
      <c r="I26" s="318" t="n">
        <v>1</v>
      </c>
      <c r="J26" s="318" t="n">
        <v>1</v>
      </c>
      <c r="K26" s="318" t="n">
        <v>1</v>
      </c>
      <c r="L26" s="318" t="n">
        <v>1</v>
      </c>
      <c r="M26" s="318" t="n">
        <v>1</v>
      </c>
      <c r="N26" s="318" t="n">
        <v>1</v>
      </c>
      <c r="O26" s="318" t="n">
        <v>1</v>
      </c>
      <c r="P26" s="318" t="n">
        <v>1.03</v>
      </c>
      <c r="Q26" s="318" t="n">
        <v>1.03</v>
      </c>
      <c r="R26" s="318" t="n">
        <v>1</v>
      </c>
      <c r="S26" s="318" t="n">
        <v>1</v>
      </c>
      <c r="T26" s="318" t="n">
        <v>1.02</v>
      </c>
      <c r="U26" s="318" t="n">
        <v>1</v>
      </c>
      <c r="V26" s="318" t="n">
        <v>1</v>
      </c>
      <c r="W26" s="318" t="n">
        <v>1</v>
      </c>
      <c r="X26" s="318" t="n">
        <v>1</v>
      </c>
      <c r="Y26" s="318" t="n">
        <v>1</v>
      </c>
      <c r="Z26" s="318" t="n">
        <v>1.02</v>
      </c>
      <c r="AA26" s="318" t="n">
        <v>1</v>
      </c>
      <c r="AB26" s="318" t="n">
        <v>1</v>
      </c>
      <c r="AC26" s="318" t="n">
        <v>1</v>
      </c>
      <c r="AD26" s="318" t="n">
        <v>1</v>
      </c>
      <c r="AE26" s="318" t="n">
        <v>0.98</v>
      </c>
      <c r="AF26" s="318" t="n">
        <v>0.98</v>
      </c>
      <c r="AG26" s="318" t="n">
        <v>0.98</v>
      </c>
      <c r="AH26" s="318" t="n">
        <v>1</v>
      </c>
      <c r="AI26" s="318" t="n">
        <v>1.05</v>
      </c>
      <c r="AJ26" s="318" t="n">
        <v>1</v>
      </c>
      <c r="AK26" s="318" t="n">
        <v>1</v>
      </c>
      <c r="AL26" s="318" t="n">
        <v>1.02</v>
      </c>
      <c r="AM26" s="318" t="n">
        <v>1</v>
      </c>
      <c r="AN26" s="318" t="n">
        <v>1</v>
      </c>
      <c r="AO26" s="318" t="n">
        <v>1</v>
      </c>
    </row>
    <row r="27" customFormat="false" ht="12.75" hidden="false" customHeight="false" outlineLevel="0" collapsed="false">
      <c r="A27" s="317" t="n">
        <v>37500</v>
      </c>
      <c r="B27" s="318" t="n">
        <v>1</v>
      </c>
      <c r="C27" s="318" t="n">
        <v>1</v>
      </c>
      <c r="D27" s="318" t="n">
        <v>1</v>
      </c>
      <c r="E27" s="318" t="n">
        <v>1</v>
      </c>
      <c r="F27" s="318" t="n">
        <v>1</v>
      </c>
      <c r="G27" s="318" t="n">
        <v>1</v>
      </c>
      <c r="H27" s="318" t="n">
        <v>1</v>
      </c>
      <c r="I27" s="318" t="n">
        <v>1</v>
      </c>
      <c r="J27" s="318" t="n">
        <v>1</v>
      </c>
      <c r="K27" s="318" t="n">
        <v>1</v>
      </c>
      <c r="L27" s="318" t="n">
        <v>1</v>
      </c>
      <c r="M27" s="318" t="n">
        <v>1</v>
      </c>
      <c r="N27" s="318" t="n">
        <v>1</v>
      </c>
      <c r="O27" s="318" t="n">
        <v>1</v>
      </c>
      <c r="P27" s="318" t="n">
        <v>1.03</v>
      </c>
      <c r="Q27" s="318" t="n">
        <v>1.03</v>
      </c>
      <c r="R27" s="318" t="n">
        <v>1</v>
      </c>
      <c r="S27" s="318" t="n">
        <v>1</v>
      </c>
      <c r="T27" s="318" t="n">
        <v>1.02</v>
      </c>
      <c r="U27" s="318" t="n">
        <v>1</v>
      </c>
      <c r="V27" s="318" t="n">
        <v>1</v>
      </c>
      <c r="W27" s="318" t="n">
        <v>1</v>
      </c>
      <c r="X27" s="318" t="n">
        <v>1</v>
      </c>
      <c r="Y27" s="318" t="n">
        <v>1</v>
      </c>
      <c r="Z27" s="318" t="n">
        <v>1.02</v>
      </c>
      <c r="AA27" s="318" t="n">
        <v>1</v>
      </c>
      <c r="AB27" s="318" t="n">
        <v>1</v>
      </c>
      <c r="AC27" s="318" t="n">
        <v>1</v>
      </c>
      <c r="AD27" s="318" t="n">
        <v>1</v>
      </c>
      <c r="AE27" s="318" t="n">
        <v>0.98</v>
      </c>
      <c r="AF27" s="318" t="n">
        <v>0.98</v>
      </c>
      <c r="AG27" s="318" t="n">
        <v>0.98</v>
      </c>
      <c r="AH27" s="318" t="n">
        <v>1</v>
      </c>
      <c r="AI27" s="318" t="n">
        <v>1.05</v>
      </c>
      <c r="AJ27" s="318" t="n">
        <v>1</v>
      </c>
      <c r="AK27" s="318" t="n">
        <v>1</v>
      </c>
      <c r="AL27" s="318" t="n">
        <v>1.02</v>
      </c>
      <c r="AM27" s="318" t="n">
        <v>1</v>
      </c>
      <c r="AN27" s="318" t="n">
        <v>1</v>
      </c>
      <c r="AO27" s="318" t="n">
        <v>1</v>
      </c>
    </row>
    <row r="28" customFormat="false" ht="12.75" hidden="false" customHeight="false" outlineLevel="0" collapsed="false">
      <c r="A28" s="317" t="n">
        <v>37530</v>
      </c>
      <c r="B28" s="318" t="n">
        <v>1</v>
      </c>
      <c r="C28" s="318" t="n">
        <v>1</v>
      </c>
      <c r="D28" s="318" t="n">
        <v>1</v>
      </c>
      <c r="E28" s="318" t="n">
        <v>1</v>
      </c>
      <c r="F28" s="318" t="n">
        <v>1</v>
      </c>
      <c r="G28" s="318" t="n">
        <v>1</v>
      </c>
      <c r="H28" s="318" t="n">
        <v>1</v>
      </c>
      <c r="I28" s="318" t="n">
        <v>1</v>
      </c>
      <c r="J28" s="318" t="n">
        <v>1</v>
      </c>
      <c r="K28" s="318" t="n">
        <v>1</v>
      </c>
      <c r="L28" s="318" t="n">
        <v>1</v>
      </c>
      <c r="M28" s="318" t="n">
        <v>1</v>
      </c>
      <c r="N28" s="318" t="n">
        <v>1</v>
      </c>
      <c r="O28" s="318" t="n">
        <v>1</v>
      </c>
      <c r="P28" s="318" t="n">
        <v>1.03</v>
      </c>
      <c r="Q28" s="318" t="n">
        <v>1.03</v>
      </c>
      <c r="R28" s="318" t="n">
        <v>1</v>
      </c>
      <c r="S28" s="318" t="n">
        <v>1</v>
      </c>
      <c r="T28" s="318" t="n">
        <v>1.02</v>
      </c>
      <c r="U28" s="318" t="n">
        <v>1</v>
      </c>
      <c r="V28" s="318" t="n">
        <v>1</v>
      </c>
      <c r="W28" s="318" t="n">
        <v>1</v>
      </c>
      <c r="X28" s="318" t="n">
        <v>1</v>
      </c>
      <c r="Y28" s="318" t="n">
        <v>1</v>
      </c>
      <c r="Z28" s="318" t="n">
        <v>1.02</v>
      </c>
      <c r="AA28" s="318" t="n">
        <v>1</v>
      </c>
      <c r="AB28" s="318" t="n">
        <v>1</v>
      </c>
      <c r="AC28" s="318" t="n">
        <v>1</v>
      </c>
      <c r="AD28" s="318" t="n">
        <v>1</v>
      </c>
      <c r="AE28" s="318" t="n">
        <v>0.98</v>
      </c>
      <c r="AF28" s="318" t="n">
        <v>0.98</v>
      </c>
      <c r="AG28" s="318" t="n">
        <v>0.98</v>
      </c>
      <c r="AH28" s="318" t="n">
        <v>1</v>
      </c>
      <c r="AI28" s="318" t="n">
        <v>1.05</v>
      </c>
      <c r="AJ28" s="318" t="n">
        <v>1</v>
      </c>
      <c r="AK28" s="318" t="n">
        <v>1</v>
      </c>
      <c r="AL28" s="318" t="n">
        <v>1.02</v>
      </c>
      <c r="AM28" s="318" t="n">
        <v>1</v>
      </c>
      <c r="AN28" s="318" t="n">
        <v>1</v>
      </c>
      <c r="AO28" s="318" t="n">
        <v>1</v>
      </c>
    </row>
    <row r="29" customFormat="false" ht="12.75" hidden="false" customHeight="false" outlineLevel="0" collapsed="false">
      <c r="A29" s="317" t="n">
        <v>37561</v>
      </c>
      <c r="B29" s="318" t="n">
        <v>1</v>
      </c>
      <c r="C29" s="318" t="n">
        <v>1</v>
      </c>
      <c r="D29" s="318" t="n">
        <v>1</v>
      </c>
      <c r="E29" s="318" t="n">
        <v>1</v>
      </c>
      <c r="F29" s="318" t="n">
        <v>1</v>
      </c>
      <c r="G29" s="318" t="n">
        <v>1</v>
      </c>
      <c r="H29" s="318" t="n">
        <v>1</v>
      </c>
      <c r="I29" s="318" t="n">
        <v>1</v>
      </c>
      <c r="J29" s="318" t="n">
        <v>1</v>
      </c>
      <c r="K29" s="318" t="n">
        <v>1</v>
      </c>
      <c r="L29" s="318" t="n">
        <v>1</v>
      </c>
      <c r="M29" s="318" t="n">
        <v>1</v>
      </c>
      <c r="N29" s="318" t="n">
        <v>1</v>
      </c>
      <c r="O29" s="318" t="n">
        <v>1</v>
      </c>
      <c r="P29" s="318" t="n">
        <v>1.03</v>
      </c>
      <c r="Q29" s="318" t="n">
        <v>1.03</v>
      </c>
      <c r="R29" s="318" t="n">
        <v>1</v>
      </c>
      <c r="S29" s="318" t="n">
        <v>1</v>
      </c>
      <c r="T29" s="318" t="n">
        <v>1.02</v>
      </c>
      <c r="U29" s="318" t="n">
        <v>1</v>
      </c>
      <c r="V29" s="318" t="n">
        <v>1</v>
      </c>
      <c r="W29" s="318" t="n">
        <v>1</v>
      </c>
      <c r="X29" s="318" t="n">
        <v>1</v>
      </c>
      <c r="Y29" s="318" t="n">
        <v>1</v>
      </c>
      <c r="Z29" s="318" t="n">
        <v>1</v>
      </c>
      <c r="AA29" s="318" t="n">
        <v>1</v>
      </c>
      <c r="AB29" s="318" t="n">
        <v>1</v>
      </c>
      <c r="AC29" s="318" t="n">
        <v>1</v>
      </c>
      <c r="AD29" s="318" t="n">
        <v>1</v>
      </c>
      <c r="AE29" s="318" t="n">
        <v>1</v>
      </c>
      <c r="AF29" s="318" t="n">
        <v>1</v>
      </c>
      <c r="AG29" s="318" t="n">
        <v>1.1</v>
      </c>
      <c r="AH29" s="318" t="n">
        <v>1.1</v>
      </c>
      <c r="AI29" s="318" t="n">
        <v>1.05</v>
      </c>
      <c r="AJ29" s="318" t="n">
        <v>1</v>
      </c>
      <c r="AK29" s="318" t="n">
        <v>1</v>
      </c>
      <c r="AL29" s="318" t="n">
        <v>1.02</v>
      </c>
      <c r="AM29" s="318" t="n">
        <v>1</v>
      </c>
      <c r="AN29" s="318" t="n">
        <v>1</v>
      </c>
      <c r="AO29" s="318" t="n">
        <v>1</v>
      </c>
    </row>
    <row r="30" customFormat="false" ht="12.75" hidden="false" customHeight="false" outlineLevel="0" collapsed="false">
      <c r="A30" s="317" t="n">
        <v>37591</v>
      </c>
      <c r="B30" s="318" t="n">
        <v>1</v>
      </c>
      <c r="C30" s="318" t="n">
        <v>1</v>
      </c>
      <c r="D30" s="318" t="n">
        <v>1</v>
      </c>
      <c r="E30" s="318" t="n">
        <v>1</v>
      </c>
      <c r="F30" s="318" t="n">
        <v>1</v>
      </c>
      <c r="G30" s="318" t="n">
        <v>1</v>
      </c>
      <c r="H30" s="318" t="n">
        <v>1</v>
      </c>
      <c r="I30" s="318" t="n">
        <v>1</v>
      </c>
      <c r="J30" s="318" t="n">
        <v>1</v>
      </c>
      <c r="K30" s="318" t="n">
        <v>1</v>
      </c>
      <c r="L30" s="318" t="n">
        <v>1</v>
      </c>
      <c r="M30" s="318" t="n">
        <v>1</v>
      </c>
      <c r="N30" s="318" t="n">
        <v>1</v>
      </c>
      <c r="O30" s="318" t="n">
        <v>1</v>
      </c>
      <c r="P30" s="318" t="n">
        <v>1.03</v>
      </c>
      <c r="Q30" s="318" t="n">
        <v>1.03</v>
      </c>
      <c r="R30" s="318" t="n">
        <v>1</v>
      </c>
      <c r="S30" s="318" t="n">
        <v>1</v>
      </c>
      <c r="T30" s="318" t="n">
        <v>1.02</v>
      </c>
      <c r="U30" s="318" t="n">
        <v>1</v>
      </c>
      <c r="V30" s="318" t="n">
        <v>1</v>
      </c>
      <c r="W30" s="318" t="n">
        <v>1</v>
      </c>
      <c r="X30" s="318" t="n">
        <v>1</v>
      </c>
      <c r="Y30" s="318" t="n">
        <v>1</v>
      </c>
      <c r="Z30" s="318" t="n">
        <v>1</v>
      </c>
      <c r="AA30" s="318" t="n">
        <v>1</v>
      </c>
      <c r="AB30" s="318" t="n">
        <v>1</v>
      </c>
      <c r="AC30" s="318" t="n">
        <v>1</v>
      </c>
      <c r="AD30" s="318" t="n">
        <v>1</v>
      </c>
      <c r="AE30" s="318" t="n">
        <v>1</v>
      </c>
      <c r="AF30" s="318" t="n">
        <v>1</v>
      </c>
      <c r="AG30" s="318" t="n">
        <v>1.1</v>
      </c>
      <c r="AH30" s="318" t="n">
        <v>1.02</v>
      </c>
      <c r="AI30" s="318" t="n">
        <v>1.05</v>
      </c>
      <c r="AJ30" s="318" t="n">
        <v>1</v>
      </c>
      <c r="AK30" s="318" t="n">
        <v>1</v>
      </c>
      <c r="AL30" s="318" t="n">
        <v>1.02</v>
      </c>
      <c r="AM30" s="318" t="n">
        <v>1</v>
      </c>
      <c r="AN30" s="318" t="n">
        <v>1</v>
      </c>
      <c r="AO30" s="318" t="n">
        <v>1</v>
      </c>
    </row>
    <row r="31" customFormat="false" ht="12.75" hidden="false" customHeight="false" outlineLevel="0" collapsed="false">
      <c r="A31" s="317" t="n">
        <v>37622</v>
      </c>
      <c r="B31" s="318" t="n">
        <v>1</v>
      </c>
      <c r="C31" s="318" t="n">
        <v>1</v>
      </c>
      <c r="D31" s="318" t="n">
        <v>1</v>
      </c>
      <c r="E31" s="318" t="n">
        <v>1</v>
      </c>
      <c r="F31" s="318" t="n">
        <v>1</v>
      </c>
      <c r="G31" s="318" t="n">
        <v>1</v>
      </c>
      <c r="H31" s="318" t="n">
        <v>1</v>
      </c>
      <c r="I31" s="318" t="n">
        <v>1</v>
      </c>
      <c r="J31" s="318" t="n">
        <v>1</v>
      </c>
      <c r="K31" s="318" t="n">
        <v>1</v>
      </c>
      <c r="L31" s="318" t="n">
        <v>1</v>
      </c>
      <c r="M31" s="318" t="n">
        <v>1</v>
      </c>
      <c r="N31" s="318" t="n">
        <v>1</v>
      </c>
      <c r="O31" s="318" t="n">
        <v>1</v>
      </c>
      <c r="P31" s="318" t="n">
        <v>1.03</v>
      </c>
      <c r="Q31" s="318" t="n">
        <v>1.03</v>
      </c>
      <c r="R31" s="318" t="n">
        <v>1</v>
      </c>
      <c r="S31" s="318" t="n">
        <v>1</v>
      </c>
      <c r="T31" s="318" t="n">
        <v>1.02</v>
      </c>
      <c r="U31" s="318" t="n">
        <v>1</v>
      </c>
      <c r="V31" s="318" t="n">
        <v>1</v>
      </c>
      <c r="W31" s="318" t="n">
        <v>1</v>
      </c>
      <c r="X31" s="318" t="n">
        <v>1</v>
      </c>
      <c r="Y31" s="318" t="n">
        <v>1</v>
      </c>
      <c r="Z31" s="318" t="n">
        <v>1</v>
      </c>
      <c r="AA31" s="318" t="n">
        <v>1</v>
      </c>
      <c r="AB31" s="318" t="n">
        <v>1</v>
      </c>
      <c r="AC31" s="318" t="n">
        <v>1</v>
      </c>
      <c r="AD31" s="318" t="n">
        <v>1</v>
      </c>
      <c r="AE31" s="318" t="n">
        <v>1</v>
      </c>
      <c r="AF31" s="318" t="n">
        <v>1</v>
      </c>
      <c r="AG31" s="318" t="n">
        <v>1.1</v>
      </c>
      <c r="AH31" s="318" t="n">
        <v>1.04</v>
      </c>
      <c r="AI31" s="318" t="n">
        <v>1.05</v>
      </c>
      <c r="AJ31" s="318" t="n">
        <v>1</v>
      </c>
      <c r="AK31" s="318" t="n">
        <v>1</v>
      </c>
      <c r="AL31" s="318" t="n">
        <v>1.02</v>
      </c>
      <c r="AM31" s="318" t="n">
        <v>1</v>
      </c>
      <c r="AN31" s="318" t="n">
        <v>1</v>
      </c>
      <c r="AO31" s="318" t="n">
        <v>1</v>
      </c>
    </row>
    <row r="32" customFormat="false" ht="12.75" hidden="false" customHeight="false" outlineLevel="0" collapsed="false">
      <c r="A32" s="317" t="n">
        <v>37653</v>
      </c>
      <c r="B32" s="318" t="n">
        <v>1</v>
      </c>
      <c r="C32" s="318" t="n">
        <v>1</v>
      </c>
      <c r="D32" s="318" t="n">
        <v>1</v>
      </c>
      <c r="E32" s="318" t="n">
        <v>1</v>
      </c>
      <c r="F32" s="318" t="n">
        <v>1</v>
      </c>
      <c r="G32" s="318" t="n">
        <v>1</v>
      </c>
      <c r="H32" s="318" t="n">
        <v>1</v>
      </c>
      <c r="I32" s="318" t="n">
        <v>1</v>
      </c>
      <c r="J32" s="318" t="n">
        <v>1</v>
      </c>
      <c r="K32" s="318" t="n">
        <v>1</v>
      </c>
      <c r="L32" s="318" t="n">
        <v>1</v>
      </c>
      <c r="M32" s="318" t="n">
        <v>1</v>
      </c>
      <c r="N32" s="318" t="n">
        <v>1</v>
      </c>
      <c r="O32" s="318" t="n">
        <v>1</v>
      </c>
      <c r="P32" s="318" t="n">
        <v>1.03</v>
      </c>
      <c r="Q32" s="318" t="n">
        <v>1.03</v>
      </c>
      <c r="R32" s="318" t="n">
        <v>1</v>
      </c>
      <c r="S32" s="318" t="n">
        <v>1</v>
      </c>
      <c r="T32" s="318" t="n">
        <v>1.02</v>
      </c>
      <c r="U32" s="318" t="n">
        <v>1</v>
      </c>
      <c r="V32" s="318" t="n">
        <v>1</v>
      </c>
      <c r="W32" s="318" t="n">
        <v>1</v>
      </c>
      <c r="X32" s="318" t="n">
        <v>1</v>
      </c>
      <c r="Y32" s="318" t="n">
        <v>1</v>
      </c>
      <c r="Z32" s="318" t="n">
        <v>1</v>
      </c>
      <c r="AA32" s="318" t="n">
        <v>1</v>
      </c>
      <c r="AB32" s="318" t="n">
        <v>1</v>
      </c>
      <c r="AC32" s="318" t="n">
        <v>1</v>
      </c>
      <c r="AD32" s="318" t="n">
        <v>1</v>
      </c>
      <c r="AE32" s="318" t="n">
        <v>1</v>
      </c>
      <c r="AF32" s="318" t="n">
        <v>1</v>
      </c>
      <c r="AG32" s="318" t="n">
        <v>1.1</v>
      </c>
      <c r="AH32" s="318" t="n">
        <v>1.04</v>
      </c>
      <c r="AI32" s="318" t="n">
        <v>1.05</v>
      </c>
      <c r="AJ32" s="318" t="n">
        <v>1</v>
      </c>
      <c r="AK32" s="318" t="n">
        <v>1</v>
      </c>
      <c r="AL32" s="318" t="n">
        <v>1.02</v>
      </c>
      <c r="AM32" s="318" t="n">
        <v>1</v>
      </c>
      <c r="AN32" s="318" t="n">
        <v>1</v>
      </c>
      <c r="AO32" s="318" t="n">
        <v>1</v>
      </c>
    </row>
    <row r="33" customFormat="false" ht="12.75" hidden="false" customHeight="false" outlineLevel="0" collapsed="false">
      <c r="A33" s="317" t="n">
        <v>37681</v>
      </c>
      <c r="B33" s="318" t="n">
        <v>1</v>
      </c>
      <c r="C33" s="318" t="n">
        <v>1</v>
      </c>
      <c r="D33" s="318" t="n">
        <v>1</v>
      </c>
      <c r="E33" s="318" t="n">
        <v>1</v>
      </c>
      <c r="F33" s="318" t="n">
        <v>1</v>
      </c>
      <c r="G33" s="318" t="n">
        <v>1</v>
      </c>
      <c r="H33" s="318" t="n">
        <v>1</v>
      </c>
      <c r="I33" s="318" t="n">
        <v>1</v>
      </c>
      <c r="J33" s="318" t="n">
        <v>1</v>
      </c>
      <c r="K33" s="318" t="n">
        <v>1</v>
      </c>
      <c r="L33" s="318" t="n">
        <v>1</v>
      </c>
      <c r="M33" s="318" t="n">
        <v>1</v>
      </c>
      <c r="N33" s="318" t="n">
        <v>1</v>
      </c>
      <c r="O33" s="318" t="n">
        <v>1</v>
      </c>
      <c r="P33" s="318" t="n">
        <v>1.03</v>
      </c>
      <c r="Q33" s="318" t="n">
        <v>1.03</v>
      </c>
      <c r="R33" s="318" t="n">
        <v>1</v>
      </c>
      <c r="S33" s="318" t="n">
        <v>1</v>
      </c>
      <c r="T33" s="318" t="n">
        <v>1.02</v>
      </c>
      <c r="U33" s="318" t="n">
        <v>1</v>
      </c>
      <c r="V33" s="318" t="n">
        <v>1</v>
      </c>
      <c r="W33" s="318" t="n">
        <v>1</v>
      </c>
      <c r="X33" s="318" t="n">
        <v>1</v>
      </c>
      <c r="Y33" s="318" t="n">
        <v>1</v>
      </c>
      <c r="Z33" s="318" t="n">
        <v>1</v>
      </c>
      <c r="AA33" s="318" t="n">
        <v>1</v>
      </c>
      <c r="AB33" s="318" t="n">
        <v>1</v>
      </c>
      <c r="AC33" s="318" t="n">
        <v>1</v>
      </c>
      <c r="AD33" s="318" t="n">
        <v>1</v>
      </c>
      <c r="AE33" s="318" t="n">
        <v>1</v>
      </c>
      <c r="AF33" s="318" t="n">
        <v>1</v>
      </c>
      <c r="AG33" s="318" t="n">
        <v>1.1</v>
      </c>
      <c r="AH33" s="318" t="n">
        <v>1.04</v>
      </c>
      <c r="AI33" s="318" t="n">
        <v>1.05</v>
      </c>
      <c r="AJ33" s="318" t="n">
        <v>1</v>
      </c>
      <c r="AK33" s="318" t="n">
        <v>1</v>
      </c>
      <c r="AL33" s="318" t="n">
        <v>1.02</v>
      </c>
      <c r="AM33" s="318" t="n">
        <v>1</v>
      </c>
      <c r="AN33" s="318" t="n">
        <v>1</v>
      </c>
      <c r="AO33" s="318" t="n">
        <v>1</v>
      </c>
    </row>
    <row r="34" customFormat="false" ht="12.75" hidden="false" customHeight="false" outlineLevel="0" collapsed="false">
      <c r="A34" s="317" t="n">
        <v>37712</v>
      </c>
      <c r="B34" s="318" t="n">
        <v>1</v>
      </c>
      <c r="C34" s="318" t="n">
        <v>1</v>
      </c>
      <c r="D34" s="318" t="n">
        <v>1</v>
      </c>
      <c r="E34" s="318" t="n">
        <v>1</v>
      </c>
      <c r="F34" s="318" t="n">
        <v>1</v>
      </c>
      <c r="G34" s="318" t="n">
        <v>1</v>
      </c>
      <c r="H34" s="318" t="n">
        <v>1</v>
      </c>
      <c r="I34" s="318" t="n">
        <v>1</v>
      </c>
      <c r="J34" s="318" t="n">
        <v>1</v>
      </c>
      <c r="K34" s="318" t="n">
        <v>1</v>
      </c>
      <c r="L34" s="318" t="n">
        <v>1</v>
      </c>
      <c r="M34" s="318" t="n">
        <v>1</v>
      </c>
      <c r="N34" s="318" t="n">
        <v>1</v>
      </c>
      <c r="O34" s="318" t="n">
        <v>1</v>
      </c>
      <c r="P34" s="318" t="n">
        <v>1.03</v>
      </c>
      <c r="Q34" s="318" t="n">
        <v>1.03</v>
      </c>
      <c r="R34" s="318" t="n">
        <v>1</v>
      </c>
      <c r="S34" s="318" t="n">
        <v>1</v>
      </c>
      <c r="T34" s="318" t="n">
        <v>1.02</v>
      </c>
      <c r="U34" s="318" t="n">
        <v>1</v>
      </c>
      <c r="V34" s="318" t="n">
        <v>1</v>
      </c>
      <c r="W34" s="318" t="n">
        <v>1</v>
      </c>
      <c r="X34" s="318" t="n">
        <v>1</v>
      </c>
      <c r="Y34" s="318" t="n">
        <v>1</v>
      </c>
      <c r="Z34" s="318" t="n">
        <v>1.02</v>
      </c>
      <c r="AA34" s="318" t="n">
        <v>1</v>
      </c>
      <c r="AB34" s="318" t="n">
        <v>1</v>
      </c>
      <c r="AC34" s="318" t="n">
        <v>1</v>
      </c>
      <c r="AD34" s="318" t="n">
        <v>1</v>
      </c>
      <c r="AE34" s="318" t="n">
        <v>0.98</v>
      </c>
      <c r="AF34" s="318" t="n">
        <v>0.98</v>
      </c>
      <c r="AG34" s="318" t="n">
        <v>0.98</v>
      </c>
      <c r="AH34" s="318" t="n">
        <v>1</v>
      </c>
      <c r="AI34" s="318" t="n">
        <v>1.05</v>
      </c>
      <c r="AJ34" s="318" t="n">
        <v>1</v>
      </c>
      <c r="AK34" s="318" t="n">
        <v>1</v>
      </c>
      <c r="AL34" s="318" t="n">
        <v>1.02</v>
      </c>
      <c r="AM34" s="318" t="n">
        <v>1</v>
      </c>
      <c r="AN34" s="318" t="n">
        <v>1</v>
      </c>
      <c r="AO34" s="318" t="n">
        <v>1</v>
      </c>
    </row>
    <row r="35" customFormat="false" ht="12.75" hidden="false" customHeight="false" outlineLevel="0" collapsed="false">
      <c r="A35" s="317" t="n">
        <v>37742</v>
      </c>
      <c r="B35" s="318" t="n">
        <v>1</v>
      </c>
      <c r="C35" s="318" t="n">
        <v>1</v>
      </c>
      <c r="D35" s="318" t="n">
        <v>1</v>
      </c>
      <c r="E35" s="318" t="n">
        <v>1</v>
      </c>
      <c r="F35" s="318" t="n">
        <v>1</v>
      </c>
      <c r="G35" s="318" t="n">
        <v>1</v>
      </c>
      <c r="H35" s="318" t="n">
        <v>1</v>
      </c>
      <c r="I35" s="318" t="n">
        <v>1</v>
      </c>
      <c r="J35" s="318" t="n">
        <v>1</v>
      </c>
      <c r="K35" s="318" t="n">
        <v>1</v>
      </c>
      <c r="L35" s="318" t="n">
        <v>1</v>
      </c>
      <c r="M35" s="318" t="n">
        <v>1</v>
      </c>
      <c r="N35" s="318" t="n">
        <v>1</v>
      </c>
      <c r="O35" s="318" t="n">
        <v>1</v>
      </c>
      <c r="P35" s="318" t="n">
        <v>1.03</v>
      </c>
      <c r="Q35" s="318" t="n">
        <v>1.03</v>
      </c>
      <c r="R35" s="318" t="n">
        <v>1</v>
      </c>
      <c r="S35" s="318" t="n">
        <v>1</v>
      </c>
      <c r="T35" s="318" t="n">
        <v>1.02</v>
      </c>
      <c r="U35" s="318" t="n">
        <v>1</v>
      </c>
      <c r="V35" s="318" t="n">
        <v>1</v>
      </c>
      <c r="W35" s="318" t="n">
        <v>1</v>
      </c>
      <c r="X35" s="318" t="n">
        <v>1</v>
      </c>
      <c r="Y35" s="318" t="n">
        <v>1</v>
      </c>
      <c r="Z35" s="318" t="n">
        <v>1.02</v>
      </c>
      <c r="AA35" s="318" t="n">
        <v>1</v>
      </c>
      <c r="AB35" s="318" t="n">
        <v>1</v>
      </c>
      <c r="AC35" s="318" t="n">
        <v>1</v>
      </c>
      <c r="AD35" s="318" t="n">
        <v>1</v>
      </c>
      <c r="AE35" s="318" t="n">
        <v>0.98</v>
      </c>
      <c r="AF35" s="318" t="n">
        <v>0.98</v>
      </c>
      <c r="AG35" s="318" t="n">
        <v>0.98</v>
      </c>
      <c r="AH35" s="318" t="n">
        <v>1</v>
      </c>
      <c r="AI35" s="318" t="n">
        <v>1.05</v>
      </c>
      <c r="AJ35" s="318" t="n">
        <v>1</v>
      </c>
      <c r="AK35" s="318" t="n">
        <v>1</v>
      </c>
      <c r="AL35" s="318" t="n">
        <v>1.02</v>
      </c>
      <c r="AM35" s="318" t="n">
        <v>1</v>
      </c>
      <c r="AN35" s="318" t="n">
        <v>1</v>
      </c>
      <c r="AO35" s="318" t="n">
        <v>1</v>
      </c>
    </row>
    <row r="36" customFormat="false" ht="12.75" hidden="false" customHeight="false" outlineLevel="0" collapsed="false">
      <c r="A36" s="317" t="n">
        <v>37773</v>
      </c>
      <c r="B36" s="318" t="n">
        <v>1</v>
      </c>
      <c r="C36" s="318" t="n">
        <v>1</v>
      </c>
      <c r="D36" s="318" t="n">
        <v>1</v>
      </c>
      <c r="E36" s="318" t="n">
        <v>1</v>
      </c>
      <c r="F36" s="318" t="n">
        <v>1</v>
      </c>
      <c r="G36" s="318" t="n">
        <v>1</v>
      </c>
      <c r="H36" s="318" t="n">
        <v>1</v>
      </c>
      <c r="I36" s="318" t="n">
        <v>1</v>
      </c>
      <c r="J36" s="318" t="n">
        <v>1</v>
      </c>
      <c r="K36" s="318" t="n">
        <v>1</v>
      </c>
      <c r="L36" s="318" t="n">
        <v>1</v>
      </c>
      <c r="M36" s="318" t="n">
        <v>1</v>
      </c>
      <c r="N36" s="318" t="n">
        <v>1</v>
      </c>
      <c r="O36" s="318" t="n">
        <v>1</v>
      </c>
      <c r="P36" s="318" t="n">
        <v>1.03</v>
      </c>
      <c r="Q36" s="318" t="n">
        <v>1.03</v>
      </c>
      <c r="R36" s="318" t="n">
        <v>1</v>
      </c>
      <c r="S36" s="318" t="n">
        <v>1</v>
      </c>
      <c r="T36" s="318" t="n">
        <v>1.02</v>
      </c>
      <c r="U36" s="318" t="n">
        <v>1</v>
      </c>
      <c r="V36" s="318" t="n">
        <v>1</v>
      </c>
      <c r="W36" s="318" t="n">
        <v>1</v>
      </c>
      <c r="X36" s="318" t="n">
        <v>1</v>
      </c>
      <c r="Y36" s="318" t="n">
        <v>1</v>
      </c>
      <c r="Z36" s="318" t="n">
        <v>1.02</v>
      </c>
      <c r="AA36" s="318" t="n">
        <v>1</v>
      </c>
      <c r="AB36" s="318" t="n">
        <v>1</v>
      </c>
      <c r="AC36" s="318" t="n">
        <v>1</v>
      </c>
      <c r="AD36" s="318" t="n">
        <v>1</v>
      </c>
      <c r="AE36" s="318" t="n">
        <v>0.98</v>
      </c>
      <c r="AF36" s="318" t="n">
        <v>0.98</v>
      </c>
      <c r="AG36" s="318" t="n">
        <v>0.98</v>
      </c>
      <c r="AH36" s="318" t="n">
        <v>1</v>
      </c>
      <c r="AI36" s="318" t="n">
        <v>1.05</v>
      </c>
      <c r="AJ36" s="318" t="n">
        <v>1</v>
      </c>
      <c r="AK36" s="318" t="n">
        <v>1</v>
      </c>
      <c r="AL36" s="318" t="n">
        <v>1.02</v>
      </c>
      <c r="AM36" s="318" t="n">
        <v>1</v>
      </c>
      <c r="AN36" s="318" t="n">
        <v>1</v>
      </c>
      <c r="AO36" s="318" t="n">
        <v>1</v>
      </c>
    </row>
    <row r="37" customFormat="false" ht="12.75" hidden="false" customHeight="false" outlineLevel="0" collapsed="false">
      <c r="A37" s="317" t="n">
        <v>37803</v>
      </c>
      <c r="B37" s="318" t="n">
        <v>1</v>
      </c>
      <c r="C37" s="318" t="n">
        <v>1</v>
      </c>
      <c r="D37" s="318" t="n">
        <v>1</v>
      </c>
      <c r="E37" s="318" t="n">
        <v>1</v>
      </c>
      <c r="F37" s="318" t="n">
        <v>1</v>
      </c>
      <c r="G37" s="318" t="n">
        <v>1</v>
      </c>
      <c r="H37" s="318" t="n">
        <v>1</v>
      </c>
      <c r="I37" s="318" t="n">
        <v>1</v>
      </c>
      <c r="J37" s="318" t="n">
        <v>1</v>
      </c>
      <c r="K37" s="318" t="n">
        <v>1</v>
      </c>
      <c r="L37" s="318" t="n">
        <v>1</v>
      </c>
      <c r="M37" s="318" t="n">
        <v>1</v>
      </c>
      <c r="N37" s="318" t="n">
        <v>1</v>
      </c>
      <c r="O37" s="318" t="n">
        <v>1</v>
      </c>
      <c r="P37" s="318" t="n">
        <v>1.03</v>
      </c>
      <c r="Q37" s="318" t="n">
        <v>1.03</v>
      </c>
      <c r="R37" s="318" t="n">
        <v>1</v>
      </c>
      <c r="S37" s="318" t="n">
        <v>1</v>
      </c>
      <c r="T37" s="318" t="n">
        <v>1.02</v>
      </c>
      <c r="U37" s="318" t="n">
        <v>1</v>
      </c>
      <c r="V37" s="318" t="n">
        <v>1</v>
      </c>
      <c r="W37" s="318" t="n">
        <v>1</v>
      </c>
      <c r="X37" s="318" t="n">
        <v>1</v>
      </c>
      <c r="Y37" s="318" t="n">
        <v>1</v>
      </c>
      <c r="Z37" s="318" t="n">
        <v>1.02</v>
      </c>
      <c r="AA37" s="318" t="n">
        <v>1</v>
      </c>
      <c r="AB37" s="318" t="n">
        <v>1</v>
      </c>
      <c r="AC37" s="318" t="n">
        <v>1</v>
      </c>
      <c r="AD37" s="318" t="n">
        <v>1</v>
      </c>
      <c r="AE37" s="318" t="n">
        <v>0.98</v>
      </c>
      <c r="AF37" s="318" t="n">
        <v>0.98</v>
      </c>
      <c r="AG37" s="318" t="n">
        <v>0.98</v>
      </c>
      <c r="AH37" s="318" t="n">
        <v>1</v>
      </c>
      <c r="AI37" s="318" t="n">
        <v>1.05</v>
      </c>
      <c r="AJ37" s="318" t="n">
        <v>1</v>
      </c>
      <c r="AK37" s="318" t="n">
        <v>1</v>
      </c>
      <c r="AL37" s="318" t="n">
        <v>1.02</v>
      </c>
      <c r="AM37" s="318" t="n">
        <v>1</v>
      </c>
      <c r="AN37" s="318" t="n">
        <v>1</v>
      </c>
      <c r="AO37" s="318" t="n">
        <v>1</v>
      </c>
    </row>
    <row r="38" customFormat="false" ht="12.75" hidden="false" customHeight="false" outlineLevel="0" collapsed="false">
      <c r="A38" s="317" t="n">
        <v>37834</v>
      </c>
      <c r="B38" s="318" t="n">
        <v>1</v>
      </c>
      <c r="C38" s="318" t="n">
        <v>1</v>
      </c>
      <c r="D38" s="318" t="n">
        <v>1</v>
      </c>
      <c r="E38" s="318" t="n">
        <v>1</v>
      </c>
      <c r="F38" s="318" t="n">
        <v>1</v>
      </c>
      <c r="G38" s="318" t="n">
        <v>1</v>
      </c>
      <c r="H38" s="318" t="n">
        <v>1</v>
      </c>
      <c r="I38" s="318" t="n">
        <v>1</v>
      </c>
      <c r="J38" s="318" t="n">
        <v>1</v>
      </c>
      <c r="K38" s="318" t="n">
        <v>1</v>
      </c>
      <c r="L38" s="318" t="n">
        <v>1</v>
      </c>
      <c r="M38" s="318" t="n">
        <v>1</v>
      </c>
      <c r="N38" s="318" t="n">
        <v>1</v>
      </c>
      <c r="O38" s="318" t="n">
        <v>1</v>
      </c>
      <c r="P38" s="318" t="n">
        <v>1.03</v>
      </c>
      <c r="Q38" s="318" t="n">
        <v>1.03</v>
      </c>
      <c r="R38" s="318" t="n">
        <v>1</v>
      </c>
      <c r="S38" s="318" t="n">
        <v>1</v>
      </c>
      <c r="T38" s="318" t="n">
        <v>1.02</v>
      </c>
      <c r="U38" s="318" t="n">
        <v>1</v>
      </c>
      <c r="V38" s="318" t="n">
        <v>1</v>
      </c>
      <c r="W38" s="318" t="n">
        <v>1</v>
      </c>
      <c r="X38" s="318" t="n">
        <v>1</v>
      </c>
      <c r="Y38" s="318" t="n">
        <v>1</v>
      </c>
      <c r="Z38" s="318" t="n">
        <v>1.02</v>
      </c>
      <c r="AA38" s="318" t="n">
        <v>1</v>
      </c>
      <c r="AB38" s="318" t="n">
        <v>1</v>
      </c>
      <c r="AC38" s="318" t="n">
        <v>1</v>
      </c>
      <c r="AD38" s="318" t="n">
        <v>1</v>
      </c>
      <c r="AE38" s="318" t="n">
        <v>0.98</v>
      </c>
      <c r="AF38" s="318" t="n">
        <v>0.98</v>
      </c>
      <c r="AG38" s="318" t="n">
        <v>0.98</v>
      </c>
      <c r="AH38" s="318" t="n">
        <v>1</v>
      </c>
      <c r="AI38" s="318" t="n">
        <v>1.05</v>
      </c>
      <c r="AJ38" s="318" t="n">
        <v>1</v>
      </c>
      <c r="AK38" s="318" t="n">
        <v>1</v>
      </c>
      <c r="AL38" s="318" t="n">
        <v>1.02</v>
      </c>
      <c r="AM38" s="318" t="n">
        <v>1</v>
      </c>
      <c r="AN38" s="318" t="n">
        <v>1</v>
      </c>
      <c r="AO38" s="318" t="n">
        <v>1</v>
      </c>
    </row>
    <row r="39" customFormat="false" ht="12.75" hidden="false" customHeight="false" outlineLevel="0" collapsed="false">
      <c r="A39" s="317" t="n">
        <v>37865</v>
      </c>
      <c r="B39" s="318" t="n">
        <v>1</v>
      </c>
      <c r="C39" s="318" t="n">
        <v>1</v>
      </c>
      <c r="D39" s="318" t="n">
        <v>1</v>
      </c>
      <c r="E39" s="318" t="n">
        <v>1</v>
      </c>
      <c r="F39" s="318" t="n">
        <v>1</v>
      </c>
      <c r="G39" s="318" t="n">
        <v>1</v>
      </c>
      <c r="H39" s="318" t="n">
        <v>1</v>
      </c>
      <c r="I39" s="318" t="n">
        <v>1</v>
      </c>
      <c r="J39" s="318" t="n">
        <v>1</v>
      </c>
      <c r="K39" s="318" t="n">
        <v>1</v>
      </c>
      <c r="L39" s="318" t="n">
        <v>1</v>
      </c>
      <c r="M39" s="318" t="n">
        <v>1</v>
      </c>
      <c r="N39" s="318" t="n">
        <v>1</v>
      </c>
      <c r="O39" s="318" t="n">
        <v>1</v>
      </c>
      <c r="P39" s="318" t="n">
        <v>1.03</v>
      </c>
      <c r="Q39" s="318" t="n">
        <v>1.03</v>
      </c>
      <c r="R39" s="318" t="n">
        <v>1</v>
      </c>
      <c r="S39" s="318" t="n">
        <v>1</v>
      </c>
      <c r="T39" s="318" t="n">
        <v>1.02</v>
      </c>
      <c r="U39" s="318" t="n">
        <v>1</v>
      </c>
      <c r="V39" s="318" t="n">
        <v>1</v>
      </c>
      <c r="W39" s="318" t="n">
        <v>1</v>
      </c>
      <c r="X39" s="318" t="n">
        <v>1</v>
      </c>
      <c r="Y39" s="318" t="n">
        <v>1</v>
      </c>
      <c r="Z39" s="318" t="n">
        <v>1.02</v>
      </c>
      <c r="AA39" s="318" t="n">
        <v>1</v>
      </c>
      <c r="AB39" s="318" t="n">
        <v>1</v>
      </c>
      <c r="AC39" s="318" t="n">
        <v>1</v>
      </c>
      <c r="AD39" s="318" t="n">
        <v>1</v>
      </c>
      <c r="AE39" s="318" t="n">
        <v>0.98</v>
      </c>
      <c r="AF39" s="318" t="n">
        <v>0.98</v>
      </c>
      <c r="AG39" s="318" t="n">
        <v>0.98</v>
      </c>
      <c r="AH39" s="318" t="n">
        <v>1</v>
      </c>
      <c r="AI39" s="318" t="n">
        <v>1.05</v>
      </c>
      <c r="AJ39" s="318" t="n">
        <v>1</v>
      </c>
      <c r="AK39" s="318" t="n">
        <v>1</v>
      </c>
      <c r="AL39" s="318" t="n">
        <v>1.02</v>
      </c>
      <c r="AM39" s="318" t="n">
        <v>1</v>
      </c>
      <c r="AN39" s="318" t="n">
        <v>1</v>
      </c>
      <c r="AO39" s="318" t="n">
        <v>1</v>
      </c>
    </row>
    <row r="40" customFormat="false" ht="12.75" hidden="false" customHeight="false" outlineLevel="0" collapsed="false">
      <c r="A40" s="317" t="n">
        <v>37895</v>
      </c>
      <c r="B40" s="318" t="n">
        <v>1</v>
      </c>
      <c r="C40" s="318" t="n">
        <v>1</v>
      </c>
      <c r="D40" s="318" t="n">
        <v>1</v>
      </c>
      <c r="E40" s="318" t="n">
        <v>1</v>
      </c>
      <c r="F40" s="318" t="n">
        <v>1</v>
      </c>
      <c r="G40" s="318" t="n">
        <v>1</v>
      </c>
      <c r="H40" s="318" t="n">
        <v>1</v>
      </c>
      <c r="I40" s="318" t="n">
        <v>1</v>
      </c>
      <c r="J40" s="318" t="n">
        <v>1</v>
      </c>
      <c r="K40" s="318" t="n">
        <v>1</v>
      </c>
      <c r="L40" s="318" t="n">
        <v>1</v>
      </c>
      <c r="M40" s="318" t="n">
        <v>1</v>
      </c>
      <c r="N40" s="318" t="n">
        <v>1</v>
      </c>
      <c r="O40" s="318" t="n">
        <v>1</v>
      </c>
      <c r="P40" s="318" t="n">
        <v>1.03</v>
      </c>
      <c r="Q40" s="318" t="n">
        <v>1.03</v>
      </c>
      <c r="R40" s="318" t="n">
        <v>1</v>
      </c>
      <c r="S40" s="318" t="n">
        <v>1</v>
      </c>
      <c r="T40" s="318" t="n">
        <v>1.02</v>
      </c>
      <c r="U40" s="318" t="n">
        <v>1</v>
      </c>
      <c r="V40" s="318" t="n">
        <v>1</v>
      </c>
      <c r="W40" s="318" t="n">
        <v>1</v>
      </c>
      <c r="X40" s="318" t="n">
        <v>1</v>
      </c>
      <c r="Y40" s="318" t="n">
        <v>1</v>
      </c>
      <c r="Z40" s="318" t="n">
        <v>1.02</v>
      </c>
      <c r="AA40" s="318" t="n">
        <v>1</v>
      </c>
      <c r="AB40" s="318" t="n">
        <v>1</v>
      </c>
      <c r="AC40" s="318" t="n">
        <v>1</v>
      </c>
      <c r="AD40" s="318" t="n">
        <v>1</v>
      </c>
      <c r="AE40" s="318" t="n">
        <v>0.98</v>
      </c>
      <c r="AF40" s="318" t="n">
        <v>0.98</v>
      </c>
      <c r="AG40" s="318" t="n">
        <v>0.98</v>
      </c>
      <c r="AH40" s="318" t="n">
        <v>1</v>
      </c>
      <c r="AI40" s="318" t="n">
        <v>1.05</v>
      </c>
      <c r="AJ40" s="318" t="n">
        <v>1</v>
      </c>
      <c r="AK40" s="318" t="n">
        <v>1</v>
      </c>
      <c r="AL40" s="318" t="n">
        <v>1.02</v>
      </c>
      <c r="AM40" s="318" t="n">
        <v>1</v>
      </c>
      <c r="AN40" s="318" t="n">
        <v>1</v>
      </c>
      <c r="AO40" s="318" t="n">
        <v>1</v>
      </c>
    </row>
    <row r="41" customFormat="false" ht="12.75" hidden="false" customHeight="false" outlineLevel="0" collapsed="false">
      <c r="A41" s="317" t="n">
        <v>37926</v>
      </c>
      <c r="B41" s="318" t="n">
        <v>1</v>
      </c>
      <c r="C41" s="318" t="n">
        <v>1</v>
      </c>
      <c r="D41" s="318" t="n">
        <v>1</v>
      </c>
      <c r="E41" s="318" t="n">
        <v>1</v>
      </c>
      <c r="F41" s="318" t="n">
        <v>1</v>
      </c>
      <c r="G41" s="318" t="n">
        <v>1</v>
      </c>
      <c r="H41" s="318" t="n">
        <v>1</v>
      </c>
      <c r="I41" s="318" t="n">
        <v>1</v>
      </c>
      <c r="J41" s="318" t="n">
        <v>1</v>
      </c>
      <c r="K41" s="318" t="n">
        <v>1</v>
      </c>
      <c r="L41" s="318" t="n">
        <v>1</v>
      </c>
      <c r="M41" s="318" t="n">
        <v>1</v>
      </c>
      <c r="N41" s="318" t="n">
        <v>1</v>
      </c>
      <c r="O41" s="318" t="n">
        <v>1</v>
      </c>
      <c r="P41" s="318" t="n">
        <v>1.03</v>
      </c>
      <c r="Q41" s="318" t="n">
        <v>1.03</v>
      </c>
      <c r="R41" s="318" t="n">
        <v>1</v>
      </c>
      <c r="S41" s="318" t="n">
        <v>1</v>
      </c>
      <c r="T41" s="318" t="n">
        <v>1.02</v>
      </c>
      <c r="U41" s="318" t="n">
        <v>1</v>
      </c>
      <c r="V41" s="318" t="n">
        <v>1</v>
      </c>
      <c r="W41" s="318" t="n">
        <v>1</v>
      </c>
      <c r="X41" s="318" t="n">
        <v>1</v>
      </c>
      <c r="Y41" s="318" t="n">
        <v>1</v>
      </c>
      <c r="Z41" s="318" t="n">
        <v>1</v>
      </c>
      <c r="AA41" s="318" t="n">
        <v>1</v>
      </c>
      <c r="AB41" s="318" t="n">
        <v>1</v>
      </c>
      <c r="AC41" s="318" t="n">
        <v>1</v>
      </c>
      <c r="AD41" s="318" t="n">
        <v>1</v>
      </c>
      <c r="AE41" s="318" t="n">
        <v>1</v>
      </c>
      <c r="AF41" s="318" t="n">
        <v>1</v>
      </c>
      <c r="AG41" s="318" t="n">
        <v>1.1</v>
      </c>
      <c r="AH41" s="318" t="n">
        <v>1.1</v>
      </c>
      <c r="AI41" s="318" t="n">
        <v>1.05</v>
      </c>
      <c r="AJ41" s="318" t="n">
        <v>1</v>
      </c>
      <c r="AK41" s="318" t="n">
        <v>1</v>
      </c>
      <c r="AL41" s="318" t="n">
        <v>1.02</v>
      </c>
      <c r="AM41" s="318" t="n">
        <v>1</v>
      </c>
      <c r="AN41" s="318" t="n">
        <v>1</v>
      </c>
      <c r="AO41" s="318" t="n">
        <v>1</v>
      </c>
    </row>
    <row r="42" customFormat="false" ht="12.75" hidden="false" customHeight="false" outlineLevel="0" collapsed="false">
      <c r="A42" s="317" t="n">
        <v>37956</v>
      </c>
      <c r="B42" s="318" t="n">
        <v>1</v>
      </c>
      <c r="C42" s="318" t="n">
        <v>1</v>
      </c>
      <c r="D42" s="318" t="n">
        <v>1</v>
      </c>
      <c r="E42" s="318" t="n">
        <v>1</v>
      </c>
      <c r="F42" s="318" t="n">
        <v>1</v>
      </c>
      <c r="G42" s="318" t="n">
        <v>1</v>
      </c>
      <c r="H42" s="318" t="n">
        <v>1</v>
      </c>
      <c r="I42" s="318" t="n">
        <v>1</v>
      </c>
      <c r="J42" s="318" t="n">
        <v>1</v>
      </c>
      <c r="K42" s="318" t="n">
        <v>1</v>
      </c>
      <c r="L42" s="318" t="n">
        <v>1</v>
      </c>
      <c r="M42" s="318" t="n">
        <v>1</v>
      </c>
      <c r="N42" s="318" t="n">
        <v>1</v>
      </c>
      <c r="O42" s="318" t="n">
        <v>1</v>
      </c>
      <c r="P42" s="318" t="n">
        <v>1.03</v>
      </c>
      <c r="Q42" s="318" t="n">
        <v>1.03</v>
      </c>
      <c r="R42" s="318" t="n">
        <v>1</v>
      </c>
      <c r="S42" s="318" t="n">
        <v>1</v>
      </c>
      <c r="T42" s="318" t="n">
        <v>1.02</v>
      </c>
      <c r="U42" s="318" t="n">
        <v>1</v>
      </c>
      <c r="V42" s="318" t="n">
        <v>1</v>
      </c>
      <c r="W42" s="318" t="n">
        <v>1</v>
      </c>
      <c r="X42" s="318" t="n">
        <v>1</v>
      </c>
      <c r="Y42" s="318" t="n">
        <v>1</v>
      </c>
      <c r="Z42" s="318" t="n">
        <v>1</v>
      </c>
      <c r="AA42" s="318" t="n">
        <v>1</v>
      </c>
      <c r="AB42" s="318" t="n">
        <v>1</v>
      </c>
      <c r="AC42" s="318" t="n">
        <v>1</v>
      </c>
      <c r="AD42" s="318" t="n">
        <v>1</v>
      </c>
      <c r="AE42" s="318" t="n">
        <v>1</v>
      </c>
      <c r="AF42" s="318" t="n">
        <v>1</v>
      </c>
      <c r="AG42" s="318" t="n">
        <v>1.1</v>
      </c>
      <c r="AH42" s="318" t="n">
        <v>1.02</v>
      </c>
      <c r="AI42" s="318" t="n">
        <v>1.05</v>
      </c>
      <c r="AJ42" s="318" t="n">
        <v>1</v>
      </c>
      <c r="AK42" s="318" t="n">
        <v>1</v>
      </c>
      <c r="AL42" s="318" t="n">
        <v>1.02</v>
      </c>
      <c r="AM42" s="318" t="n">
        <v>1</v>
      </c>
      <c r="AN42" s="318" t="n">
        <v>1</v>
      </c>
      <c r="AO42" s="318" t="n">
        <v>1</v>
      </c>
    </row>
    <row r="43" customFormat="false" ht="12.75" hidden="false" customHeight="false" outlineLevel="0" collapsed="false">
      <c r="A43" s="317" t="n">
        <v>37987</v>
      </c>
      <c r="B43" s="318" t="n">
        <v>1</v>
      </c>
      <c r="C43" s="318" t="n">
        <v>1</v>
      </c>
      <c r="D43" s="318" t="n">
        <v>1</v>
      </c>
      <c r="E43" s="318" t="n">
        <v>1</v>
      </c>
      <c r="F43" s="318" t="n">
        <v>1</v>
      </c>
      <c r="G43" s="318" t="n">
        <v>1</v>
      </c>
      <c r="H43" s="318" t="n">
        <v>1</v>
      </c>
      <c r="I43" s="318" t="n">
        <v>1</v>
      </c>
      <c r="J43" s="318" t="n">
        <v>1</v>
      </c>
      <c r="K43" s="318" t="n">
        <v>1</v>
      </c>
      <c r="L43" s="318" t="n">
        <v>1</v>
      </c>
      <c r="M43" s="318" t="n">
        <v>1</v>
      </c>
      <c r="N43" s="318" t="n">
        <v>1</v>
      </c>
      <c r="O43" s="318" t="n">
        <v>1</v>
      </c>
      <c r="P43" s="318" t="n">
        <v>1.03</v>
      </c>
      <c r="Q43" s="318" t="n">
        <v>1.03</v>
      </c>
      <c r="R43" s="318" t="n">
        <v>1</v>
      </c>
      <c r="S43" s="318" t="n">
        <v>1</v>
      </c>
      <c r="T43" s="318" t="n">
        <v>1.02</v>
      </c>
      <c r="U43" s="318" t="n">
        <v>1</v>
      </c>
      <c r="V43" s="318" t="n">
        <v>1</v>
      </c>
      <c r="W43" s="318" t="n">
        <v>1</v>
      </c>
      <c r="X43" s="318" t="n">
        <v>1</v>
      </c>
      <c r="Y43" s="318" t="n">
        <v>1</v>
      </c>
      <c r="Z43" s="318" t="n">
        <v>1</v>
      </c>
      <c r="AA43" s="318" t="n">
        <v>1</v>
      </c>
      <c r="AB43" s="318" t="n">
        <v>1</v>
      </c>
      <c r="AC43" s="318" t="n">
        <v>1</v>
      </c>
      <c r="AD43" s="318" t="n">
        <v>1</v>
      </c>
      <c r="AE43" s="318" t="n">
        <v>1</v>
      </c>
      <c r="AF43" s="318" t="n">
        <v>1</v>
      </c>
      <c r="AG43" s="318" t="n">
        <v>1.1</v>
      </c>
      <c r="AH43" s="318" t="n">
        <v>1.04</v>
      </c>
      <c r="AI43" s="318" t="n">
        <v>1.05</v>
      </c>
      <c r="AJ43" s="318" t="n">
        <v>1</v>
      </c>
      <c r="AK43" s="318" t="n">
        <v>1</v>
      </c>
      <c r="AL43" s="318" t="n">
        <v>1.02</v>
      </c>
      <c r="AM43" s="318" t="n">
        <v>1</v>
      </c>
      <c r="AN43" s="318" t="n">
        <v>1</v>
      </c>
      <c r="AO43" s="318" t="n">
        <v>1</v>
      </c>
    </row>
    <row r="44" customFormat="false" ht="12.75" hidden="false" customHeight="false" outlineLevel="0" collapsed="false">
      <c r="A44" s="317" t="n">
        <v>38018</v>
      </c>
      <c r="B44" s="318" t="n">
        <v>1</v>
      </c>
      <c r="C44" s="318" t="n">
        <v>1</v>
      </c>
      <c r="D44" s="318" t="n">
        <v>1</v>
      </c>
      <c r="E44" s="318" t="n">
        <v>1</v>
      </c>
      <c r="F44" s="318" t="n">
        <v>1</v>
      </c>
      <c r="G44" s="318" t="n">
        <v>1</v>
      </c>
      <c r="H44" s="318" t="n">
        <v>1</v>
      </c>
      <c r="I44" s="318" t="n">
        <v>1</v>
      </c>
      <c r="J44" s="318" t="n">
        <v>1</v>
      </c>
      <c r="K44" s="318" t="n">
        <v>1</v>
      </c>
      <c r="L44" s="318" t="n">
        <v>1</v>
      </c>
      <c r="M44" s="318" t="n">
        <v>1</v>
      </c>
      <c r="N44" s="318" t="n">
        <v>1</v>
      </c>
      <c r="O44" s="318" t="n">
        <v>1</v>
      </c>
      <c r="P44" s="318" t="n">
        <v>1.03</v>
      </c>
      <c r="Q44" s="318" t="n">
        <v>1.03</v>
      </c>
      <c r="R44" s="318" t="n">
        <v>1</v>
      </c>
      <c r="S44" s="318" t="n">
        <v>1</v>
      </c>
      <c r="T44" s="318" t="n">
        <v>1.02</v>
      </c>
      <c r="U44" s="318" t="n">
        <v>1</v>
      </c>
      <c r="V44" s="318" t="n">
        <v>1</v>
      </c>
      <c r="W44" s="318" t="n">
        <v>1</v>
      </c>
      <c r="X44" s="318" t="n">
        <v>1</v>
      </c>
      <c r="Y44" s="318" t="n">
        <v>1</v>
      </c>
      <c r="Z44" s="318" t="n">
        <v>1</v>
      </c>
      <c r="AA44" s="318" t="n">
        <v>1</v>
      </c>
      <c r="AB44" s="318" t="n">
        <v>1</v>
      </c>
      <c r="AC44" s="318" t="n">
        <v>1</v>
      </c>
      <c r="AD44" s="318" t="n">
        <v>1</v>
      </c>
      <c r="AE44" s="318" t="n">
        <v>1</v>
      </c>
      <c r="AF44" s="318" t="n">
        <v>1</v>
      </c>
      <c r="AG44" s="318" t="n">
        <v>1.1</v>
      </c>
      <c r="AH44" s="318" t="n">
        <v>1.04</v>
      </c>
      <c r="AI44" s="318" t="n">
        <v>1.05</v>
      </c>
      <c r="AJ44" s="318" t="n">
        <v>1</v>
      </c>
      <c r="AK44" s="318" t="n">
        <v>1</v>
      </c>
      <c r="AL44" s="318" t="n">
        <v>1.02</v>
      </c>
      <c r="AM44" s="318" t="n">
        <v>1</v>
      </c>
      <c r="AN44" s="318" t="n">
        <v>1</v>
      </c>
      <c r="AO44" s="318" t="n">
        <v>1</v>
      </c>
    </row>
    <row r="45" customFormat="false" ht="12.75" hidden="false" customHeight="false" outlineLevel="0" collapsed="false">
      <c r="A45" s="317" t="n">
        <v>38047</v>
      </c>
      <c r="B45" s="318" t="n">
        <v>1</v>
      </c>
      <c r="C45" s="318" t="n">
        <v>1</v>
      </c>
      <c r="D45" s="318" t="n">
        <v>1</v>
      </c>
      <c r="E45" s="318" t="n">
        <v>1</v>
      </c>
      <c r="F45" s="318" t="n">
        <v>1</v>
      </c>
      <c r="G45" s="318" t="n">
        <v>1</v>
      </c>
      <c r="H45" s="318" t="n">
        <v>1</v>
      </c>
      <c r="I45" s="318" t="n">
        <v>1</v>
      </c>
      <c r="J45" s="318" t="n">
        <v>1</v>
      </c>
      <c r="K45" s="318" t="n">
        <v>1</v>
      </c>
      <c r="L45" s="318" t="n">
        <v>1</v>
      </c>
      <c r="M45" s="318" t="n">
        <v>1</v>
      </c>
      <c r="N45" s="318" t="n">
        <v>1</v>
      </c>
      <c r="O45" s="318" t="n">
        <v>1</v>
      </c>
      <c r="P45" s="318" t="n">
        <v>1.03</v>
      </c>
      <c r="Q45" s="318" t="n">
        <v>1.03</v>
      </c>
      <c r="R45" s="318" t="n">
        <v>1</v>
      </c>
      <c r="S45" s="318" t="n">
        <v>1</v>
      </c>
      <c r="T45" s="318" t="n">
        <v>1.02</v>
      </c>
      <c r="U45" s="318" t="n">
        <v>1</v>
      </c>
      <c r="V45" s="318" t="n">
        <v>1</v>
      </c>
      <c r="W45" s="318" t="n">
        <v>1</v>
      </c>
      <c r="X45" s="318" t="n">
        <v>1</v>
      </c>
      <c r="Y45" s="318" t="n">
        <v>1</v>
      </c>
      <c r="Z45" s="318" t="n">
        <v>1</v>
      </c>
      <c r="AA45" s="318" t="n">
        <v>1</v>
      </c>
      <c r="AB45" s="318" t="n">
        <v>1</v>
      </c>
      <c r="AC45" s="318" t="n">
        <v>1</v>
      </c>
      <c r="AD45" s="318" t="n">
        <v>1</v>
      </c>
      <c r="AE45" s="318" t="n">
        <v>1</v>
      </c>
      <c r="AF45" s="318" t="n">
        <v>1</v>
      </c>
      <c r="AG45" s="318" t="n">
        <v>1.1</v>
      </c>
      <c r="AH45" s="318" t="n">
        <v>1.04</v>
      </c>
      <c r="AI45" s="318" t="n">
        <v>1.05</v>
      </c>
      <c r="AJ45" s="318" t="n">
        <v>1</v>
      </c>
      <c r="AK45" s="318" t="n">
        <v>1</v>
      </c>
      <c r="AL45" s="318" t="n">
        <v>1.02</v>
      </c>
      <c r="AM45" s="318" t="n">
        <v>1</v>
      </c>
      <c r="AN45" s="318" t="n">
        <v>1</v>
      </c>
      <c r="AO45" s="318" t="n">
        <v>1</v>
      </c>
    </row>
    <row r="46" customFormat="false" ht="12.75" hidden="false" customHeight="false" outlineLevel="0" collapsed="false">
      <c r="A46" s="317" t="n">
        <v>38078</v>
      </c>
      <c r="B46" s="318" t="n">
        <v>1</v>
      </c>
      <c r="C46" s="318" t="n">
        <v>1</v>
      </c>
      <c r="D46" s="318" t="n">
        <v>1</v>
      </c>
      <c r="E46" s="318" t="n">
        <v>1</v>
      </c>
      <c r="F46" s="318" t="n">
        <v>1</v>
      </c>
      <c r="G46" s="318" t="n">
        <v>1</v>
      </c>
      <c r="H46" s="318" t="n">
        <v>1</v>
      </c>
      <c r="I46" s="318" t="n">
        <v>1</v>
      </c>
      <c r="J46" s="318" t="n">
        <v>1</v>
      </c>
      <c r="K46" s="318" t="n">
        <v>1</v>
      </c>
      <c r="L46" s="318" t="n">
        <v>1</v>
      </c>
      <c r="M46" s="318" t="n">
        <v>1</v>
      </c>
      <c r="N46" s="318" t="n">
        <v>1</v>
      </c>
      <c r="O46" s="318" t="n">
        <v>1</v>
      </c>
      <c r="P46" s="318" t="n">
        <v>1.03</v>
      </c>
      <c r="Q46" s="318" t="n">
        <v>1.03</v>
      </c>
      <c r="R46" s="318" t="n">
        <v>1</v>
      </c>
      <c r="S46" s="318" t="n">
        <v>1</v>
      </c>
      <c r="T46" s="318" t="n">
        <v>1.02</v>
      </c>
      <c r="U46" s="318" t="n">
        <v>1</v>
      </c>
      <c r="V46" s="318" t="n">
        <v>1</v>
      </c>
      <c r="W46" s="318" t="n">
        <v>1</v>
      </c>
      <c r="X46" s="318" t="n">
        <v>1</v>
      </c>
      <c r="Y46" s="318" t="n">
        <v>1</v>
      </c>
      <c r="Z46" s="318" t="n">
        <v>1.02</v>
      </c>
      <c r="AA46" s="318" t="n">
        <v>1</v>
      </c>
      <c r="AB46" s="318" t="n">
        <v>1</v>
      </c>
      <c r="AC46" s="318" t="n">
        <v>1</v>
      </c>
      <c r="AD46" s="318" t="n">
        <v>1</v>
      </c>
      <c r="AE46" s="318" t="n">
        <v>0.98</v>
      </c>
      <c r="AF46" s="318" t="n">
        <v>0.98</v>
      </c>
      <c r="AG46" s="318" t="n">
        <v>0.98</v>
      </c>
      <c r="AH46" s="318" t="n">
        <v>1</v>
      </c>
      <c r="AI46" s="318" t="n">
        <v>1.05</v>
      </c>
      <c r="AJ46" s="318" t="n">
        <v>1</v>
      </c>
      <c r="AK46" s="318" t="n">
        <v>1</v>
      </c>
      <c r="AL46" s="318" t="n">
        <v>1.02</v>
      </c>
      <c r="AM46" s="318" t="n">
        <v>1</v>
      </c>
      <c r="AN46" s="318" t="n">
        <v>1</v>
      </c>
      <c r="AO46" s="318" t="n">
        <v>1</v>
      </c>
    </row>
    <row r="47" customFormat="false" ht="12.75" hidden="false" customHeight="false" outlineLevel="0" collapsed="false">
      <c r="A47" s="317" t="n">
        <v>38108</v>
      </c>
      <c r="B47" s="318" t="n">
        <v>1</v>
      </c>
      <c r="C47" s="318" t="n">
        <v>1</v>
      </c>
      <c r="D47" s="318" t="n">
        <v>1</v>
      </c>
      <c r="E47" s="318" t="n">
        <v>1</v>
      </c>
      <c r="F47" s="318" t="n">
        <v>1</v>
      </c>
      <c r="G47" s="318" t="n">
        <v>1</v>
      </c>
      <c r="H47" s="318" t="n">
        <v>1</v>
      </c>
      <c r="I47" s="318" t="n">
        <v>1</v>
      </c>
      <c r="J47" s="318" t="n">
        <v>1</v>
      </c>
      <c r="K47" s="318" t="n">
        <v>1</v>
      </c>
      <c r="L47" s="318" t="n">
        <v>1</v>
      </c>
      <c r="M47" s="318" t="n">
        <v>1</v>
      </c>
      <c r="N47" s="318" t="n">
        <v>1</v>
      </c>
      <c r="O47" s="318" t="n">
        <v>1</v>
      </c>
      <c r="P47" s="318" t="n">
        <v>1.03</v>
      </c>
      <c r="Q47" s="318" t="n">
        <v>1.03</v>
      </c>
      <c r="R47" s="318" t="n">
        <v>1</v>
      </c>
      <c r="S47" s="318" t="n">
        <v>1</v>
      </c>
      <c r="T47" s="318" t="n">
        <v>1.02</v>
      </c>
      <c r="U47" s="318" t="n">
        <v>1</v>
      </c>
      <c r="V47" s="318" t="n">
        <v>1</v>
      </c>
      <c r="W47" s="318" t="n">
        <v>1</v>
      </c>
      <c r="X47" s="318" t="n">
        <v>1</v>
      </c>
      <c r="Y47" s="318" t="n">
        <v>1</v>
      </c>
      <c r="Z47" s="318" t="n">
        <v>1.02</v>
      </c>
      <c r="AA47" s="318" t="n">
        <v>1</v>
      </c>
      <c r="AB47" s="318" t="n">
        <v>1</v>
      </c>
      <c r="AC47" s="318" t="n">
        <v>1</v>
      </c>
      <c r="AD47" s="318" t="n">
        <v>1</v>
      </c>
      <c r="AE47" s="318" t="n">
        <v>0.98</v>
      </c>
      <c r="AF47" s="318" t="n">
        <v>0.98</v>
      </c>
      <c r="AG47" s="318" t="n">
        <v>0.98</v>
      </c>
      <c r="AH47" s="318" t="n">
        <v>1</v>
      </c>
      <c r="AI47" s="318" t="n">
        <v>1.05</v>
      </c>
      <c r="AJ47" s="318" t="n">
        <v>1</v>
      </c>
      <c r="AK47" s="318" t="n">
        <v>1</v>
      </c>
      <c r="AL47" s="318" t="n">
        <v>1.02</v>
      </c>
      <c r="AM47" s="318" t="n">
        <v>1</v>
      </c>
      <c r="AN47" s="318" t="n">
        <v>1</v>
      </c>
      <c r="AO47" s="318" t="n">
        <v>1</v>
      </c>
    </row>
    <row r="48" customFormat="false" ht="12.75" hidden="false" customHeight="false" outlineLevel="0" collapsed="false">
      <c r="A48" s="317" t="n">
        <v>38139</v>
      </c>
      <c r="B48" s="318" t="n">
        <v>1</v>
      </c>
      <c r="C48" s="318" t="n">
        <v>1</v>
      </c>
      <c r="D48" s="318" t="n">
        <v>1</v>
      </c>
      <c r="E48" s="318" t="n">
        <v>1</v>
      </c>
      <c r="F48" s="318" t="n">
        <v>1</v>
      </c>
      <c r="G48" s="318" t="n">
        <v>1</v>
      </c>
      <c r="H48" s="318" t="n">
        <v>1</v>
      </c>
      <c r="I48" s="318" t="n">
        <v>1</v>
      </c>
      <c r="J48" s="318" t="n">
        <v>1</v>
      </c>
      <c r="K48" s="318" t="n">
        <v>1</v>
      </c>
      <c r="L48" s="318" t="n">
        <v>1</v>
      </c>
      <c r="M48" s="318" t="n">
        <v>1</v>
      </c>
      <c r="N48" s="318" t="n">
        <v>1</v>
      </c>
      <c r="O48" s="318" t="n">
        <v>1</v>
      </c>
      <c r="P48" s="318" t="n">
        <v>1.03</v>
      </c>
      <c r="Q48" s="318" t="n">
        <v>1.03</v>
      </c>
      <c r="R48" s="318" t="n">
        <v>1</v>
      </c>
      <c r="S48" s="318" t="n">
        <v>1</v>
      </c>
      <c r="T48" s="318" t="n">
        <v>1.02</v>
      </c>
      <c r="U48" s="318" t="n">
        <v>1</v>
      </c>
      <c r="V48" s="318" t="n">
        <v>1</v>
      </c>
      <c r="W48" s="318" t="n">
        <v>1</v>
      </c>
      <c r="X48" s="318" t="n">
        <v>1</v>
      </c>
      <c r="Y48" s="318" t="n">
        <v>1</v>
      </c>
      <c r="Z48" s="318" t="n">
        <v>1.02</v>
      </c>
      <c r="AA48" s="318" t="n">
        <v>1</v>
      </c>
      <c r="AB48" s="318" t="n">
        <v>1</v>
      </c>
      <c r="AC48" s="318" t="n">
        <v>1</v>
      </c>
      <c r="AD48" s="318" t="n">
        <v>1</v>
      </c>
      <c r="AE48" s="318" t="n">
        <v>0.98</v>
      </c>
      <c r="AF48" s="318" t="n">
        <v>0.98</v>
      </c>
      <c r="AG48" s="318" t="n">
        <v>0.98</v>
      </c>
      <c r="AH48" s="318" t="n">
        <v>1</v>
      </c>
      <c r="AI48" s="318" t="n">
        <v>1.05</v>
      </c>
      <c r="AJ48" s="318" t="n">
        <v>1</v>
      </c>
      <c r="AK48" s="318" t="n">
        <v>1</v>
      </c>
      <c r="AL48" s="318" t="n">
        <v>1.02</v>
      </c>
      <c r="AM48" s="318" t="n">
        <v>1</v>
      </c>
      <c r="AN48" s="318" t="n">
        <v>1</v>
      </c>
      <c r="AO48" s="318" t="n">
        <v>1</v>
      </c>
    </row>
    <row r="49" customFormat="false" ht="12.75" hidden="false" customHeight="false" outlineLevel="0" collapsed="false">
      <c r="A49" s="317" t="n">
        <v>38169</v>
      </c>
      <c r="B49" s="318" t="n">
        <v>1</v>
      </c>
      <c r="C49" s="318" t="n">
        <v>1</v>
      </c>
      <c r="D49" s="318" t="n">
        <v>1</v>
      </c>
      <c r="E49" s="318" t="n">
        <v>1</v>
      </c>
      <c r="F49" s="318" t="n">
        <v>1</v>
      </c>
      <c r="G49" s="318" t="n">
        <v>1</v>
      </c>
      <c r="H49" s="318" t="n">
        <v>1</v>
      </c>
      <c r="I49" s="318" t="n">
        <v>1</v>
      </c>
      <c r="J49" s="318" t="n">
        <v>1</v>
      </c>
      <c r="K49" s="318" t="n">
        <v>1</v>
      </c>
      <c r="L49" s="318" t="n">
        <v>1</v>
      </c>
      <c r="M49" s="318" t="n">
        <v>1</v>
      </c>
      <c r="N49" s="318" t="n">
        <v>1</v>
      </c>
      <c r="O49" s="318" t="n">
        <v>1</v>
      </c>
      <c r="P49" s="318" t="n">
        <v>1.03</v>
      </c>
      <c r="Q49" s="318" t="n">
        <v>1.03</v>
      </c>
      <c r="R49" s="318" t="n">
        <v>1</v>
      </c>
      <c r="S49" s="318" t="n">
        <v>1</v>
      </c>
      <c r="T49" s="318" t="n">
        <v>1.02</v>
      </c>
      <c r="U49" s="318" t="n">
        <v>1</v>
      </c>
      <c r="V49" s="318" t="n">
        <v>1</v>
      </c>
      <c r="W49" s="318" t="n">
        <v>1</v>
      </c>
      <c r="X49" s="318" t="n">
        <v>1</v>
      </c>
      <c r="Y49" s="318" t="n">
        <v>1</v>
      </c>
      <c r="Z49" s="318" t="n">
        <v>1.02</v>
      </c>
      <c r="AA49" s="318" t="n">
        <v>1</v>
      </c>
      <c r="AB49" s="318" t="n">
        <v>1</v>
      </c>
      <c r="AC49" s="318" t="n">
        <v>1</v>
      </c>
      <c r="AD49" s="318" t="n">
        <v>1</v>
      </c>
      <c r="AE49" s="318" t="n">
        <v>0.98</v>
      </c>
      <c r="AF49" s="318" t="n">
        <v>0.98</v>
      </c>
      <c r="AG49" s="318" t="n">
        <v>0.98</v>
      </c>
      <c r="AH49" s="318" t="n">
        <v>1</v>
      </c>
      <c r="AI49" s="318" t="n">
        <v>1.05</v>
      </c>
      <c r="AJ49" s="318" t="n">
        <v>1</v>
      </c>
      <c r="AK49" s="318" t="n">
        <v>1</v>
      </c>
      <c r="AL49" s="318" t="n">
        <v>1.02</v>
      </c>
      <c r="AM49" s="318" t="n">
        <v>1</v>
      </c>
      <c r="AN49" s="318" t="n">
        <v>1</v>
      </c>
      <c r="AO49" s="318" t="n">
        <v>1</v>
      </c>
    </row>
    <row r="50" customFormat="false" ht="12.75" hidden="false" customHeight="false" outlineLevel="0" collapsed="false">
      <c r="A50" s="317" t="n">
        <v>38200</v>
      </c>
      <c r="B50" s="318" t="n">
        <v>1</v>
      </c>
      <c r="C50" s="318" t="n">
        <v>1</v>
      </c>
      <c r="D50" s="318" t="n">
        <v>1</v>
      </c>
      <c r="E50" s="318" t="n">
        <v>1</v>
      </c>
      <c r="F50" s="318" t="n">
        <v>1</v>
      </c>
      <c r="G50" s="318" t="n">
        <v>1</v>
      </c>
      <c r="H50" s="318" t="n">
        <v>1</v>
      </c>
      <c r="I50" s="318" t="n">
        <v>1</v>
      </c>
      <c r="J50" s="318" t="n">
        <v>1</v>
      </c>
      <c r="K50" s="318" t="n">
        <v>1</v>
      </c>
      <c r="L50" s="318" t="n">
        <v>1</v>
      </c>
      <c r="M50" s="318" t="n">
        <v>1</v>
      </c>
      <c r="N50" s="318" t="n">
        <v>1</v>
      </c>
      <c r="O50" s="318" t="n">
        <v>1</v>
      </c>
      <c r="P50" s="318" t="n">
        <v>1.03</v>
      </c>
      <c r="Q50" s="318" t="n">
        <v>1.03</v>
      </c>
      <c r="R50" s="318" t="n">
        <v>1</v>
      </c>
      <c r="S50" s="318" t="n">
        <v>1</v>
      </c>
      <c r="T50" s="318" t="n">
        <v>1.02</v>
      </c>
      <c r="U50" s="318" t="n">
        <v>1</v>
      </c>
      <c r="V50" s="318" t="n">
        <v>1</v>
      </c>
      <c r="W50" s="318" t="n">
        <v>1</v>
      </c>
      <c r="X50" s="318" t="n">
        <v>1</v>
      </c>
      <c r="Y50" s="318" t="n">
        <v>1</v>
      </c>
      <c r="Z50" s="318" t="n">
        <v>1.02</v>
      </c>
      <c r="AA50" s="318" t="n">
        <v>1</v>
      </c>
      <c r="AB50" s="318" t="n">
        <v>1</v>
      </c>
      <c r="AC50" s="318" t="n">
        <v>1</v>
      </c>
      <c r="AD50" s="318" t="n">
        <v>1</v>
      </c>
      <c r="AE50" s="318" t="n">
        <v>0.98</v>
      </c>
      <c r="AF50" s="318" t="n">
        <v>0.98</v>
      </c>
      <c r="AG50" s="318" t="n">
        <v>0.98</v>
      </c>
      <c r="AH50" s="318" t="n">
        <v>1</v>
      </c>
      <c r="AI50" s="318" t="n">
        <v>1.05</v>
      </c>
      <c r="AJ50" s="318" t="n">
        <v>1</v>
      </c>
      <c r="AK50" s="318" t="n">
        <v>1</v>
      </c>
      <c r="AL50" s="318" t="n">
        <v>1.02</v>
      </c>
      <c r="AM50" s="318" t="n">
        <v>1</v>
      </c>
      <c r="AN50" s="318" t="n">
        <v>1</v>
      </c>
      <c r="AO50" s="318" t="n">
        <v>1</v>
      </c>
    </row>
    <row r="51" customFormat="false" ht="12.75" hidden="false" customHeight="false" outlineLevel="0" collapsed="false">
      <c r="A51" s="317" t="n">
        <v>38231</v>
      </c>
      <c r="B51" s="318" t="n">
        <v>1</v>
      </c>
      <c r="C51" s="318" t="n">
        <v>1</v>
      </c>
      <c r="D51" s="318" t="n">
        <v>1</v>
      </c>
      <c r="E51" s="318" t="n">
        <v>1</v>
      </c>
      <c r="F51" s="318" t="n">
        <v>1</v>
      </c>
      <c r="G51" s="318" t="n">
        <v>1</v>
      </c>
      <c r="H51" s="318" t="n">
        <v>1</v>
      </c>
      <c r="I51" s="318" t="n">
        <v>1</v>
      </c>
      <c r="J51" s="318" t="n">
        <v>1</v>
      </c>
      <c r="K51" s="318" t="n">
        <v>1</v>
      </c>
      <c r="L51" s="318" t="n">
        <v>1</v>
      </c>
      <c r="M51" s="318" t="n">
        <v>1</v>
      </c>
      <c r="N51" s="318" t="n">
        <v>1</v>
      </c>
      <c r="O51" s="318" t="n">
        <v>1</v>
      </c>
      <c r="P51" s="318" t="n">
        <v>1.03</v>
      </c>
      <c r="Q51" s="318" t="n">
        <v>1.03</v>
      </c>
      <c r="R51" s="318" t="n">
        <v>1</v>
      </c>
      <c r="S51" s="318" t="n">
        <v>1</v>
      </c>
      <c r="T51" s="318" t="n">
        <v>1.02</v>
      </c>
      <c r="U51" s="318" t="n">
        <v>1</v>
      </c>
      <c r="V51" s="318" t="n">
        <v>1</v>
      </c>
      <c r="W51" s="318" t="n">
        <v>1</v>
      </c>
      <c r="X51" s="318" t="n">
        <v>1</v>
      </c>
      <c r="Y51" s="318" t="n">
        <v>1</v>
      </c>
      <c r="Z51" s="318" t="n">
        <v>1.02</v>
      </c>
      <c r="AA51" s="318" t="n">
        <v>1</v>
      </c>
      <c r="AB51" s="318" t="n">
        <v>1</v>
      </c>
      <c r="AC51" s="318" t="n">
        <v>1</v>
      </c>
      <c r="AD51" s="318" t="n">
        <v>1</v>
      </c>
      <c r="AE51" s="318" t="n">
        <v>0.98</v>
      </c>
      <c r="AF51" s="318" t="n">
        <v>0.98</v>
      </c>
      <c r="AG51" s="318" t="n">
        <v>0.98</v>
      </c>
      <c r="AH51" s="318" t="n">
        <v>1</v>
      </c>
      <c r="AI51" s="318" t="n">
        <v>1.05</v>
      </c>
      <c r="AJ51" s="318" t="n">
        <v>1</v>
      </c>
      <c r="AK51" s="318" t="n">
        <v>1</v>
      </c>
      <c r="AL51" s="318" t="n">
        <v>1.02</v>
      </c>
      <c r="AM51" s="318" t="n">
        <v>1</v>
      </c>
      <c r="AN51" s="318" t="n">
        <v>1</v>
      </c>
      <c r="AO51" s="318" t="n">
        <v>1</v>
      </c>
    </row>
    <row r="52" customFormat="false" ht="12.75" hidden="false" customHeight="false" outlineLevel="0" collapsed="false">
      <c r="A52" s="317" t="n">
        <v>38261</v>
      </c>
      <c r="B52" s="318" t="n">
        <v>1</v>
      </c>
      <c r="C52" s="318" t="n">
        <v>1</v>
      </c>
      <c r="D52" s="318" t="n">
        <v>1</v>
      </c>
      <c r="E52" s="318" t="n">
        <v>1</v>
      </c>
      <c r="F52" s="318" t="n">
        <v>1</v>
      </c>
      <c r="G52" s="318" t="n">
        <v>1</v>
      </c>
      <c r="H52" s="318" t="n">
        <v>1</v>
      </c>
      <c r="I52" s="318" t="n">
        <v>1</v>
      </c>
      <c r="J52" s="318" t="n">
        <v>1</v>
      </c>
      <c r="K52" s="318" t="n">
        <v>1</v>
      </c>
      <c r="L52" s="318" t="n">
        <v>1</v>
      </c>
      <c r="M52" s="318" t="n">
        <v>1</v>
      </c>
      <c r="N52" s="318" t="n">
        <v>1</v>
      </c>
      <c r="O52" s="318" t="n">
        <v>1</v>
      </c>
      <c r="P52" s="318" t="n">
        <v>1.03</v>
      </c>
      <c r="Q52" s="318" t="n">
        <v>1.03</v>
      </c>
      <c r="R52" s="318" t="n">
        <v>1</v>
      </c>
      <c r="S52" s="318" t="n">
        <v>1</v>
      </c>
      <c r="T52" s="318" t="n">
        <v>1.02</v>
      </c>
      <c r="U52" s="318" t="n">
        <v>1</v>
      </c>
      <c r="V52" s="318" t="n">
        <v>1</v>
      </c>
      <c r="W52" s="318" t="n">
        <v>1</v>
      </c>
      <c r="X52" s="318" t="n">
        <v>1</v>
      </c>
      <c r="Y52" s="318" t="n">
        <v>1</v>
      </c>
      <c r="Z52" s="318" t="n">
        <v>1.02</v>
      </c>
      <c r="AA52" s="318" t="n">
        <v>1</v>
      </c>
      <c r="AB52" s="318" t="n">
        <v>1</v>
      </c>
      <c r="AC52" s="318" t="n">
        <v>1</v>
      </c>
      <c r="AD52" s="318" t="n">
        <v>1</v>
      </c>
      <c r="AE52" s="318" t="n">
        <v>0.98</v>
      </c>
      <c r="AF52" s="318" t="n">
        <v>0.98</v>
      </c>
      <c r="AG52" s="318" t="n">
        <v>0.98</v>
      </c>
      <c r="AH52" s="318" t="n">
        <v>1</v>
      </c>
      <c r="AI52" s="318" t="n">
        <v>1.05</v>
      </c>
      <c r="AJ52" s="318" t="n">
        <v>1</v>
      </c>
      <c r="AK52" s="318" t="n">
        <v>1</v>
      </c>
      <c r="AL52" s="318" t="n">
        <v>1.02</v>
      </c>
      <c r="AM52" s="318" t="n">
        <v>1</v>
      </c>
      <c r="AN52" s="318" t="n">
        <v>1</v>
      </c>
      <c r="AO52" s="318" t="n">
        <v>1</v>
      </c>
    </row>
    <row r="53" customFormat="false" ht="12.75" hidden="false" customHeight="false" outlineLevel="0" collapsed="false">
      <c r="A53" s="317" t="n">
        <v>38292</v>
      </c>
      <c r="B53" s="318" t="n">
        <v>1</v>
      </c>
      <c r="C53" s="318" t="n">
        <v>1</v>
      </c>
      <c r="D53" s="318" t="n">
        <v>1</v>
      </c>
      <c r="E53" s="318" t="n">
        <v>1</v>
      </c>
      <c r="F53" s="318" t="n">
        <v>1</v>
      </c>
      <c r="G53" s="318" t="n">
        <v>1</v>
      </c>
      <c r="H53" s="318" t="n">
        <v>1</v>
      </c>
      <c r="I53" s="318" t="n">
        <v>1</v>
      </c>
      <c r="J53" s="318" t="n">
        <v>1</v>
      </c>
      <c r="K53" s="318" t="n">
        <v>1</v>
      </c>
      <c r="L53" s="318" t="n">
        <v>1</v>
      </c>
      <c r="M53" s="318" t="n">
        <v>1</v>
      </c>
      <c r="N53" s="318" t="n">
        <v>1</v>
      </c>
      <c r="O53" s="318" t="n">
        <v>1</v>
      </c>
      <c r="P53" s="318" t="n">
        <v>1.03</v>
      </c>
      <c r="Q53" s="318" t="n">
        <v>1.03</v>
      </c>
      <c r="R53" s="318" t="n">
        <v>1</v>
      </c>
      <c r="S53" s="318" t="n">
        <v>1</v>
      </c>
      <c r="T53" s="318" t="n">
        <v>1.02</v>
      </c>
      <c r="U53" s="318" t="n">
        <v>1</v>
      </c>
      <c r="V53" s="318" t="n">
        <v>1</v>
      </c>
      <c r="W53" s="318" t="n">
        <v>1</v>
      </c>
      <c r="X53" s="318" t="n">
        <v>1</v>
      </c>
      <c r="Y53" s="318" t="n">
        <v>1</v>
      </c>
      <c r="Z53" s="318" t="n">
        <v>1</v>
      </c>
      <c r="AA53" s="318" t="n">
        <v>1</v>
      </c>
      <c r="AB53" s="318" t="n">
        <v>1</v>
      </c>
      <c r="AC53" s="318" t="n">
        <v>1</v>
      </c>
      <c r="AD53" s="318" t="n">
        <v>1</v>
      </c>
      <c r="AE53" s="318" t="n">
        <v>1</v>
      </c>
      <c r="AF53" s="318" t="n">
        <v>1</v>
      </c>
      <c r="AG53" s="318" t="n">
        <v>1.1</v>
      </c>
      <c r="AH53" s="318" t="n">
        <v>1.1</v>
      </c>
      <c r="AI53" s="318" t="n">
        <v>1.05</v>
      </c>
      <c r="AJ53" s="318" t="n">
        <v>1</v>
      </c>
      <c r="AK53" s="318" t="n">
        <v>1</v>
      </c>
      <c r="AL53" s="318" t="n">
        <v>1.02</v>
      </c>
      <c r="AM53" s="318" t="n">
        <v>1</v>
      </c>
      <c r="AN53" s="318" t="n">
        <v>1</v>
      </c>
      <c r="AO53" s="318" t="n">
        <v>1</v>
      </c>
    </row>
    <row r="54" customFormat="false" ht="12.75" hidden="false" customHeight="false" outlineLevel="0" collapsed="false">
      <c r="A54" s="317" t="n">
        <v>38322</v>
      </c>
      <c r="B54" s="318" t="n">
        <v>1</v>
      </c>
      <c r="C54" s="318" t="n">
        <v>1</v>
      </c>
      <c r="D54" s="318" t="n">
        <v>1</v>
      </c>
      <c r="E54" s="318" t="n">
        <v>1</v>
      </c>
      <c r="F54" s="318" t="n">
        <v>1</v>
      </c>
      <c r="G54" s="318" t="n">
        <v>1</v>
      </c>
      <c r="H54" s="318" t="n">
        <v>1</v>
      </c>
      <c r="I54" s="318" t="n">
        <v>1</v>
      </c>
      <c r="J54" s="318" t="n">
        <v>1</v>
      </c>
      <c r="K54" s="318" t="n">
        <v>1</v>
      </c>
      <c r="L54" s="318" t="n">
        <v>1</v>
      </c>
      <c r="M54" s="318" t="n">
        <v>1</v>
      </c>
      <c r="N54" s="318" t="n">
        <v>1</v>
      </c>
      <c r="O54" s="318" t="n">
        <v>1</v>
      </c>
      <c r="P54" s="318" t="n">
        <v>1.03</v>
      </c>
      <c r="Q54" s="318" t="n">
        <v>1.03</v>
      </c>
      <c r="R54" s="318" t="n">
        <v>1</v>
      </c>
      <c r="S54" s="318" t="n">
        <v>1</v>
      </c>
      <c r="T54" s="318" t="n">
        <v>1.02</v>
      </c>
      <c r="U54" s="318" t="n">
        <v>1</v>
      </c>
      <c r="V54" s="318" t="n">
        <v>1</v>
      </c>
      <c r="W54" s="318" t="n">
        <v>1</v>
      </c>
      <c r="X54" s="318" t="n">
        <v>1</v>
      </c>
      <c r="Y54" s="318" t="n">
        <v>1</v>
      </c>
      <c r="Z54" s="318" t="n">
        <v>1</v>
      </c>
      <c r="AA54" s="318" t="n">
        <v>1</v>
      </c>
      <c r="AB54" s="318" t="n">
        <v>1</v>
      </c>
      <c r="AC54" s="318" t="n">
        <v>1</v>
      </c>
      <c r="AD54" s="318" t="n">
        <v>1</v>
      </c>
      <c r="AE54" s="318" t="n">
        <v>1</v>
      </c>
      <c r="AF54" s="318" t="n">
        <v>1</v>
      </c>
      <c r="AG54" s="318" t="n">
        <v>1.1</v>
      </c>
      <c r="AH54" s="318" t="n">
        <v>1.02</v>
      </c>
      <c r="AI54" s="318" t="n">
        <v>1.05</v>
      </c>
      <c r="AJ54" s="318" t="n">
        <v>1</v>
      </c>
      <c r="AK54" s="318" t="n">
        <v>1</v>
      </c>
      <c r="AL54" s="318" t="n">
        <v>1.02</v>
      </c>
      <c r="AM54" s="318" t="n">
        <v>1</v>
      </c>
      <c r="AN54" s="318" t="n">
        <v>1</v>
      </c>
      <c r="AO54" s="318" t="n">
        <v>1</v>
      </c>
    </row>
    <row r="55" customFormat="false" ht="12.75" hidden="false" customHeight="false" outlineLevel="0" collapsed="false">
      <c r="A55" s="317" t="n">
        <v>38353</v>
      </c>
      <c r="B55" s="318" t="n">
        <v>1</v>
      </c>
      <c r="C55" s="318" t="n">
        <v>1</v>
      </c>
      <c r="D55" s="318" t="n">
        <v>1</v>
      </c>
      <c r="E55" s="318" t="n">
        <v>1</v>
      </c>
      <c r="F55" s="318" t="n">
        <v>1</v>
      </c>
      <c r="G55" s="318" t="n">
        <v>1</v>
      </c>
      <c r="H55" s="318" t="n">
        <v>1</v>
      </c>
      <c r="I55" s="318" t="n">
        <v>1</v>
      </c>
      <c r="J55" s="318" t="n">
        <v>1</v>
      </c>
      <c r="K55" s="318" t="n">
        <v>1</v>
      </c>
      <c r="L55" s="318" t="n">
        <v>1</v>
      </c>
      <c r="M55" s="318" t="n">
        <v>1</v>
      </c>
      <c r="N55" s="318" t="n">
        <v>1</v>
      </c>
      <c r="O55" s="318" t="n">
        <v>1</v>
      </c>
      <c r="P55" s="318" t="n">
        <v>1.03</v>
      </c>
      <c r="Q55" s="318" t="n">
        <v>1.03</v>
      </c>
      <c r="R55" s="318" t="n">
        <v>1</v>
      </c>
      <c r="S55" s="318" t="n">
        <v>1</v>
      </c>
      <c r="T55" s="318" t="n">
        <v>1.02</v>
      </c>
      <c r="U55" s="318" t="n">
        <v>1</v>
      </c>
      <c r="V55" s="318" t="n">
        <v>1</v>
      </c>
      <c r="W55" s="318" t="n">
        <v>1</v>
      </c>
      <c r="X55" s="318" t="n">
        <v>1</v>
      </c>
      <c r="Y55" s="318" t="n">
        <v>1</v>
      </c>
      <c r="Z55" s="318" t="n">
        <v>1</v>
      </c>
      <c r="AA55" s="318" t="n">
        <v>1</v>
      </c>
      <c r="AB55" s="318" t="n">
        <v>1</v>
      </c>
      <c r="AC55" s="318" t="n">
        <v>1</v>
      </c>
      <c r="AD55" s="318" t="n">
        <v>1</v>
      </c>
      <c r="AE55" s="318" t="n">
        <v>1</v>
      </c>
      <c r="AF55" s="318" t="n">
        <v>1</v>
      </c>
      <c r="AG55" s="318" t="n">
        <v>1.1</v>
      </c>
      <c r="AH55" s="318" t="n">
        <v>1.04</v>
      </c>
      <c r="AI55" s="318" t="n">
        <v>1.05</v>
      </c>
      <c r="AJ55" s="318" t="n">
        <v>1</v>
      </c>
      <c r="AK55" s="318" t="n">
        <v>1</v>
      </c>
      <c r="AL55" s="318" t="n">
        <v>1.02</v>
      </c>
      <c r="AM55" s="318" t="n">
        <v>1</v>
      </c>
      <c r="AN55" s="318" t="n">
        <v>1</v>
      </c>
      <c r="AO55" s="318" t="n">
        <v>1</v>
      </c>
    </row>
    <row r="56" customFormat="false" ht="12.75" hidden="false" customHeight="false" outlineLevel="0" collapsed="false">
      <c r="A56" s="317" t="n">
        <v>38384</v>
      </c>
      <c r="B56" s="318" t="n">
        <v>1</v>
      </c>
      <c r="C56" s="318" t="n">
        <v>1</v>
      </c>
      <c r="D56" s="318" t="n">
        <v>1</v>
      </c>
      <c r="E56" s="318" t="n">
        <v>1</v>
      </c>
      <c r="F56" s="318" t="n">
        <v>1</v>
      </c>
      <c r="G56" s="318" t="n">
        <v>1</v>
      </c>
      <c r="H56" s="318" t="n">
        <v>1</v>
      </c>
      <c r="I56" s="318" t="n">
        <v>1</v>
      </c>
      <c r="J56" s="318" t="n">
        <v>1</v>
      </c>
      <c r="K56" s="318" t="n">
        <v>1</v>
      </c>
      <c r="L56" s="318" t="n">
        <v>1</v>
      </c>
      <c r="M56" s="318" t="n">
        <v>1</v>
      </c>
      <c r="N56" s="318" t="n">
        <v>1</v>
      </c>
      <c r="O56" s="318" t="n">
        <v>1</v>
      </c>
      <c r="P56" s="318" t="n">
        <v>1.03</v>
      </c>
      <c r="Q56" s="318" t="n">
        <v>1.03</v>
      </c>
      <c r="R56" s="318" t="n">
        <v>1</v>
      </c>
      <c r="S56" s="318" t="n">
        <v>1</v>
      </c>
      <c r="T56" s="318" t="n">
        <v>1.02</v>
      </c>
      <c r="U56" s="318" t="n">
        <v>1</v>
      </c>
      <c r="V56" s="318" t="n">
        <v>1</v>
      </c>
      <c r="W56" s="318" t="n">
        <v>1</v>
      </c>
      <c r="X56" s="318" t="n">
        <v>1</v>
      </c>
      <c r="Y56" s="318" t="n">
        <v>1</v>
      </c>
      <c r="Z56" s="318" t="n">
        <v>1</v>
      </c>
      <c r="AA56" s="318" t="n">
        <v>1</v>
      </c>
      <c r="AB56" s="318" t="n">
        <v>1</v>
      </c>
      <c r="AC56" s="318" t="n">
        <v>1</v>
      </c>
      <c r="AD56" s="318" t="n">
        <v>1</v>
      </c>
      <c r="AE56" s="318" t="n">
        <v>1</v>
      </c>
      <c r="AF56" s="318" t="n">
        <v>1</v>
      </c>
      <c r="AG56" s="318" t="n">
        <v>1.1</v>
      </c>
      <c r="AH56" s="318" t="n">
        <v>1.04</v>
      </c>
      <c r="AI56" s="318" t="n">
        <v>1.05</v>
      </c>
      <c r="AJ56" s="318" t="n">
        <v>1</v>
      </c>
      <c r="AK56" s="318" t="n">
        <v>1</v>
      </c>
      <c r="AL56" s="318" t="n">
        <v>1.02</v>
      </c>
      <c r="AM56" s="318" t="n">
        <v>1</v>
      </c>
      <c r="AN56" s="318" t="n">
        <v>1</v>
      </c>
      <c r="AO56" s="318" t="n">
        <v>1</v>
      </c>
    </row>
    <row r="57" customFormat="false" ht="12.75" hidden="false" customHeight="false" outlineLevel="0" collapsed="false">
      <c r="A57" s="317" t="n">
        <v>38412</v>
      </c>
      <c r="B57" s="318" t="n">
        <v>1</v>
      </c>
      <c r="C57" s="318" t="n">
        <v>1</v>
      </c>
      <c r="D57" s="318" t="n">
        <v>1</v>
      </c>
      <c r="E57" s="318" t="n">
        <v>1</v>
      </c>
      <c r="F57" s="318" t="n">
        <v>1</v>
      </c>
      <c r="G57" s="318" t="n">
        <v>1</v>
      </c>
      <c r="H57" s="318" t="n">
        <v>1</v>
      </c>
      <c r="I57" s="318" t="n">
        <v>1</v>
      </c>
      <c r="J57" s="318" t="n">
        <v>1</v>
      </c>
      <c r="K57" s="318" t="n">
        <v>1</v>
      </c>
      <c r="L57" s="318" t="n">
        <v>1</v>
      </c>
      <c r="M57" s="318" t="n">
        <v>1</v>
      </c>
      <c r="N57" s="318" t="n">
        <v>1</v>
      </c>
      <c r="O57" s="318" t="n">
        <v>1</v>
      </c>
      <c r="P57" s="318" t="n">
        <v>1.03</v>
      </c>
      <c r="Q57" s="318" t="n">
        <v>1.03</v>
      </c>
      <c r="R57" s="318" t="n">
        <v>1</v>
      </c>
      <c r="S57" s="318" t="n">
        <v>1</v>
      </c>
      <c r="T57" s="318" t="n">
        <v>1.02</v>
      </c>
      <c r="U57" s="318" t="n">
        <v>1</v>
      </c>
      <c r="V57" s="318" t="n">
        <v>1</v>
      </c>
      <c r="W57" s="318" t="n">
        <v>1</v>
      </c>
      <c r="X57" s="318" t="n">
        <v>1</v>
      </c>
      <c r="Y57" s="318" t="n">
        <v>1</v>
      </c>
      <c r="Z57" s="318" t="n">
        <v>1</v>
      </c>
      <c r="AA57" s="318" t="n">
        <v>1</v>
      </c>
      <c r="AB57" s="318" t="n">
        <v>1</v>
      </c>
      <c r="AC57" s="318" t="n">
        <v>1</v>
      </c>
      <c r="AD57" s="318" t="n">
        <v>1</v>
      </c>
      <c r="AE57" s="318" t="n">
        <v>1</v>
      </c>
      <c r="AF57" s="318" t="n">
        <v>1</v>
      </c>
      <c r="AG57" s="318" t="n">
        <v>1.1</v>
      </c>
      <c r="AH57" s="318" t="n">
        <v>1.04</v>
      </c>
      <c r="AI57" s="318" t="n">
        <v>1.05</v>
      </c>
      <c r="AJ57" s="318" t="n">
        <v>1</v>
      </c>
      <c r="AK57" s="318" t="n">
        <v>1</v>
      </c>
      <c r="AL57" s="318" t="n">
        <v>1.02</v>
      </c>
      <c r="AM57" s="318" t="n">
        <v>1</v>
      </c>
      <c r="AN57" s="318" t="n">
        <v>1</v>
      </c>
      <c r="AO57" s="318" t="n">
        <v>1</v>
      </c>
    </row>
    <row r="58" customFormat="false" ht="12.75" hidden="false" customHeight="false" outlineLevel="0" collapsed="false">
      <c r="A58" s="317" t="n">
        <v>38443</v>
      </c>
      <c r="B58" s="318" t="n">
        <v>1</v>
      </c>
      <c r="C58" s="318" t="n">
        <v>1</v>
      </c>
      <c r="D58" s="318" t="n">
        <v>1</v>
      </c>
      <c r="E58" s="318" t="n">
        <v>1</v>
      </c>
      <c r="F58" s="318" t="n">
        <v>1</v>
      </c>
      <c r="G58" s="318" t="n">
        <v>1</v>
      </c>
      <c r="H58" s="318" t="n">
        <v>1</v>
      </c>
      <c r="I58" s="318" t="n">
        <v>1</v>
      </c>
      <c r="J58" s="318" t="n">
        <v>1</v>
      </c>
      <c r="K58" s="318" t="n">
        <v>1</v>
      </c>
      <c r="L58" s="318" t="n">
        <v>1</v>
      </c>
      <c r="M58" s="318" t="n">
        <v>1</v>
      </c>
      <c r="N58" s="318" t="n">
        <v>1</v>
      </c>
      <c r="O58" s="318" t="n">
        <v>1</v>
      </c>
      <c r="P58" s="318" t="n">
        <v>1.03</v>
      </c>
      <c r="Q58" s="318" t="n">
        <v>1.03</v>
      </c>
      <c r="R58" s="318" t="n">
        <v>1</v>
      </c>
      <c r="S58" s="318" t="n">
        <v>1</v>
      </c>
      <c r="T58" s="318" t="n">
        <v>1.02</v>
      </c>
      <c r="U58" s="318" t="n">
        <v>1</v>
      </c>
      <c r="V58" s="318" t="n">
        <v>1</v>
      </c>
      <c r="W58" s="318" t="n">
        <v>1</v>
      </c>
      <c r="X58" s="318" t="n">
        <v>1</v>
      </c>
      <c r="Y58" s="318" t="n">
        <v>1</v>
      </c>
      <c r="Z58" s="318" t="n">
        <v>1.02</v>
      </c>
      <c r="AA58" s="318" t="n">
        <v>1</v>
      </c>
      <c r="AB58" s="318" t="n">
        <v>1</v>
      </c>
      <c r="AC58" s="318" t="n">
        <v>1</v>
      </c>
      <c r="AD58" s="318" t="n">
        <v>1</v>
      </c>
      <c r="AE58" s="318" t="n">
        <v>0.98</v>
      </c>
      <c r="AF58" s="318" t="n">
        <v>0.98</v>
      </c>
      <c r="AG58" s="318" t="n">
        <v>0.98</v>
      </c>
      <c r="AH58" s="318" t="n">
        <v>1</v>
      </c>
      <c r="AI58" s="318" t="n">
        <v>1.05</v>
      </c>
      <c r="AJ58" s="318" t="n">
        <v>1</v>
      </c>
      <c r="AK58" s="318" t="n">
        <v>1</v>
      </c>
      <c r="AL58" s="318" t="n">
        <v>1.02</v>
      </c>
      <c r="AM58" s="318" t="n">
        <v>1</v>
      </c>
      <c r="AN58" s="318" t="n">
        <v>1</v>
      </c>
      <c r="AO58" s="318" t="n">
        <v>1</v>
      </c>
    </row>
    <row r="59" customFormat="false" ht="12.75" hidden="false" customHeight="false" outlineLevel="0" collapsed="false">
      <c r="A59" s="317" t="n">
        <v>38473</v>
      </c>
      <c r="B59" s="318" t="n">
        <v>1</v>
      </c>
      <c r="C59" s="318" t="n">
        <v>1</v>
      </c>
      <c r="D59" s="318" t="n">
        <v>1</v>
      </c>
      <c r="E59" s="318" t="n">
        <v>1</v>
      </c>
      <c r="F59" s="318" t="n">
        <v>1</v>
      </c>
      <c r="G59" s="318" t="n">
        <v>1</v>
      </c>
      <c r="H59" s="318" t="n">
        <v>1</v>
      </c>
      <c r="I59" s="318" t="n">
        <v>1</v>
      </c>
      <c r="J59" s="318" t="n">
        <v>1</v>
      </c>
      <c r="K59" s="318" t="n">
        <v>1</v>
      </c>
      <c r="L59" s="318" t="n">
        <v>1</v>
      </c>
      <c r="M59" s="318" t="n">
        <v>1</v>
      </c>
      <c r="N59" s="318" t="n">
        <v>1</v>
      </c>
      <c r="O59" s="318" t="n">
        <v>1</v>
      </c>
      <c r="P59" s="318" t="n">
        <v>1.03</v>
      </c>
      <c r="Q59" s="318" t="n">
        <v>1.03</v>
      </c>
      <c r="R59" s="318" t="n">
        <v>1</v>
      </c>
      <c r="S59" s="318" t="n">
        <v>1</v>
      </c>
      <c r="T59" s="318" t="n">
        <v>1.02</v>
      </c>
      <c r="U59" s="318" t="n">
        <v>1</v>
      </c>
      <c r="V59" s="318" t="n">
        <v>1</v>
      </c>
      <c r="W59" s="318" t="n">
        <v>1</v>
      </c>
      <c r="X59" s="318" t="n">
        <v>1</v>
      </c>
      <c r="Y59" s="318" t="n">
        <v>1</v>
      </c>
      <c r="Z59" s="318" t="n">
        <v>1.02</v>
      </c>
      <c r="AA59" s="318" t="n">
        <v>1</v>
      </c>
      <c r="AB59" s="318" t="n">
        <v>1</v>
      </c>
      <c r="AC59" s="318" t="n">
        <v>1</v>
      </c>
      <c r="AD59" s="318" t="n">
        <v>1</v>
      </c>
      <c r="AE59" s="318" t="n">
        <v>0.98</v>
      </c>
      <c r="AF59" s="318" t="n">
        <v>0.98</v>
      </c>
      <c r="AG59" s="318" t="n">
        <v>0.98</v>
      </c>
      <c r="AH59" s="318" t="n">
        <v>1</v>
      </c>
      <c r="AI59" s="318" t="n">
        <v>1.05</v>
      </c>
      <c r="AJ59" s="318" t="n">
        <v>1</v>
      </c>
      <c r="AK59" s="318" t="n">
        <v>1</v>
      </c>
      <c r="AL59" s="318" t="n">
        <v>1.02</v>
      </c>
      <c r="AM59" s="318" t="n">
        <v>1</v>
      </c>
      <c r="AN59" s="318" t="n">
        <v>1</v>
      </c>
      <c r="AO59" s="318" t="n">
        <v>1</v>
      </c>
    </row>
    <row r="60" customFormat="false" ht="12.75" hidden="false" customHeight="false" outlineLevel="0" collapsed="false">
      <c r="A60" s="317" t="n">
        <v>38504</v>
      </c>
      <c r="B60" s="318" t="n">
        <v>1</v>
      </c>
      <c r="C60" s="318" t="n">
        <v>1</v>
      </c>
      <c r="D60" s="318" t="n">
        <v>1</v>
      </c>
      <c r="E60" s="318" t="n">
        <v>1</v>
      </c>
      <c r="F60" s="318" t="n">
        <v>1</v>
      </c>
      <c r="G60" s="318" t="n">
        <v>1</v>
      </c>
      <c r="H60" s="318" t="n">
        <v>1</v>
      </c>
      <c r="I60" s="318" t="n">
        <v>1</v>
      </c>
      <c r="J60" s="318" t="n">
        <v>1</v>
      </c>
      <c r="K60" s="318" t="n">
        <v>1</v>
      </c>
      <c r="L60" s="318" t="n">
        <v>1</v>
      </c>
      <c r="M60" s="318" t="n">
        <v>1</v>
      </c>
      <c r="N60" s="318" t="n">
        <v>1</v>
      </c>
      <c r="O60" s="318" t="n">
        <v>1</v>
      </c>
      <c r="P60" s="318" t="n">
        <v>1.03</v>
      </c>
      <c r="Q60" s="318" t="n">
        <v>1.03</v>
      </c>
      <c r="R60" s="318" t="n">
        <v>1</v>
      </c>
      <c r="S60" s="318" t="n">
        <v>1</v>
      </c>
      <c r="T60" s="318" t="n">
        <v>1.02</v>
      </c>
      <c r="U60" s="318" t="n">
        <v>1</v>
      </c>
      <c r="V60" s="318" t="n">
        <v>1</v>
      </c>
      <c r="W60" s="318" t="n">
        <v>1</v>
      </c>
      <c r="X60" s="318" t="n">
        <v>1</v>
      </c>
      <c r="Y60" s="318" t="n">
        <v>1</v>
      </c>
      <c r="Z60" s="318" t="n">
        <v>1.02</v>
      </c>
      <c r="AA60" s="318" t="n">
        <v>1</v>
      </c>
      <c r="AB60" s="318" t="n">
        <v>1</v>
      </c>
      <c r="AC60" s="318" t="n">
        <v>1</v>
      </c>
      <c r="AD60" s="318" t="n">
        <v>1</v>
      </c>
      <c r="AE60" s="318" t="n">
        <v>0.98</v>
      </c>
      <c r="AF60" s="318" t="n">
        <v>0.98</v>
      </c>
      <c r="AG60" s="318" t="n">
        <v>0.98</v>
      </c>
      <c r="AH60" s="318" t="n">
        <v>1</v>
      </c>
      <c r="AI60" s="318" t="n">
        <v>1.05</v>
      </c>
      <c r="AJ60" s="318" t="n">
        <v>1</v>
      </c>
      <c r="AK60" s="318" t="n">
        <v>1</v>
      </c>
      <c r="AL60" s="318" t="n">
        <v>1.02</v>
      </c>
      <c r="AM60" s="318" t="n">
        <v>1</v>
      </c>
      <c r="AN60" s="318" t="n">
        <v>1</v>
      </c>
      <c r="AO60" s="318" t="n">
        <v>1</v>
      </c>
    </row>
    <row r="61" customFormat="false" ht="12.75" hidden="false" customHeight="false" outlineLevel="0" collapsed="false">
      <c r="A61" s="317" t="n">
        <v>38534</v>
      </c>
      <c r="B61" s="318" t="n">
        <v>1</v>
      </c>
      <c r="C61" s="318" t="n">
        <v>1</v>
      </c>
      <c r="D61" s="318" t="n">
        <v>1</v>
      </c>
      <c r="E61" s="318" t="n">
        <v>1</v>
      </c>
      <c r="F61" s="318" t="n">
        <v>1</v>
      </c>
      <c r="G61" s="318" t="n">
        <v>1</v>
      </c>
      <c r="H61" s="318" t="n">
        <v>1</v>
      </c>
      <c r="I61" s="318" t="n">
        <v>1</v>
      </c>
      <c r="J61" s="318" t="n">
        <v>1</v>
      </c>
      <c r="K61" s="318" t="n">
        <v>1</v>
      </c>
      <c r="L61" s="318" t="n">
        <v>1</v>
      </c>
      <c r="M61" s="318" t="n">
        <v>1</v>
      </c>
      <c r="N61" s="318" t="n">
        <v>1</v>
      </c>
      <c r="O61" s="318" t="n">
        <v>1</v>
      </c>
      <c r="P61" s="318" t="n">
        <v>1.03</v>
      </c>
      <c r="Q61" s="318" t="n">
        <v>1.03</v>
      </c>
      <c r="R61" s="318" t="n">
        <v>1</v>
      </c>
      <c r="S61" s="318" t="n">
        <v>1</v>
      </c>
      <c r="T61" s="318" t="n">
        <v>1.02</v>
      </c>
      <c r="U61" s="318" t="n">
        <v>1</v>
      </c>
      <c r="V61" s="318" t="n">
        <v>1</v>
      </c>
      <c r="W61" s="318" t="n">
        <v>1</v>
      </c>
      <c r="X61" s="318" t="n">
        <v>1</v>
      </c>
      <c r="Y61" s="318" t="n">
        <v>1</v>
      </c>
      <c r="Z61" s="318" t="n">
        <v>1.02</v>
      </c>
      <c r="AA61" s="318" t="n">
        <v>1</v>
      </c>
      <c r="AB61" s="318" t="n">
        <v>1</v>
      </c>
      <c r="AC61" s="318" t="n">
        <v>1</v>
      </c>
      <c r="AD61" s="318" t="n">
        <v>1</v>
      </c>
      <c r="AE61" s="318" t="n">
        <v>0.98</v>
      </c>
      <c r="AF61" s="318" t="n">
        <v>0.98</v>
      </c>
      <c r="AG61" s="318" t="n">
        <v>0.98</v>
      </c>
      <c r="AH61" s="318" t="n">
        <v>1</v>
      </c>
      <c r="AI61" s="318" t="n">
        <v>1.05</v>
      </c>
      <c r="AJ61" s="318" t="n">
        <v>1</v>
      </c>
      <c r="AK61" s="318" t="n">
        <v>1</v>
      </c>
      <c r="AL61" s="318" t="n">
        <v>1.02</v>
      </c>
      <c r="AM61" s="318" t="n">
        <v>1</v>
      </c>
      <c r="AN61" s="318" t="n">
        <v>1</v>
      </c>
      <c r="AO61" s="318" t="n">
        <v>1</v>
      </c>
    </row>
    <row r="62" customFormat="false" ht="12.75" hidden="false" customHeight="false" outlineLevel="0" collapsed="false">
      <c r="A62" s="317" t="n">
        <v>38565</v>
      </c>
      <c r="B62" s="318" t="n">
        <v>1</v>
      </c>
      <c r="C62" s="318" t="n">
        <v>1</v>
      </c>
      <c r="D62" s="318" t="n">
        <v>1</v>
      </c>
      <c r="E62" s="318" t="n">
        <v>1</v>
      </c>
      <c r="F62" s="318" t="n">
        <v>1</v>
      </c>
      <c r="G62" s="318" t="n">
        <v>1</v>
      </c>
      <c r="H62" s="318" t="n">
        <v>1</v>
      </c>
      <c r="I62" s="318" t="n">
        <v>1</v>
      </c>
      <c r="J62" s="318" t="n">
        <v>1</v>
      </c>
      <c r="K62" s="318" t="n">
        <v>1</v>
      </c>
      <c r="L62" s="318" t="n">
        <v>1</v>
      </c>
      <c r="M62" s="318" t="n">
        <v>1</v>
      </c>
      <c r="N62" s="318" t="n">
        <v>1</v>
      </c>
      <c r="O62" s="318" t="n">
        <v>1</v>
      </c>
      <c r="P62" s="318" t="n">
        <v>1.03</v>
      </c>
      <c r="Q62" s="318" t="n">
        <v>1.03</v>
      </c>
      <c r="R62" s="318" t="n">
        <v>1</v>
      </c>
      <c r="S62" s="318" t="n">
        <v>1</v>
      </c>
      <c r="T62" s="318" t="n">
        <v>1.02</v>
      </c>
      <c r="U62" s="318" t="n">
        <v>1</v>
      </c>
      <c r="V62" s="318" t="n">
        <v>1</v>
      </c>
      <c r="W62" s="318" t="n">
        <v>1</v>
      </c>
      <c r="X62" s="318" t="n">
        <v>1</v>
      </c>
      <c r="Y62" s="318" t="n">
        <v>1</v>
      </c>
      <c r="Z62" s="318" t="n">
        <v>1.02</v>
      </c>
      <c r="AA62" s="318" t="n">
        <v>1</v>
      </c>
      <c r="AB62" s="318" t="n">
        <v>1</v>
      </c>
      <c r="AC62" s="318" t="n">
        <v>1</v>
      </c>
      <c r="AD62" s="318" t="n">
        <v>1</v>
      </c>
      <c r="AE62" s="318" t="n">
        <v>0.98</v>
      </c>
      <c r="AF62" s="318" t="n">
        <v>0.98</v>
      </c>
      <c r="AG62" s="318" t="n">
        <v>0.98</v>
      </c>
      <c r="AH62" s="318" t="n">
        <v>1</v>
      </c>
      <c r="AI62" s="318" t="n">
        <v>1.05</v>
      </c>
      <c r="AJ62" s="318" t="n">
        <v>1</v>
      </c>
      <c r="AK62" s="318" t="n">
        <v>1</v>
      </c>
      <c r="AL62" s="318" t="n">
        <v>1.02</v>
      </c>
      <c r="AM62" s="318" t="n">
        <v>1</v>
      </c>
      <c r="AN62" s="318" t="n">
        <v>1</v>
      </c>
      <c r="AO62" s="318" t="n">
        <v>1</v>
      </c>
    </row>
    <row r="63" customFormat="false" ht="12.75" hidden="false" customHeight="false" outlineLevel="0" collapsed="false">
      <c r="A63" s="317" t="n">
        <v>38596</v>
      </c>
      <c r="B63" s="318" t="n">
        <v>1</v>
      </c>
      <c r="C63" s="318" t="n">
        <v>1</v>
      </c>
      <c r="D63" s="318" t="n">
        <v>1</v>
      </c>
      <c r="E63" s="318" t="n">
        <v>1</v>
      </c>
      <c r="F63" s="318" t="n">
        <v>1</v>
      </c>
      <c r="G63" s="318" t="n">
        <v>1</v>
      </c>
      <c r="H63" s="318" t="n">
        <v>1</v>
      </c>
      <c r="I63" s="318" t="n">
        <v>1</v>
      </c>
      <c r="J63" s="318" t="n">
        <v>1</v>
      </c>
      <c r="K63" s="318" t="n">
        <v>1</v>
      </c>
      <c r="L63" s="318" t="n">
        <v>1</v>
      </c>
      <c r="M63" s="318" t="n">
        <v>1</v>
      </c>
      <c r="N63" s="318" t="n">
        <v>1</v>
      </c>
      <c r="O63" s="318" t="n">
        <v>1</v>
      </c>
      <c r="P63" s="318" t="n">
        <v>1.03</v>
      </c>
      <c r="Q63" s="318" t="n">
        <v>1.03</v>
      </c>
      <c r="R63" s="318" t="n">
        <v>1</v>
      </c>
      <c r="S63" s="318" t="n">
        <v>1</v>
      </c>
      <c r="T63" s="318" t="n">
        <v>1.02</v>
      </c>
      <c r="U63" s="318" t="n">
        <v>1</v>
      </c>
      <c r="V63" s="318" t="n">
        <v>1</v>
      </c>
      <c r="W63" s="318" t="n">
        <v>1</v>
      </c>
      <c r="X63" s="318" t="n">
        <v>1</v>
      </c>
      <c r="Y63" s="318" t="n">
        <v>1</v>
      </c>
      <c r="Z63" s="318" t="n">
        <v>1.02</v>
      </c>
      <c r="AA63" s="318" t="n">
        <v>1</v>
      </c>
      <c r="AB63" s="318" t="n">
        <v>1</v>
      </c>
      <c r="AC63" s="318" t="n">
        <v>1</v>
      </c>
      <c r="AD63" s="318" t="n">
        <v>1</v>
      </c>
      <c r="AE63" s="318" t="n">
        <v>0.98</v>
      </c>
      <c r="AF63" s="318" t="n">
        <v>0.98</v>
      </c>
      <c r="AG63" s="318" t="n">
        <v>0.98</v>
      </c>
      <c r="AH63" s="318" t="n">
        <v>1</v>
      </c>
      <c r="AI63" s="318" t="n">
        <v>1.05</v>
      </c>
      <c r="AJ63" s="318" t="n">
        <v>1</v>
      </c>
      <c r="AK63" s="318" t="n">
        <v>1</v>
      </c>
      <c r="AL63" s="318" t="n">
        <v>1.02</v>
      </c>
      <c r="AM63" s="318" t="n">
        <v>1</v>
      </c>
      <c r="AN63" s="318" t="n">
        <v>1</v>
      </c>
      <c r="AO63" s="318" t="n">
        <v>1</v>
      </c>
    </row>
    <row r="64" customFormat="false" ht="12.75" hidden="false" customHeight="false" outlineLevel="0" collapsed="false">
      <c r="A64" s="317" t="n">
        <v>38626</v>
      </c>
      <c r="B64" s="318" t="n">
        <v>1</v>
      </c>
      <c r="C64" s="318" t="n">
        <v>1</v>
      </c>
      <c r="D64" s="318" t="n">
        <v>1</v>
      </c>
      <c r="E64" s="318" t="n">
        <v>1</v>
      </c>
      <c r="F64" s="318" t="n">
        <v>1</v>
      </c>
      <c r="G64" s="318" t="n">
        <v>1</v>
      </c>
      <c r="H64" s="318" t="n">
        <v>1</v>
      </c>
      <c r="I64" s="318" t="n">
        <v>1</v>
      </c>
      <c r="J64" s="318" t="n">
        <v>1</v>
      </c>
      <c r="K64" s="318" t="n">
        <v>1</v>
      </c>
      <c r="L64" s="318" t="n">
        <v>1</v>
      </c>
      <c r="M64" s="318" t="n">
        <v>1</v>
      </c>
      <c r="N64" s="318" t="n">
        <v>1</v>
      </c>
      <c r="O64" s="318" t="n">
        <v>1</v>
      </c>
      <c r="P64" s="318" t="n">
        <v>1.03</v>
      </c>
      <c r="Q64" s="318" t="n">
        <v>1.03</v>
      </c>
      <c r="R64" s="318" t="n">
        <v>1</v>
      </c>
      <c r="S64" s="318" t="n">
        <v>1</v>
      </c>
      <c r="T64" s="318" t="n">
        <v>1.02</v>
      </c>
      <c r="U64" s="318" t="n">
        <v>1</v>
      </c>
      <c r="V64" s="318" t="n">
        <v>1</v>
      </c>
      <c r="W64" s="318" t="n">
        <v>1</v>
      </c>
      <c r="X64" s="318" t="n">
        <v>1</v>
      </c>
      <c r="Y64" s="318" t="n">
        <v>1</v>
      </c>
      <c r="Z64" s="318" t="n">
        <v>1.02</v>
      </c>
      <c r="AA64" s="318" t="n">
        <v>1</v>
      </c>
      <c r="AB64" s="318" t="n">
        <v>1</v>
      </c>
      <c r="AC64" s="318" t="n">
        <v>1</v>
      </c>
      <c r="AD64" s="318" t="n">
        <v>1</v>
      </c>
      <c r="AE64" s="318" t="n">
        <v>0.98</v>
      </c>
      <c r="AF64" s="318" t="n">
        <v>0.98</v>
      </c>
      <c r="AG64" s="318" t="n">
        <v>0.98</v>
      </c>
      <c r="AH64" s="318" t="n">
        <v>1</v>
      </c>
      <c r="AI64" s="318" t="n">
        <v>1.05</v>
      </c>
      <c r="AJ64" s="318" t="n">
        <v>1</v>
      </c>
      <c r="AK64" s="318" t="n">
        <v>1</v>
      </c>
      <c r="AL64" s="318" t="n">
        <v>1.02</v>
      </c>
      <c r="AM64" s="318" t="n">
        <v>1</v>
      </c>
      <c r="AN64" s="318" t="n">
        <v>1</v>
      </c>
      <c r="AO64" s="318" t="n">
        <v>1</v>
      </c>
    </row>
    <row r="65" customFormat="false" ht="12.75" hidden="false" customHeight="false" outlineLevel="0" collapsed="false">
      <c r="A65" s="317" t="n">
        <v>38657</v>
      </c>
      <c r="B65" s="318" t="n">
        <v>1</v>
      </c>
      <c r="C65" s="318" t="n">
        <v>1</v>
      </c>
      <c r="D65" s="318" t="n">
        <v>1</v>
      </c>
      <c r="E65" s="318" t="n">
        <v>1</v>
      </c>
      <c r="F65" s="318" t="n">
        <v>1</v>
      </c>
      <c r="G65" s="318" t="n">
        <v>1</v>
      </c>
      <c r="H65" s="318" t="n">
        <v>1</v>
      </c>
      <c r="I65" s="318" t="n">
        <v>1</v>
      </c>
      <c r="J65" s="318" t="n">
        <v>1</v>
      </c>
      <c r="K65" s="318" t="n">
        <v>1</v>
      </c>
      <c r="L65" s="318" t="n">
        <v>1</v>
      </c>
      <c r="M65" s="318" t="n">
        <v>1</v>
      </c>
      <c r="N65" s="318" t="n">
        <v>1</v>
      </c>
      <c r="O65" s="318" t="n">
        <v>1</v>
      </c>
      <c r="P65" s="318" t="n">
        <v>1.03</v>
      </c>
      <c r="Q65" s="318" t="n">
        <v>1.03</v>
      </c>
      <c r="R65" s="318" t="n">
        <v>1</v>
      </c>
      <c r="S65" s="318" t="n">
        <v>1</v>
      </c>
      <c r="T65" s="318" t="n">
        <v>1.02</v>
      </c>
      <c r="U65" s="318" t="n">
        <v>1</v>
      </c>
      <c r="V65" s="318" t="n">
        <v>1</v>
      </c>
      <c r="W65" s="318" t="n">
        <v>1</v>
      </c>
      <c r="X65" s="318" t="n">
        <v>1</v>
      </c>
      <c r="Y65" s="318" t="n">
        <v>1</v>
      </c>
      <c r="Z65" s="318" t="n">
        <v>1</v>
      </c>
      <c r="AA65" s="318" t="n">
        <v>1</v>
      </c>
      <c r="AB65" s="318" t="n">
        <v>1</v>
      </c>
      <c r="AC65" s="318" t="n">
        <v>1</v>
      </c>
      <c r="AD65" s="318" t="n">
        <v>1</v>
      </c>
      <c r="AE65" s="318" t="n">
        <v>1</v>
      </c>
      <c r="AF65" s="318" t="n">
        <v>1</v>
      </c>
      <c r="AG65" s="318" t="n">
        <v>1.1</v>
      </c>
      <c r="AH65" s="318" t="n">
        <v>1.1</v>
      </c>
      <c r="AI65" s="318" t="n">
        <v>1.05</v>
      </c>
      <c r="AJ65" s="318" t="n">
        <v>1</v>
      </c>
      <c r="AK65" s="318" t="n">
        <v>1</v>
      </c>
      <c r="AL65" s="318" t="n">
        <v>1.02</v>
      </c>
      <c r="AM65" s="318" t="n">
        <v>1</v>
      </c>
      <c r="AN65" s="318" t="n">
        <v>1</v>
      </c>
      <c r="AO65" s="318" t="n">
        <v>1</v>
      </c>
    </row>
    <row r="66" customFormat="false" ht="12.75" hidden="false" customHeight="false" outlineLevel="0" collapsed="false">
      <c r="A66" s="317" t="n">
        <v>38687</v>
      </c>
      <c r="B66" s="318" t="n">
        <v>1</v>
      </c>
      <c r="C66" s="318" t="n">
        <v>1</v>
      </c>
      <c r="D66" s="318" t="n">
        <v>1</v>
      </c>
      <c r="E66" s="318" t="n">
        <v>1</v>
      </c>
      <c r="F66" s="318" t="n">
        <v>1</v>
      </c>
      <c r="G66" s="318" t="n">
        <v>1</v>
      </c>
      <c r="H66" s="318" t="n">
        <v>1</v>
      </c>
      <c r="I66" s="318" t="n">
        <v>1</v>
      </c>
      <c r="J66" s="318" t="n">
        <v>1</v>
      </c>
      <c r="K66" s="318" t="n">
        <v>1</v>
      </c>
      <c r="L66" s="318" t="n">
        <v>1</v>
      </c>
      <c r="M66" s="318" t="n">
        <v>1</v>
      </c>
      <c r="N66" s="318" t="n">
        <v>1</v>
      </c>
      <c r="O66" s="318" t="n">
        <v>1</v>
      </c>
      <c r="P66" s="318" t="n">
        <v>1.03</v>
      </c>
      <c r="Q66" s="318" t="n">
        <v>1.03</v>
      </c>
      <c r="R66" s="318" t="n">
        <v>1</v>
      </c>
      <c r="S66" s="318" t="n">
        <v>1</v>
      </c>
      <c r="T66" s="318" t="n">
        <v>1.02</v>
      </c>
      <c r="U66" s="318" t="n">
        <v>1</v>
      </c>
      <c r="V66" s="318" t="n">
        <v>1</v>
      </c>
      <c r="W66" s="318" t="n">
        <v>1</v>
      </c>
      <c r="X66" s="318" t="n">
        <v>1</v>
      </c>
      <c r="Y66" s="318" t="n">
        <v>1</v>
      </c>
      <c r="Z66" s="318" t="n">
        <v>1</v>
      </c>
      <c r="AA66" s="318" t="n">
        <v>1</v>
      </c>
      <c r="AB66" s="318" t="n">
        <v>1</v>
      </c>
      <c r="AC66" s="318" t="n">
        <v>1</v>
      </c>
      <c r="AD66" s="318" t="n">
        <v>1</v>
      </c>
      <c r="AE66" s="318" t="n">
        <v>1</v>
      </c>
      <c r="AF66" s="318" t="n">
        <v>1</v>
      </c>
      <c r="AG66" s="318" t="n">
        <v>1.1</v>
      </c>
      <c r="AH66" s="318" t="n">
        <v>1.02</v>
      </c>
      <c r="AI66" s="318" t="n">
        <v>1.05</v>
      </c>
      <c r="AJ66" s="318" t="n">
        <v>1</v>
      </c>
      <c r="AK66" s="318" t="n">
        <v>1</v>
      </c>
      <c r="AL66" s="318" t="n">
        <v>1.02</v>
      </c>
      <c r="AM66" s="318" t="n">
        <v>1</v>
      </c>
      <c r="AN66" s="318" t="n">
        <v>1</v>
      </c>
      <c r="AO66" s="318" t="n">
        <v>1</v>
      </c>
    </row>
    <row r="67" customFormat="false" ht="12.75" hidden="false" customHeight="false" outlineLevel="0" collapsed="false">
      <c r="A67" s="317" t="n">
        <v>38718</v>
      </c>
      <c r="B67" s="318" t="n">
        <v>1</v>
      </c>
      <c r="C67" s="318" t="n">
        <v>1</v>
      </c>
      <c r="D67" s="318" t="n">
        <v>1</v>
      </c>
      <c r="E67" s="318" t="n">
        <v>1</v>
      </c>
      <c r="F67" s="318" t="n">
        <v>1</v>
      </c>
      <c r="G67" s="318" t="n">
        <v>1</v>
      </c>
      <c r="H67" s="318" t="n">
        <v>1</v>
      </c>
      <c r="I67" s="318" t="n">
        <v>1</v>
      </c>
      <c r="J67" s="318" t="n">
        <v>1</v>
      </c>
      <c r="K67" s="318" t="n">
        <v>1</v>
      </c>
      <c r="L67" s="318" t="n">
        <v>1</v>
      </c>
      <c r="M67" s="318" t="n">
        <v>1</v>
      </c>
      <c r="N67" s="318" t="n">
        <v>1</v>
      </c>
      <c r="O67" s="318" t="n">
        <v>1</v>
      </c>
      <c r="P67" s="318" t="n">
        <v>1.03</v>
      </c>
      <c r="Q67" s="318" t="n">
        <v>1.03</v>
      </c>
      <c r="R67" s="318" t="n">
        <v>1</v>
      </c>
      <c r="S67" s="318" t="n">
        <v>1</v>
      </c>
      <c r="T67" s="318" t="n">
        <v>1.02</v>
      </c>
      <c r="U67" s="318" t="n">
        <v>1</v>
      </c>
      <c r="V67" s="318" t="n">
        <v>1</v>
      </c>
      <c r="W67" s="318" t="n">
        <v>1</v>
      </c>
      <c r="X67" s="318" t="n">
        <v>1</v>
      </c>
      <c r="Y67" s="318" t="n">
        <v>1</v>
      </c>
      <c r="Z67" s="318" t="n">
        <v>1</v>
      </c>
      <c r="AA67" s="318" t="n">
        <v>1</v>
      </c>
      <c r="AB67" s="318" t="n">
        <v>1</v>
      </c>
      <c r="AC67" s="318" t="n">
        <v>1</v>
      </c>
      <c r="AD67" s="318" t="n">
        <v>1</v>
      </c>
      <c r="AE67" s="318" t="n">
        <v>1</v>
      </c>
      <c r="AF67" s="318" t="n">
        <v>1</v>
      </c>
      <c r="AG67" s="318" t="n">
        <v>1.1</v>
      </c>
      <c r="AH67" s="318" t="n">
        <v>1.04</v>
      </c>
      <c r="AI67" s="318" t="n">
        <v>1.05</v>
      </c>
      <c r="AJ67" s="318" t="n">
        <v>1</v>
      </c>
      <c r="AK67" s="318" t="n">
        <v>1</v>
      </c>
      <c r="AL67" s="318" t="n">
        <v>1.02</v>
      </c>
      <c r="AM67" s="318" t="n">
        <v>1</v>
      </c>
      <c r="AN67" s="318" t="n">
        <v>1</v>
      </c>
      <c r="AO67" s="318" t="n">
        <v>1</v>
      </c>
    </row>
    <row r="68" customFormat="false" ht="12.75" hidden="false" customHeight="false" outlineLevel="0" collapsed="false">
      <c r="A68" s="317" t="n">
        <v>38749</v>
      </c>
      <c r="B68" s="318" t="n">
        <v>1</v>
      </c>
      <c r="C68" s="318" t="n">
        <v>1</v>
      </c>
      <c r="D68" s="318" t="n">
        <v>1</v>
      </c>
      <c r="E68" s="318" t="n">
        <v>1</v>
      </c>
      <c r="F68" s="318" t="n">
        <v>1</v>
      </c>
      <c r="G68" s="318" t="n">
        <v>1</v>
      </c>
      <c r="H68" s="318" t="n">
        <v>1</v>
      </c>
      <c r="I68" s="318" t="n">
        <v>1</v>
      </c>
      <c r="J68" s="318" t="n">
        <v>1</v>
      </c>
      <c r="K68" s="318" t="n">
        <v>1</v>
      </c>
      <c r="L68" s="318" t="n">
        <v>1</v>
      </c>
      <c r="M68" s="318" t="n">
        <v>1</v>
      </c>
      <c r="N68" s="318" t="n">
        <v>1</v>
      </c>
      <c r="O68" s="318" t="n">
        <v>1</v>
      </c>
      <c r="P68" s="318" t="n">
        <v>1.03</v>
      </c>
      <c r="Q68" s="318" t="n">
        <v>1.03</v>
      </c>
      <c r="R68" s="318" t="n">
        <v>1</v>
      </c>
      <c r="S68" s="318" t="n">
        <v>1</v>
      </c>
      <c r="T68" s="318" t="n">
        <v>1.02</v>
      </c>
      <c r="U68" s="318" t="n">
        <v>1</v>
      </c>
      <c r="V68" s="318" t="n">
        <v>1</v>
      </c>
      <c r="W68" s="318" t="n">
        <v>1</v>
      </c>
      <c r="X68" s="318" t="n">
        <v>1</v>
      </c>
      <c r="Y68" s="318" t="n">
        <v>1</v>
      </c>
      <c r="Z68" s="318" t="n">
        <v>1</v>
      </c>
      <c r="AA68" s="318" t="n">
        <v>1</v>
      </c>
      <c r="AB68" s="318" t="n">
        <v>1</v>
      </c>
      <c r="AC68" s="318" t="n">
        <v>1</v>
      </c>
      <c r="AD68" s="318" t="n">
        <v>1</v>
      </c>
      <c r="AE68" s="318" t="n">
        <v>1</v>
      </c>
      <c r="AF68" s="318" t="n">
        <v>1</v>
      </c>
      <c r="AG68" s="318" t="n">
        <v>1.1</v>
      </c>
      <c r="AH68" s="318" t="n">
        <v>1.04</v>
      </c>
      <c r="AI68" s="318" t="n">
        <v>1.05</v>
      </c>
      <c r="AJ68" s="318" t="n">
        <v>1</v>
      </c>
      <c r="AK68" s="318" t="n">
        <v>1</v>
      </c>
      <c r="AL68" s="318" t="n">
        <v>1.02</v>
      </c>
      <c r="AM68" s="318" t="n">
        <v>1</v>
      </c>
      <c r="AN68" s="318" t="n">
        <v>1</v>
      </c>
      <c r="AO68" s="318" t="n">
        <v>1</v>
      </c>
    </row>
    <row r="69" customFormat="false" ht="12.75" hidden="false" customHeight="false" outlineLevel="0" collapsed="false">
      <c r="A69" s="317" t="n">
        <v>38777</v>
      </c>
      <c r="B69" s="318" t="n">
        <v>1</v>
      </c>
      <c r="C69" s="318" t="n">
        <v>1</v>
      </c>
      <c r="D69" s="318" t="n">
        <v>1</v>
      </c>
      <c r="E69" s="318" t="n">
        <v>1</v>
      </c>
      <c r="F69" s="318" t="n">
        <v>1</v>
      </c>
      <c r="G69" s="318" t="n">
        <v>1</v>
      </c>
      <c r="H69" s="318" t="n">
        <v>1</v>
      </c>
      <c r="I69" s="318" t="n">
        <v>1</v>
      </c>
      <c r="J69" s="318" t="n">
        <v>1</v>
      </c>
      <c r="K69" s="318" t="n">
        <v>1</v>
      </c>
      <c r="L69" s="318" t="n">
        <v>1</v>
      </c>
      <c r="M69" s="318" t="n">
        <v>1</v>
      </c>
      <c r="N69" s="318" t="n">
        <v>1</v>
      </c>
      <c r="O69" s="318" t="n">
        <v>1</v>
      </c>
      <c r="P69" s="318" t="n">
        <v>1.03</v>
      </c>
      <c r="Q69" s="318" t="n">
        <v>1.03</v>
      </c>
      <c r="R69" s="318" t="n">
        <v>1</v>
      </c>
      <c r="S69" s="318" t="n">
        <v>1</v>
      </c>
      <c r="T69" s="318" t="n">
        <v>1.02</v>
      </c>
      <c r="U69" s="318" t="n">
        <v>1</v>
      </c>
      <c r="V69" s="318" t="n">
        <v>1</v>
      </c>
      <c r="W69" s="318" t="n">
        <v>1</v>
      </c>
      <c r="X69" s="318" t="n">
        <v>1</v>
      </c>
      <c r="Y69" s="318" t="n">
        <v>1</v>
      </c>
      <c r="Z69" s="318" t="n">
        <v>1</v>
      </c>
      <c r="AA69" s="318" t="n">
        <v>1</v>
      </c>
      <c r="AB69" s="318" t="n">
        <v>1</v>
      </c>
      <c r="AC69" s="318" t="n">
        <v>1</v>
      </c>
      <c r="AD69" s="318" t="n">
        <v>1</v>
      </c>
      <c r="AE69" s="318" t="n">
        <v>1</v>
      </c>
      <c r="AF69" s="318" t="n">
        <v>1</v>
      </c>
      <c r="AG69" s="318" t="n">
        <v>1.1</v>
      </c>
      <c r="AH69" s="318" t="n">
        <v>1.04</v>
      </c>
      <c r="AI69" s="318" t="n">
        <v>1.05</v>
      </c>
      <c r="AJ69" s="318" t="n">
        <v>1</v>
      </c>
      <c r="AK69" s="318" t="n">
        <v>1</v>
      </c>
      <c r="AL69" s="318" t="n">
        <v>1.02</v>
      </c>
      <c r="AM69" s="318" t="n">
        <v>1</v>
      </c>
      <c r="AN69" s="318" t="n">
        <v>1</v>
      </c>
      <c r="AO69" s="318" t="n">
        <v>1</v>
      </c>
    </row>
    <row r="70" customFormat="false" ht="12.75" hidden="false" customHeight="false" outlineLevel="0" collapsed="false">
      <c r="A70" s="317" t="n">
        <v>38808</v>
      </c>
      <c r="B70" s="318" t="n">
        <v>1</v>
      </c>
      <c r="C70" s="318" t="n">
        <v>1</v>
      </c>
      <c r="D70" s="318" t="n">
        <v>1</v>
      </c>
      <c r="E70" s="318" t="n">
        <v>1</v>
      </c>
      <c r="F70" s="318" t="n">
        <v>1</v>
      </c>
      <c r="G70" s="318" t="n">
        <v>1</v>
      </c>
      <c r="H70" s="318" t="n">
        <v>1</v>
      </c>
      <c r="I70" s="318" t="n">
        <v>1</v>
      </c>
      <c r="J70" s="318" t="n">
        <v>1</v>
      </c>
      <c r="K70" s="318" t="n">
        <v>1</v>
      </c>
      <c r="L70" s="318" t="n">
        <v>1</v>
      </c>
      <c r="M70" s="318" t="n">
        <v>1</v>
      </c>
      <c r="N70" s="318" t="n">
        <v>1</v>
      </c>
      <c r="O70" s="318" t="n">
        <v>1</v>
      </c>
      <c r="P70" s="318" t="n">
        <v>1.03</v>
      </c>
      <c r="Q70" s="318" t="n">
        <v>1.03</v>
      </c>
      <c r="R70" s="318" t="n">
        <v>1</v>
      </c>
      <c r="S70" s="318" t="n">
        <v>1</v>
      </c>
      <c r="T70" s="318" t="n">
        <v>1.02</v>
      </c>
      <c r="U70" s="318" t="n">
        <v>1</v>
      </c>
      <c r="V70" s="318" t="n">
        <v>1</v>
      </c>
      <c r="W70" s="318" t="n">
        <v>1</v>
      </c>
      <c r="X70" s="318" t="n">
        <v>1</v>
      </c>
      <c r="Y70" s="318" t="n">
        <v>1</v>
      </c>
      <c r="Z70" s="318" t="n">
        <v>1.02</v>
      </c>
      <c r="AA70" s="318" t="n">
        <v>1</v>
      </c>
      <c r="AB70" s="318" t="n">
        <v>1</v>
      </c>
      <c r="AC70" s="318" t="n">
        <v>1</v>
      </c>
      <c r="AD70" s="318" t="n">
        <v>1</v>
      </c>
      <c r="AE70" s="318" t="n">
        <v>0.98</v>
      </c>
      <c r="AF70" s="318" t="n">
        <v>0.98</v>
      </c>
      <c r="AG70" s="318" t="n">
        <v>0.98</v>
      </c>
      <c r="AH70" s="318" t="n">
        <v>1</v>
      </c>
      <c r="AI70" s="318" t="n">
        <v>1.05</v>
      </c>
      <c r="AJ70" s="318" t="n">
        <v>1</v>
      </c>
      <c r="AK70" s="318" t="n">
        <v>1</v>
      </c>
      <c r="AL70" s="318" t="n">
        <v>1.02</v>
      </c>
      <c r="AM70" s="318" t="n">
        <v>1</v>
      </c>
      <c r="AN70" s="318" t="n">
        <v>1</v>
      </c>
      <c r="AO70" s="318" t="n">
        <v>1</v>
      </c>
    </row>
    <row r="71" customFormat="false" ht="12.75" hidden="false" customHeight="false" outlineLevel="0" collapsed="false">
      <c r="A71" s="317" t="n">
        <v>38838</v>
      </c>
      <c r="B71" s="318" t="n">
        <v>1</v>
      </c>
      <c r="C71" s="318" t="n">
        <v>1</v>
      </c>
      <c r="D71" s="318" t="n">
        <v>1</v>
      </c>
      <c r="E71" s="318" t="n">
        <v>1</v>
      </c>
      <c r="F71" s="318" t="n">
        <v>1</v>
      </c>
      <c r="G71" s="318" t="n">
        <v>1</v>
      </c>
      <c r="H71" s="318" t="n">
        <v>1</v>
      </c>
      <c r="I71" s="318" t="n">
        <v>1</v>
      </c>
      <c r="J71" s="318" t="n">
        <v>1</v>
      </c>
      <c r="K71" s="318" t="n">
        <v>1</v>
      </c>
      <c r="L71" s="318" t="n">
        <v>1</v>
      </c>
      <c r="M71" s="318" t="n">
        <v>1</v>
      </c>
      <c r="N71" s="318" t="n">
        <v>1</v>
      </c>
      <c r="O71" s="318" t="n">
        <v>1</v>
      </c>
      <c r="P71" s="318" t="n">
        <v>1.03</v>
      </c>
      <c r="Q71" s="318" t="n">
        <v>1.03</v>
      </c>
      <c r="R71" s="318" t="n">
        <v>1</v>
      </c>
      <c r="S71" s="318" t="n">
        <v>1</v>
      </c>
      <c r="T71" s="318" t="n">
        <v>1.02</v>
      </c>
      <c r="U71" s="318" t="n">
        <v>1</v>
      </c>
      <c r="V71" s="318" t="n">
        <v>1</v>
      </c>
      <c r="W71" s="318" t="n">
        <v>1</v>
      </c>
      <c r="X71" s="318" t="n">
        <v>1</v>
      </c>
      <c r="Y71" s="318" t="n">
        <v>1</v>
      </c>
      <c r="Z71" s="318" t="n">
        <v>1.02</v>
      </c>
      <c r="AA71" s="318" t="n">
        <v>1</v>
      </c>
      <c r="AB71" s="318" t="n">
        <v>1</v>
      </c>
      <c r="AC71" s="318" t="n">
        <v>1</v>
      </c>
      <c r="AD71" s="318" t="n">
        <v>1</v>
      </c>
      <c r="AE71" s="318" t="n">
        <v>0.98</v>
      </c>
      <c r="AF71" s="318" t="n">
        <v>0.98</v>
      </c>
      <c r="AG71" s="318" t="n">
        <v>0.98</v>
      </c>
      <c r="AH71" s="318" t="n">
        <v>1</v>
      </c>
      <c r="AI71" s="318" t="n">
        <v>1.05</v>
      </c>
      <c r="AJ71" s="318" t="n">
        <v>1</v>
      </c>
      <c r="AK71" s="318" t="n">
        <v>1</v>
      </c>
      <c r="AL71" s="318" t="n">
        <v>1.02</v>
      </c>
      <c r="AM71" s="318" t="n">
        <v>1</v>
      </c>
      <c r="AN71" s="318" t="n">
        <v>1</v>
      </c>
      <c r="AO71" s="318" t="n">
        <v>1</v>
      </c>
    </row>
    <row r="72" customFormat="false" ht="12.75" hidden="false" customHeight="false" outlineLevel="0" collapsed="false">
      <c r="A72" s="317" t="n">
        <v>38869</v>
      </c>
      <c r="B72" s="318" t="n">
        <v>1</v>
      </c>
      <c r="C72" s="318" t="n">
        <v>1</v>
      </c>
      <c r="D72" s="318" t="n">
        <v>1</v>
      </c>
      <c r="E72" s="318" t="n">
        <v>1</v>
      </c>
      <c r="F72" s="318" t="n">
        <v>1</v>
      </c>
      <c r="G72" s="318" t="n">
        <v>1</v>
      </c>
      <c r="H72" s="318" t="n">
        <v>1</v>
      </c>
      <c r="I72" s="318" t="n">
        <v>1</v>
      </c>
      <c r="J72" s="318" t="n">
        <v>1</v>
      </c>
      <c r="K72" s="318" t="n">
        <v>1</v>
      </c>
      <c r="L72" s="318" t="n">
        <v>1</v>
      </c>
      <c r="M72" s="318" t="n">
        <v>1</v>
      </c>
      <c r="N72" s="318" t="n">
        <v>1</v>
      </c>
      <c r="O72" s="318" t="n">
        <v>1</v>
      </c>
      <c r="P72" s="318" t="n">
        <v>1.03</v>
      </c>
      <c r="Q72" s="318" t="n">
        <v>1.03</v>
      </c>
      <c r="R72" s="318" t="n">
        <v>1</v>
      </c>
      <c r="S72" s="318" t="n">
        <v>1</v>
      </c>
      <c r="T72" s="318" t="n">
        <v>1.02</v>
      </c>
      <c r="U72" s="318" t="n">
        <v>1</v>
      </c>
      <c r="V72" s="318" t="n">
        <v>1</v>
      </c>
      <c r="W72" s="318" t="n">
        <v>1</v>
      </c>
      <c r="X72" s="318" t="n">
        <v>1</v>
      </c>
      <c r="Y72" s="318" t="n">
        <v>1</v>
      </c>
      <c r="Z72" s="318" t="n">
        <v>1.02</v>
      </c>
      <c r="AA72" s="318" t="n">
        <v>1</v>
      </c>
      <c r="AB72" s="318" t="n">
        <v>1</v>
      </c>
      <c r="AC72" s="318" t="n">
        <v>1</v>
      </c>
      <c r="AD72" s="318" t="n">
        <v>1</v>
      </c>
      <c r="AE72" s="318" t="n">
        <v>0.98</v>
      </c>
      <c r="AF72" s="318" t="n">
        <v>0.98</v>
      </c>
      <c r="AG72" s="318" t="n">
        <v>0.98</v>
      </c>
      <c r="AH72" s="318" t="n">
        <v>1</v>
      </c>
      <c r="AI72" s="318" t="n">
        <v>1.05</v>
      </c>
      <c r="AJ72" s="318" t="n">
        <v>1</v>
      </c>
      <c r="AK72" s="318" t="n">
        <v>1</v>
      </c>
      <c r="AL72" s="318" t="n">
        <v>1.02</v>
      </c>
      <c r="AM72" s="318" t="n">
        <v>1</v>
      </c>
      <c r="AN72" s="318" t="n">
        <v>1</v>
      </c>
      <c r="AO72" s="318" t="n">
        <v>1</v>
      </c>
    </row>
    <row r="73" customFormat="false" ht="12.75" hidden="false" customHeight="false" outlineLevel="0" collapsed="false">
      <c r="A73" s="317" t="n">
        <v>38899</v>
      </c>
      <c r="B73" s="318" t="n">
        <v>1</v>
      </c>
      <c r="C73" s="318" t="n">
        <v>1</v>
      </c>
      <c r="D73" s="318" t="n">
        <v>1</v>
      </c>
      <c r="E73" s="318" t="n">
        <v>1</v>
      </c>
      <c r="F73" s="318" t="n">
        <v>1</v>
      </c>
      <c r="G73" s="318" t="n">
        <v>1</v>
      </c>
      <c r="H73" s="318" t="n">
        <v>1</v>
      </c>
      <c r="I73" s="318" t="n">
        <v>1</v>
      </c>
      <c r="J73" s="318" t="n">
        <v>1</v>
      </c>
      <c r="K73" s="318" t="n">
        <v>1</v>
      </c>
      <c r="L73" s="318" t="n">
        <v>1</v>
      </c>
      <c r="M73" s="318" t="n">
        <v>1</v>
      </c>
      <c r="N73" s="318" t="n">
        <v>1</v>
      </c>
      <c r="O73" s="318" t="n">
        <v>1</v>
      </c>
      <c r="P73" s="318" t="n">
        <v>1.03</v>
      </c>
      <c r="Q73" s="318" t="n">
        <v>1.03</v>
      </c>
      <c r="R73" s="318" t="n">
        <v>1</v>
      </c>
      <c r="S73" s="318" t="n">
        <v>1</v>
      </c>
      <c r="T73" s="318" t="n">
        <v>1.02</v>
      </c>
      <c r="U73" s="318" t="n">
        <v>1</v>
      </c>
      <c r="V73" s="318" t="n">
        <v>1</v>
      </c>
      <c r="W73" s="318" t="n">
        <v>1</v>
      </c>
      <c r="X73" s="318" t="n">
        <v>1</v>
      </c>
      <c r="Y73" s="318" t="n">
        <v>1</v>
      </c>
      <c r="Z73" s="318" t="n">
        <v>1.02</v>
      </c>
      <c r="AA73" s="318" t="n">
        <v>1</v>
      </c>
      <c r="AB73" s="318" t="n">
        <v>1</v>
      </c>
      <c r="AC73" s="318" t="n">
        <v>1</v>
      </c>
      <c r="AD73" s="318" t="n">
        <v>1</v>
      </c>
      <c r="AE73" s="318" t="n">
        <v>0.98</v>
      </c>
      <c r="AF73" s="318" t="n">
        <v>0.98</v>
      </c>
      <c r="AG73" s="318" t="n">
        <v>0.98</v>
      </c>
      <c r="AH73" s="318" t="n">
        <v>1</v>
      </c>
      <c r="AI73" s="318" t="n">
        <v>1.05</v>
      </c>
      <c r="AJ73" s="318" t="n">
        <v>1</v>
      </c>
      <c r="AK73" s="318" t="n">
        <v>1</v>
      </c>
      <c r="AL73" s="318" t="n">
        <v>1.02</v>
      </c>
      <c r="AM73" s="318" t="n">
        <v>1</v>
      </c>
      <c r="AN73" s="318" t="n">
        <v>1</v>
      </c>
      <c r="AO73" s="318" t="n">
        <v>1</v>
      </c>
    </row>
    <row r="74" customFormat="false" ht="12.75" hidden="false" customHeight="false" outlineLevel="0" collapsed="false">
      <c r="A74" s="317" t="n">
        <v>38930</v>
      </c>
      <c r="B74" s="318" t="n">
        <v>1</v>
      </c>
      <c r="C74" s="318" t="n">
        <v>1</v>
      </c>
      <c r="D74" s="318" t="n">
        <v>1</v>
      </c>
      <c r="E74" s="318" t="n">
        <v>1</v>
      </c>
      <c r="F74" s="318" t="n">
        <v>1</v>
      </c>
      <c r="G74" s="318" t="n">
        <v>1</v>
      </c>
      <c r="H74" s="318" t="n">
        <v>1</v>
      </c>
      <c r="I74" s="318" t="n">
        <v>1</v>
      </c>
      <c r="J74" s="318" t="n">
        <v>1</v>
      </c>
      <c r="K74" s="318" t="n">
        <v>1</v>
      </c>
      <c r="L74" s="318" t="n">
        <v>1</v>
      </c>
      <c r="M74" s="318" t="n">
        <v>1</v>
      </c>
      <c r="N74" s="318" t="n">
        <v>1</v>
      </c>
      <c r="O74" s="318" t="n">
        <v>1</v>
      </c>
      <c r="P74" s="318" t="n">
        <v>1.03</v>
      </c>
      <c r="Q74" s="318" t="n">
        <v>1.03</v>
      </c>
      <c r="R74" s="318" t="n">
        <v>1</v>
      </c>
      <c r="S74" s="318" t="n">
        <v>1</v>
      </c>
      <c r="T74" s="318" t="n">
        <v>1.02</v>
      </c>
      <c r="U74" s="318" t="n">
        <v>1</v>
      </c>
      <c r="V74" s="318" t="n">
        <v>1</v>
      </c>
      <c r="W74" s="318" t="n">
        <v>1</v>
      </c>
      <c r="X74" s="318" t="n">
        <v>1</v>
      </c>
      <c r="Y74" s="318" t="n">
        <v>1</v>
      </c>
      <c r="Z74" s="318" t="n">
        <v>1.02</v>
      </c>
      <c r="AA74" s="318" t="n">
        <v>1</v>
      </c>
      <c r="AB74" s="318" t="n">
        <v>1</v>
      </c>
      <c r="AC74" s="318" t="n">
        <v>1</v>
      </c>
      <c r="AD74" s="318" t="n">
        <v>1</v>
      </c>
      <c r="AE74" s="318" t="n">
        <v>0.98</v>
      </c>
      <c r="AF74" s="318" t="n">
        <v>0.98</v>
      </c>
      <c r="AG74" s="318" t="n">
        <v>0.98</v>
      </c>
      <c r="AH74" s="318" t="n">
        <v>1</v>
      </c>
      <c r="AI74" s="318" t="n">
        <v>1.05</v>
      </c>
      <c r="AJ74" s="318" t="n">
        <v>1</v>
      </c>
      <c r="AK74" s="318" t="n">
        <v>1</v>
      </c>
      <c r="AL74" s="318" t="n">
        <v>1.02</v>
      </c>
      <c r="AM74" s="318" t="n">
        <v>1</v>
      </c>
      <c r="AN74" s="318" t="n">
        <v>1</v>
      </c>
      <c r="AO74" s="318" t="n">
        <v>1</v>
      </c>
    </row>
    <row r="75" customFormat="false" ht="12.75" hidden="false" customHeight="false" outlineLevel="0" collapsed="false">
      <c r="A75" s="317" t="n">
        <v>38961</v>
      </c>
      <c r="B75" s="318" t="n">
        <v>1</v>
      </c>
      <c r="C75" s="318" t="n">
        <v>1</v>
      </c>
      <c r="D75" s="318" t="n">
        <v>1</v>
      </c>
      <c r="E75" s="318" t="n">
        <v>1</v>
      </c>
      <c r="F75" s="318" t="n">
        <v>1</v>
      </c>
      <c r="G75" s="318" t="n">
        <v>1</v>
      </c>
      <c r="H75" s="318" t="n">
        <v>1</v>
      </c>
      <c r="I75" s="318" t="n">
        <v>1</v>
      </c>
      <c r="J75" s="318" t="n">
        <v>1</v>
      </c>
      <c r="K75" s="318" t="n">
        <v>1</v>
      </c>
      <c r="L75" s="318" t="n">
        <v>1</v>
      </c>
      <c r="M75" s="318" t="n">
        <v>1</v>
      </c>
      <c r="N75" s="318" t="n">
        <v>1</v>
      </c>
      <c r="O75" s="318" t="n">
        <v>1</v>
      </c>
      <c r="P75" s="318" t="n">
        <v>1.03</v>
      </c>
      <c r="Q75" s="318" t="n">
        <v>1.03</v>
      </c>
      <c r="R75" s="318" t="n">
        <v>1</v>
      </c>
      <c r="S75" s="318" t="n">
        <v>1</v>
      </c>
      <c r="T75" s="318" t="n">
        <v>1.02</v>
      </c>
      <c r="U75" s="318" t="n">
        <v>1</v>
      </c>
      <c r="V75" s="318" t="n">
        <v>1</v>
      </c>
      <c r="W75" s="318" t="n">
        <v>1</v>
      </c>
      <c r="X75" s="318" t="n">
        <v>1</v>
      </c>
      <c r="Y75" s="318" t="n">
        <v>1</v>
      </c>
      <c r="Z75" s="318" t="n">
        <v>1.02</v>
      </c>
      <c r="AA75" s="318" t="n">
        <v>1</v>
      </c>
      <c r="AB75" s="318" t="n">
        <v>1</v>
      </c>
      <c r="AC75" s="318" t="n">
        <v>1</v>
      </c>
      <c r="AD75" s="318" t="n">
        <v>1</v>
      </c>
      <c r="AE75" s="318" t="n">
        <v>0.98</v>
      </c>
      <c r="AF75" s="318" t="n">
        <v>0.98</v>
      </c>
      <c r="AG75" s="318" t="n">
        <v>0.98</v>
      </c>
      <c r="AH75" s="318" t="n">
        <v>1</v>
      </c>
      <c r="AI75" s="318" t="n">
        <v>1.05</v>
      </c>
      <c r="AJ75" s="318" t="n">
        <v>1</v>
      </c>
      <c r="AK75" s="318" t="n">
        <v>1</v>
      </c>
      <c r="AL75" s="318" t="n">
        <v>1.02</v>
      </c>
      <c r="AM75" s="318" t="n">
        <v>1</v>
      </c>
      <c r="AN75" s="318" t="n">
        <v>1</v>
      </c>
      <c r="AO75" s="318" t="n">
        <v>1</v>
      </c>
    </row>
    <row r="76" customFormat="false" ht="12.75" hidden="false" customHeight="false" outlineLevel="0" collapsed="false">
      <c r="A76" s="317" t="n">
        <v>38991</v>
      </c>
      <c r="B76" s="318" t="n">
        <v>1</v>
      </c>
      <c r="C76" s="318" t="n">
        <v>1</v>
      </c>
      <c r="D76" s="318" t="n">
        <v>1</v>
      </c>
      <c r="E76" s="318" t="n">
        <v>1</v>
      </c>
      <c r="F76" s="318" t="n">
        <v>1</v>
      </c>
      <c r="G76" s="318" t="n">
        <v>1</v>
      </c>
      <c r="H76" s="318" t="n">
        <v>1</v>
      </c>
      <c r="I76" s="318" t="n">
        <v>1</v>
      </c>
      <c r="J76" s="318" t="n">
        <v>1</v>
      </c>
      <c r="K76" s="318" t="n">
        <v>1</v>
      </c>
      <c r="L76" s="318" t="n">
        <v>1</v>
      </c>
      <c r="M76" s="318" t="n">
        <v>1</v>
      </c>
      <c r="N76" s="318" t="n">
        <v>1</v>
      </c>
      <c r="O76" s="318" t="n">
        <v>1</v>
      </c>
      <c r="P76" s="318" t="n">
        <v>1.03</v>
      </c>
      <c r="Q76" s="318" t="n">
        <v>1.03</v>
      </c>
      <c r="R76" s="318" t="n">
        <v>1</v>
      </c>
      <c r="S76" s="318" t="n">
        <v>1</v>
      </c>
      <c r="T76" s="318" t="n">
        <v>1.02</v>
      </c>
      <c r="U76" s="318" t="n">
        <v>1</v>
      </c>
      <c r="V76" s="318" t="n">
        <v>1</v>
      </c>
      <c r="W76" s="318" t="n">
        <v>1</v>
      </c>
      <c r="X76" s="318" t="n">
        <v>1</v>
      </c>
      <c r="Y76" s="318" t="n">
        <v>1</v>
      </c>
      <c r="Z76" s="318" t="n">
        <v>1.02</v>
      </c>
      <c r="AA76" s="318" t="n">
        <v>1</v>
      </c>
      <c r="AB76" s="318" t="n">
        <v>1</v>
      </c>
      <c r="AC76" s="318" t="n">
        <v>1</v>
      </c>
      <c r="AD76" s="318" t="n">
        <v>1</v>
      </c>
      <c r="AE76" s="318" t="n">
        <v>0.98</v>
      </c>
      <c r="AF76" s="318" t="n">
        <v>0.98</v>
      </c>
      <c r="AG76" s="318" t="n">
        <v>0.98</v>
      </c>
      <c r="AH76" s="318" t="n">
        <v>1</v>
      </c>
      <c r="AI76" s="318" t="n">
        <v>1.05</v>
      </c>
      <c r="AJ76" s="318" t="n">
        <v>1</v>
      </c>
      <c r="AK76" s="318" t="n">
        <v>1</v>
      </c>
      <c r="AL76" s="318" t="n">
        <v>1.02</v>
      </c>
      <c r="AM76" s="318" t="n">
        <v>1</v>
      </c>
      <c r="AN76" s="318" t="n">
        <v>1</v>
      </c>
      <c r="AO76" s="318" t="n">
        <v>1</v>
      </c>
    </row>
    <row r="77" customFormat="false" ht="12.75" hidden="false" customHeight="false" outlineLevel="0" collapsed="false">
      <c r="A77" s="317" t="n">
        <v>39022</v>
      </c>
      <c r="B77" s="318" t="n">
        <v>1</v>
      </c>
      <c r="C77" s="318" t="n">
        <v>1</v>
      </c>
      <c r="D77" s="318" t="n">
        <v>1</v>
      </c>
      <c r="E77" s="318" t="n">
        <v>1</v>
      </c>
      <c r="F77" s="318" t="n">
        <v>1</v>
      </c>
      <c r="G77" s="318" t="n">
        <v>1</v>
      </c>
      <c r="H77" s="318" t="n">
        <v>1</v>
      </c>
      <c r="I77" s="318" t="n">
        <v>1</v>
      </c>
      <c r="J77" s="318" t="n">
        <v>1</v>
      </c>
      <c r="K77" s="318" t="n">
        <v>1</v>
      </c>
      <c r="L77" s="318" t="n">
        <v>1</v>
      </c>
      <c r="M77" s="318" t="n">
        <v>1</v>
      </c>
      <c r="N77" s="318" t="n">
        <v>1</v>
      </c>
      <c r="O77" s="318" t="n">
        <v>1</v>
      </c>
      <c r="P77" s="318" t="n">
        <v>1.03</v>
      </c>
      <c r="Q77" s="318" t="n">
        <v>1.03</v>
      </c>
      <c r="R77" s="318" t="n">
        <v>1</v>
      </c>
      <c r="S77" s="318" t="n">
        <v>1</v>
      </c>
      <c r="T77" s="318" t="n">
        <v>1.02</v>
      </c>
      <c r="U77" s="318" t="n">
        <v>1</v>
      </c>
      <c r="V77" s="318" t="n">
        <v>1</v>
      </c>
      <c r="W77" s="318" t="n">
        <v>1</v>
      </c>
      <c r="X77" s="318" t="n">
        <v>1</v>
      </c>
      <c r="Y77" s="318" t="n">
        <v>1</v>
      </c>
      <c r="Z77" s="318" t="n">
        <v>1</v>
      </c>
      <c r="AA77" s="318" t="n">
        <v>1</v>
      </c>
      <c r="AB77" s="318" t="n">
        <v>1</v>
      </c>
      <c r="AC77" s="318" t="n">
        <v>1</v>
      </c>
      <c r="AD77" s="318" t="n">
        <v>1</v>
      </c>
      <c r="AE77" s="318" t="n">
        <v>1</v>
      </c>
      <c r="AF77" s="318" t="n">
        <v>1</v>
      </c>
      <c r="AG77" s="318" t="n">
        <v>1.1</v>
      </c>
      <c r="AH77" s="318" t="n">
        <v>1.1</v>
      </c>
      <c r="AI77" s="318" t="n">
        <v>1.05</v>
      </c>
      <c r="AJ77" s="318" t="n">
        <v>1</v>
      </c>
      <c r="AK77" s="318" t="n">
        <v>1</v>
      </c>
      <c r="AL77" s="318" t="n">
        <v>1.02</v>
      </c>
      <c r="AM77" s="318" t="n">
        <v>1</v>
      </c>
      <c r="AN77" s="318" t="n">
        <v>1</v>
      </c>
      <c r="AO77" s="318" t="n">
        <v>1</v>
      </c>
    </row>
    <row r="78" customFormat="false" ht="12.75" hidden="false" customHeight="false" outlineLevel="0" collapsed="false">
      <c r="A78" s="317" t="n">
        <v>39052</v>
      </c>
      <c r="B78" s="318" t="n">
        <v>1</v>
      </c>
      <c r="C78" s="318" t="n">
        <v>1</v>
      </c>
      <c r="D78" s="318" t="n">
        <v>1</v>
      </c>
      <c r="E78" s="318" t="n">
        <v>1</v>
      </c>
      <c r="F78" s="318" t="n">
        <v>1</v>
      </c>
      <c r="G78" s="318" t="n">
        <v>1</v>
      </c>
      <c r="H78" s="318" t="n">
        <v>1</v>
      </c>
      <c r="I78" s="318" t="n">
        <v>1</v>
      </c>
      <c r="J78" s="318" t="n">
        <v>1</v>
      </c>
      <c r="K78" s="318" t="n">
        <v>1</v>
      </c>
      <c r="L78" s="318" t="n">
        <v>1</v>
      </c>
      <c r="M78" s="318" t="n">
        <v>1</v>
      </c>
      <c r="N78" s="318" t="n">
        <v>1</v>
      </c>
      <c r="O78" s="318" t="n">
        <v>1</v>
      </c>
      <c r="P78" s="318" t="n">
        <v>1.03</v>
      </c>
      <c r="Q78" s="318" t="n">
        <v>1.03</v>
      </c>
      <c r="R78" s="318" t="n">
        <v>1</v>
      </c>
      <c r="S78" s="318" t="n">
        <v>1</v>
      </c>
      <c r="T78" s="318" t="n">
        <v>1.02</v>
      </c>
      <c r="U78" s="318" t="n">
        <v>1</v>
      </c>
      <c r="V78" s="318" t="n">
        <v>1</v>
      </c>
      <c r="W78" s="318" t="n">
        <v>1</v>
      </c>
      <c r="X78" s="318" t="n">
        <v>1</v>
      </c>
      <c r="Y78" s="318" t="n">
        <v>1</v>
      </c>
      <c r="Z78" s="318" t="n">
        <v>1</v>
      </c>
      <c r="AA78" s="318" t="n">
        <v>1</v>
      </c>
      <c r="AB78" s="318" t="n">
        <v>1</v>
      </c>
      <c r="AC78" s="318" t="n">
        <v>1</v>
      </c>
      <c r="AD78" s="318" t="n">
        <v>1</v>
      </c>
      <c r="AE78" s="318" t="n">
        <v>1</v>
      </c>
      <c r="AF78" s="318" t="n">
        <v>1</v>
      </c>
      <c r="AG78" s="318" t="n">
        <v>1.1</v>
      </c>
      <c r="AH78" s="318" t="n">
        <v>1.02</v>
      </c>
      <c r="AI78" s="318" t="n">
        <v>1.05</v>
      </c>
      <c r="AJ78" s="318" t="n">
        <v>1</v>
      </c>
      <c r="AK78" s="318" t="n">
        <v>1</v>
      </c>
      <c r="AL78" s="318" t="n">
        <v>1.02</v>
      </c>
      <c r="AM78" s="318" t="n">
        <v>1</v>
      </c>
      <c r="AN78" s="318" t="n">
        <v>1</v>
      </c>
      <c r="AO78" s="318" t="n">
        <v>1</v>
      </c>
    </row>
    <row r="79" customFormat="false" ht="12.75" hidden="false" customHeight="false" outlineLevel="0" collapsed="false">
      <c r="A79" s="317" t="n">
        <v>39083</v>
      </c>
      <c r="B79" s="318" t="n">
        <v>1</v>
      </c>
      <c r="C79" s="318" t="n">
        <v>1</v>
      </c>
      <c r="D79" s="318" t="n">
        <v>1</v>
      </c>
      <c r="E79" s="318" t="n">
        <v>1</v>
      </c>
      <c r="F79" s="318" t="n">
        <v>1</v>
      </c>
      <c r="G79" s="318" t="n">
        <v>1</v>
      </c>
      <c r="H79" s="318" t="n">
        <v>1</v>
      </c>
      <c r="I79" s="318" t="n">
        <v>1</v>
      </c>
      <c r="J79" s="318" t="n">
        <v>1</v>
      </c>
      <c r="K79" s="318" t="n">
        <v>1</v>
      </c>
      <c r="L79" s="318" t="n">
        <v>1</v>
      </c>
      <c r="M79" s="318" t="n">
        <v>1</v>
      </c>
      <c r="N79" s="318" t="n">
        <v>1</v>
      </c>
      <c r="O79" s="318" t="n">
        <v>1</v>
      </c>
      <c r="P79" s="318" t="n">
        <v>1.03</v>
      </c>
      <c r="Q79" s="318" t="n">
        <v>1.03</v>
      </c>
      <c r="R79" s="318" t="n">
        <v>1</v>
      </c>
      <c r="S79" s="318" t="n">
        <v>1</v>
      </c>
      <c r="T79" s="318" t="n">
        <v>1.02</v>
      </c>
      <c r="U79" s="318" t="n">
        <v>1</v>
      </c>
      <c r="V79" s="318" t="n">
        <v>1</v>
      </c>
      <c r="W79" s="318" t="n">
        <v>1</v>
      </c>
      <c r="X79" s="318" t="n">
        <v>1</v>
      </c>
      <c r="Y79" s="318" t="n">
        <v>1</v>
      </c>
      <c r="Z79" s="318" t="n">
        <v>1</v>
      </c>
      <c r="AA79" s="318" t="n">
        <v>1</v>
      </c>
      <c r="AB79" s="318" t="n">
        <v>1</v>
      </c>
      <c r="AC79" s="318" t="n">
        <v>1</v>
      </c>
      <c r="AD79" s="318" t="n">
        <v>1</v>
      </c>
      <c r="AE79" s="318" t="n">
        <v>1</v>
      </c>
      <c r="AF79" s="318" t="n">
        <v>1</v>
      </c>
      <c r="AG79" s="318" t="n">
        <v>1.1</v>
      </c>
      <c r="AH79" s="318" t="n">
        <v>1.04</v>
      </c>
      <c r="AI79" s="318" t="n">
        <v>1.05</v>
      </c>
      <c r="AJ79" s="318" t="n">
        <v>1</v>
      </c>
      <c r="AK79" s="318" t="n">
        <v>1</v>
      </c>
      <c r="AL79" s="318" t="n">
        <v>1.02</v>
      </c>
      <c r="AM79" s="318" t="n">
        <v>1</v>
      </c>
      <c r="AN79" s="318" t="n">
        <v>1</v>
      </c>
      <c r="AO79" s="318" t="n">
        <v>1</v>
      </c>
    </row>
    <row r="80" customFormat="false" ht="12.75" hidden="false" customHeight="false" outlineLevel="0" collapsed="false">
      <c r="A80" s="317" t="n">
        <v>39114</v>
      </c>
      <c r="B80" s="318" t="n">
        <v>1</v>
      </c>
      <c r="C80" s="318" t="n">
        <v>1</v>
      </c>
      <c r="D80" s="318" t="n">
        <v>1</v>
      </c>
      <c r="E80" s="318" t="n">
        <v>1</v>
      </c>
      <c r="F80" s="318" t="n">
        <v>1</v>
      </c>
      <c r="G80" s="318" t="n">
        <v>1</v>
      </c>
      <c r="H80" s="318" t="n">
        <v>1</v>
      </c>
      <c r="I80" s="318" t="n">
        <v>1</v>
      </c>
      <c r="J80" s="318" t="n">
        <v>1</v>
      </c>
      <c r="K80" s="318" t="n">
        <v>1</v>
      </c>
      <c r="L80" s="318" t="n">
        <v>1</v>
      </c>
      <c r="M80" s="318" t="n">
        <v>1</v>
      </c>
      <c r="N80" s="318" t="n">
        <v>1</v>
      </c>
      <c r="O80" s="318" t="n">
        <v>1</v>
      </c>
      <c r="P80" s="318" t="n">
        <v>1.03</v>
      </c>
      <c r="Q80" s="318" t="n">
        <v>1.03</v>
      </c>
      <c r="R80" s="318" t="n">
        <v>1</v>
      </c>
      <c r="S80" s="318" t="n">
        <v>1</v>
      </c>
      <c r="T80" s="318" t="n">
        <v>1.02</v>
      </c>
      <c r="U80" s="318" t="n">
        <v>1</v>
      </c>
      <c r="V80" s="318" t="n">
        <v>1</v>
      </c>
      <c r="W80" s="318" t="n">
        <v>1</v>
      </c>
      <c r="X80" s="318" t="n">
        <v>1</v>
      </c>
      <c r="Y80" s="318" t="n">
        <v>1</v>
      </c>
      <c r="Z80" s="318" t="n">
        <v>1</v>
      </c>
      <c r="AA80" s="318" t="n">
        <v>1</v>
      </c>
      <c r="AB80" s="318" t="n">
        <v>1</v>
      </c>
      <c r="AC80" s="318" t="n">
        <v>1</v>
      </c>
      <c r="AD80" s="318" t="n">
        <v>1</v>
      </c>
      <c r="AE80" s="318" t="n">
        <v>1</v>
      </c>
      <c r="AF80" s="318" t="n">
        <v>1</v>
      </c>
      <c r="AG80" s="318" t="n">
        <v>1.1</v>
      </c>
      <c r="AH80" s="318" t="n">
        <v>1.04</v>
      </c>
      <c r="AI80" s="318" t="n">
        <v>1.05</v>
      </c>
      <c r="AJ80" s="318" t="n">
        <v>1</v>
      </c>
      <c r="AK80" s="318" t="n">
        <v>1</v>
      </c>
      <c r="AL80" s="318" t="n">
        <v>1.02</v>
      </c>
      <c r="AM80" s="318" t="n">
        <v>1</v>
      </c>
      <c r="AN80" s="318" t="n">
        <v>1</v>
      </c>
      <c r="AO80" s="318" t="n">
        <v>1</v>
      </c>
    </row>
    <row r="81" customFormat="false" ht="12.75" hidden="false" customHeight="false" outlineLevel="0" collapsed="false">
      <c r="A81" s="317" t="n">
        <v>39142</v>
      </c>
      <c r="B81" s="318" t="n">
        <v>1</v>
      </c>
      <c r="C81" s="318" t="n">
        <v>1</v>
      </c>
      <c r="D81" s="318" t="n">
        <v>1</v>
      </c>
      <c r="E81" s="318" t="n">
        <v>1</v>
      </c>
      <c r="F81" s="318" t="n">
        <v>1</v>
      </c>
      <c r="G81" s="318" t="n">
        <v>1</v>
      </c>
      <c r="H81" s="318" t="n">
        <v>1</v>
      </c>
      <c r="I81" s="318" t="n">
        <v>1</v>
      </c>
      <c r="J81" s="318" t="n">
        <v>1</v>
      </c>
      <c r="K81" s="318" t="n">
        <v>1</v>
      </c>
      <c r="L81" s="318" t="n">
        <v>1</v>
      </c>
      <c r="M81" s="318" t="n">
        <v>1</v>
      </c>
      <c r="N81" s="318" t="n">
        <v>1</v>
      </c>
      <c r="O81" s="318" t="n">
        <v>1</v>
      </c>
      <c r="P81" s="318" t="n">
        <v>1.03</v>
      </c>
      <c r="Q81" s="318" t="n">
        <v>1.03</v>
      </c>
      <c r="R81" s="318" t="n">
        <v>1</v>
      </c>
      <c r="S81" s="318" t="n">
        <v>1</v>
      </c>
      <c r="T81" s="318" t="n">
        <v>1.02</v>
      </c>
      <c r="U81" s="318" t="n">
        <v>1</v>
      </c>
      <c r="V81" s="318" t="n">
        <v>1</v>
      </c>
      <c r="W81" s="318" t="n">
        <v>1</v>
      </c>
      <c r="X81" s="318" t="n">
        <v>1</v>
      </c>
      <c r="Y81" s="318" t="n">
        <v>1</v>
      </c>
      <c r="Z81" s="318" t="n">
        <v>1</v>
      </c>
      <c r="AA81" s="318" t="n">
        <v>1</v>
      </c>
      <c r="AB81" s="318" t="n">
        <v>1</v>
      </c>
      <c r="AC81" s="318" t="n">
        <v>1</v>
      </c>
      <c r="AD81" s="318" t="n">
        <v>1</v>
      </c>
      <c r="AE81" s="318" t="n">
        <v>1</v>
      </c>
      <c r="AF81" s="318" t="n">
        <v>1</v>
      </c>
      <c r="AG81" s="318" t="n">
        <v>1.1</v>
      </c>
      <c r="AH81" s="318" t="n">
        <v>1.04</v>
      </c>
      <c r="AI81" s="318" t="n">
        <v>1.05</v>
      </c>
      <c r="AJ81" s="318" t="n">
        <v>1</v>
      </c>
      <c r="AK81" s="318" t="n">
        <v>1</v>
      </c>
      <c r="AL81" s="318" t="n">
        <v>1.02</v>
      </c>
      <c r="AM81" s="318" t="n">
        <v>1</v>
      </c>
      <c r="AN81" s="318" t="n">
        <v>1</v>
      </c>
      <c r="AO81" s="318" t="n">
        <v>1</v>
      </c>
    </row>
    <row r="82" customFormat="false" ht="12.75" hidden="false" customHeight="false" outlineLevel="0" collapsed="false">
      <c r="A82" s="317" t="n">
        <v>39173</v>
      </c>
      <c r="B82" s="318" t="n">
        <v>1</v>
      </c>
      <c r="C82" s="318" t="n">
        <v>1</v>
      </c>
      <c r="D82" s="318" t="n">
        <v>1</v>
      </c>
      <c r="E82" s="318" t="n">
        <v>1</v>
      </c>
      <c r="F82" s="318" t="n">
        <v>1</v>
      </c>
      <c r="G82" s="318" t="n">
        <v>1</v>
      </c>
      <c r="H82" s="318" t="n">
        <v>1</v>
      </c>
      <c r="I82" s="318" t="n">
        <v>1</v>
      </c>
      <c r="J82" s="318" t="n">
        <v>1</v>
      </c>
      <c r="K82" s="318" t="n">
        <v>1</v>
      </c>
      <c r="L82" s="318" t="n">
        <v>1</v>
      </c>
      <c r="M82" s="318" t="n">
        <v>1</v>
      </c>
      <c r="N82" s="318" t="n">
        <v>1</v>
      </c>
      <c r="O82" s="318" t="n">
        <v>1</v>
      </c>
      <c r="P82" s="318" t="n">
        <v>1.03</v>
      </c>
      <c r="Q82" s="318" t="n">
        <v>1.03</v>
      </c>
      <c r="R82" s="318" t="n">
        <v>1</v>
      </c>
      <c r="S82" s="318" t="n">
        <v>1</v>
      </c>
      <c r="T82" s="318" t="n">
        <v>1.02</v>
      </c>
      <c r="U82" s="318" t="n">
        <v>1</v>
      </c>
      <c r="V82" s="318" t="n">
        <v>1</v>
      </c>
      <c r="W82" s="318" t="n">
        <v>1</v>
      </c>
      <c r="X82" s="318" t="n">
        <v>1</v>
      </c>
      <c r="Y82" s="318" t="n">
        <v>1</v>
      </c>
      <c r="Z82" s="318" t="n">
        <v>1.02</v>
      </c>
      <c r="AA82" s="318" t="n">
        <v>1</v>
      </c>
      <c r="AB82" s="318" t="n">
        <v>1</v>
      </c>
      <c r="AC82" s="318" t="n">
        <v>1</v>
      </c>
      <c r="AD82" s="318" t="n">
        <v>1</v>
      </c>
      <c r="AE82" s="318" t="n">
        <v>0.98</v>
      </c>
      <c r="AF82" s="318" t="n">
        <v>0.98</v>
      </c>
      <c r="AG82" s="318" t="n">
        <v>0.98</v>
      </c>
      <c r="AH82" s="318" t="n">
        <v>1</v>
      </c>
      <c r="AI82" s="318" t="n">
        <v>1.05</v>
      </c>
      <c r="AJ82" s="318" t="n">
        <v>1</v>
      </c>
      <c r="AK82" s="318" t="n">
        <v>1</v>
      </c>
      <c r="AL82" s="318" t="n">
        <v>1.02</v>
      </c>
      <c r="AM82" s="318" t="n">
        <v>1</v>
      </c>
      <c r="AN82" s="318" t="n">
        <v>1</v>
      </c>
      <c r="AO82" s="318" t="n">
        <v>1</v>
      </c>
    </row>
    <row r="83" customFormat="false" ht="12.75" hidden="false" customHeight="false" outlineLevel="0" collapsed="false">
      <c r="A83" s="317" t="n">
        <v>39203</v>
      </c>
      <c r="B83" s="318" t="n">
        <v>1</v>
      </c>
      <c r="C83" s="318" t="n">
        <v>1</v>
      </c>
      <c r="D83" s="318" t="n">
        <v>1</v>
      </c>
      <c r="E83" s="318" t="n">
        <v>1</v>
      </c>
      <c r="F83" s="318" t="n">
        <v>1</v>
      </c>
      <c r="G83" s="318" t="n">
        <v>1</v>
      </c>
      <c r="H83" s="318" t="n">
        <v>1</v>
      </c>
      <c r="I83" s="318" t="n">
        <v>1</v>
      </c>
      <c r="J83" s="318" t="n">
        <v>1</v>
      </c>
      <c r="K83" s="318" t="n">
        <v>1</v>
      </c>
      <c r="L83" s="318" t="n">
        <v>1</v>
      </c>
      <c r="M83" s="318" t="n">
        <v>1</v>
      </c>
      <c r="N83" s="318" t="n">
        <v>1</v>
      </c>
      <c r="O83" s="318" t="n">
        <v>1</v>
      </c>
      <c r="P83" s="318" t="n">
        <v>1.03</v>
      </c>
      <c r="Q83" s="318" t="n">
        <v>1.03</v>
      </c>
      <c r="R83" s="318" t="n">
        <v>1</v>
      </c>
      <c r="S83" s="318" t="n">
        <v>1</v>
      </c>
      <c r="T83" s="318" t="n">
        <v>1.02</v>
      </c>
      <c r="U83" s="318" t="n">
        <v>1</v>
      </c>
      <c r="V83" s="318" t="n">
        <v>1</v>
      </c>
      <c r="W83" s="318" t="n">
        <v>1</v>
      </c>
      <c r="X83" s="318" t="n">
        <v>1</v>
      </c>
      <c r="Y83" s="318" t="n">
        <v>1</v>
      </c>
      <c r="Z83" s="318" t="n">
        <v>1.02</v>
      </c>
      <c r="AA83" s="318" t="n">
        <v>1</v>
      </c>
      <c r="AB83" s="318" t="n">
        <v>1</v>
      </c>
      <c r="AC83" s="318" t="n">
        <v>1</v>
      </c>
      <c r="AD83" s="318" t="n">
        <v>1</v>
      </c>
      <c r="AE83" s="318" t="n">
        <v>0.98</v>
      </c>
      <c r="AF83" s="318" t="n">
        <v>0.98</v>
      </c>
      <c r="AG83" s="318" t="n">
        <v>0.98</v>
      </c>
      <c r="AH83" s="318" t="n">
        <v>1</v>
      </c>
      <c r="AI83" s="318" t="n">
        <v>1.05</v>
      </c>
      <c r="AJ83" s="318" t="n">
        <v>1</v>
      </c>
      <c r="AK83" s="318" t="n">
        <v>1</v>
      </c>
      <c r="AL83" s="318" t="n">
        <v>1.02</v>
      </c>
      <c r="AM83" s="318" t="n">
        <v>1</v>
      </c>
      <c r="AN83" s="318" t="n">
        <v>1</v>
      </c>
      <c r="AO83" s="318" t="n">
        <v>1</v>
      </c>
    </row>
    <row r="84" customFormat="false" ht="12.75" hidden="false" customHeight="false" outlineLevel="0" collapsed="false">
      <c r="A84" s="317" t="n">
        <v>39234</v>
      </c>
      <c r="B84" s="318" t="n">
        <v>1</v>
      </c>
      <c r="C84" s="318" t="n">
        <v>1</v>
      </c>
      <c r="D84" s="318" t="n">
        <v>1</v>
      </c>
      <c r="E84" s="318" t="n">
        <v>1</v>
      </c>
      <c r="F84" s="318" t="n">
        <v>1</v>
      </c>
      <c r="G84" s="318" t="n">
        <v>1</v>
      </c>
      <c r="H84" s="318" t="n">
        <v>1</v>
      </c>
      <c r="I84" s="318" t="n">
        <v>1</v>
      </c>
      <c r="J84" s="318" t="n">
        <v>1</v>
      </c>
      <c r="K84" s="318" t="n">
        <v>1</v>
      </c>
      <c r="L84" s="318" t="n">
        <v>1</v>
      </c>
      <c r="M84" s="318" t="n">
        <v>1</v>
      </c>
      <c r="N84" s="318" t="n">
        <v>1</v>
      </c>
      <c r="O84" s="318" t="n">
        <v>1</v>
      </c>
      <c r="P84" s="318" t="n">
        <v>1.03</v>
      </c>
      <c r="Q84" s="318" t="n">
        <v>1.03</v>
      </c>
      <c r="R84" s="318" t="n">
        <v>1</v>
      </c>
      <c r="S84" s="318" t="n">
        <v>1</v>
      </c>
      <c r="T84" s="318" t="n">
        <v>1.02</v>
      </c>
      <c r="U84" s="318" t="n">
        <v>1</v>
      </c>
      <c r="V84" s="318" t="n">
        <v>1</v>
      </c>
      <c r="W84" s="318" t="n">
        <v>1</v>
      </c>
      <c r="X84" s="318" t="n">
        <v>1</v>
      </c>
      <c r="Y84" s="318" t="n">
        <v>1</v>
      </c>
      <c r="Z84" s="318" t="n">
        <v>1.02</v>
      </c>
      <c r="AA84" s="318" t="n">
        <v>1</v>
      </c>
      <c r="AB84" s="318" t="n">
        <v>1</v>
      </c>
      <c r="AC84" s="318" t="n">
        <v>1</v>
      </c>
      <c r="AD84" s="318" t="n">
        <v>1</v>
      </c>
      <c r="AE84" s="318" t="n">
        <v>0.98</v>
      </c>
      <c r="AF84" s="318" t="n">
        <v>0.98</v>
      </c>
      <c r="AG84" s="318" t="n">
        <v>0.98</v>
      </c>
      <c r="AH84" s="318" t="n">
        <v>1</v>
      </c>
      <c r="AI84" s="318" t="n">
        <v>1.05</v>
      </c>
      <c r="AJ84" s="318" t="n">
        <v>1</v>
      </c>
      <c r="AK84" s="318" t="n">
        <v>1</v>
      </c>
      <c r="AL84" s="318" t="n">
        <v>1.02</v>
      </c>
      <c r="AM84" s="318" t="n">
        <v>1</v>
      </c>
      <c r="AN84" s="318" t="n">
        <v>1</v>
      </c>
      <c r="AO84" s="318" t="n">
        <v>1</v>
      </c>
    </row>
    <row r="85" customFormat="false" ht="12.75" hidden="false" customHeight="false" outlineLevel="0" collapsed="false">
      <c r="A85" s="317" t="n">
        <v>39264</v>
      </c>
      <c r="B85" s="318" t="n">
        <v>1</v>
      </c>
      <c r="C85" s="318" t="n">
        <v>1</v>
      </c>
      <c r="D85" s="318" t="n">
        <v>1</v>
      </c>
      <c r="E85" s="318" t="n">
        <v>1</v>
      </c>
      <c r="F85" s="318" t="n">
        <v>1</v>
      </c>
      <c r="G85" s="318" t="n">
        <v>1</v>
      </c>
      <c r="H85" s="318" t="n">
        <v>1</v>
      </c>
      <c r="I85" s="318" t="n">
        <v>1</v>
      </c>
      <c r="J85" s="318" t="n">
        <v>1</v>
      </c>
      <c r="K85" s="318" t="n">
        <v>1</v>
      </c>
      <c r="L85" s="318" t="n">
        <v>1</v>
      </c>
      <c r="M85" s="318" t="n">
        <v>1</v>
      </c>
      <c r="N85" s="318" t="n">
        <v>1</v>
      </c>
      <c r="O85" s="318" t="n">
        <v>1</v>
      </c>
      <c r="P85" s="318" t="n">
        <v>1.03</v>
      </c>
      <c r="Q85" s="318" t="n">
        <v>1.03</v>
      </c>
      <c r="R85" s="318" t="n">
        <v>1</v>
      </c>
      <c r="S85" s="318" t="n">
        <v>1</v>
      </c>
      <c r="T85" s="318" t="n">
        <v>1.02</v>
      </c>
      <c r="U85" s="318" t="n">
        <v>1</v>
      </c>
      <c r="V85" s="318" t="n">
        <v>1</v>
      </c>
      <c r="W85" s="318" t="n">
        <v>1</v>
      </c>
      <c r="X85" s="318" t="n">
        <v>1</v>
      </c>
      <c r="Y85" s="318" t="n">
        <v>1</v>
      </c>
      <c r="Z85" s="318" t="n">
        <v>1.02</v>
      </c>
      <c r="AA85" s="318" t="n">
        <v>1</v>
      </c>
      <c r="AB85" s="318" t="n">
        <v>1</v>
      </c>
      <c r="AC85" s="318" t="n">
        <v>1</v>
      </c>
      <c r="AD85" s="318" t="n">
        <v>1</v>
      </c>
      <c r="AE85" s="318" t="n">
        <v>0.98</v>
      </c>
      <c r="AF85" s="318" t="n">
        <v>0.98</v>
      </c>
      <c r="AG85" s="318" t="n">
        <v>0.98</v>
      </c>
      <c r="AH85" s="318" t="n">
        <v>1</v>
      </c>
      <c r="AI85" s="318" t="n">
        <v>1.05</v>
      </c>
      <c r="AJ85" s="318" t="n">
        <v>1</v>
      </c>
      <c r="AK85" s="318" t="n">
        <v>1</v>
      </c>
      <c r="AL85" s="318" t="n">
        <v>1.02</v>
      </c>
      <c r="AM85" s="318" t="n">
        <v>1</v>
      </c>
      <c r="AN85" s="318" t="n">
        <v>1</v>
      </c>
      <c r="AO85" s="318" t="n">
        <v>1</v>
      </c>
    </row>
    <row r="86" customFormat="false" ht="12.75" hidden="false" customHeight="false" outlineLevel="0" collapsed="false">
      <c r="A86" s="317" t="n">
        <v>39295</v>
      </c>
      <c r="B86" s="318" t="n">
        <v>1</v>
      </c>
      <c r="C86" s="318" t="n">
        <v>1</v>
      </c>
      <c r="D86" s="318" t="n">
        <v>1</v>
      </c>
      <c r="E86" s="318" t="n">
        <v>1</v>
      </c>
      <c r="F86" s="318" t="n">
        <v>1</v>
      </c>
      <c r="G86" s="318" t="n">
        <v>1</v>
      </c>
      <c r="H86" s="318" t="n">
        <v>1</v>
      </c>
      <c r="I86" s="318" t="n">
        <v>1</v>
      </c>
      <c r="J86" s="318" t="n">
        <v>1</v>
      </c>
      <c r="K86" s="318" t="n">
        <v>1</v>
      </c>
      <c r="L86" s="318" t="n">
        <v>1</v>
      </c>
      <c r="M86" s="318" t="n">
        <v>1</v>
      </c>
      <c r="N86" s="318" t="n">
        <v>1</v>
      </c>
      <c r="O86" s="318" t="n">
        <v>1</v>
      </c>
      <c r="P86" s="318" t="n">
        <v>1.03</v>
      </c>
      <c r="Q86" s="318" t="n">
        <v>1.03</v>
      </c>
      <c r="R86" s="318" t="n">
        <v>1</v>
      </c>
      <c r="S86" s="318" t="n">
        <v>1</v>
      </c>
      <c r="T86" s="318" t="n">
        <v>1.02</v>
      </c>
      <c r="U86" s="318" t="n">
        <v>1</v>
      </c>
      <c r="V86" s="318" t="n">
        <v>1</v>
      </c>
      <c r="W86" s="318" t="n">
        <v>1</v>
      </c>
      <c r="X86" s="318" t="n">
        <v>1</v>
      </c>
      <c r="Y86" s="318" t="n">
        <v>1</v>
      </c>
      <c r="Z86" s="318" t="n">
        <v>1.02</v>
      </c>
      <c r="AA86" s="318" t="n">
        <v>1</v>
      </c>
      <c r="AB86" s="318" t="n">
        <v>1</v>
      </c>
      <c r="AC86" s="318" t="n">
        <v>1</v>
      </c>
      <c r="AD86" s="318" t="n">
        <v>1</v>
      </c>
      <c r="AE86" s="318" t="n">
        <v>0.98</v>
      </c>
      <c r="AF86" s="318" t="n">
        <v>0.98</v>
      </c>
      <c r="AG86" s="318" t="n">
        <v>0.98</v>
      </c>
      <c r="AH86" s="318" t="n">
        <v>1</v>
      </c>
      <c r="AI86" s="318" t="n">
        <v>1.05</v>
      </c>
      <c r="AJ86" s="318" t="n">
        <v>1</v>
      </c>
      <c r="AK86" s="318" t="n">
        <v>1</v>
      </c>
      <c r="AL86" s="318" t="n">
        <v>1.02</v>
      </c>
      <c r="AM86" s="318" t="n">
        <v>1</v>
      </c>
      <c r="AN86" s="318" t="n">
        <v>1</v>
      </c>
      <c r="AO86" s="318" t="n">
        <v>1</v>
      </c>
    </row>
    <row r="87" customFormat="false" ht="12.75" hidden="false" customHeight="false" outlineLevel="0" collapsed="false">
      <c r="A87" s="317" t="n">
        <v>39326</v>
      </c>
      <c r="B87" s="318" t="n">
        <v>1</v>
      </c>
      <c r="C87" s="318" t="n">
        <v>1</v>
      </c>
      <c r="D87" s="318" t="n">
        <v>1</v>
      </c>
      <c r="E87" s="318" t="n">
        <v>1</v>
      </c>
      <c r="F87" s="318" t="n">
        <v>1</v>
      </c>
      <c r="G87" s="318" t="n">
        <v>1</v>
      </c>
      <c r="H87" s="318" t="n">
        <v>1</v>
      </c>
      <c r="I87" s="318" t="n">
        <v>1</v>
      </c>
      <c r="J87" s="318" t="n">
        <v>1</v>
      </c>
      <c r="K87" s="318" t="n">
        <v>1</v>
      </c>
      <c r="L87" s="318" t="n">
        <v>1</v>
      </c>
      <c r="M87" s="318" t="n">
        <v>1</v>
      </c>
      <c r="N87" s="318" t="n">
        <v>1</v>
      </c>
      <c r="O87" s="318" t="n">
        <v>1</v>
      </c>
      <c r="P87" s="318" t="n">
        <v>1.03</v>
      </c>
      <c r="Q87" s="318" t="n">
        <v>1.03</v>
      </c>
      <c r="R87" s="318" t="n">
        <v>1</v>
      </c>
      <c r="S87" s="318" t="n">
        <v>1</v>
      </c>
      <c r="T87" s="318" t="n">
        <v>1.02</v>
      </c>
      <c r="U87" s="318" t="n">
        <v>1</v>
      </c>
      <c r="V87" s="318" t="n">
        <v>1</v>
      </c>
      <c r="W87" s="318" t="n">
        <v>1</v>
      </c>
      <c r="X87" s="318" t="n">
        <v>1</v>
      </c>
      <c r="Y87" s="318" t="n">
        <v>1</v>
      </c>
      <c r="Z87" s="318" t="n">
        <v>1.02</v>
      </c>
      <c r="AA87" s="318" t="n">
        <v>1</v>
      </c>
      <c r="AB87" s="318" t="n">
        <v>1</v>
      </c>
      <c r="AC87" s="318" t="n">
        <v>1</v>
      </c>
      <c r="AD87" s="318" t="n">
        <v>1</v>
      </c>
      <c r="AE87" s="318" t="n">
        <v>0.98</v>
      </c>
      <c r="AF87" s="318" t="n">
        <v>0.98</v>
      </c>
      <c r="AG87" s="318" t="n">
        <v>0.98</v>
      </c>
      <c r="AH87" s="318" t="n">
        <v>1</v>
      </c>
      <c r="AI87" s="318" t="n">
        <v>1.05</v>
      </c>
      <c r="AJ87" s="318" t="n">
        <v>1</v>
      </c>
      <c r="AK87" s="318" t="n">
        <v>1</v>
      </c>
      <c r="AL87" s="318" t="n">
        <v>1.02</v>
      </c>
      <c r="AM87" s="318" t="n">
        <v>1</v>
      </c>
      <c r="AN87" s="318" t="n">
        <v>1</v>
      </c>
      <c r="AO87" s="318" t="n">
        <v>1</v>
      </c>
    </row>
    <row r="88" customFormat="false" ht="12.75" hidden="false" customHeight="false" outlineLevel="0" collapsed="false">
      <c r="A88" s="317" t="n">
        <v>39356</v>
      </c>
      <c r="B88" s="318" t="n">
        <v>1</v>
      </c>
      <c r="C88" s="318" t="n">
        <v>1</v>
      </c>
      <c r="D88" s="318" t="n">
        <v>1</v>
      </c>
      <c r="E88" s="318" t="n">
        <v>1</v>
      </c>
      <c r="F88" s="318" t="n">
        <v>1</v>
      </c>
      <c r="G88" s="318" t="n">
        <v>1</v>
      </c>
      <c r="H88" s="318" t="n">
        <v>1</v>
      </c>
      <c r="I88" s="318" t="n">
        <v>1</v>
      </c>
      <c r="J88" s="318" t="n">
        <v>1</v>
      </c>
      <c r="K88" s="318" t="n">
        <v>1</v>
      </c>
      <c r="L88" s="318" t="n">
        <v>1</v>
      </c>
      <c r="M88" s="318" t="n">
        <v>1</v>
      </c>
      <c r="N88" s="318" t="n">
        <v>1</v>
      </c>
      <c r="O88" s="318" t="n">
        <v>1</v>
      </c>
      <c r="P88" s="318" t="n">
        <v>1.03</v>
      </c>
      <c r="Q88" s="318" t="n">
        <v>1.03</v>
      </c>
      <c r="R88" s="318" t="n">
        <v>1</v>
      </c>
      <c r="S88" s="318" t="n">
        <v>1</v>
      </c>
      <c r="T88" s="318" t="n">
        <v>1.02</v>
      </c>
      <c r="U88" s="318" t="n">
        <v>1</v>
      </c>
      <c r="V88" s="318" t="n">
        <v>1</v>
      </c>
      <c r="W88" s="318" t="n">
        <v>1</v>
      </c>
      <c r="X88" s="318" t="n">
        <v>1</v>
      </c>
      <c r="Y88" s="318" t="n">
        <v>1</v>
      </c>
      <c r="Z88" s="318" t="n">
        <v>1.02</v>
      </c>
      <c r="AA88" s="318" t="n">
        <v>1</v>
      </c>
      <c r="AB88" s="318" t="n">
        <v>1</v>
      </c>
      <c r="AC88" s="318" t="n">
        <v>1</v>
      </c>
      <c r="AD88" s="318" t="n">
        <v>1</v>
      </c>
      <c r="AE88" s="318" t="n">
        <v>0.98</v>
      </c>
      <c r="AF88" s="318" t="n">
        <v>0.98</v>
      </c>
      <c r="AG88" s="318" t="n">
        <v>0.98</v>
      </c>
      <c r="AH88" s="318" t="n">
        <v>1</v>
      </c>
      <c r="AI88" s="318" t="n">
        <v>1.05</v>
      </c>
      <c r="AJ88" s="318" t="n">
        <v>1</v>
      </c>
      <c r="AK88" s="318" t="n">
        <v>1</v>
      </c>
      <c r="AL88" s="318" t="n">
        <v>1.02</v>
      </c>
      <c r="AM88" s="318" t="n">
        <v>1</v>
      </c>
      <c r="AN88" s="318" t="n">
        <v>1</v>
      </c>
      <c r="AO88" s="318" t="n">
        <v>1</v>
      </c>
    </row>
    <row r="89" customFormat="false" ht="12.75" hidden="false" customHeight="false" outlineLevel="0" collapsed="false">
      <c r="A89" s="317" t="n">
        <v>39387</v>
      </c>
      <c r="B89" s="318" t="n">
        <v>1</v>
      </c>
      <c r="C89" s="318" t="n">
        <v>1</v>
      </c>
      <c r="D89" s="318" t="n">
        <v>1</v>
      </c>
      <c r="E89" s="318" t="n">
        <v>1</v>
      </c>
      <c r="F89" s="318" t="n">
        <v>1</v>
      </c>
      <c r="G89" s="318" t="n">
        <v>1</v>
      </c>
      <c r="H89" s="318" t="n">
        <v>1</v>
      </c>
      <c r="I89" s="318" t="n">
        <v>1</v>
      </c>
      <c r="J89" s="318" t="n">
        <v>1</v>
      </c>
      <c r="K89" s="318" t="n">
        <v>1</v>
      </c>
      <c r="L89" s="318" t="n">
        <v>1</v>
      </c>
      <c r="M89" s="318" t="n">
        <v>1</v>
      </c>
      <c r="N89" s="318" t="n">
        <v>1</v>
      </c>
      <c r="O89" s="318" t="n">
        <v>1</v>
      </c>
      <c r="P89" s="318" t="n">
        <v>1.03</v>
      </c>
      <c r="Q89" s="318" t="n">
        <v>1.03</v>
      </c>
      <c r="R89" s="318" t="n">
        <v>1</v>
      </c>
      <c r="S89" s="318" t="n">
        <v>1</v>
      </c>
      <c r="T89" s="318" t="n">
        <v>1.02</v>
      </c>
      <c r="U89" s="318" t="n">
        <v>1</v>
      </c>
      <c r="V89" s="318" t="n">
        <v>1</v>
      </c>
      <c r="W89" s="318" t="n">
        <v>1</v>
      </c>
      <c r="X89" s="318" t="n">
        <v>1</v>
      </c>
      <c r="Y89" s="318" t="n">
        <v>1</v>
      </c>
      <c r="Z89" s="318" t="n">
        <v>1</v>
      </c>
      <c r="AA89" s="318" t="n">
        <v>1</v>
      </c>
      <c r="AB89" s="318" t="n">
        <v>1</v>
      </c>
      <c r="AC89" s="318" t="n">
        <v>1</v>
      </c>
      <c r="AD89" s="318" t="n">
        <v>1</v>
      </c>
      <c r="AE89" s="318" t="n">
        <v>1</v>
      </c>
      <c r="AF89" s="318" t="n">
        <v>1</v>
      </c>
      <c r="AG89" s="318" t="n">
        <v>1.1</v>
      </c>
      <c r="AH89" s="318" t="n">
        <v>1.1</v>
      </c>
      <c r="AI89" s="318" t="n">
        <v>1.05</v>
      </c>
      <c r="AJ89" s="318" t="n">
        <v>1</v>
      </c>
      <c r="AK89" s="318" t="n">
        <v>1</v>
      </c>
      <c r="AL89" s="318" t="n">
        <v>1.02</v>
      </c>
      <c r="AM89" s="318" t="n">
        <v>1</v>
      </c>
      <c r="AN89" s="318" t="n">
        <v>1</v>
      </c>
      <c r="AO89" s="318" t="n">
        <v>1</v>
      </c>
    </row>
    <row r="90" customFormat="false" ht="12.75" hidden="false" customHeight="false" outlineLevel="0" collapsed="false">
      <c r="A90" s="317" t="n">
        <v>39417</v>
      </c>
      <c r="B90" s="318" t="n">
        <v>1</v>
      </c>
      <c r="C90" s="318" t="n">
        <v>1</v>
      </c>
      <c r="D90" s="318" t="n">
        <v>1</v>
      </c>
      <c r="E90" s="318" t="n">
        <v>1</v>
      </c>
      <c r="F90" s="318" t="n">
        <v>1</v>
      </c>
      <c r="G90" s="318" t="n">
        <v>1</v>
      </c>
      <c r="H90" s="318" t="n">
        <v>1</v>
      </c>
      <c r="I90" s="318" t="n">
        <v>1</v>
      </c>
      <c r="J90" s="318" t="n">
        <v>1</v>
      </c>
      <c r="K90" s="318" t="n">
        <v>1</v>
      </c>
      <c r="L90" s="318" t="n">
        <v>1</v>
      </c>
      <c r="M90" s="318" t="n">
        <v>1</v>
      </c>
      <c r="N90" s="318" t="n">
        <v>1</v>
      </c>
      <c r="O90" s="318" t="n">
        <v>1</v>
      </c>
      <c r="P90" s="318" t="n">
        <v>1.03</v>
      </c>
      <c r="Q90" s="318" t="n">
        <v>1.03</v>
      </c>
      <c r="R90" s="318" t="n">
        <v>1</v>
      </c>
      <c r="S90" s="318" t="n">
        <v>1</v>
      </c>
      <c r="T90" s="318" t="n">
        <v>1.02</v>
      </c>
      <c r="U90" s="318" t="n">
        <v>1</v>
      </c>
      <c r="V90" s="318" t="n">
        <v>1</v>
      </c>
      <c r="W90" s="318" t="n">
        <v>1</v>
      </c>
      <c r="X90" s="318" t="n">
        <v>1</v>
      </c>
      <c r="Y90" s="318" t="n">
        <v>1</v>
      </c>
      <c r="Z90" s="318" t="n">
        <v>1</v>
      </c>
      <c r="AA90" s="318" t="n">
        <v>1</v>
      </c>
      <c r="AB90" s="318" t="n">
        <v>1</v>
      </c>
      <c r="AC90" s="318" t="n">
        <v>1</v>
      </c>
      <c r="AD90" s="318" t="n">
        <v>1</v>
      </c>
      <c r="AE90" s="318" t="n">
        <v>1</v>
      </c>
      <c r="AF90" s="318" t="n">
        <v>1</v>
      </c>
      <c r="AG90" s="318" t="n">
        <v>1.1</v>
      </c>
      <c r="AH90" s="318" t="n">
        <v>1.02</v>
      </c>
      <c r="AI90" s="318" t="n">
        <v>1.05</v>
      </c>
      <c r="AJ90" s="318" t="n">
        <v>1</v>
      </c>
      <c r="AK90" s="318" t="n">
        <v>1</v>
      </c>
      <c r="AL90" s="318" t="n">
        <v>1.02</v>
      </c>
      <c r="AM90" s="318" t="n">
        <v>1</v>
      </c>
      <c r="AN90" s="318" t="n">
        <v>1</v>
      </c>
      <c r="AO90" s="318" t="n">
        <v>1</v>
      </c>
    </row>
    <row r="91" customFormat="false" ht="12.75" hidden="false" customHeight="false" outlineLevel="0" collapsed="false">
      <c r="A91" s="317" t="n">
        <v>39448</v>
      </c>
      <c r="B91" s="318" t="n">
        <v>1</v>
      </c>
      <c r="C91" s="318" t="n">
        <v>1</v>
      </c>
      <c r="D91" s="318" t="n">
        <v>1</v>
      </c>
      <c r="E91" s="318" t="n">
        <v>1</v>
      </c>
      <c r="F91" s="318" t="n">
        <v>1</v>
      </c>
      <c r="G91" s="318" t="n">
        <v>1</v>
      </c>
      <c r="H91" s="318" t="n">
        <v>1</v>
      </c>
      <c r="I91" s="318" t="n">
        <v>1</v>
      </c>
      <c r="J91" s="318" t="n">
        <v>1</v>
      </c>
      <c r="K91" s="318" t="n">
        <v>1</v>
      </c>
      <c r="L91" s="318" t="n">
        <v>1</v>
      </c>
      <c r="M91" s="318" t="n">
        <v>1</v>
      </c>
      <c r="N91" s="318" t="n">
        <v>1</v>
      </c>
      <c r="O91" s="318" t="n">
        <v>1</v>
      </c>
      <c r="P91" s="318" t="n">
        <v>1.03</v>
      </c>
      <c r="Q91" s="318" t="n">
        <v>1.03</v>
      </c>
      <c r="R91" s="318" t="n">
        <v>1</v>
      </c>
      <c r="S91" s="318" t="n">
        <v>1</v>
      </c>
      <c r="T91" s="318" t="n">
        <v>1.02</v>
      </c>
      <c r="U91" s="318" t="n">
        <v>1</v>
      </c>
      <c r="V91" s="318" t="n">
        <v>1</v>
      </c>
      <c r="W91" s="318" t="n">
        <v>1</v>
      </c>
      <c r="X91" s="318" t="n">
        <v>1</v>
      </c>
      <c r="Y91" s="318" t="n">
        <v>1</v>
      </c>
      <c r="Z91" s="318" t="n">
        <v>1</v>
      </c>
      <c r="AA91" s="318" t="n">
        <v>1</v>
      </c>
      <c r="AB91" s="318" t="n">
        <v>1</v>
      </c>
      <c r="AC91" s="318" t="n">
        <v>1</v>
      </c>
      <c r="AD91" s="318" t="n">
        <v>1</v>
      </c>
      <c r="AE91" s="318" t="n">
        <v>1</v>
      </c>
      <c r="AF91" s="318" t="n">
        <v>1</v>
      </c>
      <c r="AG91" s="318" t="n">
        <v>1.1</v>
      </c>
      <c r="AH91" s="318" t="n">
        <v>1.04</v>
      </c>
      <c r="AI91" s="318" t="n">
        <v>1.05</v>
      </c>
      <c r="AJ91" s="318" t="n">
        <v>1</v>
      </c>
      <c r="AK91" s="318" t="n">
        <v>1</v>
      </c>
      <c r="AL91" s="318" t="n">
        <v>1.02</v>
      </c>
      <c r="AM91" s="318" t="n">
        <v>1</v>
      </c>
      <c r="AN91" s="318" t="n">
        <v>1</v>
      </c>
      <c r="AO91" s="318" t="n">
        <v>1</v>
      </c>
    </row>
    <row r="92" customFormat="false" ht="12.75" hidden="false" customHeight="false" outlineLevel="0" collapsed="false">
      <c r="A92" s="317" t="n">
        <v>39479</v>
      </c>
      <c r="B92" s="318" t="n">
        <v>1</v>
      </c>
      <c r="C92" s="318" t="n">
        <v>1</v>
      </c>
      <c r="D92" s="318" t="n">
        <v>1</v>
      </c>
      <c r="E92" s="318" t="n">
        <v>1</v>
      </c>
      <c r="F92" s="318" t="n">
        <v>1</v>
      </c>
      <c r="G92" s="318" t="n">
        <v>1</v>
      </c>
      <c r="H92" s="318" t="n">
        <v>1</v>
      </c>
      <c r="I92" s="318" t="n">
        <v>1</v>
      </c>
      <c r="J92" s="318" t="n">
        <v>1</v>
      </c>
      <c r="K92" s="318" t="n">
        <v>1</v>
      </c>
      <c r="L92" s="318" t="n">
        <v>1</v>
      </c>
      <c r="M92" s="318" t="n">
        <v>1</v>
      </c>
      <c r="N92" s="318" t="n">
        <v>1</v>
      </c>
      <c r="O92" s="318" t="n">
        <v>1</v>
      </c>
      <c r="P92" s="318" t="n">
        <v>1.03</v>
      </c>
      <c r="Q92" s="318" t="n">
        <v>1.03</v>
      </c>
      <c r="R92" s="318" t="n">
        <v>1</v>
      </c>
      <c r="S92" s="318" t="n">
        <v>1</v>
      </c>
      <c r="T92" s="318" t="n">
        <v>1.02</v>
      </c>
      <c r="U92" s="318" t="n">
        <v>1</v>
      </c>
      <c r="V92" s="318" t="n">
        <v>1</v>
      </c>
      <c r="W92" s="318" t="n">
        <v>1</v>
      </c>
      <c r="X92" s="318" t="n">
        <v>1</v>
      </c>
      <c r="Y92" s="318" t="n">
        <v>1</v>
      </c>
      <c r="Z92" s="318" t="n">
        <v>1</v>
      </c>
      <c r="AA92" s="318" t="n">
        <v>1</v>
      </c>
      <c r="AB92" s="318" t="n">
        <v>1</v>
      </c>
      <c r="AC92" s="318" t="n">
        <v>1</v>
      </c>
      <c r="AD92" s="318" t="n">
        <v>1</v>
      </c>
      <c r="AE92" s="318" t="n">
        <v>1</v>
      </c>
      <c r="AF92" s="318" t="n">
        <v>1</v>
      </c>
      <c r="AG92" s="318" t="n">
        <v>1.1</v>
      </c>
      <c r="AH92" s="318" t="n">
        <v>1.04</v>
      </c>
      <c r="AI92" s="318" t="n">
        <v>1.05</v>
      </c>
      <c r="AJ92" s="318" t="n">
        <v>1</v>
      </c>
      <c r="AK92" s="318" t="n">
        <v>1</v>
      </c>
      <c r="AL92" s="318" t="n">
        <v>1.02</v>
      </c>
      <c r="AM92" s="318" t="n">
        <v>1</v>
      </c>
      <c r="AN92" s="318" t="n">
        <v>1</v>
      </c>
      <c r="AO92" s="318" t="n">
        <v>1</v>
      </c>
    </row>
    <row r="93" customFormat="false" ht="12.75" hidden="false" customHeight="false" outlineLevel="0" collapsed="false">
      <c r="A93" s="317" t="n">
        <v>39508</v>
      </c>
      <c r="B93" s="318" t="n">
        <v>1</v>
      </c>
      <c r="C93" s="318" t="n">
        <v>1</v>
      </c>
      <c r="D93" s="318" t="n">
        <v>1</v>
      </c>
      <c r="E93" s="318" t="n">
        <v>1</v>
      </c>
      <c r="F93" s="318" t="n">
        <v>1</v>
      </c>
      <c r="G93" s="318" t="n">
        <v>1</v>
      </c>
      <c r="H93" s="318" t="n">
        <v>1</v>
      </c>
      <c r="I93" s="318" t="n">
        <v>1</v>
      </c>
      <c r="J93" s="318" t="n">
        <v>1</v>
      </c>
      <c r="K93" s="318" t="n">
        <v>1</v>
      </c>
      <c r="L93" s="318" t="n">
        <v>1</v>
      </c>
      <c r="M93" s="318" t="n">
        <v>1</v>
      </c>
      <c r="N93" s="318" t="n">
        <v>1</v>
      </c>
      <c r="O93" s="318" t="n">
        <v>1</v>
      </c>
      <c r="P93" s="318" t="n">
        <v>1.03</v>
      </c>
      <c r="Q93" s="318" t="n">
        <v>1.03</v>
      </c>
      <c r="R93" s="318" t="n">
        <v>1</v>
      </c>
      <c r="S93" s="318" t="n">
        <v>1</v>
      </c>
      <c r="T93" s="318" t="n">
        <v>1.02</v>
      </c>
      <c r="U93" s="318" t="n">
        <v>1</v>
      </c>
      <c r="V93" s="318" t="n">
        <v>1</v>
      </c>
      <c r="W93" s="318" t="n">
        <v>1</v>
      </c>
      <c r="X93" s="318" t="n">
        <v>1</v>
      </c>
      <c r="Y93" s="318" t="n">
        <v>1</v>
      </c>
      <c r="Z93" s="318" t="n">
        <v>1</v>
      </c>
      <c r="AA93" s="318" t="n">
        <v>1</v>
      </c>
      <c r="AB93" s="318" t="n">
        <v>1</v>
      </c>
      <c r="AC93" s="318" t="n">
        <v>1</v>
      </c>
      <c r="AD93" s="318" t="n">
        <v>1</v>
      </c>
      <c r="AE93" s="318" t="n">
        <v>1</v>
      </c>
      <c r="AF93" s="318" t="n">
        <v>1</v>
      </c>
      <c r="AG93" s="318" t="n">
        <v>1.1</v>
      </c>
      <c r="AH93" s="318" t="n">
        <v>1.04</v>
      </c>
      <c r="AI93" s="318" t="n">
        <v>1.05</v>
      </c>
      <c r="AJ93" s="318" t="n">
        <v>1</v>
      </c>
      <c r="AK93" s="318" t="n">
        <v>1</v>
      </c>
      <c r="AL93" s="318" t="n">
        <v>1.02</v>
      </c>
      <c r="AM93" s="318" t="n">
        <v>1</v>
      </c>
      <c r="AN93" s="318" t="n">
        <v>1</v>
      </c>
      <c r="AO93" s="318" t="n">
        <v>1</v>
      </c>
    </row>
    <row r="94" customFormat="false" ht="12.75" hidden="false" customHeight="false" outlineLevel="0" collapsed="false">
      <c r="A94" s="317" t="n">
        <v>39539</v>
      </c>
      <c r="B94" s="318" t="n">
        <v>1</v>
      </c>
      <c r="C94" s="318" t="n">
        <v>1</v>
      </c>
      <c r="D94" s="318" t="n">
        <v>1</v>
      </c>
      <c r="E94" s="318" t="n">
        <v>1</v>
      </c>
      <c r="F94" s="318" t="n">
        <v>1</v>
      </c>
      <c r="G94" s="318" t="n">
        <v>1</v>
      </c>
      <c r="H94" s="318" t="n">
        <v>1</v>
      </c>
      <c r="I94" s="318" t="n">
        <v>1</v>
      </c>
      <c r="J94" s="318" t="n">
        <v>1</v>
      </c>
      <c r="K94" s="318" t="n">
        <v>1</v>
      </c>
      <c r="L94" s="318" t="n">
        <v>1</v>
      </c>
      <c r="M94" s="318" t="n">
        <v>1</v>
      </c>
      <c r="N94" s="318" t="n">
        <v>1</v>
      </c>
      <c r="O94" s="318" t="n">
        <v>1</v>
      </c>
      <c r="P94" s="318" t="n">
        <v>1.03</v>
      </c>
      <c r="Q94" s="318" t="n">
        <v>1.03</v>
      </c>
      <c r="R94" s="318" t="n">
        <v>1</v>
      </c>
      <c r="S94" s="318" t="n">
        <v>1</v>
      </c>
      <c r="T94" s="318" t="n">
        <v>1.02</v>
      </c>
      <c r="U94" s="318" t="n">
        <v>1</v>
      </c>
      <c r="V94" s="318" t="n">
        <v>1</v>
      </c>
      <c r="W94" s="318" t="n">
        <v>1</v>
      </c>
      <c r="X94" s="318" t="n">
        <v>1</v>
      </c>
      <c r="Y94" s="318" t="n">
        <v>1</v>
      </c>
      <c r="Z94" s="318" t="n">
        <v>1.02</v>
      </c>
      <c r="AA94" s="318" t="n">
        <v>1</v>
      </c>
      <c r="AB94" s="318" t="n">
        <v>1</v>
      </c>
      <c r="AC94" s="318" t="n">
        <v>1</v>
      </c>
      <c r="AD94" s="318" t="n">
        <v>1</v>
      </c>
      <c r="AE94" s="318" t="n">
        <v>0.98</v>
      </c>
      <c r="AF94" s="318" t="n">
        <v>0.98</v>
      </c>
      <c r="AG94" s="318" t="n">
        <v>0.98</v>
      </c>
      <c r="AH94" s="318" t="n">
        <v>1</v>
      </c>
      <c r="AI94" s="318" t="n">
        <v>1.05</v>
      </c>
      <c r="AJ94" s="318" t="n">
        <v>1</v>
      </c>
      <c r="AK94" s="318" t="n">
        <v>1</v>
      </c>
      <c r="AL94" s="318" t="n">
        <v>1.02</v>
      </c>
      <c r="AM94" s="318" t="n">
        <v>1</v>
      </c>
      <c r="AN94" s="318" t="n">
        <v>1</v>
      </c>
      <c r="AO94" s="318" t="n">
        <v>1</v>
      </c>
    </row>
    <row r="95" customFormat="false" ht="12.75" hidden="false" customHeight="false" outlineLevel="0" collapsed="false">
      <c r="A95" s="317" t="n">
        <v>39569</v>
      </c>
      <c r="B95" s="318" t="n">
        <v>1</v>
      </c>
      <c r="C95" s="318" t="n">
        <v>1</v>
      </c>
      <c r="D95" s="318" t="n">
        <v>1</v>
      </c>
      <c r="E95" s="318" t="n">
        <v>1</v>
      </c>
      <c r="F95" s="318" t="n">
        <v>1</v>
      </c>
      <c r="G95" s="318" t="n">
        <v>1</v>
      </c>
      <c r="H95" s="318" t="n">
        <v>1</v>
      </c>
      <c r="I95" s="318" t="n">
        <v>1</v>
      </c>
      <c r="J95" s="318" t="n">
        <v>1</v>
      </c>
      <c r="K95" s="318" t="n">
        <v>1</v>
      </c>
      <c r="L95" s="318" t="n">
        <v>1</v>
      </c>
      <c r="M95" s="318" t="n">
        <v>1</v>
      </c>
      <c r="N95" s="318" t="n">
        <v>1</v>
      </c>
      <c r="O95" s="318" t="n">
        <v>1</v>
      </c>
      <c r="P95" s="318" t="n">
        <v>1.03</v>
      </c>
      <c r="Q95" s="318" t="n">
        <v>1.03</v>
      </c>
      <c r="R95" s="318" t="n">
        <v>1</v>
      </c>
      <c r="S95" s="318" t="n">
        <v>1</v>
      </c>
      <c r="T95" s="318" t="n">
        <v>1.02</v>
      </c>
      <c r="U95" s="318" t="n">
        <v>1</v>
      </c>
      <c r="V95" s="318" t="n">
        <v>1</v>
      </c>
      <c r="W95" s="318" t="n">
        <v>1</v>
      </c>
      <c r="X95" s="318" t="n">
        <v>1</v>
      </c>
      <c r="Y95" s="318" t="n">
        <v>1</v>
      </c>
      <c r="Z95" s="318" t="n">
        <v>1.02</v>
      </c>
      <c r="AA95" s="318" t="n">
        <v>1</v>
      </c>
      <c r="AB95" s="318" t="n">
        <v>1</v>
      </c>
      <c r="AC95" s="318" t="n">
        <v>1</v>
      </c>
      <c r="AD95" s="318" t="n">
        <v>1</v>
      </c>
      <c r="AE95" s="318" t="n">
        <v>0.98</v>
      </c>
      <c r="AF95" s="318" t="n">
        <v>0.98</v>
      </c>
      <c r="AG95" s="318" t="n">
        <v>0.98</v>
      </c>
      <c r="AH95" s="318" t="n">
        <v>1</v>
      </c>
      <c r="AI95" s="318" t="n">
        <v>1.05</v>
      </c>
      <c r="AJ95" s="318" t="n">
        <v>1</v>
      </c>
      <c r="AK95" s="318" t="n">
        <v>1</v>
      </c>
      <c r="AL95" s="318" t="n">
        <v>1.02</v>
      </c>
      <c r="AM95" s="318" t="n">
        <v>1</v>
      </c>
      <c r="AN95" s="318" t="n">
        <v>1</v>
      </c>
      <c r="AO95" s="318" t="n">
        <v>1</v>
      </c>
    </row>
    <row r="96" customFormat="false" ht="12.75" hidden="false" customHeight="false" outlineLevel="0" collapsed="false">
      <c r="A96" s="317" t="n">
        <v>39600</v>
      </c>
      <c r="B96" s="318" t="n">
        <v>1</v>
      </c>
      <c r="C96" s="318" t="n">
        <v>1</v>
      </c>
      <c r="D96" s="318" t="n">
        <v>1</v>
      </c>
      <c r="E96" s="318" t="n">
        <v>1</v>
      </c>
      <c r="F96" s="318" t="n">
        <v>1</v>
      </c>
      <c r="G96" s="318" t="n">
        <v>1</v>
      </c>
      <c r="H96" s="318" t="n">
        <v>1</v>
      </c>
      <c r="I96" s="318" t="n">
        <v>1</v>
      </c>
      <c r="J96" s="318" t="n">
        <v>1</v>
      </c>
      <c r="K96" s="318" t="n">
        <v>1</v>
      </c>
      <c r="L96" s="318" t="n">
        <v>1</v>
      </c>
      <c r="M96" s="318" t="n">
        <v>1</v>
      </c>
      <c r="N96" s="318" t="n">
        <v>1</v>
      </c>
      <c r="O96" s="318" t="n">
        <v>1</v>
      </c>
      <c r="P96" s="318" t="n">
        <v>1.03</v>
      </c>
      <c r="Q96" s="318" t="n">
        <v>1.03</v>
      </c>
      <c r="R96" s="318" t="n">
        <v>1</v>
      </c>
      <c r="S96" s="318" t="n">
        <v>1</v>
      </c>
      <c r="T96" s="318" t="n">
        <v>1.02</v>
      </c>
      <c r="U96" s="318" t="n">
        <v>1</v>
      </c>
      <c r="V96" s="318" t="n">
        <v>1</v>
      </c>
      <c r="W96" s="318" t="n">
        <v>1</v>
      </c>
      <c r="X96" s="318" t="n">
        <v>1</v>
      </c>
      <c r="Y96" s="318" t="n">
        <v>1</v>
      </c>
      <c r="Z96" s="318" t="n">
        <v>1.02</v>
      </c>
      <c r="AA96" s="318" t="n">
        <v>1</v>
      </c>
      <c r="AB96" s="318" t="n">
        <v>1</v>
      </c>
      <c r="AC96" s="318" t="n">
        <v>1</v>
      </c>
      <c r="AD96" s="318" t="n">
        <v>1</v>
      </c>
      <c r="AE96" s="318" t="n">
        <v>0.98</v>
      </c>
      <c r="AF96" s="318" t="n">
        <v>0.98</v>
      </c>
      <c r="AG96" s="318" t="n">
        <v>0.98</v>
      </c>
      <c r="AH96" s="318" t="n">
        <v>1</v>
      </c>
      <c r="AI96" s="318" t="n">
        <v>1.05</v>
      </c>
      <c r="AJ96" s="318" t="n">
        <v>1</v>
      </c>
      <c r="AK96" s="318" t="n">
        <v>1</v>
      </c>
      <c r="AL96" s="318" t="n">
        <v>1.02</v>
      </c>
      <c r="AM96" s="318" t="n">
        <v>1</v>
      </c>
      <c r="AN96" s="318" t="n">
        <v>1</v>
      </c>
      <c r="AO96" s="318" t="n">
        <v>1</v>
      </c>
    </row>
    <row r="97" customFormat="false" ht="12.75" hidden="false" customHeight="false" outlineLevel="0" collapsed="false">
      <c r="A97" s="317" t="n">
        <v>39630</v>
      </c>
      <c r="B97" s="318" t="n">
        <v>1</v>
      </c>
      <c r="C97" s="318" t="n">
        <v>1</v>
      </c>
      <c r="D97" s="318" t="n">
        <v>1</v>
      </c>
      <c r="E97" s="318" t="n">
        <v>1</v>
      </c>
      <c r="F97" s="318" t="n">
        <v>1</v>
      </c>
      <c r="G97" s="318" t="n">
        <v>1</v>
      </c>
      <c r="H97" s="318" t="n">
        <v>1</v>
      </c>
      <c r="I97" s="318" t="n">
        <v>1</v>
      </c>
      <c r="J97" s="318" t="n">
        <v>1</v>
      </c>
      <c r="K97" s="318" t="n">
        <v>1</v>
      </c>
      <c r="L97" s="318" t="n">
        <v>1</v>
      </c>
      <c r="M97" s="318" t="n">
        <v>1</v>
      </c>
      <c r="N97" s="318" t="n">
        <v>1</v>
      </c>
      <c r="O97" s="318" t="n">
        <v>1</v>
      </c>
      <c r="P97" s="318" t="n">
        <v>1.03</v>
      </c>
      <c r="Q97" s="318" t="n">
        <v>1.03</v>
      </c>
      <c r="R97" s="318" t="n">
        <v>1</v>
      </c>
      <c r="S97" s="318" t="n">
        <v>1</v>
      </c>
      <c r="T97" s="318" t="n">
        <v>1.02</v>
      </c>
      <c r="U97" s="318" t="n">
        <v>1</v>
      </c>
      <c r="V97" s="318" t="n">
        <v>1</v>
      </c>
      <c r="W97" s="318" t="n">
        <v>1</v>
      </c>
      <c r="X97" s="318" t="n">
        <v>1</v>
      </c>
      <c r="Y97" s="318" t="n">
        <v>1</v>
      </c>
      <c r="Z97" s="318" t="n">
        <v>1.02</v>
      </c>
      <c r="AA97" s="318" t="n">
        <v>1</v>
      </c>
      <c r="AB97" s="318" t="n">
        <v>1</v>
      </c>
      <c r="AC97" s="318" t="n">
        <v>1</v>
      </c>
      <c r="AD97" s="318" t="n">
        <v>1</v>
      </c>
      <c r="AE97" s="318" t="n">
        <v>0.98</v>
      </c>
      <c r="AF97" s="318" t="n">
        <v>0.98</v>
      </c>
      <c r="AG97" s="318" t="n">
        <v>0.98</v>
      </c>
      <c r="AH97" s="318" t="n">
        <v>1</v>
      </c>
      <c r="AI97" s="318" t="n">
        <v>1.05</v>
      </c>
      <c r="AJ97" s="318" t="n">
        <v>1</v>
      </c>
      <c r="AK97" s="318" t="n">
        <v>1</v>
      </c>
      <c r="AL97" s="318" t="n">
        <v>1.02</v>
      </c>
      <c r="AM97" s="318" t="n">
        <v>1</v>
      </c>
      <c r="AN97" s="318" t="n">
        <v>1</v>
      </c>
      <c r="AO97" s="318" t="n">
        <v>1</v>
      </c>
    </row>
    <row r="98" customFormat="false" ht="12.75" hidden="false" customHeight="false" outlineLevel="0" collapsed="false">
      <c r="A98" s="317" t="n">
        <v>39661</v>
      </c>
      <c r="B98" s="318" t="n">
        <v>1</v>
      </c>
      <c r="C98" s="318" t="n">
        <v>1</v>
      </c>
      <c r="D98" s="318" t="n">
        <v>1</v>
      </c>
      <c r="E98" s="318" t="n">
        <v>1</v>
      </c>
      <c r="F98" s="318" t="n">
        <v>1</v>
      </c>
      <c r="G98" s="318" t="n">
        <v>1</v>
      </c>
      <c r="H98" s="318" t="n">
        <v>1</v>
      </c>
      <c r="I98" s="318" t="n">
        <v>1</v>
      </c>
      <c r="J98" s="318" t="n">
        <v>1</v>
      </c>
      <c r="K98" s="318" t="n">
        <v>1</v>
      </c>
      <c r="L98" s="318" t="n">
        <v>1</v>
      </c>
      <c r="M98" s="318" t="n">
        <v>1</v>
      </c>
      <c r="N98" s="318" t="n">
        <v>1</v>
      </c>
      <c r="O98" s="318" t="n">
        <v>1</v>
      </c>
      <c r="P98" s="318" t="n">
        <v>1.03</v>
      </c>
      <c r="Q98" s="318" t="n">
        <v>1.03</v>
      </c>
      <c r="R98" s="318" t="n">
        <v>1</v>
      </c>
      <c r="S98" s="318" t="n">
        <v>1</v>
      </c>
      <c r="T98" s="318" t="n">
        <v>1.02</v>
      </c>
      <c r="U98" s="318" t="n">
        <v>1</v>
      </c>
      <c r="V98" s="318" t="n">
        <v>1</v>
      </c>
      <c r="W98" s="318" t="n">
        <v>1</v>
      </c>
      <c r="X98" s="318" t="n">
        <v>1</v>
      </c>
      <c r="Y98" s="318" t="n">
        <v>1</v>
      </c>
      <c r="Z98" s="318" t="n">
        <v>1.02</v>
      </c>
      <c r="AA98" s="318" t="n">
        <v>1</v>
      </c>
      <c r="AB98" s="318" t="n">
        <v>1</v>
      </c>
      <c r="AC98" s="318" t="n">
        <v>1</v>
      </c>
      <c r="AD98" s="318" t="n">
        <v>1</v>
      </c>
      <c r="AE98" s="318" t="n">
        <v>0.98</v>
      </c>
      <c r="AF98" s="318" t="n">
        <v>0.98</v>
      </c>
      <c r="AG98" s="318" t="n">
        <v>0.98</v>
      </c>
      <c r="AH98" s="318" t="n">
        <v>1</v>
      </c>
      <c r="AI98" s="318" t="n">
        <v>1.05</v>
      </c>
      <c r="AJ98" s="318" t="n">
        <v>1</v>
      </c>
      <c r="AK98" s="318" t="n">
        <v>1</v>
      </c>
      <c r="AL98" s="318" t="n">
        <v>1.02</v>
      </c>
      <c r="AM98" s="318" t="n">
        <v>1</v>
      </c>
      <c r="AN98" s="318" t="n">
        <v>1</v>
      </c>
      <c r="AO98" s="318" t="n">
        <v>1</v>
      </c>
    </row>
    <row r="99" customFormat="false" ht="12.75" hidden="false" customHeight="false" outlineLevel="0" collapsed="false">
      <c r="A99" s="317" t="n">
        <v>39692</v>
      </c>
      <c r="B99" s="318" t="n">
        <v>1</v>
      </c>
      <c r="C99" s="318" t="n">
        <v>1</v>
      </c>
      <c r="D99" s="318" t="n">
        <v>1</v>
      </c>
      <c r="E99" s="318" t="n">
        <v>1</v>
      </c>
      <c r="F99" s="318" t="n">
        <v>1</v>
      </c>
      <c r="G99" s="318" t="n">
        <v>1</v>
      </c>
      <c r="H99" s="318" t="n">
        <v>1</v>
      </c>
      <c r="I99" s="318" t="n">
        <v>1</v>
      </c>
      <c r="J99" s="318" t="n">
        <v>1</v>
      </c>
      <c r="K99" s="318" t="n">
        <v>1</v>
      </c>
      <c r="L99" s="318" t="n">
        <v>1</v>
      </c>
      <c r="M99" s="318" t="n">
        <v>1</v>
      </c>
      <c r="N99" s="318" t="n">
        <v>1</v>
      </c>
      <c r="O99" s="318" t="n">
        <v>1</v>
      </c>
      <c r="P99" s="318" t="n">
        <v>1.03</v>
      </c>
      <c r="Q99" s="318" t="n">
        <v>1.03</v>
      </c>
      <c r="R99" s="318" t="n">
        <v>1</v>
      </c>
      <c r="S99" s="318" t="n">
        <v>1</v>
      </c>
      <c r="T99" s="318" t="n">
        <v>1.02</v>
      </c>
      <c r="U99" s="318" t="n">
        <v>1</v>
      </c>
      <c r="V99" s="318" t="n">
        <v>1</v>
      </c>
      <c r="W99" s="318" t="n">
        <v>1</v>
      </c>
      <c r="X99" s="318" t="n">
        <v>1</v>
      </c>
      <c r="Y99" s="318" t="n">
        <v>1</v>
      </c>
      <c r="Z99" s="318" t="n">
        <v>1.02</v>
      </c>
      <c r="AA99" s="318" t="n">
        <v>1</v>
      </c>
      <c r="AB99" s="318" t="n">
        <v>1</v>
      </c>
      <c r="AC99" s="318" t="n">
        <v>1</v>
      </c>
      <c r="AD99" s="318" t="n">
        <v>1</v>
      </c>
      <c r="AE99" s="318" t="n">
        <v>0.98</v>
      </c>
      <c r="AF99" s="318" t="n">
        <v>0.98</v>
      </c>
      <c r="AG99" s="318" t="n">
        <v>0.98</v>
      </c>
      <c r="AH99" s="318" t="n">
        <v>1</v>
      </c>
      <c r="AI99" s="318" t="n">
        <v>1.05</v>
      </c>
      <c r="AJ99" s="318" t="n">
        <v>1</v>
      </c>
      <c r="AK99" s="318" t="n">
        <v>1</v>
      </c>
      <c r="AL99" s="318" t="n">
        <v>1.02</v>
      </c>
      <c r="AM99" s="318" t="n">
        <v>1</v>
      </c>
      <c r="AN99" s="318" t="n">
        <v>1</v>
      </c>
      <c r="AO99" s="318" t="n">
        <v>1</v>
      </c>
    </row>
    <row r="100" customFormat="false" ht="12.75" hidden="false" customHeight="false" outlineLevel="0" collapsed="false">
      <c r="A100" s="317" t="n">
        <v>39722</v>
      </c>
      <c r="B100" s="318" t="n">
        <v>1</v>
      </c>
      <c r="C100" s="318" t="n">
        <v>1</v>
      </c>
      <c r="D100" s="318" t="n">
        <v>1</v>
      </c>
      <c r="E100" s="318" t="n">
        <v>1</v>
      </c>
      <c r="F100" s="318" t="n">
        <v>1</v>
      </c>
      <c r="G100" s="318" t="n">
        <v>1</v>
      </c>
      <c r="H100" s="318" t="n">
        <v>1</v>
      </c>
      <c r="I100" s="318" t="n">
        <v>1</v>
      </c>
      <c r="J100" s="318" t="n">
        <v>1</v>
      </c>
      <c r="K100" s="318" t="n">
        <v>1</v>
      </c>
      <c r="L100" s="318" t="n">
        <v>1</v>
      </c>
      <c r="M100" s="318" t="n">
        <v>1</v>
      </c>
      <c r="N100" s="318" t="n">
        <v>1</v>
      </c>
      <c r="O100" s="318" t="n">
        <v>1</v>
      </c>
      <c r="P100" s="318" t="n">
        <v>1.03</v>
      </c>
      <c r="Q100" s="318" t="n">
        <v>1.03</v>
      </c>
      <c r="R100" s="318" t="n">
        <v>1</v>
      </c>
      <c r="S100" s="318" t="n">
        <v>1</v>
      </c>
      <c r="T100" s="318" t="n">
        <v>1.02</v>
      </c>
      <c r="U100" s="318" t="n">
        <v>1</v>
      </c>
      <c r="V100" s="318" t="n">
        <v>1</v>
      </c>
      <c r="W100" s="318" t="n">
        <v>1</v>
      </c>
      <c r="X100" s="318" t="n">
        <v>1</v>
      </c>
      <c r="Y100" s="318" t="n">
        <v>1</v>
      </c>
      <c r="Z100" s="318" t="n">
        <v>1.02</v>
      </c>
      <c r="AA100" s="318" t="n">
        <v>1</v>
      </c>
      <c r="AB100" s="318" t="n">
        <v>1</v>
      </c>
      <c r="AC100" s="318" t="n">
        <v>1</v>
      </c>
      <c r="AD100" s="318" t="n">
        <v>1</v>
      </c>
      <c r="AE100" s="318" t="n">
        <v>0.98</v>
      </c>
      <c r="AF100" s="318" t="n">
        <v>0.98</v>
      </c>
      <c r="AG100" s="318" t="n">
        <v>0.98</v>
      </c>
      <c r="AH100" s="318" t="n">
        <v>1</v>
      </c>
      <c r="AI100" s="318" t="n">
        <v>1.05</v>
      </c>
      <c r="AJ100" s="318" t="n">
        <v>1</v>
      </c>
      <c r="AK100" s="318" t="n">
        <v>1</v>
      </c>
      <c r="AL100" s="318" t="n">
        <v>1.02</v>
      </c>
      <c r="AM100" s="318" t="n">
        <v>1</v>
      </c>
      <c r="AN100" s="318" t="n">
        <v>1</v>
      </c>
      <c r="AO100" s="318" t="n">
        <v>1</v>
      </c>
    </row>
    <row r="101" customFormat="false" ht="12.75" hidden="false" customHeight="false" outlineLevel="0" collapsed="false">
      <c r="A101" s="317" t="n">
        <v>39753</v>
      </c>
      <c r="B101" s="318" t="n">
        <v>1</v>
      </c>
      <c r="C101" s="318" t="n">
        <v>1</v>
      </c>
      <c r="D101" s="318" t="n">
        <v>1</v>
      </c>
      <c r="E101" s="318" t="n">
        <v>1</v>
      </c>
      <c r="F101" s="318" t="n">
        <v>1</v>
      </c>
      <c r="G101" s="318" t="n">
        <v>1</v>
      </c>
      <c r="H101" s="318" t="n">
        <v>1</v>
      </c>
      <c r="I101" s="318" t="n">
        <v>1</v>
      </c>
      <c r="J101" s="318" t="n">
        <v>1</v>
      </c>
      <c r="K101" s="318" t="n">
        <v>1</v>
      </c>
      <c r="L101" s="318" t="n">
        <v>1</v>
      </c>
      <c r="M101" s="318" t="n">
        <v>1</v>
      </c>
      <c r="N101" s="318" t="n">
        <v>1</v>
      </c>
      <c r="O101" s="318" t="n">
        <v>1</v>
      </c>
      <c r="P101" s="318" t="n">
        <v>1.03</v>
      </c>
      <c r="Q101" s="318" t="n">
        <v>1.03</v>
      </c>
      <c r="R101" s="318" t="n">
        <v>1</v>
      </c>
      <c r="S101" s="318" t="n">
        <v>1</v>
      </c>
      <c r="T101" s="318" t="n">
        <v>1.02</v>
      </c>
      <c r="U101" s="318" t="n">
        <v>1</v>
      </c>
      <c r="V101" s="318" t="n">
        <v>1</v>
      </c>
      <c r="W101" s="318" t="n">
        <v>1</v>
      </c>
      <c r="X101" s="318" t="n">
        <v>1</v>
      </c>
      <c r="Y101" s="318" t="n">
        <v>1</v>
      </c>
      <c r="Z101" s="318" t="n">
        <v>1</v>
      </c>
      <c r="AA101" s="318" t="n">
        <v>1</v>
      </c>
      <c r="AB101" s="318" t="n">
        <v>1</v>
      </c>
      <c r="AC101" s="318" t="n">
        <v>1</v>
      </c>
      <c r="AD101" s="318" t="n">
        <v>1</v>
      </c>
      <c r="AE101" s="318" t="n">
        <v>1</v>
      </c>
      <c r="AF101" s="318" t="n">
        <v>1</v>
      </c>
      <c r="AG101" s="318" t="n">
        <v>1.1</v>
      </c>
      <c r="AH101" s="318" t="n">
        <v>1.1</v>
      </c>
      <c r="AI101" s="318" t="n">
        <v>1.05</v>
      </c>
      <c r="AJ101" s="318" t="n">
        <v>1</v>
      </c>
      <c r="AK101" s="318" t="n">
        <v>1</v>
      </c>
      <c r="AL101" s="318" t="n">
        <v>1.02</v>
      </c>
      <c r="AM101" s="318" t="n">
        <v>1</v>
      </c>
      <c r="AN101" s="318" t="n">
        <v>1</v>
      </c>
      <c r="AO101" s="318" t="n">
        <v>1</v>
      </c>
    </row>
    <row r="102" customFormat="false" ht="12.75" hidden="false" customHeight="false" outlineLevel="0" collapsed="false">
      <c r="A102" s="317" t="n">
        <v>39783</v>
      </c>
      <c r="B102" s="318" t="n">
        <v>1</v>
      </c>
      <c r="C102" s="318" t="n">
        <v>1</v>
      </c>
      <c r="D102" s="318" t="n">
        <v>1</v>
      </c>
      <c r="E102" s="318" t="n">
        <v>1</v>
      </c>
      <c r="F102" s="318" t="n">
        <v>1</v>
      </c>
      <c r="G102" s="318" t="n">
        <v>1</v>
      </c>
      <c r="H102" s="318" t="n">
        <v>1</v>
      </c>
      <c r="I102" s="318" t="n">
        <v>1</v>
      </c>
      <c r="J102" s="318" t="n">
        <v>1</v>
      </c>
      <c r="K102" s="318" t="n">
        <v>1</v>
      </c>
      <c r="L102" s="318" t="n">
        <v>1</v>
      </c>
      <c r="M102" s="318" t="n">
        <v>1</v>
      </c>
      <c r="N102" s="318" t="n">
        <v>1</v>
      </c>
      <c r="O102" s="318" t="n">
        <v>1</v>
      </c>
      <c r="P102" s="318" t="n">
        <v>1.03</v>
      </c>
      <c r="Q102" s="318" t="n">
        <v>1.03</v>
      </c>
      <c r="R102" s="318" t="n">
        <v>1</v>
      </c>
      <c r="S102" s="318" t="n">
        <v>1</v>
      </c>
      <c r="T102" s="318" t="n">
        <v>1.02</v>
      </c>
      <c r="U102" s="318" t="n">
        <v>1</v>
      </c>
      <c r="V102" s="318" t="n">
        <v>1</v>
      </c>
      <c r="W102" s="318" t="n">
        <v>1</v>
      </c>
      <c r="X102" s="318" t="n">
        <v>1</v>
      </c>
      <c r="Y102" s="318" t="n">
        <v>1</v>
      </c>
      <c r="Z102" s="318" t="n">
        <v>1</v>
      </c>
      <c r="AA102" s="318" t="n">
        <v>1</v>
      </c>
      <c r="AB102" s="318" t="n">
        <v>1</v>
      </c>
      <c r="AC102" s="318" t="n">
        <v>1</v>
      </c>
      <c r="AD102" s="318" t="n">
        <v>1</v>
      </c>
      <c r="AE102" s="318" t="n">
        <v>1</v>
      </c>
      <c r="AF102" s="318" t="n">
        <v>1</v>
      </c>
      <c r="AG102" s="318" t="n">
        <v>1.1</v>
      </c>
      <c r="AH102" s="318" t="n">
        <v>1.02</v>
      </c>
      <c r="AI102" s="318" t="n">
        <v>1.05</v>
      </c>
      <c r="AJ102" s="318" t="n">
        <v>1</v>
      </c>
      <c r="AK102" s="318" t="n">
        <v>1</v>
      </c>
      <c r="AL102" s="318" t="n">
        <v>1.02</v>
      </c>
      <c r="AM102" s="318" t="n">
        <v>1</v>
      </c>
      <c r="AN102" s="318" t="n">
        <v>1</v>
      </c>
      <c r="AO102" s="318" t="n">
        <v>1</v>
      </c>
    </row>
    <row r="103" customFormat="false" ht="12.75" hidden="false" customHeight="false" outlineLevel="0" collapsed="false">
      <c r="A103" s="317" t="n">
        <v>39814</v>
      </c>
      <c r="B103" s="318" t="n">
        <v>1</v>
      </c>
      <c r="C103" s="318" t="n">
        <v>1</v>
      </c>
      <c r="D103" s="318" t="n">
        <v>1</v>
      </c>
      <c r="E103" s="318" t="n">
        <v>1</v>
      </c>
      <c r="F103" s="318" t="n">
        <v>1</v>
      </c>
      <c r="G103" s="318" t="n">
        <v>1</v>
      </c>
      <c r="H103" s="318" t="n">
        <v>1</v>
      </c>
      <c r="I103" s="318" t="n">
        <v>1</v>
      </c>
      <c r="J103" s="318" t="n">
        <v>1</v>
      </c>
      <c r="K103" s="318" t="n">
        <v>1</v>
      </c>
      <c r="L103" s="318" t="n">
        <v>1</v>
      </c>
      <c r="M103" s="318" t="n">
        <v>1</v>
      </c>
      <c r="N103" s="318" t="n">
        <v>1</v>
      </c>
      <c r="O103" s="318" t="n">
        <v>1</v>
      </c>
      <c r="P103" s="318" t="n">
        <v>1.03</v>
      </c>
      <c r="Q103" s="318" t="n">
        <v>1.03</v>
      </c>
      <c r="R103" s="318" t="n">
        <v>1</v>
      </c>
      <c r="S103" s="318" t="n">
        <v>1</v>
      </c>
      <c r="T103" s="318" t="n">
        <v>1.02</v>
      </c>
      <c r="U103" s="318" t="n">
        <v>1</v>
      </c>
      <c r="V103" s="318" t="n">
        <v>1</v>
      </c>
      <c r="W103" s="318" t="n">
        <v>1</v>
      </c>
      <c r="X103" s="318" t="n">
        <v>1</v>
      </c>
      <c r="Y103" s="318" t="n">
        <v>1</v>
      </c>
      <c r="Z103" s="318" t="n">
        <v>1</v>
      </c>
      <c r="AA103" s="318" t="n">
        <v>1</v>
      </c>
      <c r="AB103" s="318" t="n">
        <v>1</v>
      </c>
      <c r="AC103" s="318" t="n">
        <v>1</v>
      </c>
      <c r="AD103" s="318" t="n">
        <v>1</v>
      </c>
      <c r="AE103" s="318" t="n">
        <v>1</v>
      </c>
      <c r="AF103" s="318" t="n">
        <v>1</v>
      </c>
      <c r="AG103" s="318" t="n">
        <v>1.1</v>
      </c>
      <c r="AH103" s="318" t="n">
        <v>1.04</v>
      </c>
      <c r="AI103" s="318" t="n">
        <v>1.05</v>
      </c>
      <c r="AJ103" s="318" t="n">
        <v>1</v>
      </c>
      <c r="AK103" s="318" t="n">
        <v>1</v>
      </c>
      <c r="AL103" s="318" t="n">
        <v>1.02</v>
      </c>
      <c r="AM103" s="318" t="n">
        <v>1</v>
      </c>
      <c r="AN103" s="318" t="n">
        <v>1</v>
      </c>
      <c r="AO103" s="318" t="n">
        <v>1</v>
      </c>
    </row>
    <row r="104" customFormat="false" ht="12.75" hidden="false" customHeight="false" outlineLevel="0" collapsed="false">
      <c r="A104" s="317" t="n">
        <v>39845</v>
      </c>
      <c r="B104" s="318" t="n">
        <v>1</v>
      </c>
      <c r="C104" s="318" t="n">
        <v>1</v>
      </c>
      <c r="D104" s="318" t="n">
        <v>1</v>
      </c>
      <c r="E104" s="318" t="n">
        <v>1</v>
      </c>
      <c r="F104" s="318" t="n">
        <v>1</v>
      </c>
      <c r="G104" s="318" t="n">
        <v>1</v>
      </c>
      <c r="H104" s="318" t="n">
        <v>1</v>
      </c>
      <c r="I104" s="318" t="n">
        <v>1</v>
      </c>
      <c r="J104" s="318" t="n">
        <v>1</v>
      </c>
      <c r="K104" s="318" t="n">
        <v>1</v>
      </c>
      <c r="L104" s="318" t="n">
        <v>1</v>
      </c>
      <c r="M104" s="318" t="n">
        <v>1</v>
      </c>
      <c r="N104" s="318" t="n">
        <v>1</v>
      </c>
      <c r="O104" s="318" t="n">
        <v>1</v>
      </c>
      <c r="P104" s="318" t="n">
        <v>1.03</v>
      </c>
      <c r="Q104" s="318" t="n">
        <v>1.03</v>
      </c>
      <c r="R104" s="318" t="n">
        <v>1</v>
      </c>
      <c r="S104" s="318" t="n">
        <v>1</v>
      </c>
      <c r="T104" s="318" t="n">
        <v>1.02</v>
      </c>
      <c r="U104" s="318" t="n">
        <v>1</v>
      </c>
      <c r="V104" s="318" t="n">
        <v>1</v>
      </c>
      <c r="W104" s="318" t="n">
        <v>1</v>
      </c>
      <c r="X104" s="318" t="n">
        <v>1</v>
      </c>
      <c r="Y104" s="318" t="n">
        <v>1</v>
      </c>
      <c r="Z104" s="318" t="n">
        <v>1</v>
      </c>
      <c r="AA104" s="318" t="n">
        <v>1</v>
      </c>
      <c r="AB104" s="318" t="n">
        <v>1</v>
      </c>
      <c r="AC104" s="318" t="n">
        <v>1</v>
      </c>
      <c r="AD104" s="318" t="n">
        <v>1</v>
      </c>
      <c r="AE104" s="318" t="n">
        <v>1</v>
      </c>
      <c r="AF104" s="318" t="n">
        <v>1</v>
      </c>
      <c r="AG104" s="318" t="n">
        <v>1.1</v>
      </c>
      <c r="AH104" s="318" t="n">
        <v>1.04</v>
      </c>
      <c r="AI104" s="318" t="n">
        <v>1.05</v>
      </c>
      <c r="AJ104" s="318" t="n">
        <v>1</v>
      </c>
      <c r="AK104" s="318" t="n">
        <v>1</v>
      </c>
      <c r="AL104" s="318" t="n">
        <v>1.02</v>
      </c>
      <c r="AM104" s="318" t="n">
        <v>1</v>
      </c>
      <c r="AN104" s="318" t="n">
        <v>1</v>
      </c>
      <c r="AO104" s="318" t="n">
        <v>1</v>
      </c>
    </row>
    <row r="105" customFormat="false" ht="12.75" hidden="false" customHeight="false" outlineLevel="0" collapsed="false">
      <c r="A105" s="317" t="n">
        <v>39873</v>
      </c>
      <c r="B105" s="318" t="n">
        <v>1</v>
      </c>
      <c r="C105" s="318" t="n">
        <v>1</v>
      </c>
      <c r="D105" s="318" t="n">
        <v>1</v>
      </c>
      <c r="E105" s="318" t="n">
        <v>1</v>
      </c>
      <c r="F105" s="318" t="n">
        <v>1</v>
      </c>
      <c r="G105" s="318" t="n">
        <v>1</v>
      </c>
      <c r="H105" s="318" t="n">
        <v>1</v>
      </c>
      <c r="I105" s="318" t="n">
        <v>1</v>
      </c>
      <c r="J105" s="318" t="n">
        <v>1</v>
      </c>
      <c r="K105" s="318" t="n">
        <v>1</v>
      </c>
      <c r="L105" s="318" t="n">
        <v>1</v>
      </c>
      <c r="M105" s="318" t="n">
        <v>1</v>
      </c>
      <c r="N105" s="318" t="n">
        <v>1</v>
      </c>
      <c r="O105" s="318" t="n">
        <v>1</v>
      </c>
      <c r="P105" s="318" t="n">
        <v>1.03</v>
      </c>
      <c r="Q105" s="318" t="n">
        <v>1.03</v>
      </c>
      <c r="R105" s="318" t="n">
        <v>1</v>
      </c>
      <c r="S105" s="318" t="n">
        <v>1</v>
      </c>
      <c r="T105" s="318" t="n">
        <v>1.02</v>
      </c>
      <c r="U105" s="318" t="n">
        <v>1</v>
      </c>
      <c r="V105" s="318" t="n">
        <v>1</v>
      </c>
      <c r="W105" s="318" t="n">
        <v>1</v>
      </c>
      <c r="X105" s="318" t="n">
        <v>1</v>
      </c>
      <c r="Y105" s="318" t="n">
        <v>1</v>
      </c>
      <c r="Z105" s="318" t="n">
        <v>1</v>
      </c>
      <c r="AA105" s="318" t="n">
        <v>1</v>
      </c>
      <c r="AB105" s="318" t="n">
        <v>1</v>
      </c>
      <c r="AC105" s="318" t="n">
        <v>1</v>
      </c>
      <c r="AD105" s="318" t="n">
        <v>1</v>
      </c>
      <c r="AE105" s="318" t="n">
        <v>1</v>
      </c>
      <c r="AF105" s="318" t="n">
        <v>1</v>
      </c>
      <c r="AG105" s="318" t="n">
        <v>1.1</v>
      </c>
      <c r="AH105" s="318" t="n">
        <v>1.04</v>
      </c>
      <c r="AI105" s="318" t="n">
        <v>1.05</v>
      </c>
      <c r="AJ105" s="318" t="n">
        <v>1</v>
      </c>
      <c r="AK105" s="318" t="n">
        <v>1</v>
      </c>
      <c r="AL105" s="318" t="n">
        <v>1.02</v>
      </c>
      <c r="AM105" s="318" t="n">
        <v>1</v>
      </c>
      <c r="AN105" s="318" t="n">
        <v>1</v>
      </c>
      <c r="AO105" s="318" t="n">
        <v>1</v>
      </c>
    </row>
    <row r="106" customFormat="false" ht="12.75" hidden="false" customHeight="false" outlineLevel="0" collapsed="false">
      <c r="A106" s="317" t="n">
        <v>39904</v>
      </c>
      <c r="B106" s="318" t="n">
        <v>1</v>
      </c>
      <c r="C106" s="318" t="n">
        <v>1</v>
      </c>
      <c r="D106" s="318" t="n">
        <v>1</v>
      </c>
      <c r="E106" s="318" t="n">
        <v>1</v>
      </c>
      <c r="F106" s="318" t="n">
        <v>1</v>
      </c>
      <c r="G106" s="318" t="n">
        <v>1</v>
      </c>
      <c r="H106" s="318" t="n">
        <v>1</v>
      </c>
      <c r="I106" s="318" t="n">
        <v>1</v>
      </c>
      <c r="J106" s="318" t="n">
        <v>1</v>
      </c>
      <c r="K106" s="318" t="n">
        <v>1</v>
      </c>
      <c r="L106" s="318" t="n">
        <v>1</v>
      </c>
      <c r="M106" s="318" t="n">
        <v>1</v>
      </c>
      <c r="N106" s="318" t="n">
        <v>1</v>
      </c>
      <c r="O106" s="318" t="n">
        <v>1</v>
      </c>
      <c r="P106" s="318" t="n">
        <v>1.03</v>
      </c>
      <c r="Q106" s="318" t="n">
        <v>1.03</v>
      </c>
      <c r="R106" s="318" t="n">
        <v>1</v>
      </c>
      <c r="S106" s="318" t="n">
        <v>1</v>
      </c>
      <c r="T106" s="318" t="n">
        <v>1.02</v>
      </c>
      <c r="U106" s="318" t="n">
        <v>1</v>
      </c>
      <c r="V106" s="318" t="n">
        <v>1</v>
      </c>
      <c r="W106" s="318" t="n">
        <v>1</v>
      </c>
      <c r="X106" s="318" t="n">
        <v>1</v>
      </c>
      <c r="Y106" s="318" t="n">
        <v>1</v>
      </c>
      <c r="Z106" s="318" t="n">
        <v>1.02</v>
      </c>
      <c r="AA106" s="318" t="n">
        <v>1</v>
      </c>
      <c r="AB106" s="318" t="n">
        <v>1</v>
      </c>
      <c r="AC106" s="318" t="n">
        <v>1</v>
      </c>
      <c r="AD106" s="318" t="n">
        <v>1</v>
      </c>
      <c r="AE106" s="318" t="n">
        <v>0.98</v>
      </c>
      <c r="AF106" s="318" t="n">
        <v>0.98</v>
      </c>
      <c r="AG106" s="318" t="n">
        <v>0.98</v>
      </c>
      <c r="AH106" s="318" t="n">
        <v>1</v>
      </c>
      <c r="AI106" s="318" t="n">
        <v>1.05</v>
      </c>
      <c r="AJ106" s="318" t="n">
        <v>1</v>
      </c>
      <c r="AK106" s="318" t="n">
        <v>1</v>
      </c>
      <c r="AL106" s="318" t="n">
        <v>1.02</v>
      </c>
      <c r="AM106" s="318" t="n">
        <v>1</v>
      </c>
      <c r="AN106" s="318" t="n">
        <v>1</v>
      </c>
      <c r="AO106" s="318" t="n">
        <v>1</v>
      </c>
    </row>
    <row r="107" customFormat="false" ht="12.75" hidden="false" customHeight="false" outlineLevel="0" collapsed="false">
      <c r="A107" s="317" t="n">
        <v>39934</v>
      </c>
      <c r="B107" s="318" t="n">
        <v>1</v>
      </c>
      <c r="C107" s="318" t="n">
        <v>1</v>
      </c>
      <c r="D107" s="318" t="n">
        <v>1</v>
      </c>
      <c r="E107" s="318" t="n">
        <v>1</v>
      </c>
      <c r="F107" s="318" t="n">
        <v>1</v>
      </c>
      <c r="G107" s="318" t="n">
        <v>1</v>
      </c>
      <c r="H107" s="318" t="n">
        <v>1</v>
      </c>
      <c r="I107" s="318" t="n">
        <v>1</v>
      </c>
      <c r="J107" s="318" t="n">
        <v>1</v>
      </c>
      <c r="K107" s="318" t="n">
        <v>1</v>
      </c>
      <c r="L107" s="318" t="n">
        <v>1</v>
      </c>
      <c r="M107" s="318" t="n">
        <v>1</v>
      </c>
      <c r="N107" s="318" t="n">
        <v>1</v>
      </c>
      <c r="O107" s="318" t="n">
        <v>1</v>
      </c>
      <c r="P107" s="318" t="n">
        <v>1.03</v>
      </c>
      <c r="Q107" s="318" t="n">
        <v>1.03</v>
      </c>
      <c r="R107" s="318" t="n">
        <v>1</v>
      </c>
      <c r="S107" s="318" t="n">
        <v>1</v>
      </c>
      <c r="T107" s="318" t="n">
        <v>1.02</v>
      </c>
      <c r="U107" s="318" t="n">
        <v>1</v>
      </c>
      <c r="V107" s="318" t="n">
        <v>1</v>
      </c>
      <c r="W107" s="318" t="n">
        <v>1</v>
      </c>
      <c r="X107" s="318" t="n">
        <v>1</v>
      </c>
      <c r="Y107" s="318" t="n">
        <v>1</v>
      </c>
      <c r="Z107" s="318" t="n">
        <v>1.02</v>
      </c>
      <c r="AA107" s="318" t="n">
        <v>1</v>
      </c>
      <c r="AB107" s="318" t="n">
        <v>1</v>
      </c>
      <c r="AC107" s="318" t="n">
        <v>1</v>
      </c>
      <c r="AD107" s="318" t="n">
        <v>1</v>
      </c>
      <c r="AE107" s="318" t="n">
        <v>0.98</v>
      </c>
      <c r="AF107" s="318" t="n">
        <v>0.98</v>
      </c>
      <c r="AG107" s="318" t="n">
        <v>0.98</v>
      </c>
      <c r="AH107" s="318" t="n">
        <v>1</v>
      </c>
      <c r="AI107" s="318" t="n">
        <v>1.05</v>
      </c>
      <c r="AJ107" s="318" t="n">
        <v>1</v>
      </c>
      <c r="AK107" s="318" t="n">
        <v>1</v>
      </c>
      <c r="AL107" s="318" t="n">
        <v>1.02</v>
      </c>
      <c r="AM107" s="318" t="n">
        <v>1</v>
      </c>
      <c r="AN107" s="318" t="n">
        <v>1</v>
      </c>
      <c r="AO107" s="318" t="n">
        <v>1</v>
      </c>
    </row>
    <row r="108" customFormat="false" ht="12.75" hidden="false" customHeight="false" outlineLevel="0" collapsed="false">
      <c r="A108" s="317" t="n">
        <v>39965</v>
      </c>
      <c r="B108" s="318" t="n">
        <v>1</v>
      </c>
      <c r="C108" s="318" t="n">
        <v>1</v>
      </c>
      <c r="D108" s="318" t="n">
        <v>1</v>
      </c>
      <c r="E108" s="318" t="n">
        <v>1</v>
      </c>
      <c r="F108" s="318" t="n">
        <v>1</v>
      </c>
      <c r="G108" s="318" t="n">
        <v>1</v>
      </c>
      <c r="H108" s="318" t="n">
        <v>1</v>
      </c>
      <c r="I108" s="318" t="n">
        <v>1</v>
      </c>
      <c r="J108" s="318" t="n">
        <v>1</v>
      </c>
      <c r="K108" s="318" t="n">
        <v>1</v>
      </c>
      <c r="L108" s="318" t="n">
        <v>1</v>
      </c>
      <c r="M108" s="318" t="n">
        <v>1</v>
      </c>
      <c r="N108" s="318" t="n">
        <v>1</v>
      </c>
      <c r="O108" s="318" t="n">
        <v>1</v>
      </c>
      <c r="P108" s="318" t="n">
        <v>1.03</v>
      </c>
      <c r="Q108" s="318" t="n">
        <v>1.03</v>
      </c>
      <c r="R108" s="318" t="n">
        <v>1</v>
      </c>
      <c r="S108" s="318" t="n">
        <v>1</v>
      </c>
      <c r="T108" s="318" t="n">
        <v>1.02</v>
      </c>
      <c r="U108" s="318" t="n">
        <v>1</v>
      </c>
      <c r="V108" s="318" t="n">
        <v>1</v>
      </c>
      <c r="W108" s="318" t="n">
        <v>1</v>
      </c>
      <c r="X108" s="318" t="n">
        <v>1</v>
      </c>
      <c r="Y108" s="318" t="n">
        <v>1</v>
      </c>
      <c r="Z108" s="318" t="n">
        <v>1.02</v>
      </c>
      <c r="AA108" s="318" t="n">
        <v>1</v>
      </c>
      <c r="AB108" s="318" t="n">
        <v>1</v>
      </c>
      <c r="AC108" s="318" t="n">
        <v>1</v>
      </c>
      <c r="AD108" s="318" t="n">
        <v>1</v>
      </c>
      <c r="AE108" s="318" t="n">
        <v>0.98</v>
      </c>
      <c r="AF108" s="318" t="n">
        <v>0.98</v>
      </c>
      <c r="AG108" s="318" t="n">
        <v>0.98</v>
      </c>
      <c r="AH108" s="318" t="n">
        <v>1</v>
      </c>
      <c r="AI108" s="318" t="n">
        <v>1.05</v>
      </c>
      <c r="AJ108" s="318" t="n">
        <v>1</v>
      </c>
      <c r="AK108" s="318" t="n">
        <v>1</v>
      </c>
      <c r="AL108" s="318" t="n">
        <v>1.02</v>
      </c>
      <c r="AM108" s="318" t="n">
        <v>1</v>
      </c>
      <c r="AN108" s="318" t="n">
        <v>1</v>
      </c>
      <c r="AO108" s="318" t="n">
        <v>1</v>
      </c>
    </row>
    <row r="109" customFormat="false" ht="12.75" hidden="false" customHeight="false" outlineLevel="0" collapsed="false">
      <c r="A109" s="317" t="n">
        <v>39995</v>
      </c>
      <c r="B109" s="318" t="n">
        <v>1</v>
      </c>
      <c r="C109" s="318" t="n">
        <v>1</v>
      </c>
      <c r="D109" s="318" t="n">
        <v>1</v>
      </c>
      <c r="E109" s="318" t="n">
        <v>1</v>
      </c>
      <c r="F109" s="318" t="n">
        <v>1</v>
      </c>
      <c r="G109" s="318" t="n">
        <v>1</v>
      </c>
      <c r="H109" s="318" t="n">
        <v>1</v>
      </c>
      <c r="I109" s="318" t="n">
        <v>1</v>
      </c>
      <c r="J109" s="318" t="n">
        <v>1</v>
      </c>
      <c r="K109" s="318" t="n">
        <v>1</v>
      </c>
      <c r="L109" s="318" t="n">
        <v>1</v>
      </c>
      <c r="M109" s="318" t="n">
        <v>1</v>
      </c>
      <c r="N109" s="318" t="n">
        <v>1</v>
      </c>
      <c r="O109" s="318" t="n">
        <v>1</v>
      </c>
      <c r="P109" s="318" t="n">
        <v>1.03</v>
      </c>
      <c r="Q109" s="318" t="n">
        <v>1.03</v>
      </c>
      <c r="R109" s="318" t="n">
        <v>1</v>
      </c>
      <c r="S109" s="318" t="n">
        <v>1</v>
      </c>
      <c r="T109" s="318" t="n">
        <v>1.02</v>
      </c>
      <c r="U109" s="318" t="n">
        <v>1</v>
      </c>
      <c r="V109" s="318" t="n">
        <v>1</v>
      </c>
      <c r="W109" s="318" t="n">
        <v>1</v>
      </c>
      <c r="X109" s="318" t="n">
        <v>1</v>
      </c>
      <c r="Y109" s="318" t="n">
        <v>1</v>
      </c>
      <c r="Z109" s="318" t="n">
        <v>1.02</v>
      </c>
      <c r="AA109" s="318" t="n">
        <v>1</v>
      </c>
      <c r="AB109" s="318" t="n">
        <v>1</v>
      </c>
      <c r="AC109" s="318" t="n">
        <v>1</v>
      </c>
      <c r="AD109" s="318" t="n">
        <v>1</v>
      </c>
      <c r="AE109" s="318" t="n">
        <v>0.98</v>
      </c>
      <c r="AF109" s="318" t="n">
        <v>0.98</v>
      </c>
      <c r="AG109" s="318" t="n">
        <v>0.98</v>
      </c>
      <c r="AH109" s="318" t="n">
        <v>1</v>
      </c>
      <c r="AI109" s="318" t="n">
        <v>1.05</v>
      </c>
      <c r="AJ109" s="318" t="n">
        <v>1</v>
      </c>
      <c r="AK109" s="318" t="n">
        <v>1</v>
      </c>
      <c r="AL109" s="318" t="n">
        <v>1.02</v>
      </c>
      <c r="AM109" s="318" t="n">
        <v>1</v>
      </c>
      <c r="AN109" s="318" t="n">
        <v>1</v>
      </c>
      <c r="AO109" s="318" t="n">
        <v>1</v>
      </c>
    </row>
    <row r="110" customFormat="false" ht="12.75" hidden="false" customHeight="false" outlineLevel="0" collapsed="false">
      <c r="A110" s="317" t="n">
        <v>40026</v>
      </c>
      <c r="B110" s="318" t="n">
        <v>1</v>
      </c>
      <c r="C110" s="318" t="n">
        <v>1</v>
      </c>
      <c r="D110" s="318" t="n">
        <v>1</v>
      </c>
      <c r="E110" s="318" t="n">
        <v>1</v>
      </c>
      <c r="F110" s="318" t="n">
        <v>1</v>
      </c>
      <c r="G110" s="318" t="n">
        <v>1</v>
      </c>
      <c r="H110" s="318" t="n">
        <v>1</v>
      </c>
      <c r="I110" s="318" t="n">
        <v>1</v>
      </c>
      <c r="J110" s="318" t="n">
        <v>1</v>
      </c>
      <c r="K110" s="318" t="n">
        <v>1</v>
      </c>
      <c r="L110" s="318" t="n">
        <v>1</v>
      </c>
      <c r="M110" s="318" t="n">
        <v>1</v>
      </c>
      <c r="N110" s="318" t="n">
        <v>1</v>
      </c>
      <c r="O110" s="318" t="n">
        <v>1</v>
      </c>
      <c r="P110" s="318" t="n">
        <v>1.03</v>
      </c>
      <c r="Q110" s="318" t="n">
        <v>1.03</v>
      </c>
      <c r="R110" s="318" t="n">
        <v>1</v>
      </c>
      <c r="S110" s="318" t="n">
        <v>1</v>
      </c>
      <c r="T110" s="318" t="n">
        <v>1.02</v>
      </c>
      <c r="U110" s="318" t="n">
        <v>1</v>
      </c>
      <c r="V110" s="318" t="n">
        <v>1</v>
      </c>
      <c r="W110" s="318" t="n">
        <v>1</v>
      </c>
      <c r="X110" s="318" t="n">
        <v>1</v>
      </c>
      <c r="Y110" s="318" t="n">
        <v>1</v>
      </c>
      <c r="Z110" s="318" t="n">
        <v>1.02</v>
      </c>
      <c r="AA110" s="318" t="n">
        <v>1</v>
      </c>
      <c r="AB110" s="318" t="n">
        <v>1</v>
      </c>
      <c r="AC110" s="318" t="n">
        <v>1</v>
      </c>
      <c r="AD110" s="318" t="n">
        <v>1</v>
      </c>
      <c r="AE110" s="318" t="n">
        <v>0.98</v>
      </c>
      <c r="AF110" s="318" t="n">
        <v>0.98</v>
      </c>
      <c r="AG110" s="318" t="n">
        <v>0.98</v>
      </c>
      <c r="AH110" s="318" t="n">
        <v>1</v>
      </c>
      <c r="AI110" s="318" t="n">
        <v>1.05</v>
      </c>
      <c r="AJ110" s="318" t="n">
        <v>1</v>
      </c>
      <c r="AK110" s="318" t="n">
        <v>1</v>
      </c>
      <c r="AL110" s="318" t="n">
        <v>1.02</v>
      </c>
      <c r="AM110" s="318" t="n">
        <v>1</v>
      </c>
      <c r="AN110" s="318" t="n">
        <v>1</v>
      </c>
      <c r="AO110" s="318" t="n">
        <v>1</v>
      </c>
    </row>
    <row r="111" customFormat="false" ht="12.75" hidden="false" customHeight="false" outlineLevel="0" collapsed="false">
      <c r="A111" s="317" t="n">
        <v>40057</v>
      </c>
      <c r="B111" s="318" t="n">
        <v>1</v>
      </c>
      <c r="C111" s="318" t="n">
        <v>1</v>
      </c>
      <c r="D111" s="318" t="n">
        <v>1</v>
      </c>
      <c r="E111" s="318" t="n">
        <v>1</v>
      </c>
      <c r="F111" s="318" t="n">
        <v>1</v>
      </c>
      <c r="G111" s="318" t="n">
        <v>1</v>
      </c>
      <c r="H111" s="318" t="n">
        <v>1</v>
      </c>
      <c r="I111" s="318" t="n">
        <v>1</v>
      </c>
      <c r="J111" s="318" t="n">
        <v>1</v>
      </c>
      <c r="K111" s="318" t="n">
        <v>1</v>
      </c>
      <c r="L111" s="318" t="n">
        <v>1</v>
      </c>
      <c r="M111" s="318" t="n">
        <v>1</v>
      </c>
      <c r="N111" s="318" t="n">
        <v>1</v>
      </c>
      <c r="O111" s="318" t="n">
        <v>1</v>
      </c>
      <c r="P111" s="318" t="n">
        <v>1.03</v>
      </c>
      <c r="Q111" s="318" t="n">
        <v>1.03</v>
      </c>
      <c r="R111" s="318" t="n">
        <v>1</v>
      </c>
      <c r="S111" s="318" t="n">
        <v>1</v>
      </c>
      <c r="T111" s="318" t="n">
        <v>1.02</v>
      </c>
      <c r="U111" s="318" t="n">
        <v>1</v>
      </c>
      <c r="V111" s="318" t="n">
        <v>1</v>
      </c>
      <c r="W111" s="318" t="n">
        <v>1</v>
      </c>
      <c r="X111" s="318" t="n">
        <v>1</v>
      </c>
      <c r="Y111" s="318" t="n">
        <v>1</v>
      </c>
      <c r="Z111" s="318" t="n">
        <v>1.02</v>
      </c>
      <c r="AA111" s="318" t="n">
        <v>1</v>
      </c>
      <c r="AB111" s="318" t="n">
        <v>1</v>
      </c>
      <c r="AC111" s="318" t="n">
        <v>1</v>
      </c>
      <c r="AD111" s="318" t="n">
        <v>1</v>
      </c>
      <c r="AE111" s="318" t="n">
        <v>0.98</v>
      </c>
      <c r="AF111" s="318" t="n">
        <v>0.98</v>
      </c>
      <c r="AG111" s="318" t="n">
        <v>0.98</v>
      </c>
      <c r="AH111" s="318" t="n">
        <v>1</v>
      </c>
      <c r="AI111" s="318" t="n">
        <v>1.05</v>
      </c>
      <c r="AJ111" s="318" t="n">
        <v>1</v>
      </c>
      <c r="AK111" s="318" t="n">
        <v>1</v>
      </c>
      <c r="AL111" s="318" t="n">
        <v>1.02</v>
      </c>
      <c r="AM111" s="318" t="n">
        <v>1</v>
      </c>
      <c r="AN111" s="318" t="n">
        <v>1</v>
      </c>
      <c r="AO111" s="318" t="n">
        <v>1</v>
      </c>
    </row>
    <row r="112" customFormat="false" ht="12.75" hidden="false" customHeight="false" outlineLevel="0" collapsed="false">
      <c r="A112" s="317" t="n">
        <v>40087</v>
      </c>
      <c r="B112" s="318" t="n">
        <v>1</v>
      </c>
      <c r="C112" s="318" t="n">
        <v>1</v>
      </c>
      <c r="D112" s="318" t="n">
        <v>1</v>
      </c>
      <c r="E112" s="318" t="n">
        <v>1</v>
      </c>
      <c r="F112" s="318" t="n">
        <v>1</v>
      </c>
      <c r="G112" s="318" t="n">
        <v>1</v>
      </c>
      <c r="H112" s="318" t="n">
        <v>1</v>
      </c>
      <c r="I112" s="318" t="n">
        <v>1</v>
      </c>
      <c r="J112" s="318" t="n">
        <v>1</v>
      </c>
      <c r="K112" s="318" t="n">
        <v>1</v>
      </c>
      <c r="L112" s="318" t="n">
        <v>1</v>
      </c>
      <c r="M112" s="318" t="n">
        <v>1</v>
      </c>
      <c r="N112" s="318" t="n">
        <v>1</v>
      </c>
      <c r="O112" s="318" t="n">
        <v>1</v>
      </c>
      <c r="P112" s="318" t="n">
        <v>1.03</v>
      </c>
      <c r="Q112" s="318" t="n">
        <v>1.03</v>
      </c>
      <c r="R112" s="318" t="n">
        <v>1</v>
      </c>
      <c r="S112" s="318" t="n">
        <v>1</v>
      </c>
      <c r="T112" s="318" t="n">
        <v>1.02</v>
      </c>
      <c r="U112" s="318" t="n">
        <v>1</v>
      </c>
      <c r="V112" s="318" t="n">
        <v>1</v>
      </c>
      <c r="W112" s="318" t="n">
        <v>1</v>
      </c>
      <c r="X112" s="318" t="n">
        <v>1</v>
      </c>
      <c r="Y112" s="318" t="n">
        <v>1</v>
      </c>
      <c r="Z112" s="318" t="n">
        <v>1.02</v>
      </c>
      <c r="AA112" s="318" t="n">
        <v>1</v>
      </c>
      <c r="AB112" s="318" t="n">
        <v>1</v>
      </c>
      <c r="AC112" s="318" t="n">
        <v>1</v>
      </c>
      <c r="AD112" s="318" t="n">
        <v>1</v>
      </c>
      <c r="AE112" s="318" t="n">
        <v>0.98</v>
      </c>
      <c r="AF112" s="318" t="n">
        <v>0.98</v>
      </c>
      <c r="AG112" s="318" t="n">
        <v>0.98</v>
      </c>
      <c r="AH112" s="318" t="n">
        <v>1</v>
      </c>
      <c r="AI112" s="318" t="n">
        <v>1.05</v>
      </c>
      <c r="AJ112" s="318" t="n">
        <v>1</v>
      </c>
      <c r="AK112" s="318" t="n">
        <v>1</v>
      </c>
      <c r="AL112" s="318" t="n">
        <v>1.02</v>
      </c>
      <c r="AM112" s="318" t="n">
        <v>1</v>
      </c>
      <c r="AN112" s="318" t="n">
        <v>1</v>
      </c>
      <c r="AO112" s="318" t="n">
        <v>1</v>
      </c>
    </row>
    <row r="113" customFormat="false" ht="12.75" hidden="false" customHeight="false" outlineLevel="0" collapsed="false">
      <c r="A113" s="317" t="n">
        <v>40118</v>
      </c>
      <c r="B113" s="318" t="n">
        <v>1</v>
      </c>
      <c r="C113" s="318" t="n">
        <v>1</v>
      </c>
      <c r="D113" s="318" t="n">
        <v>1</v>
      </c>
      <c r="E113" s="318" t="n">
        <v>1</v>
      </c>
      <c r="F113" s="318" t="n">
        <v>1</v>
      </c>
      <c r="G113" s="318" t="n">
        <v>1</v>
      </c>
      <c r="H113" s="318" t="n">
        <v>1</v>
      </c>
      <c r="I113" s="318" t="n">
        <v>1</v>
      </c>
      <c r="J113" s="318" t="n">
        <v>1</v>
      </c>
      <c r="K113" s="318" t="n">
        <v>1</v>
      </c>
      <c r="L113" s="318" t="n">
        <v>1</v>
      </c>
      <c r="M113" s="318" t="n">
        <v>1</v>
      </c>
      <c r="N113" s="318" t="n">
        <v>1</v>
      </c>
      <c r="O113" s="318" t="n">
        <v>1</v>
      </c>
      <c r="P113" s="318" t="n">
        <v>1.03</v>
      </c>
      <c r="Q113" s="318" t="n">
        <v>1.03</v>
      </c>
      <c r="R113" s="318" t="n">
        <v>1</v>
      </c>
      <c r="S113" s="318" t="n">
        <v>1</v>
      </c>
      <c r="T113" s="318" t="n">
        <v>1.02</v>
      </c>
      <c r="U113" s="318" t="n">
        <v>1</v>
      </c>
      <c r="V113" s="318" t="n">
        <v>1</v>
      </c>
      <c r="W113" s="318" t="n">
        <v>1</v>
      </c>
      <c r="X113" s="318" t="n">
        <v>1</v>
      </c>
      <c r="Y113" s="318" t="n">
        <v>1</v>
      </c>
      <c r="Z113" s="318" t="n">
        <v>1</v>
      </c>
      <c r="AA113" s="318" t="n">
        <v>1</v>
      </c>
      <c r="AB113" s="318" t="n">
        <v>1</v>
      </c>
      <c r="AC113" s="318" t="n">
        <v>1</v>
      </c>
      <c r="AD113" s="318" t="n">
        <v>1</v>
      </c>
      <c r="AE113" s="318" t="n">
        <v>1</v>
      </c>
      <c r="AF113" s="318" t="n">
        <v>1</v>
      </c>
      <c r="AG113" s="318" t="n">
        <v>1.1</v>
      </c>
      <c r="AH113" s="318" t="n">
        <v>1.1</v>
      </c>
      <c r="AI113" s="318" t="n">
        <v>1.05</v>
      </c>
      <c r="AJ113" s="318" t="n">
        <v>1</v>
      </c>
      <c r="AK113" s="318" t="n">
        <v>1</v>
      </c>
      <c r="AL113" s="318" t="n">
        <v>1.02</v>
      </c>
      <c r="AM113" s="318" t="n">
        <v>1</v>
      </c>
      <c r="AN113" s="318" t="n">
        <v>1</v>
      </c>
      <c r="AO113" s="318" t="n">
        <v>1</v>
      </c>
    </row>
    <row r="114" customFormat="false" ht="12.75" hidden="false" customHeight="false" outlineLevel="0" collapsed="false">
      <c r="A114" s="317" t="n">
        <v>40148</v>
      </c>
      <c r="B114" s="318" t="n">
        <v>1</v>
      </c>
      <c r="C114" s="318" t="n">
        <v>1</v>
      </c>
      <c r="D114" s="318" t="n">
        <v>1</v>
      </c>
      <c r="E114" s="318" t="n">
        <v>1</v>
      </c>
      <c r="F114" s="318" t="n">
        <v>1</v>
      </c>
      <c r="G114" s="318" t="n">
        <v>1</v>
      </c>
      <c r="H114" s="318" t="n">
        <v>1</v>
      </c>
      <c r="I114" s="318" t="n">
        <v>1</v>
      </c>
      <c r="J114" s="318" t="n">
        <v>1</v>
      </c>
      <c r="K114" s="318" t="n">
        <v>1</v>
      </c>
      <c r="L114" s="318" t="n">
        <v>1</v>
      </c>
      <c r="M114" s="318" t="n">
        <v>1</v>
      </c>
      <c r="N114" s="318" t="n">
        <v>1</v>
      </c>
      <c r="O114" s="318" t="n">
        <v>1</v>
      </c>
      <c r="P114" s="318" t="n">
        <v>1.03</v>
      </c>
      <c r="Q114" s="318" t="n">
        <v>1.03</v>
      </c>
      <c r="R114" s="318" t="n">
        <v>1</v>
      </c>
      <c r="S114" s="318" t="n">
        <v>1</v>
      </c>
      <c r="T114" s="318" t="n">
        <v>1.02</v>
      </c>
      <c r="U114" s="318" t="n">
        <v>1</v>
      </c>
      <c r="V114" s="318" t="n">
        <v>1</v>
      </c>
      <c r="W114" s="318" t="n">
        <v>1</v>
      </c>
      <c r="X114" s="318" t="n">
        <v>1</v>
      </c>
      <c r="Y114" s="318" t="n">
        <v>1</v>
      </c>
      <c r="Z114" s="318" t="n">
        <v>1</v>
      </c>
      <c r="AA114" s="318" t="n">
        <v>1</v>
      </c>
      <c r="AB114" s="318" t="n">
        <v>1</v>
      </c>
      <c r="AC114" s="318" t="n">
        <v>1</v>
      </c>
      <c r="AD114" s="318" t="n">
        <v>1</v>
      </c>
      <c r="AE114" s="318" t="n">
        <v>1</v>
      </c>
      <c r="AF114" s="318" t="n">
        <v>1</v>
      </c>
      <c r="AG114" s="318" t="n">
        <v>1.1</v>
      </c>
      <c r="AH114" s="318" t="n">
        <v>1.02</v>
      </c>
      <c r="AI114" s="318" t="n">
        <v>1.05</v>
      </c>
      <c r="AJ114" s="318" t="n">
        <v>1</v>
      </c>
      <c r="AK114" s="318" t="n">
        <v>1</v>
      </c>
      <c r="AL114" s="318" t="n">
        <v>1.02</v>
      </c>
      <c r="AM114" s="318" t="n">
        <v>1</v>
      </c>
      <c r="AN114" s="318" t="n">
        <v>1</v>
      </c>
      <c r="AO114" s="318" t="n">
        <v>1</v>
      </c>
    </row>
    <row r="115" customFormat="false" ht="12.75" hidden="false" customHeight="false" outlineLevel="0" collapsed="false">
      <c r="A115" s="317" t="n">
        <v>40179</v>
      </c>
      <c r="B115" s="318" t="n">
        <v>1</v>
      </c>
      <c r="C115" s="318" t="n">
        <v>1</v>
      </c>
      <c r="D115" s="318" t="n">
        <v>1</v>
      </c>
      <c r="E115" s="318" t="n">
        <v>1</v>
      </c>
      <c r="F115" s="318" t="n">
        <v>1</v>
      </c>
      <c r="G115" s="318" t="n">
        <v>1</v>
      </c>
      <c r="H115" s="318" t="n">
        <v>1</v>
      </c>
      <c r="I115" s="318" t="n">
        <v>1</v>
      </c>
      <c r="J115" s="318" t="n">
        <v>1</v>
      </c>
      <c r="K115" s="318" t="n">
        <v>1</v>
      </c>
      <c r="L115" s="318" t="n">
        <v>1</v>
      </c>
      <c r="M115" s="318" t="n">
        <v>1</v>
      </c>
      <c r="N115" s="318" t="n">
        <v>1</v>
      </c>
      <c r="O115" s="318" t="n">
        <v>1</v>
      </c>
      <c r="P115" s="318" t="n">
        <v>1.03</v>
      </c>
      <c r="Q115" s="318" t="n">
        <v>1.03</v>
      </c>
      <c r="R115" s="318" t="n">
        <v>1</v>
      </c>
      <c r="S115" s="318" t="n">
        <v>1</v>
      </c>
      <c r="T115" s="318" t="n">
        <v>1.02</v>
      </c>
      <c r="U115" s="318" t="n">
        <v>1</v>
      </c>
      <c r="V115" s="318" t="n">
        <v>1</v>
      </c>
      <c r="W115" s="318" t="n">
        <v>1</v>
      </c>
      <c r="X115" s="318" t="n">
        <v>1</v>
      </c>
      <c r="Y115" s="318" t="n">
        <v>1</v>
      </c>
      <c r="Z115" s="318" t="n">
        <v>1</v>
      </c>
      <c r="AA115" s="318" t="n">
        <v>1</v>
      </c>
      <c r="AB115" s="318" t="n">
        <v>1</v>
      </c>
      <c r="AC115" s="318" t="n">
        <v>1</v>
      </c>
      <c r="AD115" s="318" t="n">
        <v>1</v>
      </c>
      <c r="AE115" s="318" t="n">
        <v>1</v>
      </c>
      <c r="AF115" s="318" t="n">
        <v>1</v>
      </c>
      <c r="AG115" s="318" t="n">
        <v>1.1</v>
      </c>
      <c r="AH115" s="318" t="n">
        <v>1.04</v>
      </c>
      <c r="AI115" s="318" t="n">
        <v>1.05</v>
      </c>
      <c r="AJ115" s="318" t="n">
        <v>1</v>
      </c>
      <c r="AK115" s="318" t="n">
        <v>1</v>
      </c>
      <c r="AL115" s="318" t="n">
        <v>1.02</v>
      </c>
      <c r="AM115" s="318" t="n">
        <v>1</v>
      </c>
      <c r="AN115" s="318" t="n">
        <v>1</v>
      </c>
      <c r="AO115" s="318" t="n">
        <v>1</v>
      </c>
    </row>
    <row r="116" customFormat="false" ht="12.75" hidden="false" customHeight="false" outlineLevel="0" collapsed="false">
      <c r="A116" s="317" t="n">
        <v>40210</v>
      </c>
      <c r="B116" s="318" t="n">
        <v>1</v>
      </c>
      <c r="C116" s="318" t="n">
        <v>1</v>
      </c>
      <c r="D116" s="318" t="n">
        <v>1</v>
      </c>
      <c r="E116" s="318" t="n">
        <v>1</v>
      </c>
      <c r="F116" s="318" t="n">
        <v>1</v>
      </c>
      <c r="G116" s="318" t="n">
        <v>1</v>
      </c>
      <c r="H116" s="318" t="n">
        <v>1</v>
      </c>
      <c r="I116" s="318" t="n">
        <v>1</v>
      </c>
      <c r="J116" s="318" t="n">
        <v>1</v>
      </c>
      <c r="K116" s="318" t="n">
        <v>1</v>
      </c>
      <c r="L116" s="318" t="n">
        <v>1</v>
      </c>
      <c r="M116" s="318" t="n">
        <v>1</v>
      </c>
      <c r="N116" s="318" t="n">
        <v>1</v>
      </c>
      <c r="O116" s="318" t="n">
        <v>1</v>
      </c>
      <c r="P116" s="318" t="n">
        <v>1.03</v>
      </c>
      <c r="Q116" s="318" t="n">
        <v>1.03</v>
      </c>
      <c r="R116" s="318" t="n">
        <v>1</v>
      </c>
      <c r="S116" s="318" t="n">
        <v>1</v>
      </c>
      <c r="T116" s="318" t="n">
        <v>1.02</v>
      </c>
      <c r="U116" s="318" t="n">
        <v>1</v>
      </c>
      <c r="V116" s="318" t="n">
        <v>1</v>
      </c>
      <c r="W116" s="318" t="n">
        <v>1</v>
      </c>
      <c r="X116" s="318" t="n">
        <v>1</v>
      </c>
      <c r="Y116" s="318" t="n">
        <v>1</v>
      </c>
      <c r="Z116" s="318" t="n">
        <v>1</v>
      </c>
      <c r="AA116" s="318" t="n">
        <v>1</v>
      </c>
      <c r="AB116" s="318" t="n">
        <v>1</v>
      </c>
      <c r="AC116" s="318" t="n">
        <v>1</v>
      </c>
      <c r="AD116" s="318" t="n">
        <v>1</v>
      </c>
      <c r="AE116" s="318" t="n">
        <v>1</v>
      </c>
      <c r="AF116" s="318" t="n">
        <v>1</v>
      </c>
      <c r="AG116" s="318" t="n">
        <v>1.1</v>
      </c>
      <c r="AH116" s="318" t="n">
        <v>1.04</v>
      </c>
      <c r="AI116" s="318" t="n">
        <v>1.05</v>
      </c>
      <c r="AJ116" s="318" t="n">
        <v>1</v>
      </c>
      <c r="AK116" s="318" t="n">
        <v>1</v>
      </c>
      <c r="AL116" s="318" t="n">
        <v>1.02</v>
      </c>
      <c r="AM116" s="318" t="n">
        <v>1</v>
      </c>
      <c r="AN116" s="318" t="n">
        <v>1</v>
      </c>
      <c r="AO116" s="318" t="n">
        <v>1</v>
      </c>
    </row>
    <row r="117" customFormat="false" ht="12.75" hidden="false" customHeight="false" outlineLevel="0" collapsed="false">
      <c r="A117" s="317" t="n">
        <v>40238</v>
      </c>
      <c r="B117" s="318" t="n">
        <v>1</v>
      </c>
      <c r="C117" s="318" t="n">
        <v>1</v>
      </c>
      <c r="D117" s="318" t="n">
        <v>1</v>
      </c>
      <c r="E117" s="318" t="n">
        <v>1</v>
      </c>
      <c r="F117" s="318" t="n">
        <v>1</v>
      </c>
      <c r="G117" s="318" t="n">
        <v>1</v>
      </c>
      <c r="H117" s="318" t="n">
        <v>1</v>
      </c>
      <c r="I117" s="318" t="n">
        <v>1</v>
      </c>
      <c r="J117" s="318" t="n">
        <v>1</v>
      </c>
      <c r="K117" s="318" t="n">
        <v>1</v>
      </c>
      <c r="L117" s="318" t="n">
        <v>1</v>
      </c>
      <c r="M117" s="318" t="n">
        <v>1</v>
      </c>
      <c r="N117" s="318" t="n">
        <v>1</v>
      </c>
      <c r="O117" s="318" t="n">
        <v>1</v>
      </c>
      <c r="P117" s="318" t="n">
        <v>1.03</v>
      </c>
      <c r="Q117" s="318" t="n">
        <v>1.03</v>
      </c>
      <c r="R117" s="318" t="n">
        <v>1</v>
      </c>
      <c r="S117" s="318" t="n">
        <v>1</v>
      </c>
      <c r="T117" s="318" t="n">
        <v>1.02</v>
      </c>
      <c r="U117" s="318" t="n">
        <v>1</v>
      </c>
      <c r="V117" s="318" t="n">
        <v>1</v>
      </c>
      <c r="W117" s="318" t="n">
        <v>1</v>
      </c>
      <c r="X117" s="318" t="n">
        <v>1</v>
      </c>
      <c r="Y117" s="318" t="n">
        <v>1</v>
      </c>
      <c r="Z117" s="318" t="n">
        <v>1</v>
      </c>
      <c r="AA117" s="318" t="n">
        <v>1</v>
      </c>
      <c r="AB117" s="318" t="n">
        <v>1</v>
      </c>
      <c r="AC117" s="318" t="n">
        <v>1</v>
      </c>
      <c r="AD117" s="318" t="n">
        <v>1</v>
      </c>
      <c r="AE117" s="318" t="n">
        <v>1</v>
      </c>
      <c r="AF117" s="318" t="n">
        <v>1</v>
      </c>
      <c r="AG117" s="318" t="n">
        <v>1.1</v>
      </c>
      <c r="AH117" s="318" t="n">
        <v>1.04</v>
      </c>
      <c r="AI117" s="318" t="n">
        <v>1.05</v>
      </c>
      <c r="AJ117" s="318" t="n">
        <v>1</v>
      </c>
      <c r="AK117" s="318" t="n">
        <v>1</v>
      </c>
      <c r="AL117" s="318" t="n">
        <v>1.02</v>
      </c>
      <c r="AM117" s="318" t="n">
        <v>1</v>
      </c>
      <c r="AN117" s="318" t="n">
        <v>1</v>
      </c>
      <c r="AO117" s="318" t="n">
        <v>1</v>
      </c>
    </row>
    <row r="118" customFormat="false" ht="12.75" hidden="false" customHeight="false" outlineLevel="0" collapsed="false">
      <c r="A118" s="317" t="n">
        <v>40269</v>
      </c>
      <c r="B118" s="318" t="n">
        <v>1</v>
      </c>
      <c r="C118" s="318" t="n">
        <v>1</v>
      </c>
      <c r="D118" s="318" t="n">
        <v>1</v>
      </c>
      <c r="E118" s="318" t="n">
        <v>1</v>
      </c>
      <c r="F118" s="318" t="n">
        <v>1</v>
      </c>
      <c r="G118" s="318" t="n">
        <v>1</v>
      </c>
      <c r="H118" s="318" t="n">
        <v>1</v>
      </c>
      <c r="I118" s="318" t="n">
        <v>1</v>
      </c>
      <c r="J118" s="318" t="n">
        <v>1</v>
      </c>
      <c r="K118" s="318" t="n">
        <v>1</v>
      </c>
      <c r="L118" s="318" t="n">
        <v>1</v>
      </c>
      <c r="M118" s="318" t="n">
        <v>1</v>
      </c>
      <c r="N118" s="318" t="n">
        <v>1</v>
      </c>
      <c r="O118" s="318" t="n">
        <v>1</v>
      </c>
      <c r="P118" s="318" t="n">
        <v>1.03</v>
      </c>
      <c r="Q118" s="318" t="n">
        <v>1.03</v>
      </c>
      <c r="R118" s="318" t="n">
        <v>1</v>
      </c>
      <c r="S118" s="318" t="n">
        <v>1</v>
      </c>
      <c r="T118" s="318" t="n">
        <v>1.02</v>
      </c>
      <c r="U118" s="318" t="n">
        <v>1</v>
      </c>
      <c r="V118" s="318" t="n">
        <v>1</v>
      </c>
      <c r="W118" s="318" t="n">
        <v>1</v>
      </c>
      <c r="X118" s="318" t="n">
        <v>1</v>
      </c>
      <c r="Y118" s="318" t="n">
        <v>1</v>
      </c>
      <c r="Z118" s="318" t="n">
        <v>1.02</v>
      </c>
      <c r="AA118" s="318" t="n">
        <v>1</v>
      </c>
      <c r="AB118" s="318" t="n">
        <v>1</v>
      </c>
      <c r="AC118" s="318" t="n">
        <v>1</v>
      </c>
      <c r="AD118" s="318" t="n">
        <v>1</v>
      </c>
      <c r="AE118" s="318" t="n">
        <v>0.98</v>
      </c>
      <c r="AF118" s="318" t="n">
        <v>0.98</v>
      </c>
      <c r="AG118" s="318" t="n">
        <v>0.98</v>
      </c>
      <c r="AH118" s="318" t="n">
        <v>1</v>
      </c>
      <c r="AI118" s="318" t="n">
        <v>1.05</v>
      </c>
      <c r="AJ118" s="318" t="n">
        <v>1</v>
      </c>
      <c r="AK118" s="318" t="n">
        <v>1</v>
      </c>
      <c r="AL118" s="318" t="n">
        <v>1.02</v>
      </c>
      <c r="AM118" s="318" t="n">
        <v>1</v>
      </c>
      <c r="AN118" s="318" t="n">
        <v>1</v>
      </c>
      <c r="AO118" s="318" t="n">
        <v>1</v>
      </c>
    </row>
    <row r="119" customFormat="false" ht="12.75" hidden="false" customHeight="false" outlineLevel="0" collapsed="false">
      <c r="A119" s="317" t="n">
        <v>40299</v>
      </c>
      <c r="B119" s="318" t="n">
        <v>1</v>
      </c>
      <c r="C119" s="318" t="n">
        <v>1</v>
      </c>
      <c r="D119" s="318" t="n">
        <v>1</v>
      </c>
      <c r="E119" s="318" t="n">
        <v>1</v>
      </c>
      <c r="F119" s="318" t="n">
        <v>1</v>
      </c>
      <c r="G119" s="318" t="n">
        <v>1</v>
      </c>
      <c r="H119" s="318" t="n">
        <v>1</v>
      </c>
      <c r="I119" s="318" t="n">
        <v>1</v>
      </c>
      <c r="J119" s="318" t="n">
        <v>1</v>
      </c>
      <c r="K119" s="318" t="n">
        <v>1</v>
      </c>
      <c r="L119" s="318" t="n">
        <v>1</v>
      </c>
      <c r="M119" s="318" t="n">
        <v>1</v>
      </c>
      <c r="N119" s="318" t="n">
        <v>1</v>
      </c>
      <c r="O119" s="318" t="n">
        <v>1</v>
      </c>
      <c r="P119" s="318" t="n">
        <v>1.03</v>
      </c>
      <c r="Q119" s="318" t="n">
        <v>1.03</v>
      </c>
      <c r="R119" s="318" t="n">
        <v>1</v>
      </c>
      <c r="S119" s="318" t="n">
        <v>1</v>
      </c>
      <c r="T119" s="318" t="n">
        <v>1.02</v>
      </c>
      <c r="U119" s="318" t="n">
        <v>1</v>
      </c>
      <c r="V119" s="318" t="n">
        <v>1</v>
      </c>
      <c r="W119" s="318" t="n">
        <v>1</v>
      </c>
      <c r="X119" s="318" t="n">
        <v>1</v>
      </c>
      <c r="Y119" s="318" t="n">
        <v>1</v>
      </c>
      <c r="Z119" s="318" t="n">
        <v>1.02</v>
      </c>
      <c r="AA119" s="318" t="n">
        <v>1</v>
      </c>
      <c r="AB119" s="318" t="n">
        <v>1</v>
      </c>
      <c r="AC119" s="318" t="n">
        <v>1</v>
      </c>
      <c r="AD119" s="318" t="n">
        <v>1</v>
      </c>
      <c r="AE119" s="318" t="n">
        <v>0.98</v>
      </c>
      <c r="AF119" s="318" t="n">
        <v>0.98</v>
      </c>
      <c r="AG119" s="318" t="n">
        <v>0.98</v>
      </c>
      <c r="AH119" s="318" t="n">
        <v>1</v>
      </c>
      <c r="AI119" s="318" t="n">
        <v>1.05</v>
      </c>
      <c r="AJ119" s="318" t="n">
        <v>1</v>
      </c>
      <c r="AK119" s="318" t="n">
        <v>1</v>
      </c>
      <c r="AL119" s="318" t="n">
        <v>1.02</v>
      </c>
      <c r="AM119" s="318" t="n">
        <v>1</v>
      </c>
      <c r="AN119" s="318" t="n">
        <v>1</v>
      </c>
      <c r="AO119" s="318" t="n">
        <v>1</v>
      </c>
    </row>
    <row r="120" customFormat="false" ht="12.75" hidden="false" customHeight="false" outlineLevel="0" collapsed="false">
      <c r="A120" s="317" t="n">
        <v>40330</v>
      </c>
      <c r="B120" s="318" t="n">
        <v>1</v>
      </c>
      <c r="C120" s="318" t="n">
        <v>1</v>
      </c>
      <c r="D120" s="318" t="n">
        <v>1</v>
      </c>
      <c r="E120" s="318" t="n">
        <v>1</v>
      </c>
      <c r="F120" s="318" t="n">
        <v>1</v>
      </c>
      <c r="G120" s="318" t="n">
        <v>1</v>
      </c>
      <c r="H120" s="318" t="n">
        <v>1</v>
      </c>
      <c r="I120" s="318" t="n">
        <v>1</v>
      </c>
      <c r="J120" s="318" t="n">
        <v>1</v>
      </c>
      <c r="K120" s="318" t="n">
        <v>1</v>
      </c>
      <c r="L120" s="318" t="n">
        <v>1</v>
      </c>
      <c r="M120" s="318" t="n">
        <v>1</v>
      </c>
      <c r="N120" s="318" t="n">
        <v>1</v>
      </c>
      <c r="O120" s="318" t="n">
        <v>1</v>
      </c>
      <c r="P120" s="318" t="n">
        <v>1.03</v>
      </c>
      <c r="Q120" s="318" t="n">
        <v>1.03</v>
      </c>
      <c r="R120" s="318" t="n">
        <v>1</v>
      </c>
      <c r="S120" s="318" t="n">
        <v>1</v>
      </c>
      <c r="T120" s="318" t="n">
        <v>1.02</v>
      </c>
      <c r="U120" s="318" t="n">
        <v>1</v>
      </c>
      <c r="V120" s="318" t="n">
        <v>1</v>
      </c>
      <c r="W120" s="318" t="n">
        <v>1</v>
      </c>
      <c r="X120" s="318" t="n">
        <v>1</v>
      </c>
      <c r="Y120" s="318" t="n">
        <v>1</v>
      </c>
      <c r="Z120" s="318" t="n">
        <v>1.02</v>
      </c>
      <c r="AA120" s="318" t="n">
        <v>1</v>
      </c>
      <c r="AB120" s="318" t="n">
        <v>1</v>
      </c>
      <c r="AC120" s="318" t="n">
        <v>1</v>
      </c>
      <c r="AD120" s="318" t="n">
        <v>1</v>
      </c>
      <c r="AE120" s="318" t="n">
        <v>0.98</v>
      </c>
      <c r="AF120" s="318" t="n">
        <v>0.98</v>
      </c>
      <c r="AG120" s="318" t="n">
        <v>0.98</v>
      </c>
      <c r="AH120" s="318" t="n">
        <v>1</v>
      </c>
      <c r="AI120" s="318" t="n">
        <v>1.05</v>
      </c>
      <c r="AJ120" s="318" t="n">
        <v>1</v>
      </c>
      <c r="AK120" s="318" t="n">
        <v>1</v>
      </c>
      <c r="AL120" s="318" t="n">
        <v>1.02</v>
      </c>
      <c r="AM120" s="318" t="n">
        <v>1</v>
      </c>
      <c r="AN120" s="318" t="n">
        <v>1</v>
      </c>
      <c r="AO120" s="318" t="n">
        <v>1</v>
      </c>
    </row>
    <row r="121" customFormat="false" ht="12.75" hidden="false" customHeight="false" outlineLevel="0" collapsed="false">
      <c r="A121" s="317" t="n">
        <v>40360</v>
      </c>
      <c r="B121" s="318" t="n">
        <v>1</v>
      </c>
      <c r="C121" s="318" t="n">
        <v>1</v>
      </c>
      <c r="D121" s="318" t="n">
        <v>1</v>
      </c>
      <c r="E121" s="318" t="n">
        <v>1</v>
      </c>
      <c r="F121" s="318" t="n">
        <v>1</v>
      </c>
      <c r="G121" s="318" t="n">
        <v>1</v>
      </c>
      <c r="H121" s="318" t="n">
        <v>1</v>
      </c>
      <c r="I121" s="318" t="n">
        <v>1</v>
      </c>
      <c r="J121" s="318" t="n">
        <v>1</v>
      </c>
      <c r="K121" s="318" t="n">
        <v>1</v>
      </c>
      <c r="L121" s="318" t="n">
        <v>1</v>
      </c>
      <c r="M121" s="318" t="n">
        <v>1</v>
      </c>
      <c r="N121" s="318" t="n">
        <v>1</v>
      </c>
      <c r="O121" s="318" t="n">
        <v>1</v>
      </c>
      <c r="P121" s="318" t="n">
        <v>1.03</v>
      </c>
      <c r="Q121" s="318" t="n">
        <v>1.03</v>
      </c>
      <c r="R121" s="318" t="n">
        <v>1</v>
      </c>
      <c r="S121" s="318" t="n">
        <v>1</v>
      </c>
      <c r="T121" s="318" t="n">
        <v>1.02</v>
      </c>
      <c r="U121" s="318" t="n">
        <v>1</v>
      </c>
      <c r="V121" s="318" t="n">
        <v>1</v>
      </c>
      <c r="W121" s="318" t="n">
        <v>1</v>
      </c>
      <c r="X121" s="318" t="n">
        <v>1</v>
      </c>
      <c r="Y121" s="318" t="n">
        <v>1</v>
      </c>
      <c r="Z121" s="318" t="n">
        <v>1.02</v>
      </c>
      <c r="AA121" s="318" t="n">
        <v>1</v>
      </c>
      <c r="AB121" s="318" t="n">
        <v>1</v>
      </c>
      <c r="AC121" s="318" t="n">
        <v>1</v>
      </c>
      <c r="AD121" s="318" t="n">
        <v>1</v>
      </c>
      <c r="AE121" s="318" t="n">
        <v>0.98</v>
      </c>
      <c r="AF121" s="318" t="n">
        <v>0.98</v>
      </c>
      <c r="AG121" s="318" t="n">
        <v>0.98</v>
      </c>
      <c r="AH121" s="318" t="n">
        <v>1</v>
      </c>
      <c r="AI121" s="318" t="n">
        <v>1.05</v>
      </c>
      <c r="AJ121" s="318" t="n">
        <v>1</v>
      </c>
      <c r="AK121" s="318" t="n">
        <v>1</v>
      </c>
      <c r="AL121" s="318" t="n">
        <v>1.02</v>
      </c>
      <c r="AM121" s="318" t="n">
        <v>1</v>
      </c>
      <c r="AN121" s="318" t="n">
        <v>1</v>
      </c>
      <c r="AO121" s="318" t="n">
        <v>1</v>
      </c>
    </row>
    <row r="122" customFormat="false" ht="12.75" hidden="false" customHeight="false" outlineLevel="0" collapsed="false">
      <c r="A122" s="317" t="n">
        <v>40391</v>
      </c>
      <c r="B122" s="318" t="n">
        <v>1</v>
      </c>
      <c r="C122" s="318" t="n">
        <v>1</v>
      </c>
      <c r="D122" s="318" t="n">
        <v>1</v>
      </c>
      <c r="E122" s="318" t="n">
        <v>1</v>
      </c>
      <c r="F122" s="318" t="n">
        <v>1</v>
      </c>
      <c r="G122" s="318" t="n">
        <v>1</v>
      </c>
      <c r="H122" s="318" t="n">
        <v>1</v>
      </c>
      <c r="I122" s="318" t="n">
        <v>1</v>
      </c>
      <c r="J122" s="318" t="n">
        <v>1</v>
      </c>
      <c r="K122" s="318" t="n">
        <v>1</v>
      </c>
      <c r="L122" s="318" t="n">
        <v>1</v>
      </c>
      <c r="M122" s="318" t="n">
        <v>1</v>
      </c>
      <c r="N122" s="318" t="n">
        <v>1</v>
      </c>
      <c r="O122" s="318" t="n">
        <v>1</v>
      </c>
      <c r="P122" s="318" t="n">
        <v>1.03</v>
      </c>
      <c r="Q122" s="318" t="n">
        <v>1.03</v>
      </c>
      <c r="R122" s="318" t="n">
        <v>1</v>
      </c>
      <c r="S122" s="318" t="n">
        <v>1</v>
      </c>
      <c r="T122" s="318" t="n">
        <v>1.02</v>
      </c>
      <c r="U122" s="318" t="n">
        <v>1</v>
      </c>
      <c r="V122" s="318" t="n">
        <v>1</v>
      </c>
      <c r="W122" s="318" t="n">
        <v>1</v>
      </c>
      <c r="X122" s="318" t="n">
        <v>1</v>
      </c>
      <c r="Y122" s="318" t="n">
        <v>1</v>
      </c>
      <c r="Z122" s="318" t="n">
        <v>1.02</v>
      </c>
      <c r="AA122" s="318" t="n">
        <v>1</v>
      </c>
      <c r="AB122" s="318" t="n">
        <v>1</v>
      </c>
      <c r="AC122" s="318" t="n">
        <v>1</v>
      </c>
      <c r="AD122" s="318" t="n">
        <v>1</v>
      </c>
      <c r="AE122" s="318" t="n">
        <v>0.98</v>
      </c>
      <c r="AF122" s="318" t="n">
        <v>0.98</v>
      </c>
      <c r="AG122" s="318" t="n">
        <v>0.98</v>
      </c>
      <c r="AH122" s="318" t="n">
        <v>1</v>
      </c>
      <c r="AI122" s="318" t="n">
        <v>1.05</v>
      </c>
      <c r="AJ122" s="318" t="n">
        <v>1</v>
      </c>
      <c r="AK122" s="318" t="n">
        <v>1</v>
      </c>
      <c r="AL122" s="318" t="n">
        <v>1.02</v>
      </c>
      <c r="AM122" s="318" t="n">
        <v>1</v>
      </c>
      <c r="AN122" s="318" t="n">
        <v>1</v>
      </c>
      <c r="AO122" s="318" t="n">
        <v>1</v>
      </c>
    </row>
    <row r="123" customFormat="false" ht="12.75" hidden="false" customHeight="false" outlineLevel="0" collapsed="false">
      <c r="A123" s="317" t="n">
        <v>40422</v>
      </c>
      <c r="B123" s="318" t="n">
        <v>1</v>
      </c>
      <c r="C123" s="318" t="n">
        <v>1</v>
      </c>
      <c r="D123" s="318" t="n">
        <v>1</v>
      </c>
      <c r="E123" s="318" t="n">
        <v>1</v>
      </c>
      <c r="F123" s="318" t="n">
        <v>1</v>
      </c>
      <c r="G123" s="318" t="n">
        <v>1</v>
      </c>
      <c r="H123" s="318" t="n">
        <v>1</v>
      </c>
      <c r="I123" s="318" t="n">
        <v>1</v>
      </c>
      <c r="J123" s="318" t="n">
        <v>1</v>
      </c>
      <c r="K123" s="318" t="n">
        <v>1</v>
      </c>
      <c r="L123" s="318" t="n">
        <v>1</v>
      </c>
      <c r="M123" s="318" t="n">
        <v>1</v>
      </c>
      <c r="N123" s="318" t="n">
        <v>1</v>
      </c>
      <c r="O123" s="318" t="n">
        <v>1</v>
      </c>
      <c r="P123" s="318" t="n">
        <v>1.03</v>
      </c>
      <c r="Q123" s="318" t="n">
        <v>1.03</v>
      </c>
      <c r="R123" s="318" t="n">
        <v>1</v>
      </c>
      <c r="S123" s="318" t="n">
        <v>1</v>
      </c>
      <c r="T123" s="318" t="n">
        <v>1.02</v>
      </c>
      <c r="U123" s="318" t="n">
        <v>1</v>
      </c>
      <c r="V123" s="318" t="n">
        <v>1</v>
      </c>
      <c r="W123" s="318" t="n">
        <v>1</v>
      </c>
      <c r="X123" s="318" t="n">
        <v>1</v>
      </c>
      <c r="Y123" s="318" t="n">
        <v>1</v>
      </c>
      <c r="Z123" s="318" t="n">
        <v>1.02</v>
      </c>
      <c r="AA123" s="318" t="n">
        <v>1</v>
      </c>
      <c r="AB123" s="318" t="n">
        <v>1</v>
      </c>
      <c r="AC123" s="318" t="n">
        <v>1</v>
      </c>
      <c r="AD123" s="318" t="n">
        <v>1</v>
      </c>
      <c r="AE123" s="318" t="n">
        <v>0.98</v>
      </c>
      <c r="AF123" s="318" t="n">
        <v>0.98</v>
      </c>
      <c r="AG123" s="318" t="n">
        <v>0.98</v>
      </c>
      <c r="AH123" s="318" t="n">
        <v>1</v>
      </c>
      <c r="AI123" s="318" t="n">
        <v>1.05</v>
      </c>
      <c r="AJ123" s="318" t="n">
        <v>1</v>
      </c>
      <c r="AK123" s="318" t="n">
        <v>1</v>
      </c>
      <c r="AL123" s="318" t="n">
        <v>1.02</v>
      </c>
      <c r="AM123" s="318" t="n">
        <v>1</v>
      </c>
      <c r="AN123" s="318" t="n">
        <v>1</v>
      </c>
      <c r="AO123" s="318" t="n">
        <v>1</v>
      </c>
    </row>
    <row r="124" customFormat="false" ht="12.75" hidden="false" customHeight="false" outlineLevel="0" collapsed="false">
      <c r="A124" s="317" t="n">
        <v>40452</v>
      </c>
      <c r="B124" s="318" t="n">
        <v>1</v>
      </c>
      <c r="C124" s="318" t="n">
        <v>1</v>
      </c>
      <c r="D124" s="318" t="n">
        <v>1</v>
      </c>
      <c r="E124" s="318" t="n">
        <v>1</v>
      </c>
      <c r="F124" s="318" t="n">
        <v>1</v>
      </c>
      <c r="G124" s="318" t="n">
        <v>1</v>
      </c>
      <c r="H124" s="318" t="n">
        <v>1</v>
      </c>
      <c r="I124" s="318" t="n">
        <v>1</v>
      </c>
      <c r="J124" s="318" t="n">
        <v>1</v>
      </c>
      <c r="K124" s="318" t="n">
        <v>1</v>
      </c>
      <c r="L124" s="318" t="n">
        <v>1</v>
      </c>
      <c r="M124" s="318" t="n">
        <v>1</v>
      </c>
      <c r="N124" s="318" t="n">
        <v>1</v>
      </c>
      <c r="O124" s="318" t="n">
        <v>1</v>
      </c>
      <c r="P124" s="318" t="n">
        <v>1.03</v>
      </c>
      <c r="Q124" s="318" t="n">
        <v>1.03</v>
      </c>
      <c r="R124" s="318" t="n">
        <v>1</v>
      </c>
      <c r="S124" s="318" t="n">
        <v>1</v>
      </c>
      <c r="T124" s="318" t="n">
        <v>1.02</v>
      </c>
      <c r="U124" s="318" t="n">
        <v>1</v>
      </c>
      <c r="V124" s="318" t="n">
        <v>1</v>
      </c>
      <c r="W124" s="318" t="n">
        <v>1</v>
      </c>
      <c r="X124" s="318" t="n">
        <v>1</v>
      </c>
      <c r="Y124" s="318" t="n">
        <v>1</v>
      </c>
      <c r="Z124" s="318" t="n">
        <v>1.02</v>
      </c>
      <c r="AA124" s="318" t="n">
        <v>1</v>
      </c>
      <c r="AB124" s="318" t="n">
        <v>1</v>
      </c>
      <c r="AC124" s="318" t="n">
        <v>1</v>
      </c>
      <c r="AD124" s="318" t="n">
        <v>1</v>
      </c>
      <c r="AE124" s="318" t="n">
        <v>0.98</v>
      </c>
      <c r="AF124" s="318" t="n">
        <v>0.98</v>
      </c>
      <c r="AG124" s="318" t="n">
        <v>0.98</v>
      </c>
      <c r="AH124" s="318" t="n">
        <v>1</v>
      </c>
      <c r="AI124" s="318" t="n">
        <v>1.05</v>
      </c>
      <c r="AJ124" s="318" t="n">
        <v>1</v>
      </c>
      <c r="AK124" s="318" t="n">
        <v>1</v>
      </c>
      <c r="AL124" s="318" t="n">
        <v>1.02</v>
      </c>
      <c r="AM124" s="318" t="n">
        <v>1</v>
      </c>
      <c r="AN124" s="318" t="n">
        <v>1</v>
      </c>
      <c r="AO124" s="318" t="n">
        <v>1</v>
      </c>
    </row>
    <row r="125" customFormat="false" ht="12.75" hidden="false" customHeight="false" outlineLevel="0" collapsed="false">
      <c r="A125" s="317" t="n">
        <v>40483</v>
      </c>
      <c r="B125" s="318" t="n">
        <v>1</v>
      </c>
      <c r="C125" s="318" t="n">
        <v>1</v>
      </c>
      <c r="D125" s="318" t="n">
        <v>1</v>
      </c>
      <c r="E125" s="318" t="n">
        <v>1</v>
      </c>
      <c r="F125" s="318" t="n">
        <v>1</v>
      </c>
      <c r="G125" s="318" t="n">
        <v>1</v>
      </c>
      <c r="H125" s="318" t="n">
        <v>1</v>
      </c>
      <c r="I125" s="318" t="n">
        <v>1</v>
      </c>
      <c r="J125" s="318" t="n">
        <v>1</v>
      </c>
      <c r="K125" s="318" t="n">
        <v>1</v>
      </c>
      <c r="L125" s="318" t="n">
        <v>1</v>
      </c>
      <c r="M125" s="318" t="n">
        <v>1</v>
      </c>
      <c r="N125" s="318" t="n">
        <v>1</v>
      </c>
      <c r="O125" s="318" t="n">
        <v>1</v>
      </c>
      <c r="P125" s="318" t="n">
        <v>1.03</v>
      </c>
      <c r="Q125" s="318" t="n">
        <v>1.03</v>
      </c>
      <c r="R125" s="318" t="n">
        <v>1</v>
      </c>
      <c r="S125" s="318" t="n">
        <v>1</v>
      </c>
      <c r="T125" s="318" t="n">
        <v>1.02</v>
      </c>
      <c r="U125" s="318" t="n">
        <v>1</v>
      </c>
      <c r="V125" s="318" t="n">
        <v>1</v>
      </c>
      <c r="W125" s="318" t="n">
        <v>1</v>
      </c>
      <c r="X125" s="318" t="n">
        <v>1</v>
      </c>
      <c r="Y125" s="318" t="n">
        <v>1</v>
      </c>
      <c r="Z125" s="318" t="n">
        <v>1</v>
      </c>
      <c r="AA125" s="318" t="n">
        <v>1</v>
      </c>
      <c r="AB125" s="318" t="n">
        <v>1</v>
      </c>
      <c r="AC125" s="318" t="n">
        <v>1</v>
      </c>
      <c r="AD125" s="318" t="n">
        <v>1</v>
      </c>
      <c r="AE125" s="318" t="n">
        <v>1</v>
      </c>
      <c r="AF125" s="318" t="n">
        <v>1</v>
      </c>
      <c r="AG125" s="318" t="n">
        <v>1.1</v>
      </c>
      <c r="AH125" s="318" t="n">
        <v>1.1</v>
      </c>
      <c r="AI125" s="318" t="n">
        <v>1.05</v>
      </c>
      <c r="AJ125" s="318" t="n">
        <v>1</v>
      </c>
      <c r="AK125" s="318" t="n">
        <v>1</v>
      </c>
      <c r="AL125" s="318" t="n">
        <v>1.02</v>
      </c>
      <c r="AM125" s="318" t="n">
        <v>1</v>
      </c>
      <c r="AN125" s="318" t="n">
        <v>1</v>
      </c>
      <c r="AO125" s="318" t="n">
        <v>1</v>
      </c>
    </row>
    <row r="126" customFormat="false" ht="12.75" hidden="false" customHeight="false" outlineLevel="0" collapsed="false">
      <c r="A126" s="317" t="n">
        <v>40513</v>
      </c>
      <c r="B126" s="318" t="n">
        <v>1</v>
      </c>
      <c r="C126" s="318" t="n">
        <v>1</v>
      </c>
      <c r="D126" s="318" t="n">
        <v>1</v>
      </c>
      <c r="E126" s="318" t="n">
        <v>1</v>
      </c>
      <c r="F126" s="318" t="n">
        <v>1</v>
      </c>
      <c r="G126" s="318" t="n">
        <v>1</v>
      </c>
      <c r="H126" s="318" t="n">
        <v>1</v>
      </c>
      <c r="I126" s="318" t="n">
        <v>1</v>
      </c>
      <c r="J126" s="318" t="n">
        <v>1</v>
      </c>
      <c r="K126" s="318" t="n">
        <v>1</v>
      </c>
      <c r="L126" s="318" t="n">
        <v>1</v>
      </c>
      <c r="M126" s="318" t="n">
        <v>1</v>
      </c>
      <c r="N126" s="318" t="n">
        <v>1</v>
      </c>
      <c r="O126" s="318" t="n">
        <v>1</v>
      </c>
      <c r="P126" s="318" t="n">
        <v>1.03</v>
      </c>
      <c r="Q126" s="318" t="n">
        <v>1.03</v>
      </c>
      <c r="R126" s="318" t="n">
        <v>1</v>
      </c>
      <c r="S126" s="318" t="n">
        <v>1</v>
      </c>
      <c r="T126" s="318" t="n">
        <v>1.02</v>
      </c>
      <c r="U126" s="318" t="n">
        <v>1</v>
      </c>
      <c r="V126" s="318" t="n">
        <v>1</v>
      </c>
      <c r="W126" s="318" t="n">
        <v>1</v>
      </c>
      <c r="X126" s="318" t="n">
        <v>1</v>
      </c>
      <c r="Y126" s="318" t="n">
        <v>1</v>
      </c>
      <c r="Z126" s="318" t="n">
        <v>1</v>
      </c>
      <c r="AA126" s="318" t="n">
        <v>1</v>
      </c>
      <c r="AB126" s="318" t="n">
        <v>1</v>
      </c>
      <c r="AC126" s="318" t="n">
        <v>1</v>
      </c>
      <c r="AD126" s="318" t="n">
        <v>1</v>
      </c>
      <c r="AE126" s="318" t="n">
        <v>1</v>
      </c>
      <c r="AF126" s="318" t="n">
        <v>1</v>
      </c>
      <c r="AG126" s="318" t="n">
        <v>1.1</v>
      </c>
      <c r="AH126" s="318" t="n">
        <v>1.02</v>
      </c>
      <c r="AI126" s="318" t="n">
        <v>1.05</v>
      </c>
      <c r="AJ126" s="318" t="n">
        <v>1</v>
      </c>
      <c r="AK126" s="318" t="n">
        <v>1</v>
      </c>
      <c r="AL126" s="318" t="n">
        <v>1.02</v>
      </c>
      <c r="AM126" s="318" t="n">
        <v>1</v>
      </c>
      <c r="AN126" s="318" t="n">
        <v>1</v>
      </c>
      <c r="AO126" s="318" t="n">
        <v>1</v>
      </c>
    </row>
    <row r="127" customFormat="false" ht="12.75" hidden="false" customHeight="false" outlineLevel="0" collapsed="false">
      <c r="A127" s="317" t="n">
        <v>40544</v>
      </c>
      <c r="B127" s="318" t="n">
        <v>1</v>
      </c>
      <c r="C127" s="318" t="n">
        <v>1</v>
      </c>
      <c r="D127" s="318" t="n">
        <v>1</v>
      </c>
      <c r="E127" s="318" t="n">
        <v>1</v>
      </c>
      <c r="F127" s="318" t="n">
        <v>1</v>
      </c>
      <c r="G127" s="318" t="n">
        <v>1</v>
      </c>
      <c r="H127" s="318" t="n">
        <v>1</v>
      </c>
      <c r="I127" s="318" t="n">
        <v>1</v>
      </c>
      <c r="J127" s="318" t="n">
        <v>1</v>
      </c>
      <c r="K127" s="318" t="n">
        <v>1</v>
      </c>
      <c r="L127" s="318" t="n">
        <v>1</v>
      </c>
      <c r="M127" s="318" t="n">
        <v>1</v>
      </c>
      <c r="N127" s="318" t="n">
        <v>1</v>
      </c>
      <c r="O127" s="318" t="n">
        <v>1</v>
      </c>
      <c r="P127" s="318" t="n">
        <v>1.03</v>
      </c>
      <c r="Q127" s="318" t="n">
        <v>1.03</v>
      </c>
      <c r="R127" s="318" t="n">
        <v>1</v>
      </c>
      <c r="S127" s="318" t="n">
        <v>1</v>
      </c>
      <c r="T127" s="318" t="n">
        <v>1.02</v>
      </c>
      <c r="U127" s="318" t="n">
        <v>1</v>
      </c>
      <c r="V127" s="318" t="n">
        <v>1</v>
      </c>
      <c r="W127" s="318" t="n">
        <v>1</v>
      </c>
      <c r="X127" s="318" t="n">
        <v>1</v>
      </c>
      <c r="Y127" s="318" t="n">
        <v>1</v>
      </c>
      <c r="Z127" s="318" t="n">
        <v>1</v>
      </c>
      <c r="AA127" s="318" t="n">
        <v>1</v>
      </c>
      <c r="AB127" s="318" t="n">
        <v>1</v>
      </c>
      <c r="AC127" s="318" t="n">
        <v>1</v>
      </c>
      <c r="AD127" s="318" t="n">
        <v>1</v>
      </c>
      <c r="AE127" s="318" t="n">
        <v>1</v>
      </c>
      <c r="AF127" s="318" t="n">
        <v>1</v>
      </c>
      <c r="AG127" s="318" t="n">
        <v>1.1</v>
      </c>
      <c r="AH127" s="318" t="n">
        <v>1.04</v>
      </c>
      <c r="AI127" s="318" t="n">
        <v>1.05</v>
      </c>
      <c r="AJ127" s="318" t="n">
        <v>1</v>
      </c>
      <c r="AK127" s="318" t="n">
        <v>1</v>
      </c>
      <c r="AL127" s="318" t="n">
        <v>1.02</v>
      </c>
      <c r="AM127" s="318" t="n">
        <v>1</v>
      </c>
      <c r="AN127" s="318" t="n">
        <v>1</v>
      </c>
      <c r="AO127" s="318" t="n">
        <v>1</v>
      </c>
    </row>
    <row r="128" customFormat="false" ht="12.75" hidden="false" customHeight="false" outlineLevel="0" collapsed="false">
      <c r="A128" s="317" t="n">
        <v>40575</v>
      </c>
      <c r="B128" s="318" t="n">
        <v>1</v>
      </c>
      <c r="C128" s="318" t="n">
        <v>1</v>
      </c>
      <c r="D128" s="318" t="n">
        <v>1</v>
      </c>
      <c r="E128" s="318" t="n">
        <v>1</v>
      </c>
      <c r="F128" s="318" t="n">
        <v>1</v>
      </c>
      <c r="G128" s="318" t="n">
        <v>1</v>
      </c>
      <c r="H128" s="318" t="n">
        <v>1</v>
      </c>
      <c r="I128" s="318" t="n">
        <v>1</v>
      </c>
      <c r="J128" s="318" t="n">
        <v>1</v>
      </c>
      <c r="K128" s="318" t="n">
        <v>1</v>
      </c>
      <c r="L128" s="318" t="n">
        <v>1</v>
      </c>
      <c r="M128" s="318" t="n">
        <v>1</v>
      </c>
      <c r="N128" s="318" t="n">
        <v>1</v>
      </c>
      <c r="O128" s="318" t="n">
        <v>1</v>
      </c>
      <c r="P128" s="318" t="n">
        <v>1.03</v>
      </c>
      <c r="Q128" s="318" t="n">
        <v>1.03</v>
      </c>
      <c r="R128" s="318" t="n">
        <v>1</v>
      </c>
      <c r="S128" s="318" t="n">
        <v>1</v>
      </c>
      <c r="T128" s="318" t="n">
        <v>1.02</v>
      </c>
      <c r="U128" s="318" t="n">
        <v>1</v>
      </c>
      <c r="V128" s="318" t="n">
        <v>1</v>
      </c>
      <c r="W128" s="318" t="n">
        <v>1</v>
      </c>
      <c r="X128" s="318" t="n">
        <v>1</v>
      </c>
      <c r="Y128" s="318" t="n">
        <v>1</v>
      </c>
      <c r="Z128" s="318" t="n">
        <v>1</v>
      </c>
      <c r="AA128" s="318" t="n">
        <v>1</v>
      </c>
      <c r="AB128" s="318" t="n">
        <v>1</v>
      </c>
      <c r="AC128" s="318" t="n">
        <v>1</v>
      </c>
      <c r="AD128" s="318" t="n">
        <v>1</v>
      </c>
      <c r="AE128" s="318" t="n">
        <v>1</v>
      </c>
      <c r="AF128" s="318" t="n">
        <v>1</v>
      </c>
      <c r="AG128" s="318" t="n">
        <v>1.1</v>
      </c>
      <c r="AH128" s="318" t="n">
        <v>1.04</v>
      </c>
      <c r="AI128" s="318" t="n">
        <v>1.05</v>
      </c>
      <c r="AJ128" s="318" t="n">
        <v>1</v>
      </c>
      <c r="AK128" s="318" t="n">
        <v>1</v>
      </c>
      <c r="AL128" s="318" t="n">
        <v>1.02</v>
      </c>
      <c r="AM128" s="318" t="n">
        <v>1</v>
      </c>
      <c r="AN128" s="318" t="n">
        <v>1</v>
      </c>
      <c r="AO128" s="318" t="n">
        <v>1</v>
      </c>
    </row>
    <row r="129" customFormat="false" ht="12.75" hidden="false" customHeight="false" outlineLevel="0" collapsed="false">
      <c r="A129" s="317" t="n">
        <v>40603</v>
      </c>
      <c r="B129" s="318" t="n">
        <v>1</v>
      </c>
      <c r="C129" s="318" t="n">
        <v>1</v>
      </c>
      <c r="D129" s="318" t="n">
        <v>1</v>
      </c>
      <c r="E129" s="318" t="n">
        <v>1</v>
      </c>
      <c r="F129" s="318" t="n">
        <v>1</v>
      </c>
      <c r="G129" s="318" t="n">
        <v>1</v>
      </c>
      <c r="H129" s="318" t="n">
        <v>1</v>
      </c>
      <c r="I129" s="318" t="n">
        <v>1</v>
      </c>
      <c r="J129" s="318" t="n">
        <v>1</v>
      </c>
      <c r="K129" s="318" t="n">
        <v>1</v>
      </c>
      <c r="L129" s="318" t="n">
        <v>1</v>
      </c>
      <c r="M129" s="318" t="n">
        <v>1</v>
      </c>
      <c r="N129" s="318" t="n">
        <v>1</v>
      </c>
      <c r="O129" s="318" t="n">
        <v>1</v>
      </c>
      <c r="P129" s="318" t="n">
        <v>1.03</v>
      </c>
      <c r="Q129" s="318" t="n">
        <v>1.03</v>
      </c>
      <c r="R129" s="318" t="n">
        <v>1</v>
      </c>
      <c r="S129" s="318" t="n">
        <v>1</v>
      </c>
      <c r="T129" s="318" t="n">
        <v>1.02</v>
      </c>
      <c r="U129" s="318" t="n">
        <v>1</v>
      </c>
      <c r="V129" s="318" t="n">
        <v>1</v>
      </c>
      <c r="W129" s="318" t="n">
        <v>1</v>
      </c>
      <c r="X129" s="318" t="n">
        <v>1</v>
      </c>
      <c r="Y129" s="318" t="n">
        <v>1</v>
      </c>
      <c r="Z129" s="318" t="n">
        <v>1</v>
      </c>
      <c r="AA129" s="318" t="n">
        <v>1</v>
      </c>
      <c r="AB129" s="318" t="n">
        <v>1</v>
      </c>
      <c r="AC129" s="318" t="n">
        <v>1</v>
      </c>
      <c r="AD129" s="318" t="n">
        <v>1</v>
      </c>
      <c r="AE129" s="318" t="n">
        <v>1</v>
      </c>
      <c r="AF129" s="318" t="n">
        <v>1</v>
      </c>
      <c r="AG129" s="318" t="n">
        <v>1.1</v>
      </c>
      <c r="AH129" s="318" t="n">
        <v>1.04</v>
      </c>
      <c r="AI129" s="318" t="n">
        <v>1.05</v>
      </c>
      <c r="AJ129" s="318" t="n">
        <v>1</v>
      </c>
      <c r="AK129" s="318" t="n">
        <v>1</v>
      </c>
      <c r="AL129" s="318" t="n">
        <v>1.02</v>
      </c>
      <c r="AM129" s="318" t="n">
        <v>1</v>
      </c>
      <c r="AN129" s="318" t="n">
        <v>1</v>
      </c>
      <c r="AO129" s="318" t="n">
        <v>1</v>
      </c>
    </row>
    <row r="130" customFormat="false" ht="12.75" hidden="false" customHeight="false" outlineLevel="0" collapsed="false">
      <c r="A130" s="317" t="n">
        <v>40634</v>
      </c>
      <c r="B130" s="318" t="n">
        <v>1</v>
      </c>
      <c r="C130" s="318" t="n">
        <v>1</v>
      </c>
      <c r="D130" s="318" t="n">
        <v>1</v>
      </c>
      <c r="E130" s="318" t="n">
        <v>1</v>
      </c>
      <c r="F130" s="318" t="n">
        <v>1</v>
      </c>
      <c r="G130" s="318" t="n">
        <v>1</v>
      </c>
      <c r="H130" s="318" t="n">
        <v>1</v>
      </c>
      <c r="I130" s="318" t="n">
        <v>1</v>
      </c>
      <c r="J130" s="318" t="n">
        <v>1</v>
      </c>
      <c r="K130" s="318" t="n">
        <v>1</v>
      </c>
      <c r="L130" s="318" t="n">
        <v>1</v>
      </c>
      <c r="M130" s="318" t="n">
        <v>1</v>
      </c>
      <c r="N130" s="318" t="n">
        <v>1</v>
      </c>
      <c r="O130" s="318" t="n">
        <v>1</v>
      </c>
      <c r="P130" s="318" t="n">
        <v>1.03</v>
      </c>
      <c r="Q130" s="318" t="n">
        <v>1.03</v>
      </c>
      <c r="R130" s="318" t="n">
        <v>1</v>
      </c>
      <c r="S130" s="318" t="n">
        <v>1</v>
      </c>
      <c r="T130" s="318" t="n">
        <v>1.02</v>
      </c>
      <c r="U130" s="318" t="n">
        <v>1</v>
      </c>
      <c r="V130" s="318" t="n">
        <v>1</v>
      </c>
      <c r="W130" s="318" t="n">
        <v>1</v>
      </c>
      <c r="X130" s="318" t="n">
        <v>1</v>
      </c>
      <c r="Y130" s="318" t="n">
        <v>1</v>
      </c>
      <c r="Z130" s="318" t="n">
        <v>1.02</v>
      </c>
      <c r="AA130" s="318" t="n">
        <v>1</v>
      </c>
      <c r="AB130" s="318" t="n">
        <v>1</v>
      </c>
      <c r="AC130" s="318" t="n">
        <v>1</v>
      </c>
      <c r="AD130" s="318" t="n">
        <v>1</v>
      </c>
      <c r="AE130" s="318" t="n">
        <v>0.98</v>
      </c>
      <c r="AF130" s="318" t="n">
        <v>0.98</v>
      </c>
      <c r="AG130" s="318" t="n">
        <v>0.98</v>
      </c>
      <c r="AH130" s="318" t="n">
        <v>1</v>
      </c>
      <c r="AI130" s="318" t="n">
        <v>1.05</v>
      </c>
      <c r="AJ130" s="318" t="n">
        <v>1</v>
      </c>
      <c r="AK130" s="318" t="n">
        <v>1</v>
      </c>
      <c r="AL130" s="318" t="n">
        <v>1.02</v>
      </c>
      <c r="AM130" s="318" t="n">
        <v>1</v>
      </c>
      <c r="AN130" s="318" t="n">
        <v>1</v>
      </c>
      <c r="AO130" s="318" t="n">
        <v>1</v>
      </c>
    </row>
    <row r="131" customFormat="false" ht="12.75" hidden="false" customHeight="false" outlineLevel="0" collapsed="false">
      <c r="A131" s="317" t="n">
        <v>40664</v>
      </c>
      <c r="B131" s="318" t="n">
        <v>1</v>
      </c>
      <c r="C131" s="318" t="n">
        <v>1</v>
      </c>
      <c r="D131" s="318" t="n">
        <v>1</v>
      </c>
      <c r="E131" s="318" t="n">
        <v>1</v>
      </c>
      <c r="F131" s="318" t="n">
        <v>1</v>
      </c>
      <c r="G131" s="318" t="n">
        <v>1</v>
      </c>
      <c r="H131" s="318" t="n">
        <v>1</v>
      </c>
      <c r="I131" s="318" t="n">
        <v>1</v>
      </c>
      <c r="J131" s="318" t="n">
        <v>1</v>
      </c>
      <c r="K131" s="318" t="n">
        <v>1</v>
      </c>
      <c r="L131" s="318" t="n">
        <v>1</v>
      </c>
      <c r="M131" s="318" t="n">
        <v>1</v>
      </c>
      <c r="N131" s="318" t="n">
        <v>1</v>
      </c>
      <c r="O131" s="318" t="n">
        <v>1</v>
      </c>
      <c r="P131" s="318" t="n">
        <v>1.03</v>
      </c>
      <c r="Q131" s="318" t="n">
        <v>1.03</v>
      </c>
      <c r="R131" s="318" t="n">
        <v>1</v>
      </c>
      <c r="S131" s="318" t="n">
        <v>1</v>
      </c>
      <c r="T131" s="318" t="n">
        <v>1.02</v>
      </c>
      <c r="U131" s="318" t="n">
        <v>1</v>
      </c>
      <c r="V131" s="318" t="n">
        <v>1</v>
      </c>
      <c r="W131" s="318" t="n">
        <v>1</v>
      </c>
      <c r="X131" s="318" t="n">
        <v>1</v>
      </c>
      <c r="Y131" s="318" t="n">
        <v>1</v>
      </c>
      <c r="Z131" s="318" t="n">
        <v>1.02</v>
      </c>
      <c r="AA131" s="318" t="n">
        <v>1</v>
      </c>
      <c r="AB131" s="318" t="n">
        <v>1</v>
      </c>
      <c r="AC131" s="318" t="n">
        <v>1</v>
      </c>
      <c r="AD131" s="318" t="n">
        <v>1</v>
      </c>
      <c r="AE131" s="318" t="n">
        <v>0.98</v>
      </c>
      <c r="AF131" s="318" t="n">
        <v>0.98</v>
      </c>
      <c r="AG131" s="318" t="n">
        <v>0.98</v>
      </c>
      <c r="AH131" s="318" t="n">
        <v>1</v>
      </c>
      <c r="AI131" s="318" t="n">
        <v>1.05</v>
      </c>
      <c r="AJ131" s="318" t="n">
        <v>1</v>
      </c>
      <c r="AK131" s="318" t="n">
        <v>1</v>
      </c>
      <c r="AL131" s="318" t="n">
        <v>1.02</v>
      </c>
      <c r="AM131" s="318" t="n">
        <v>1</v>
      </c>
      <c r="AN131" s="318" t="n">
        <v>1</v>
      </c>
      <c r="AO131" s="318" t="n">
        <v>1</v>
      </c>
    </row>
    <row r="132" customFormat="false" ht="12.75" hidden="false" customHeight="false" outlineLevel="0" collapsed="false">
      <c r="A132" s="317" t="n">
        <v>40695</v>
      </c>
      <c r="B132" s="318" t="n">
        <v>1</v>
      </c>
      <c r="C132" s="318" t="n">
        <v>1</v>
      </c>
      <c r="D132" s="318" t="n">
        <v>1</v>
      </c>
      <c r="E132" s="318" t="n">
        <v>1</v>
      </c>
      <c r="F132" s="318" t="n">
        <v>1</v>
      </c>
      <c r="G132" s="318" t="n">
        <v>1</v>
      </c>
      <c r="H132" s="318" t="n">
        <v>1</v>
      </c>
      <c r="I132" s="318" t="n">
        <v>1</v>
      </c>
      <c r="J132" s="318" t="n">
        <v>1</v>
      </c>
      <c r="K132" s="318" t="n">
        <v>1</v>
      </c>
      <c r="L132" s="318" t="n">
        <v>1</v>
      </c>
      <c r="M132" s="318" t="n">
        <v>1</v>
      </c>
      <c r="N132" s="318" t="n">
        <v>1</v>
      </c>
      <c r="O132" s="318" t="n">
        <v>1</v>
      </c>
      <c r="P132" s="318" t="n">
        <v>1.03</v>
      </c>
      <c r="Q132" s="318" t="n">
        <v>1.03</v>
      </c>
      <c r="R132" s="318" t="n">
        <v>1</v>
      </c>
      <c r="S132" s="318" t="n">
        <v>1</v>
      </c>
      <c r="T132" s="318" t="n">
        <v>1.02</v>
      </c>
      <c r="U132" s="318" t="n">
        <v>1</v>
      </c>
      <c r="V132" s="318" t="n">
        <v>1</v>
      </c>
      <c r="W132" s="318" t="n">
        <v>1</v>
      </c>
      <c r="X132" s="318" t="n">
        <v>1</v>
      </c>
      <c r="Y132" s="318" t="n">
        <v>1</v>
      </c>
      <c r="Z132" s="318" t="n">
        <v>1.02</v>
      </c>
      <c r="AA132" s="318" t="n">
        <v>1</v>
      </c>
      <c r="AB132" s="318" t="n">
        <v>1</v>
      </c>
      <c r="AC132" s="318" t="n">
        <v>1</v>
      </c>
      <c r="AD132" s="318" t="n">
        <v>1</v>
      </c>
      <c r="AE132" s="318" t="n">
        <v>0.98</v>
      </c>
      <c r="AF132" s="318" t="n">
        <v>0.98</v>
      </c>
      <c r="AG132" s="318" t="n">
        <v>0.98</v>
      </c>
      <c r="AH132" s="318" t="n">
        <v>1</v>
      </c>
      <c r="AI132" s="318" t="n">
        <v>1.05</v>
      </c>
      <c r="AJ132" s="318" t="n">
        <v>1</v>
      </c>
      <c r="AK132" s="318" t="n">
        <v>1</v>
      </c>
      <c r="AL132" s="318" t="n">
        <v>1.02</v>
      </c>
      <c r="AM132" s="318" t="n">
        <v>1</v>
      </c>
      <c r="AN132" s="318" t="n">
        <v>1</v>
      </c>
      <c r="AO132" s="318" t="n">
        <v>1</v>
      </c>
    </row>
    <row r="133" customFormat="false" ht="12.75" hidden="false" customHeight="false" outlineLevel="0" collapsed="false">
      <c r="A133" s="317" t="n">
        <v>40725</v>
      </c>
      <c r="B133" s="318" t="n">
        <v>1</v>
      </c>
      <c r="C133" s="318" t="n">
        <v>1</v>
      </c>
      <c r="D133" s="318" t="n">
        <v>1</v>
      </c>
      <c r="E133" s="318" t="n">
        <v>1</v>
      </c>
      <c r="F133" s="318" t="n">
        <v>1</v>
      </c>
      <c r="G133" s="318" t="n">
        <v>1</v>
      </c>
      <c r="H133" s="318" t="n">
        <v>1</v>
      </c>
      <c r="I133" s="318" t="n">
        <v>1</v>
      </c>
      <c r="J133" s="318" t="n">
        <v>1</v>
      </c>
      <c r="K133" s="318" t="n">
        <v>1</v>
      </c>
      <c r="L133" s="318" t="n">
        <v>1</v>
      </c>
      <c r="M133" s="318" t="n">
        <v>1</v>
      </c>
      <c r="N133" s="318" t="n">
        <v>1</v>
      </c>
      <c r="O133" s="318" t="n">
        <v>1</v>
      </c>
      <c r="P133" s="318" t="n">
        <v>1.03</v>
      </c>
      <c r="Q133" s="318" t="n">
        <v>1.03</v>
      </c>
      <c r="R133" s="318" t="n">
        <v>1</v>
      </c>
      <c r="S133" s="318" t="n">
        <v>1</v>
      </c>
      <c r="T133" s="318" t="n">
        <v>1.02</v>
      </c>
      <c r="U133" s="318" t="n">
        <v>1</v>
      </c>
      <c r="V133" s="318" t="n">
        <v>1</v>
      </c>
      <c r="W133" s="318" t="n">
        <v>1</v>
      </c>
      <c r="X133" s="318" t="n">
        <v>1</v>
      </c>
      <c r="Y133" s="318" t="n">
        <v>1</v>
      </c>
      <c r="Z133" s="318" t="n">
        <v>1.02</v>
      </c>
      <c r="AA133" s="318" t="n">
        <v>1</v>
      </c>
      <c r="AB133" s="318" t="n">
        <v>1</v>
      </c>
      <c r="AC133" s="318" t="n">
        <v>1</v>
      </c>
      <c r="AD133" s="318" t="n">
        <v>1</v>
      </c>
      <c r="AE133" s="318" t="n">
        <v>0.98</v>
      </c>
      <c r="AF133" s="318" t="n">
        <v>0.98</v>
      </c>
      <c r="AG133" s="318" t="n">
        <v>0.98</v>
      </c>
      <c r="AH133" s="318" t="n">
        <v>1</v>
      </c>
      <c r="AI133" s="318" t="n">
        <v>1.05</v>
      </c>
      <c r="AJ133" s="318" t="n">
        <v>1</v>
      </c>
      <c r="AK133" s="318" t="n">
        <v>1</v>
      </c>
      <c r="AL133" s="318" t="n">
        <v>1.02</v>
      </c>
      <c r="AM133" s="318" t="n">
        <v>1</v>
      </c>
      <c r="AN133" s="318" t="n">
        <v>1</v>
      </c>
      <c r="AO133" s="318" t="n">
        <v>1</v>
      </c>
    </row>
    <row r="134" customFormat="false" ht="12.75" hidden="false" customHeight="false" outlineLevel="0" collapsed="false">
      <c r="A134" s="317" t="n">
        <v>40756</v>
      </c>
      <c r="B134" s="318" t="n">
        <v>1</v>
      </c>
      <c r="C134" s="318" t="n">
        <v>1</v>
      </c>
      <c r="D134" s="318" t="n">
        <v>1</v>
      </c>
      <c r="E134" s="318" t="n">
        <v>1</v>
      </c>
      <c r="F134" s="318" t="n">
        <v>1</v>
      </c>
      <c r="G134" s="318" t="n">
        <v>1</v>
      </c>
      <c r="H134" s="318" t="n">
        <v>1</v>
      </c>
      <c r="I134" s="318" t="n">
        <v>1</v>
      </c>
      <c r="J134" s="318" t="n">
        <v>1</v>
      </c>
      <c r="K134" s="318" t="n">
        <v>1</v>
      </c>
      <c r="L134" s="318" t="n">
        <v>1</v>
      </c>
      <c r="M134" s="318" t="n">
        <v>1</v>
      </c>
      <c r="N134" s="318" t="n">
        <v>1</v>
      </c>
      <c r="O134" s="318" t="n">
        <v>1</v>
      </c>
      <c r="P134" s="318" t="n">
        <v>1.03</v>
      </c>
      <c r="Q134" s="318" t="n">
        <v>1.03</v>
      </c>
      <c r="R134" s="318" t="n">
        <v>1</v>
      </c>
      <c r="S134" s="318" t="n">
        <v>1</v>
      </c>
      <c r="T134" s="318" t="n">
        <v>1.02</v>
      </c>
      <c r="U134" s="318" t="n">
        <v>1</v>
      </c>
      <c r="V134" s="318" t="n">
        <v>1</v>
      </c>
      <c r="W134" s="318" t="n">
        <v>1</v>
      </c>
      <c r="X134" s="318" t="n">
        <v>1</v>
      </c>
      <c r="Y134" s="318" t="n">
        <v>1</v>
      </c>
      <c r="Z134" s="318" t="n">
        <v>1.02</v>
      </c>
      <c r="AA134" s="318" t="n">
        <v>1</v>
      </c>
      <c r="AB134" s="318" t="n">
        <v>1</v>
      </c>
      <c r="AC134" s="318" t="n">
        <v>1</v>
      </c>
      <c r="AD134" s="318" t="n">
        <v>1</v>
      </c>
      <c r="AE134" s="318" t="n">
        <v>0.98</v>
      </c>
      <c r="AF134" s="318" t="n">
        <v>0.98</v>
      </c>
      <c r="AG134" s="318" t="n">
        <v>0.98</v>
      </c>
      <c r="AH134" s="318" t="n">
        <v>1</v>
      </c>
      <c r="AI134" s="318" t="n">
        <v>1.05</v>
      </c>
      <c r="AJ134" s="318" t="n">
        <v>1</v>
      </c>
      <c r="AK134" s="318" t="n">
        <v>1</v>
      </c>
      <c r="AL134" s="318" t="n">
        <v>1.02</v>
      </c>
      <c r="AM134" s="318" t="n">
        <v>1</v>
      </c>
      <c r="AN134" s="318" t="n">
        <v>1</v>
      </c>
      <c r="AO134" s="318" t="n">
        <v>1</v>
      </c>
    </row>
    <row r="135" customFormat="false" ht="12.75" hidden="false" customHeight="false" outlineLevel="0" collapsed="false">
      <c r="A135" s="317" t="n">
        <v>40787</v>
      </c>
      <c r="B135" s="318" t="n">
        <v>1</v>
      </c>
      <c r="C135" s="318" t="n">
        <v>1</v>
      </c>
      <c r="D135" s="318" t="n">
        <v>1</v>
      </c>
      <c r="E135" s="318" t="n">
        <v>1</v>
      </c>
      <c r="F135" s="318" t="n">
        <v>1</v>
      </c>
      <c r="G135" s="318" t="n">
        <v>1</v>
      </c>
      <c r="H135" s="318" t="n">
        <v>1</v>
      </c>
      <c r="I135" s="318" t="n">
        <v>1</v>
      </c>
      <c r="J135" s="318" t="n">
        <v>1</v>
      </c>
      <c r="K135" s="318" t="n">
        <v>1</v>
      </c>
      <c r="L135" s="318" t="n">
        <v>1</v>
      </c>
      <c r="M135" s="318" t="n">
        <v>1</v>
      </c>
      <c r="N135" s="318" t="n">
        <v>1</v>
      </c>
      <c r="O135" s="318" t="n">
        <v>1</v>
      </c>
      <c r="P135" s="318" t="n">
        <v>1.03</v>
      </c>
      <c r="Q135" s="318" t="n">
        <v>1.03</v>
      </c>
      <c r="R135" s="318" t="n">
        <v>1</v>
      </c>
      <c r="S135" s="318" t="n">
        <v>1</v>
      </c>
      <c r="T135" s="318" t="n">
        <v>1.02</v>
      </c>
      <c r="U135" s="318" t="n">
        <v>1</v>
      </c>
      <c r="V135" s="318" t="n">
        <v>1</v>
      </c>
      <c r="W135" s="318" t="n">
        <v>1</v>
      </c>
      <c r="X135" s="318" t="n">
        <v>1</v>
      </c>
      <c r="Y135" s="318" t="n">
        <v>1</v>
      </c>
      <c r="Z135" s="318" t="n">
        <v>1.02</v>
      </c>
      <c r="AA135" s="318" t="n">
        <v>1</v>
      </c>
      <c r="AB135" s="318" t="n">
        <v>1</v>
      </c>
      <c r="AC135" s="318" t="n">
        <v>1</v>
      </c>
      <c r="AD135" s="318" t="n">
        <v>1</v>
      </c>
      <c r="AE135" s="318" t="n">
        <v>0.98</v>
      </c>
      <c r="AF135" s="318" t="n">
        <v>0.98</v>
      </c>
      <c r="AG135" s="318" t="n">
        <v>0.98</v>
      </c>
      <c r="AH135" s="318" t="n">
        <v>1</v>
      </c>
      <c r="AI135" s="318" t="n">
        <v>1.05</v>
      </c>
      <c r="AJ135" s="318" t="n">
        <v>1</v>
      </c>
      <c r="AK135" s="318" t="n">
        <v>1</v>
      </c>
      <c r="AL135" s="318" t="n">
        <v>1.02</v>
      </c>
      <c r="AM135" s="318" t="n">
        <v>1</v>
      </c>
      <c r="AN135" s="318" t="n">
        <v>1</v>
      </c>
      <c r="AO135" s="318" t="n">
        <v>1</v>
      </c>
    </row>
    <row r="136" customFormat="false" ht="12.75" hidden="false" customHeight="false" outlineLevel="0" collapsed="false">
      <c r="A136" s="317" t="n">
        <v>40817</v>
      </c>
      <c r="B136" s="318" t="n">
        <v>1</v>
      </c>
      <c r="C136" s="318" t="n">
        <v>1</v>
      </c>
      <c r="D136" s="318" t="n">
        <v>1</v>
      </c>
      <c r="E136" s="318" t="n">
        <v>1</v>
      </c>
      <c r="F136" s="318" t="n">
        <v>1</v>
      </c>
      <c r="G136" s="318" t="n">
        <v>1</v>
      </c>
      <c r="H136" s="318" t="n">
        <v>1</v>
      </c>
      <c r="I136" s="318" t="n">
        <v>1</v>
      </c>
      <c r="J136" s="318" t="n">
        <v>1</v>
      </c>
      <c r="K136" s="318" t="n">
        <v>1</v>
      </c>
      <c r="L136" s="318" t="n">
        <v>1</v>
      </c>
      <c r="M136" s="318" t="n">
        <v>1</v>
      </c>
      <c r="N136" s="318" t="n">
        <v>1</v>
      </c>
      <c r="O136" s="318" t="n">
        <v>1</v>
      </c>
      <c r="P136" s="318" t="n">
        <v>1.03</v>
      </c>
      <c r="Q136" s="318" t="n">
        <v>1.03</v>
      </c>
      <c r="R136" s="318" t="n">
        <v>1</v>
      </c>
      <c r="S136" s="318" t="n">
        <v>1</v>
      </c>
      <c r="T136" s="318" t="n">
        <v>1.02</v>
      </c>
      <c r="U136" s="318" t="n">
        <v>1</v>
      </c>
      <c r="V136" s="318" t="n">
        <v>1</v>
      </c>
      <c r="W136" s="318" t="n">
        <v>1</v>
      </c>
      <c r="X136" s="318" t="n">
        <v>1</v>
      </c>
      <c r="Y136" s="318" t="n">
        <v>1</v>
      </c>
      <c r="Z136" s="318" t="n">
        <v>1.02</v>
      </c>
      <c r="AA136" s="318" t="n">
        <v>1</v>
      </c>
      <c r="AB136" s="318" t="n">
        <v>1</v>
      </c>
      <c r="AC136" s="318" t="n">
        <v>1</v>
      </c>
      <c r="AD136" s="318" t="n">
        <v>1</v>
      </c>
      <c r="AE136" s="318" t="n">
        <v>0.98</v>
      </c>
      <c r="AF136" s="318" t="n">
        <v>0.98</v>
      </c>
      <c r="AG136" s="318" t="n">
        <v>0.98</v>
      </c>
      <c r="AH136" s="318" t="n">
        <v>1</v>
      </c>
      <c r="AI136" s="318" t="n">
        <v>1.05</v>
      </c>
      <c r="AJ136" s="318" t="n">
        <v>1</v>
      </c>
      <c r="AK136" s="318" t="n">
        <v>1</v>
      </c>
      <c r="AL136" s="318" t="n">
        <v>1.02</v>
      </c>
      <c r="AM136" s="318" t="n">
        <v>1</v>
      </c>
      <c r="AN136" s="318" t="n">
        <v>1</v>
      </c>
      <c r="AO136" s="318" t="n">
        <v>1</v>
      </c>
    </row>
    <row r="137" customFormat="false" ht="12.75" hidden="false" customHeight="false" outlineLevel="0" collapsed="false">
      <c r="A137" s="317" t="n">
        <v>40848</v>
      </c>
      <c r="B137" s="318" t="n">
        <v>1</v>
      </c>
      <c r="C137" s="318" t="n">
        <v>1</v>
      </c>
      <c r="D137" s="318" t="n">
        <v>1</v>
      </c>
      <c r="E137" s="318" t="n">
        <v>1</v>
      </c>
      <c r="F137" s="318" t="n">
        <v>1</v>
      </c>
      <c r="G137" s="318" t="n">
        <v>1</v>
      </c>
      <c r="H137" s="318" t="n">
        <v>1</v>
      </c>
      <c r="I137" s="318" t="n">
        <v>1</v>
      </c>
      <c r="J137" s="318" t="n">
        <v>1</v>
      </c>
      <c r="K137" s="318" t="n">
        <v>1</v>
      </c>
      <c r="L137" s="318" t="n">
        <v>1</v>
      </c>
      <c r="M137" s="318" t="n">
        <v>1</v>
      </c>
      <c r="N137" s="318" t="n">
        <v>1</v>
      </c>
      <c r="O137" s="318" t="n">
        <v>1</v>
      </c>
      <c r="P137" s="318" t="n">
        <v>1.03</v>
      </c>
      <c r="Q137" s="318" t="n">
        <v>1.03</v>
      </c>
      <c r="R137" s="318" t="n">
        <v>1</v>
      </c>
      <c r="S137" s="318" t="n">
        <v>1</v>
      </c>
      <c r="T137" s="318" t="n">
        <v>1.02</v>
      </c>
      <c r="U137" s="318" t="n">
        <v>1</v>
      </c>
      <c r="V137" s="318" t="n">
        <v>1</v>
      </c>
      <c r="W137" s="318" t="n">
        <v>1</v>
      </c>
      <c r="X137" s="318" t="n">
        <v>1</v>
      </c>
      <c r="Y137" s="318" t="n">
        <v>1</v>
      </c>
      <c r="Z137" s="318" t="n">
        <v>1</v>
      </c>
      <c r="AA137" s="318" t="n">
        <v>1</v>
      </c>
      <c r="AB137" s="318" t="n">
        <v>1</v>
      </c>
      <c r="AC137" s="318" t="n">
        <v>1</v>
      </c>
      <c r="AD137" s="318" t="n">
        <v>1</v>
      </c>
      <c r="AE137" s="318" t="n">
        <v>1</v>
      </c>
      <c r="AF137" s="318" t="n">
        <v>1</v>
      </c>
      <c r="AG137" s="318" t="n">
        <v>1.1</v>
      </c>
      <c r="AH137" s="318" t="n">
        <v>1.1</v>
      </c>
      <c r="AI137" s="318" t="n">
        <v>1.05</v>
      </c>
      <c r="AJ137" s="318" t="n">
        <v>1</v>
      </c>
      <c r="AK137" s="318" t="n">
        <v>1</v>
      </c>
      <c r="AL137" s="318" t="n">
        <v>1.02</v>
      </c>
      <c r="AM137" s="318" t="n">
        <v>1</v>
      </c>
      <c r="AN137" s="318" t="n">
        <v>1</v>
      </c>
      <c r="AO137" s="318" t="n">
        <v>1</v>
      </c>
    </row>
    <row r="138" customFormat="false" ht="12.75" hidden="false" customHeight="false" outlineLevel="0" collapsed="false">
      <c r="A138" s="317" t="n">
        <v>40878</v>
      </c>
      <c r="B138" s="318" t="n">
        <v>1</v>
      </c>
      <c r="C138" s="318" t="n">
        <v>1</v>
      </c>
      <c r="D138" s="318" t="n">
        <v>1</v>
      </c>
      <c r="E138" s="318" t="n">
        <v>1</v>
      </c>
      <c r="F138" s="318" t="n">
        <v>1</v>
      </c>
      <c r="G138" s="318" t="n">
        <v>1</v>
      </c>
      <c r="H138" s="318" t="n">
        <v>1</v>
      </c>
      <c r="I138" s="318" t="n">
        <v>1</v>
      </c>
      <c r="J138" s="318" t="n">
        <v>1</v>
      </c>
      <c r="K138" s="318" t="n">
        <v>1</v>
      </c>
      <c r="L138" s="318" t="n">
        <v>1</v>
      </c>
      <c r="M138" s="318" t="n">
        <v>1</v>
      </c>
      <c r="N138" s="318" t="n">
        <v>1</v>
      </c>
      <c r="O138" s="318" t="n">
        <v>1</v>
      </c>
      <c r="P138" s="318" t="n">
        <v>1.03</v>
      </c>
      <c r="Q138" s="318" t="n">
        <v>1.03</v>
      </c>
      <c r="R138" s="318" t="n">
        <v>1</v>
      </c>
      <c r="S138" s="318" t="n">
        <v>1</v>
      </c>
      <c r="T138" s="318" t="n">
        <v>1.02</v>
      </c>
      <c r="U138" s="318" t="n">
        <v>1</v>
      </c>
      <c r="V138" s="318" t="n">
        <v>1</v>
      </c>
      <c r="W138" s="318" t="n">
        <v>1</v>
      </c>
      <c r="X138" s="318" t="n">
        <v>1</v>
      </c>
      <c r="Y138" s="318" t="n">
        <v>1</v>
      </c>
      <c r="Z138" s="318" t="n">
        <v>1</v>
      </c>
      <c r="AA138" s="318" t="n">
        <v>1</v>
      </c>
      <c r="AB138" s="318" t="n">
        <v>1</v>
      </c>
      <c r="AC138" s="318" t="n">
        <v>1</v>
      </c>
      <c r="AD138" s="318" t="n">
        <v>1</v>
      </c>
      <c r="AE138" s="318" t="n">
        <v>1</v>
      </c>
      <c r="AF138" s="318" t="n">
        <v>1</v>
      </c>
      <c r="AG138" s="318" t="n">
        <v>1.1</v>
      </c>
      <c r="AH138" s="318" t="n">
        <v>1.02</v>
      </c>
      <c r="AI138" s="318" t="n">
        <v>1.05</v>
      </c>
      <c r="AJ138" s="318" t="n">
        <v>1</v>
      </c>
      <c r="AK138" s="318" t="n">
        <v>1</v>
      </c>
      <c r="AL138" s="318" t="n">
        <v>1.02</v>
      </c>
      <c r="AM138" s="318" t="n">
        <v>1</v>
      </c>
      <c r="AN138" s="318" t="n">
        <v>1</v>
      </c>
      <c r="AO138" s="318" t="n">
        <v>1</v>
      </c>
    </row>
    <row r="139" customFormat="false" ht="12.75" hidden="false" customHeight="false" outlineLevel="0" collapsed="false">
      <c r="A139" s="317" t="n">
        <v>40909</v>
      </c>
      <c r="B139" s="318" t="n">
        <v>1</v>
      </c>
      <c r="C139" s="318" t="n">
        <v>1</v>
      </c>
      <c r="D139" s="318" t="n">
        <v>1</v>
      </c>
      <c r="E139" s="318" t="n">
        <v>1</v>
      </c>
      <c r="F139" s="318" t="n">
        <v>1</v>
      </c>
      <c r="G139" s="318" t="n">
        <v>1</v>
      </c>
      <c r="H139" s="318" t="n">
        <v>1</v>
      </c>
      <c r="I139" s="318" t="n">
        <v>1</v>
      </c>
      <c r="J139" s="318" t="n">
        <v>1</v>
      </c>
      <c r="K139" s="318" t="n">
        <v>1</v>
      </c>
      <c r="L139" s="318" t="n">
        <v>1</v>
      </c>
      <c r="M139" s="318" t="n">
        <v>1</v>
      </c>
      <c r="N139" s="318" t="n">
        <v>1</v>
      </c>
      <c r="O139" s="318" t="n">
        <v>1</v>
      </c>
      <c r="P139" s="318" t="n">
        <v>1.03</v>
      </c>
      <c r="Q139" s="318" t="n">
        <v>1.03</v>
      </c>
      <c r="R139" s="318" t="n">
        <v>1</v>
      </c>
      <c r="S139" s="318" t="n">
        <v>1</v>
      </c>
      <c r="T139" s="318" t="n">
        <v>1.02</v>
      </c>
      <c r="U139" s="318" t="n">
        <v>1</v>
      </c>
      <c r="V139" s="318" t="n">
        <v>1</v>
      </c>
      <c r="W139" s="318" t="n">
        <v>1</v>
      </c>
      <c r="X139" s="318" t="n">
        <v>1</v>
      </c>
      <c r="Y139" s="318" t="n">
        <v>1</v>
      </c>
      <c r="Z139" s="318" t="n">
        <v>1</v>
      </c>
      <c r="AA139" s="318" t="n">
        <v>1</v>
      </c>
      <c r="AB139" s="318" t="n">
        <v>1</v>
      </c>
      <c r="AC139" s="318" t="n">
        <v>1</v>
      </c>
      <c r="AD139" s="318" t="n">
        <v>1</v>
      </c>
      <c r="AE139" s="318" t="n">
        <v>1</v>
      </c>
      <c r="AF139" s="318" t="n">
        <v>1</v>
      </c>
      <c r="AG139" s="318" t="n">
        <v>1.1</v>
      </c>
      <c r="AH139" s="318" t="n">
        <v>1.04</v>
      </c>
      <c r="AI139" s="318" t="n">
        <v>1.05</v>
      </c>
      <c r="AJ139" s="318" t="n">
        <v>1</v>
      </c>
      <c r="AK139" s="318" t="n">
        <v>1</v>
      </c>
      <c r="AL139" s="318" t="n">
        <v>1.02</v>
      </c>
      <c r="AM139" s="318" t="n">
        <v>1</v>
      </c>
      <c r="AN139" s="318" t="n">
        <v>1</v>
      </c>
      <c r="AO139" s="318" t="n">
        <v>1</v>
      </c>
    </row>
    <row r="140" customFormat="false" ht="12.75" hidden="false" customHeight="false" outlineLevel="0" collapsed="false">
      <c r="A140" s="317" t="n">
        <v>40940</v>
      </c>
      <c r="B140" s="318" t="n">
        <v>1</v>
      </c>
      <c r="C140" s="318" t="n">
        <v>1</v>
      </c>
      <c r="D140" s="318" t="n">
        <v>1</v>
      </c>
      <c r="E140" s="318" t="n">
        <v>1</v>
      </c>
      <c r="F140" s="318" t="n">
        <v>1</v>
      </c>
      <c r="G140" s="318" t="n">
        <v>1</v>
      </c>
      <c r="H140" s="318" t="n">
        <v>1</v>
      </c>
      <c r="I140" s="318" t="n">
        <v>1</v>
      </c>
      <c r="J140" s="318" t="n">
        <v>1</v>
      </c>
      <c r="K140" s="318" t="n">
        <v>1</v>
      </c>
      <c r="L140" s="318" t="n">
        <v>1</v>
      </c>
      <c r="M140" s="318" t="n">
        <v>1</v>
      </c>
      <c r="N140" s="318" t="n">
        <v>1</v>
      </c>
      <c r="O140" s="318" t="n">
        <v>1</v>
      </c>
      <c r="P140" s="318" t="n">
        <v>1.03</v>
      </c>
      <c r="Q140" s="318" t="n">
        <v>1.03</v>
      </c>
      <c r="R140" s="318" t="n">
        <v>1</v>
      </c>
      <c r="S140" s="318" t="n">
        <v>1</v>
      </c>
      <c r="T140" s="318" t="n">
        <v>1.02</v>
      </c>
      <c r="U140" s="318" t="n">
        <v>1</v>
      </c>
      <c r="V140" s="318" t="n">
        <v>1</v>
      </c>
      <c r="W140" s="318" t="n">
        <v>1</v>
      </c>
      <c r="X140" s="318" t="n">
        <v>1</v>
      </c>
      <c r="Y140" s="318" t="n">
        <v>1</v>
      </c>
      <c r="Z140" s="318" t="n">
        <v>1</v>
      </c>
      <c r="AA140" s="318" t="n">
        <v>1</v>
      </c>
      <c r="AB140" s="318" t="n">
        <v>1</v>
      </c>
      <c r="AC140" s="318" t="n">
        <v>1</v>
      </c>
      <c r="AD140" s="318" t="n">
        <v>1</v>
      </c>
      <c r="AE140" s="318" t="n">
        <v>1</v>
      </c>
      <c r="AF140" s="318" t="n">
        <v>1</v>
      </c>
      <c r="AG140" s="318" t="n">
        <v>1.1</v>
      </c>
      <c r="AH140" s="318" t="n">
        <v>1.04</v>
      </c>
      <c r="AI140" s="318" t="n">
        <v>1.05</v>
      </c>
      <c r="AJ140" s="318" t="n">
        <v>1</v>
      </c>
      <c r="AK140" s="318" t="n">
        <v>1</v>
      </c>
      <c r="AL140" s="318" t="n">
        <v>1.02</v>
      </c>
      <c r="AM140" s="318" t="n">
        <v>1</v>
      </c>
      <c r="AN140" s="318" t="n">
        <v>1</v>
      </c>
      <c r="AO140" s="318" t="n">
        <v>1</v>
      </c>
    </row>
    <row r="141" customFormat="false" ht="12.75" hidden="false" customHeight="false" outlineLevel="0" collapsed="false">
      <c r="A141" s="317" t="n">
        <v>40969</v>
      </c>
      <c r="B141" s="318" t="n">
        <v>1</v>
      </c>
      <c r="C141" s="318" t="n">
        <v>1</v>
      </c>
      <c r="D141" s="318" t="n">
        <v>1</v>
      </c>
      <c r="E141" s="318" t="n">
        <v>1</v>
      </c>
      <c r="F141" s="318" t="n">
        <v>1</v>
      </c>
      <c r="G141" s="318" t="n">
        <v>1</v>
      </c>
      <c r="H141" s="318" t="n">
        <v>1</v>
      </c>
      <c r="I141" s="318" t="n">
        <v>1</v>
      </c>
      <c r="J141" s="318" t="n">
        <v>1</v>
      </c>
      <c r="K141" s="318" t="n">
        <v>1</v>
      </c>
      <c r="L141" s="318" t="n">
        <v>1</v>
      </c>
      <c r="M141" s="318" t="n">
        <v>1</v>
      </c>
      <c r="N141" s="318" t="n">
        <v>1</v>
      </c>
      <c r="O141" s="318" t="n">
        <v>1</v>
      </c>
      <c r="P141" s="318" t="n">
        <v>1.03</v>
      </c>
      <c r="Q141" s="318" t="n">
        <v>1.03</v>
      </c>
      <c r="R141" s="318" t="n">
        <v>1</v>
      </c>
      <c r="S141" s="318" t="n">
        <v>1</v>
      </c>
      <c r="T141" s="318" t="n">
        <v>1.02</v>
      </c>
      <c r="U141" s="318" t="n">
        <v>1</v>
      </c>
      <c r="V141" s="318" t="n">
        <v>1</v>
      </c>
      <c r="W141" s="318" t="n">
        <v>1</v>
      </c>
      <c r="X141" s="318" t="n">
        <v>1</v>
      </c>
      <c r="Y141" s="318" t="n">
        <v>1</v>
      </c>
      <c r="Z141" s="318" t="n">
        <v>1</v>
      </c>
      <c r="AA141" s="318" t="n">
        <v>1</v>
      </c>
      <c r="AB141" s="318" t="n">
        <v>1</v>
      </c>
      <c r="AC141" s="318" t="n">
        <v>1</v>
      </c>
      <c r="AD141" s="318" t="n">
        <v>1</v>
      </c>
      <c r="AE141" s="318" t="n">
        <v>1</v>
      </c>
      <c r="AF141" s="318" t="n">
        <v>1</v>
      </c>
      <c r="AG141" s="318" t="n">
        <v>1.1</v>
      </c>
      <c r="AH141" s="318" t="n">
        <v>1.04</v>
      </c>
      <c r="AI141" s="318" t="n">
        <v>1.05</v>
      </c>
      <c r="AJ141" s="318" t="n">
        <v>1</v>
      </c>
      <c r="AK141" s="318" t="n">
        <v>1</v>
      </c>
      <c r="AL141" s="318" t="n">
        <v>1.02</v>
      </c>
      <c r="AM141" s="318" t="n">
        <v>1</v>
      </c>
      <c r="AN141" s="318" t="n">
        <v>1</v>
      </c>
      <c r="AO141" s="318" t="n">
        <v>1</v>
      </c>
    </row>
    <row r="142" customFormat="false" ht="12.75" hidden="false" customHeight="false" outlineLevel="0" collapsed="false">
      <c r="A142" s="317" t="n">
        <v>41000</v>
      </c>
      <c r="B142" s="318" t="n">
        <v>1</v>
      </c>
      <c r="C142" s="318" t="n">
        <v>1</v>
      </c>
      <c r="D142" s="318" t="n">
        <v>1</v>
      </c>
      <c r="E142" s="318" t="n">
        <v>1</v>
      </c>
      <c r="F142" s="318" t="n">
        <v>1</v>
      </c>
      <c r="G142" s="318" t="n">
        <v>1</v>
      </c>
      <c r="H142" s="318" t="n">
        <v>1</v>
      </c>
      <c r="I142" s="318" t="n">
        <v>1</v>
      </c>
      <c r="J142" s="318" t="n">
        <v>1</v>
      </c>
      <c r="K142" s="318" t="n">
        <v>1</v>
      </c>
      <c r="L142" s="318" t="n">
        <v>1</v>
      </c>
      <c r="M142" s="318" t="n">
        <v>1</v>
      </c>
      <c r="N142" s="318" t="n">
        <v>1</v>
      </c>
      <c r="O142" s="318" t="n">
        <v>1</v>
      </c>
      <c r="P142" s="318" t="n">
        <v>1.03</v>
      </c>
      <c r="Q142" s="318" t="n">
        <v>1.03</v>
      </c>
      <c r="R142" s="318" t="n">
        <v>1</v>
      </c>
      <c r="S142" s="318" t="n">
        <v>1</v>
      </c>
      <c r="T142" s="318" t="n">
        <v>1.02</v>
      </c>
      <c r="U142" s="318" t="n">
        <v>1</v>
      </c>
      <c r="V142" s="318" t="n">
        <v>1</v>
      </c>
      <c r="W142" s="318" t="n">
        <v>1</v>
      </c>
      <c r="X142" s="318" t="n">
        <v>1</v>
      </c>
      <c r="Y142" s="318" t="n">
        <v>1</v>
      </c>
      <c r="Z142" s="318" t="n">
        <v>1.02</v>
      </c>
      <c r="AA142" s="318" t="n">
        <v>1</v>
      </c>
      <c r="AB142" s="318" t="n">
        <v>1</v>
      </c>
      <c r="AC142" s="318" t="n">
        <v>1</v>
      </c>
      <c r="AD142" s="318" t="n">
        <v>1</v>
      </c>
      <c r="AE142" s="318" t="n">
        <v>0.98</v>
      </c>
      <c r="AF142" s="318" t="n">
        <v>0.98</v>
      </c>
      <c r="AG142" s="318" t="n">
        <v>0.98</v>
      </c>
      <c r="AH142" s="318" t="n">
        <v>1</v>
      </c>
      <c r="AI142" s="318" t="n">
        <v>1.05</v>
      </c>
      <c r="AJ142" s="318" t="n">
        <v>1</v>
      </c>
      <c r="AK142" s="318" t="n">
        <v>1</v>
      </c>
      <c r="AL142" s="318" t="n">
        <v>1.02</v>
      </c>
      <c r="AM142" s="318" t="n">
        <v>1</v>
      </c>
      <c r="AN142" s="318" t="n">
        <v>1</v>
      </c>
      <c r="AO142" s="318" t="n">
        <v>1</v>
      </c>
    </row>
    <row r="143" customFormat="false" ht="12.75" hidden="false" customHeight="false" outlineLevel="0" collapsed="false">
      <c r="A143" s="317" t="n">
        <v>41030</v>
      </c>
      <c r="B143" s="318" t="n">
        <v>1</v>
      </c>
      <c r="C143" s="318" t="n">
        <v>1</v>
      </c>
      <c r="D143" s="318" t="n">
        <v>1</v>
      </c>
      <c r="E143" s="318" t="n">
        <v>1</v>
      </c>
      <c r="F143" s="318" t="n">
        <v>1</v>
      </c>
      <c r="G143" s="318" t="n">
        <v>1</v>
      </c>
      <c r="H143" s="318" t="n">
        <v>1</v>
      </c>
      <c r="I143" s="318" t="n">
        <v>1</v>
      </c>
      <c r="J143" s="318" t="n">
        <v>1</v>
      </c>
      <c r="K143" s="318" t="n">
        <v>1</v>
      </c>
      <c r="L143" s="318" t="n">
        <v>1</v>
      </c>
      <c r="M143" s="318" t="n">
        <v>1</v>
      </c>
      <c r="N143" s="318" t="n">
        <v>1</v>
      </c>
      <c r="O143" s="318" t="n">
        <v>1</v>
      </c>
      <c r="P143" s="318" t="n">
        <v>1.03</v>
      </c>
      <c r="Q143" s="318" t="n">
        <v>1.03</v>
      </c>
      <c r="R143" s="318" t="n">
        <v>1</v>
      </c>
      <c r="S143" s="318" t="n">
        <v>1</v>
      </c>
      <c r="T143" s="318" t="n">
        <v>1.02</v>
      </c>
      <c r="U143" s="318" t="n">
        <v>1</v>
      </c>
      <c r="V143" s="318" t="n">
        <v>1</v>
      </c>
      <c r="W143" s="318" t="n">
        <v>1</v>
      </c>
      <c r="X143" s="318" t="n">
        <v>1</v>
      </c>
      <c r="Y143" s="318" t="n">
        <v>1</v>
      </c>
      <c r="Z143" s="318" t="n">
        <v>1.02</v>
      </c>
      <c r="AA143" s="318" t="n">
        <v>1</v>
      </c>
      <c r="AB143" s="318" t="n">
        <v>1</v>
      </c>
      <c r="AC143" s="318" t="n">
        <v>1</v>
      </c>
      <c r="AD143" s="318" t="n">
        <v>1</v>
      </c>
      <c r="AE143" s="318" t="n">
        <v>0.98</v>
      </c>
      <c r="AF143" s="318" t="n">
        <v>0.98</v>
      </c>
      <c r="AG143" s="318" t="n">
        <v>0.98</v>
      </c>
      <c r="AH143" s="318" t="n">
        <v>1</v>
      </c>
      <c r="AI143" s="318" t="n">
        <v>1.05</v>
      </c>
      <c r="AJ143" s="318" t="n">
        <v>1</v>
      </c>
      <c r="AK143" s="318" t="n">
        <v>1</v>
      </c>
      <c r="AL143" s="318" t="n">
        <v>1.02</v>
      </c>
      <c r="AM143" s="318" t="n">
        <v>1</v>
      </c>
      <c r="AN143" s="318" t="n">
        <v>1</v>
      </c>
      <c r="AO143" s="318" t="n">
        <v>1</v>
      </c>
    </row>
    <row r="144" customFormat="false" ht="12.75" hidden="false" customHeight="false" outlineLevel="0" collapsed="false">
      <c r="A144" s="317" t="n">
        <v>41061</v>
      </c>
      <c r="B144" s="318" t="n">
        <v>1</v>
      </c>
      <c r="C144" s="318" t="n">
        <v>1</v>
      </c>
      <c r="D144" s="318" t="n">
        <v>1</v>
      </c>
      <c r="E144" s="318" t="n">
        <v>1</v>
      </c>
      <c r="F144" s="318" t="n">
        <v>1</v>
      </c>
      <c r="G144" s="318" t="n">
        <v>1</v>
      </c>
      <c r="H144" s="318" t="n">
        <v>1</v>
      </c>
      <c r="I144" s="318" t="n">
        <v>1</v>
      </c>
      <c r="J144" s="318" t="n">
        <v>1</v>
      </c>
      <c r="K144" s="318" t="n">
        <v>1</v>
      </c>
      <c r="L144" s="318" t="n">
        <v>1</v>
      </c>
      <c r="M144" s="318" t="n">
        <v>1</v>
      </c>
      <c r="N144" s="318" t="n">
        <v>1</v>
      </c>
      <c r="O144" s="318" t="n">
        <v>1</v>
      </c>
      <c r="P144" s="318" t="n">
        <v>1.03</v>
      </c>
      <c r="Q144" s="318" t="n">
        <v>1.03</v>
      </c>
      <c r="R144" s="318" t="n">
        <v>1</v>
      </c>
      <c r="S144" s="318" t="n">
        <v>1</v>
      </c>
      <c r="T144" s="318" t="n">
        <v>1.02</v>
      </c>
      <c r="U144" s="318" t="n">
        <v>1</v>
      </c>
      <c r="V144" s="318" t="n">
        <v>1</v>
      </c>
      <c r="W144" s="318" t="n">
        <v>1</v>
      </c>
      <c r="X144" s="318" t="n">
        <v>1</v>
      </c>
      <c r="Y144" s="318" t="n">
        <v>1</v>
      </c>
      <c r="Z144" s="318" t="n">
        <v>1.02</v>
      </c>
      <c r="AA144" s="318" t="n">
        <v>1</v>
      </c>
      <c r="AB144" s="318" t="n">
        <v>1</v>
      </c>
      <c r="AC144" s="318" t="n">
        <v>1</v>
      </c>
      <c r="AD144" s="318" t="n">
        <v>1</v>
      </c>
      <c r="AE144" s="318" t="n">
        <v>0.98</v>
      </c>
      <c r="AF144" s="318" t="n">
        <v>0.98</v>
      </c>
      <c r="AG144" s="318" t="n">
        <v>0.98</v>
      </c>
      <c r="AH144" s="318" t="n">
        <v>1</v>
      </c>
      <c r="AI144" s="318" t="n">
        <v>1.05</v>
      </c>
      <c r="AJ144" s="318" t="n">
        <v>1</v>
      </c>
      <c r="AK144" s="318" t="n">
        <v>1</v>
      </c>
      <c r="AL144" s="318" t="n">
        <v>1.02</v>
      </c>
      <c r="AM144" s="318" t="n">
        <v>1</v>
      </c>
      <c r="AN144" s="318" t="n">
        <v>1</v>
      </c>
      <c r="AO144" s="318" t="n">
        <v>1</v>
      </c>
    </row>
    <row r="145" customFormat="false" ht="12.75" hidden="false" customHeight="false" outlineLevel="0" collapsed="false">
      <c r="A145" s="317" t="n">
        <v>41091</v>
      </c>
      <c r="B145" s="318" t="n">
        <v>1</v>
      </c>
      <c r="C145" s="318" t="n">
        <v>1</v>
      </c>
      <c r="D145" s="318" t="n">
        <v>1</v>
      </c>
      <c r="E145" s="318" t="n">
        <v>1</v>
      </c>
      <c r="F145" s="318" t="n">
        <v>1</v>
      </c>
      <c r="G145" s="318" t="n">
        <v>1</v>
      </c>
      <c r="H145" s="318" t="n">
        <v>1</v>
      </c>
      <c r="I145" s="318" t="n">
        <v>1</v>
      </c>
      <c r="J145" s="318" t="n">
        <v>1</v>
      </c>
      <c r="K145" s="318" t="n">
        <v>1</v>
      </c>
      <c r="L145" s="318" t="n">
        <v>1</v>
      </c>
      <c r="M145" s="318" t="n">
        <v>1</v>
      </c>
      <c r="N145" s="318" t="n">
        <v>1</v>
      </c>
      <c r="O145" s="318" t="n">
        <v>1</v>
      </c>
      <c r="P145" s="318" t="n">
        <v>1.03</v>
      </c>
      <c r="Q145" s="318" t="n">
        <v>1.03</v>
      </c>
      <c r="R145" s="318" t="n">
        <v>1</v>
      </c>
      <c r="S145" s="318" t="n">
        <v>1</v>
      </c>
      <c r="T145" s="318" t="n">
        <v>1.02</v>
      </c>
      <c r="U145" s="318" t="n">
        <v>1</v>
      </c>
      <c r="V145" s="318" t="n">
        <v>1</v>
      </c>
      <c r="W145" s="318" t="n">
        <v>1</v>
      </c>
      <c r="X145" s="318" t="n">
        <v>1</v>
      </c>
      <c r="Y145" s="318" t="n">
        <v>1</v>
      </c>
      <c r="Z145" s="318" t="n">
        <v>1.02</v>
      </c>
      <c r="AA145" s="318" t="n">
        <v>1</v>
      </c>
      <c r="AB145" s="318" t="n">
        <v>1</v>
      </c>
      <c r="AC145" s="318" t="n">
        <v>1</v>
      </c>
      <c r="AD145" s="318" t="n">
        <v>1</v>
      </c>
      <c r="AE145" s="318" t="n">
        <v>0.98</v>
      </c>
      <c r="AF145" s="318" t="n">
        <v>0.98</v>
      </c>
      <c r="AG145" s="318" t="n">
        <v>0.98</v>
      </c>
      <c r="AH145" s="318" t="n">
        <v>1</v>
      </c>
      <c r="AI145" s="318" t="n">
        <v>1.05</v>
      </c>
      <c r="AJ145" s="318" t="n">
        <v>1</v>
      </c>
      <c r="AK145" s="318" t="n">
        <v>1</v>
      </c>
      <c r="AL145" s="318" t="n">
        <v>1.02</v>
      </c>
      <c r="AM145" s="318" t="n">
        <v>1</v>
      </c>
      <c r="AN145" s="318" t="n">
        <v>1</v>
      </c>
      <c r="AO145" s="318" t="n">
        <v>1</v>
      </c>
    </row>
    <row r="146" customFormat="false" ht="12.75" hidden="false" customHeight="false" outlineLevel="0" collapsed="false">
      <c r="A146" s="317" t="n">
        <v>41122</v>
      </c>
      <c r="B146" s="318" t="n">
        <v>1</v>
      </c>
      <c r="C146" s="318" t="n">
        <v>1</v>
      </c>
      <c r="D146" s="318" t="n">
        <v>1</v>
      </c>
      <c r="E146" s="318" t="n">
        <v>1</v>
      </c>
      <c r="F146" s="318" t="n">
        <v>1</v>
      </c>
      <c r="G146" s="318" t="n">
        <v>1</v>
      </c>
      <c r="H146" s="318" t="n">
        <v>1</v>
      </c>
      <c r="I146" s="318" t="n">
        <v>1</v>
      </c>
      <c r="J146" s="318" t="n">
        <v>1</v>
      </c>
      <c r="K146" s="318" t="n">
        <v>1</v>
      </c>
      <c r="L146" s="318" t="n">
        <v>1</v>
      </c>
      <c r="M146" s="318" t="n">
        <v>1</v>
      </c>
      <c r="N146" s="318" t="n">
        <v>1</v>
      </c>
      <c r="O146" s="318" t="n">
        <v>1</v>
      </c>
      <c r="P146" s="318" t="n">
        <v>1.03</v>
      </c>
      <c r="Q146" s="318" t="n">
        <v>1.03</v>
      </c>
      <c r="R146" s="318" t="n">
        <v>1</v>
      </c>
      <c r="S146" s="318" t="n">
        <v>1</v>
      </c>
      <c r="T146" s="318" t="n">
        <v>1.02</v>
      </c>
      <c r="U146" s="318" t="n">
        <v>1</v>
      </c>
      <c r="V146" s="318" t="n">
        <v>1</v>
      </c>
      <c r="W146" s="318" t="n">
        <v>1</v>
      </c>
      <c r="X146" s="318" t="n">
        <v>1</v>
      </c>
      <c r="Y146" s="318" t="n">
        <v>1</v>
      </c>
      <c r="Z146" s="318" t="n">
        <v>1.02</v>
      </c>
      <c r="AA146" s="318" t="n">
        <v>1</v>
      </c>
      <c r="AB146" s="318" t="n">
        <v>1</v>
      </c>
      <c r="AC146" s="318" t="n">
        <v>1</v>
      </c>
      <c r="AD146" s="318" t="n">
        <v>1</v>
      </c>
      <c r="AE146" s="318" t="n">
        <v>0.98</v>
      </c>
      <c r="AF146" s="318" t="n">
        <v>0.98</v>
      </c>
      <c r="AG146" s="318" t="n">
        <v>0.98</v>
      </c>
      <c r="AH146" s="318" t="n">
        <v>1</v>
      </c>
      <c r="AI146" s="318" t="n">
        <v>1.05</v>
      </c>
      <c r="AJ146" s="318" t="n">
        <v>1</v>
      </c>
      <c r="AK146" s="318" t="n">
        <v>1</v>
      </c>
      <c r="AL146" s="318" t="n">
        <v>1.02</v>
      </c>
      <c r="AM146" s="318" t="n">
        <v>1</v>
      </c>
      <c r="AN146" s="318" t="n">
        <v>1</v>
      </c>
      <c r="AO146" s="318" t="n">
        <v>1</v>
      </c>
    </row>
    <row r="147" customFormat="false" ht="12.75" hidden="false" customHeight="false" outlineLevel="0" collapsed="false">
      <c r="A147" s="317" t="n">
        <v>41153</v>
      </c>
      <c r="B147" s="318" t="n">
        <v>1</v>
      </c>
      <c r="C147" s="318" t="n">
        <v>1</v>
      </c>
      <c r="D147" s="318" t="n">
        <v>1</v>
      </c>
      <c r="E147" s="318" t="n">
        <v>1</v>
      </c>
      <c r="F147" s="318" t="n">
        <v>1</v>
      </c>
      <c r="G147" s="318" t="n">
        <v>1</v>
      </c>
      <c r="H147" s="318" t="n">
        <v>1</v>
      </c>
      <c r="I147" s="318" t="n">
        <v>1</v>
      </c>
      <c r="J147" s="318" t="n">
        <v>1</v>
      </c>
      <c r="K147" s="318" t="n">
        <v>1</v>
      </c>
      <c r="L147" s="318" t="n">
        <v>1</v>
      </c>
      <c r="M147" s="318" t="n">
        <v>1</v>
      </c>
      <c r="N147" s="318" t="n">
        <v>1</v>
      </c>
      <c r="O147" s="318" t="n">
        <v>1</v>
      </c>
      <c r="P147" s="318" t="n">
        <v>1.03</v>
      </c>
      <c r="Q147" s="318" t="n">
        <v>1.03</v>
      </c>
      <c r="R147" s="318" t="n">
        <v>1</v>
      </c>
      <c r="S147" s="318" t="n">
        <v>1</v>
      </c>
      <c r="T147" s="318" t="n">
        <v>1.02</v>
      </c>
      <c r="U147" s="318" t="n">
        <v>1</v>
      </c>
      <c r="V147" s="318" t="n">
        <v>1</v>
      </c>
      <c r="W147" s="318" t="n">
        <v>1</v>
      </c>
      <c r="X147" s="318" t="n">
        <v>1</v>
      </c>
      <c r="Y147" s="318" t="n">
        <v>1</v>
      </c>
      <c r="Z147" s="318" t="n">
        <v>1.02</v>
      </c>
      <c r="AA147" s="318" t="n">
        <v>1</v>
      </c>
      <c r="AB147" s="318" t="n">
        <v>1</v>
      </c>
      <c r="AC147" s="318" t="n">
        <v>1</v>
      </c>
      <c r="AD147" s="318" t="n">
        <v>1</v>
      </c>
      <c r="AE147" s="318" t="n">
        <v>0.98</v>
      </c>
      <c r="AF147" s="318" t="n">
        <v>0.98</v>
      </c>
      <c r="AG147" s="318" t="n">
        <v>0.98</v>
      </c>
      <c r="AH147" s="318" t="n">
        <v>1</v>
      </c>
      <c r="AI147" s="318" t="n">
        <v>1.05</v>
      </c>
      <c r="AJ147" s="318" t="n">
        <v>1</v>
      </c>
      <c r="AK147" s="318" t="n">
        <v>1</v>
      </c>
      <c r="AL147" s="318" t="n">
        <v>1.02</v>
      </c>
      <c r="AM147" s="318" t="n">
        <v>1</v>
      </c>
      <c r="AN147" s="318" t="n">
        <v>1</v>
      </c>
      <c r="AO147" s="318" t="n">
        <v>1</v>
      </c>
    </row>
    <row r="148" customFormat="false" ht="12.75" hidden="false" customHeight="false" outlineLevel="0" collapsed="false">
      <c r="A148" s="317" t="n">
        <v>41183</v>
      </c>
      <c r="B148" s="318" t="n">
        <v>1</v>
      </c>
      <c r="C148" s="318" t="n">
        <v>1</v>
      </c>
      <c r="D148" s="318" t="n">
        <v>1</v>
      </c>
      <c r="E148" s="318" t="n">
        <v>1</v>
      </c>
      <c r="F148" s="318" t="n">
        <v>1</v>
      </c>
      <c r="G148" s="318" t="n">
        <v>1</v>
      </c>
      <c r="H148" s="318" t="n">
        <v>1</v>
      </c>
      <c r="I148" s="318" t="n">
        <v>1</v>
      </c>
      <c r="J148" s="318" t="n">
        <v>1</v>
      </c>
      <c r="K148" s="318" t="n">
        <v>1</v>
      </c>
      <c r="L148" s="318" t="n">
        <v>1</v>
      </c>
      <c r="M148" s="318" t="n">
        <v>1</v>
      </c>
      <c r="N148" s="318" t="n">
        <v>1</v>
      </c>
      <c r="O148" s="318" t="n">
        <v>1</v>
      </c>
      <c r="P148" s="318" t="n">
        <v>1.03</v>
      </c>
      <c r="Q148" s="318" t="n">
        <v>1.03</v>
      </c>
      <c r="R148" s="318" t="n">
        <v>1</v>
      </c>
      <c r="S148" s="318" t="n">
        <v>1</v>
      </c>
      <c r="T148" s="318" t="n">
        <v>1.02</v>
      </c>
      <c r="U148" s="318" t="n">
        <v>1</v>
      </c>
      <c r="V148" s="318" t="n">
        <v>1</v>
      </c>
      <c r="W148" s="318" t="n">
        <v>1</v>
      </c>
      <c r="X148" s="318" t="n">
        <v>1</v>
      </c>
      <c r="Y148" s="318" t="n">
        <v>1</v>
      </c>
      <c r="Z148" s="318" t="n">
        <v>1.02</v>
      </c>
      <c r="AA148" s="318" t="n">
        <v>1</v>
      </c>
      <c r="AB148" s="318" t="n">
        <v>1</v>
      </c>
      <c r="AC148" s="318" t="n">
        <v>1</v>
      </c>
      <c r="AD148" s="318" t="n">
        <v>1</v>
      </c>
      <c r="AE148" s="318" t="n">
        <v>0.98</v>
      </c>
      <c r="AF148" s="318" t="n">
        <v>0.98</v>
      </c>
      <c r="AG148" s="318" t="n">
        <v>0.98</v>
      </c>
      <c r="AH148" s="318" t="n">
        <v>1</v>
      </c>
      <c r="AI148" s="318" t="n">
        <v>1.05</v>
      </c>
      <c r="AJ148" s="318" t="n">
        <v>1</v>
      </c>
      <c r="AK148" s="318" t="n">
        <v>1</v>
      </c>
      <c r="AL148" s="318" t="n">
        <v>1.02</v>
      </c>
      <c r="AM148" s="318" t="n">
        <v>1</v>
      </c>
      <c r="AN148" s="318" t="n">
        <v>1</v>
      </c>
      <c r="AO148" s="318" t="n">
        <v>1</v>
      </c>
    </row>
    <row r="149" customFormat="false" ht="12.75" hidden="false" customHeight="false" outlineLevel="0" collapsed="false">
      <c r="A149" s="317" t="n">
        <v>41214</v>
      </c>
      <c r="B149" s="318" t="n">
        <v>1</v>
      </c>
      <c r="C149" s="318" t="n">
        <v>1</v>
      </c>
      <c r="D149" s="318" t="n">
        <v>1</v>
      </c>
      <c r="E149" s="318" t="n">
        <v>1</v>
      </c>
      <c r="F149" s="318" t="n">
        <v>1</v>
      </c>
      <c r="G149" s="318" t="n">
        <v>1</v>
      </c>
      <c r="H149" s="318" t="n">
        <v>1</v>
      </c>
      <c r="I149" s="318" t="n">
        <v>1</v>
      </c>
      <c r="J149" s="318" t="n">
        <v>1</v>
      </c>
      <c r="K149" s="318" t="n">
        <v>1</v>
      </c>
      <c r="L149" s="318" t="n">
        <v>1</v>
      </c>
      <c r="M149" s="318" t="n">
        <v>1</v>
      </c>
      <c r="N149" s="318" t="n">
        <v>1</v>
      </c>
      <c r="O149" s="318" t="n">
        <v>1</v>
      </c>
      <c r="P149" s="318" t="n">
        <v>1.03</v>
      </c>
      <c r="Q149" s="318" t="n">
        <v>1.03</v>
      </c>
      <c r="R149" s="318" t="n">
        <v>1</v>
      </c>
      <c r="S149" s="318" t="n">
        <v>1</v>
      </c>
      <c r="T149" s="318" t="n">
        <v>1.02</v>
      </c>
      <c r="U149" s="318" t="n">
        <v>1</v>
      </c>
      <c r="V149" s="318" t="n">
        <v>1</v>
      </c>
      <c r="W149" s="318" t="n">
        <v>1</v>
      </c>
      <c r="X149" s="318" t="n">
        <v>1</v>
      </c>
      <c r="Y149" s="318" t="n">
        <v>1</v>
      </c>
      <c r="Z149" s="318" t="n">
        <v>1</v>
      </c>
      <c r="AA149" s="318" t="n">
        <v>1</v>
      </c>
      <c r="AB149" s="318" t="n">
        <v>1</v>
      </c>
      <c r="AC149" s="318" t="n">
        <v>1</v>
      </c>
      <c r="AD149" s="318" t="n">
        <v>1</v>
      </c>
      <c r="AE149" s="318" t="n">
        <v>1</v>
      </c>
      <c r="AF149" s="318" t="n">
        <v>1</v>
      </c>
      <c r="AG149" s="318" t="n">
        <v>1.1</v>
      </c>
      <c r="AH149" s="318" t="n">
        <v>1.1</v>
      </c>
      <c r="AI149" s="318" t="n">
        <v>1.05</v>
      </c>
      <c r="AJ149" s="318" t="n">
        <v>1</v>
      </c>
      <c r="AK149" s="318" t="n">
        <v>1</v>
      </c>
      <c r="AL149" s="318" t="n">
        <v>1.02</v>
      </c>
      <c r="AM149" s="318" t="n">
        <v>1</v>
      </c>
      <c r="AN149" s="318" t="n">
        <v>1</v>
      </c>
      <c r="AO149" s="318" t="n">
        <v>1</v>
      </c>
    </row>
    <row r="150" customFormat="false" ht="12.75" hidden="false" customHeight="false" outlineLevel="0" collapsed="false">
      <c r="A150" s="317" t="n">
        <v>41244</v>
      </c>
      <c r="B150" s="318" t="n">
        <v>1</v>
      </c>
      <c r="C150" s="318" t="n">
        <v>1</v>
      </c>
      <c r="D150" s="318" t="n">
        <v>1</v>
      </c>
      <c r="E150" s="318" t="n">
        <v>1</v>
      </c>
      <c r="F150" s="318" t="n">
        <v>1</v>
      </c>
      <c r="G150" s="318" t="n">
        <v>1</v>
      </c>
      <c r="H150" s="318" t="n">
        <v>1</v>
      </c>
      <c r="I150" s="318" t="n">
        <v>1</v>
      </c>
      <c r="J150" s="318" t="n">
        <v>1</v>
      </c>
      <c r="K150" s="318" t="n">
        <v>1</v>
      </c>
      <c r="L150" s="318" t="n">
        <v>1</v>
      </c>
      <c r="M150" s="318" t="n">
        <v>1</v>
      </c>
      <c r="N150" s="318" t="n">
        <v>1</v>
      </c>
      <c r="O150" s="318" t="n">
        <v>1</v>
      </c>
      <c r="P150" s="318" t="n">
        <v>1.03</v>
      </c>
      <c r="Q150" s="318" t="n">
        <v>1.03</v>
      </c>
      <c r="R150" s="318" t="n">
        <v>1</v>
      </c>
      <c r="S150" s="318" t="n">
        <v>1</v>
      </c>
      <c r="T150" s="318" t="n">
        <v>1.02</v>
      </c>
      <c r="U150" s="318" t="n">
        <v>1</v>
      </c>
      <c r="V150" s="318" t="n">
        <v>1</v>
      </c>
      <c r="W150" s="318" t="n">
        <v>1</v>
      </c>
      <c r="X150" s="318" t="n">
        <v>1</v>
      </c>
      <c r="Y150" s="318" t="n">
        <v>1</v>
      </c>
      <c r="Z150" s="318" t="n">
        <v>1</v>
      </c>
      <c r="AA150" s="318" t="n">
        <v>1</v>
      </c>
      <c r="AB150" s="318" t="n">
        <v>1</v>
      </c>
      <c r="AC150" s="318" t="n">
        <v>1</v>
      </c>
      <c r="AD150" s="318" t="n">
        <v>1</v>
      </c>
      <c r="AE150" s="318" t="n">
        <v>1</v>
      </c>
      <c r="AF150" s="318" t="n">
        <v>1</v>
      </c>
      <c r="AG150" s="318" t="n">
        <v>1.1</v>
      </c>
      <c r="AH150" s="318" t="n">
        <v>1.02</v>
      </c>
      <c r="AI150" s="318" t="n">
        <v>1.05</v>
      </c>
      <c r="AJ150" s="318" t="n">
        <v>1</v>
      </c>
      <c r="AK150" s="318" t="n">
        <v>1</v>
      </c>
      <c r="AL150" s="318" t="n">
        <v>1.02</v>
      </c>
      <c r="AM150" s="318" t="n">
        <v>1</v>
      </c>
      <c r="AN150" s="318" t="n">
        <v>1</v>
      </c>
      <c r="AO150" s="318" t="n">
        <v>1</v>
      </c>
    </row>
    <row r="151" customFormat="false" ht="12.75" hidden="false" customHeight="false" outlineLevel="0" collapsed="false">
      <c r="A151" s="317" t="n">
        <v>41275</v>
      </c>
      <c r="B151" s="318" t="n">
        <v>1</v>
      </c>
      <c r="C151" s="318" t="n">
        <v>1</v>
      </c>
      <c r="D151" s="318" t="n">
        <v>1</v>
      </c>
      <c r="E151" s="318" t="n">
        <v>1</v>
      </c>
      <c r="F151" s="318" t="n">
        <v>1</v>
      </c>
      <c r="G151" s="318" t="n">
        <v>1</v>
      </c>
      <c r="H151" s="318" t="n">
        <v>1</v>
      </c>
      <c r="I151" s="318" t="n">
        <v>1</v>
      </c>
      <c r="J151" s="318" t="n">
        <v>1</v>
      </c>
      <c r="K151" s="318" t="n">
        <v>1</v>
      </c>
      <c r="L151" s="318" t="n">
        <v>1</v>
      </c>
      <c r="M151" s="318" t="n">
        <v>1</v>
      </c>
      <c r="N151" s="318" t="n">
        <v>1</v>
      </c>
      <c r="O151" s="318" t="n">
        <v>1</v>
      </c>
      <c r="P151" s="318" t="n">
        <v>1.03</v>
      </c>
      <c r="Q151" s="318" t="n">
        <v>1.03</v>
      </c>
      <c r="R151" s="318" t="n">
        <v>1</v>
      </c>
      <c r="S151" s="318" t="n">
        <v>1</v>
      </c>
      <c r="T151" s="318" t="n">
        <v>1.02</v>
      </c>
      <c r="U151" s="318" t="n">
        <v>1</v>
      </c>
      <c r="V151" s="318" t="n">
        <v>1</v>
      </c>
      <c r="W151" s="318" t="n">
        <v>1</v>
      </c>
      <c r="X151" s="318" t="n">
        <v>1</v>
      </c>
      <c r="Y151" s="318" t="n">
        <v>1</v>
      </c>
      <c r="Z151" s="318" t="n">
        <v>1</v>
      </c>
      <c r="AA151" s="318" t="n">
        <v>1</v>
      </c>
      <c r="AB151" s="318" t="n">
        <v>1</v>
      </c>
      <c r="AC151" s="318" t="n">
        <v>1</v>
      </c>
      <c r="AD151" s="318" t="n">
        <v>1</v>
      </c>
      <c r="AE151" s="318" t="n">
        <v>1</v>
      </c>
      <c r="AF151" s="318" t="n">
        <v>1</v>
      </c>
      <c r="AG151" s="318" t="n">
        <v>1.1</v>
      </c>
      <c r="AH151" s="318" t="n">
        <v>1.04</v>
      </c>
      <c r="AI151" s="318" t="n">
        <v>1.05</v>
      </c>
      <c r="AJ151" s="318" t="n">
        <v>1</v>
      </c>
      <c r="AK151" s="318" t="n">
        <v>1</v>
      </c>
      <c r="AL151" s="318" t="n">
        <v>1.02</v>
      </c>
      <c r="AM151" s="318" t="n">
        <v>1</v>
      </c>
      <c r="AN151" s="318" t="n">
        <v>1</v>
      </c>
      <c r="AO151" s="318" t="n">
        <v>1</v>
      </c>
    </row>
    <row r="152" customFormat="false" ht="12.75" hidden="false" customHeight="false" outlineLevel="0" collapsed="false">
      <c r="A152" s="317" t="n">
        <v>41306</v>
      </c>
      <c r="B152" s="318" t="n">
        <v>1</v>
      </c>
      <c r="C152" s="318" t="n">
        <v>1</v>
      </c>
      <c r="D152" s="318" t="n">
        <v>1</v>
      </c>
      <c r="E152" s="318" t="n">
        <v>1</v>
      </c>
      <c r="F152" s="318" t="n">
        <v>1</v>
      </c>
      <c r="G152" s="318" t="n">
        <v>1</v>
      </c>
      <c r="H152" s="318" t="n">
        <v>1</v>
      </c>
      <c r="I152" s="318" t="n">
        <v>1</v>
      </c>
      <c r="J152" s="318" t="n">
        <v>1</v>
      </c>
      <c r="K152" s="318" t="n">
        <v>1</v>
      </c>
      <c r="L152" s="318" t="n">
        <v>1</v>
      </c>
      <c r="M152" s="318" t="n">
        <v>1</v>
      </c>
      <c r="N152" s="318" t="n">
        <v>1</v>
      </c>
      <c r="O152" s="318" t="n">
        <v>1</v>
      </c>
      <c r="P152" s="318" t="n">
        <v>1.03</v>
      </c>
      <c r="Q152" s="318" t="n">
        <v>1.03</v>
      </c>
      <c r="R152" s="318" t="n">
        <v>1</v>
      </c>
      <c r="S152" s="318" t="n">
        <v>1</v>
      </c>
      <c r="T152" s="318" t="n">
        <v>1.02</v>
      </c>
      <c r="U152" s="318" t="n">
        <v>1</v>
      </c>
      <c r="V152" s="318" t="n">
        <v>1</v>
      </c>
      <c r="W152" s="318" t="n">
        <v>1</v>
      </c>
      <c r="X152" s="318" t="n">
        <v>1</v>
      </c>
      <c r="Y152" s="318" t="n">
        <v>1</v>
      </c>
      <c r="Z152" s="318" t="n">
        <v>1</v>
      </c>
      <c r="AA152" s="318" t="n">
        <v>1</v>
      </c>
      <c r="AB152" s="318" t="n">
        <v>1</v>
      </c>
      <c r="AC152" s="318" t="n">
        <v>1</v>
      </c>
      <c r="AD152" s="318" t="n">
        <v>1</v>
      </c>
      <c r="AE152" s="318" t="n">
        <v>1</v>
      </c>
      <c r="AF152" s="318" t="n">
        <v>1</v>
      </c>
      <c r="AG152" s="318" t="n">
        <v>1.1</v>
      </c>
      <c r="AH152" s="318" t="n">
        <v>1.04</v>
      </c>
      <c r="AI152" s="318" t="n">
        <v>1.05</v>
      </c>
      <c r="AJ152" s="318" t="n">
        <v>1</v>
      </c>
      <c r="AK152" s="318" t="n">
        <v>1</v>
      </c>
      <c r="AL152" s="318" t="n">
        <v>1.02</v>
      </c>
      <c r="AM152" s="318" t="n">
        <v>1</v>
      </c>
      <c r="AN152" s="318" t="n">
        <v>1</v>
      </c>
      <c r="AO152" s="318" t="n">
        <v>1</v>
      </c>
    </row>
    <row r="153" customFormat="false" ht="12.75" hidden="false" customHeight="false" outlineLevel="0" collapsed="false">
      <c r="A153" s="317" t="n">
        <v>41334</v>
      </c>
      <c r="B153" s="318" t="n">
        <v>1</v>
      </c>
      <c r="C153" s="318" t="n">
        <v>1</v>
      </c>
      <c r="D153" s="318" t="n">
        <v>1</v>
      </c>
      <c r="E153" s="318" t="n">
        <v>1</v>
      </c>
      <c r="F153" s="318" t="n">
        <v>1</v>
      </c>
      <c r="G153" s="318" t="n">
        <v>1</v>
      </c>
      <c r="H153" s="318" t="n">
        <v>1</v>
      </c>
      <c r="I153" s="318" t="n">
        <v>1</v>
      </c>
      <c r="J153" s="318" t="n">
        <v>1</v>
      </c>
      <c r="K153" s="318" t="n">
        <v>1</v>
      </c>
      <c r="L153" s="318" t="n">
        <v>1</v>
      </c>
      <c r="M153" s="318" t="n">
        <v>1</v>
      </c>
      <c r="N153" s="318" t="n">
        <v>1</v>
      </c>
      <c r="O153" s="318" t="n">
        <v>1</v>
      </c>
      <c r="P153" s="318" t="n">
        <v>1.03</v>
      </c>
      <c r="Q153" s="318" t="n">
        <v>1.03</v>
      </c>
      <c r="R153" s="318" t="n">
        <v>1</v>
      </c>
      <c r="S153" s="318" t="n">
        <v>1</v>
      </c>
      <c r="T153" s="318" t="n">
        <v>1.02</v>
      </c>
      <c r="U153" s="318" t="n">
        <v>1</v>
      </c>
      <c r="V153" s="318" t="n">
        <v>1</v>
      </c>
      <c r="W153" s="318" t="n">
        <v>1</v>
      </c>
      <c r="X153" s="318" t="n">
        <v>1</v>
      </c>
      <c r="Y153" s="318" t="n">
        <v>1</v>
      </c>
      <c r="Z153" s="318" t="n">
        <v>1</v>
      </c>
      <c r="AA153" s="318" t="n">
        <v>1</v>
      </c>
      <c r="AB153" s="318" t="n">
        <v>1</v>
      </c>
      <c r="AC153" s="318" t="n">
        <v>1</v>
      </c>
      <c r="AD153" s="318" t="n">
        <v>1</v>
      </c>
      <c r="AE153" s="318" t="n">
        <v>1</v>
      </c>
      <c r="AF153" s="318" t="n">
        <v>1</v>
      </c>
      <c r="AG153" s="318" t="n">
        <v>1.1</v>
      </c>
      <c r="AH153" s="318" t="n">
        <v>1.04</v>
      </c>
      <c r="AI153" s="318" t="n">
        <v>1.05</v>
      </c>
      <c r="AJ153" s="318" t="n">
        <v>1</v>
      </c>
      <c r="AK153" s="318" t="n">
        <v>1</v>
      </c>
      <c r="AL153" s="318" t="n">
        <v>1.02</v>
      </c>
      <c r="AM153" s="318" t="n">
        <v>1</v>
      </c>
      <c r="AN153" s="318" t="n">
        <v>1</v>
      </c>
      <c r="AO153" s="318" t="n">
        <v>1</v>
      </c>
    </row>
    <row r="154" customFormat="false" ht="12.75" hidden="false" customHeight="false" outlineLevel="0" collapsed="false">
      <c r="A154" s="317" t="n">
        <v>41365</v>
      </c>
      <c r="B154" s="318" t="n">
        <v>1</v>
      </c>
      <c r="C154" s="318" t="n">
        <v>1</v>
      </c>
      <c r="D154" s="318" t="n">
        <v>1</v>
      </c>
      <c r="E154" s="318" t="n">
        <v>1</v>
      </c>
      <c r="F154" s="318" t="n">
        <v>1</v>
      </c>
      <c r="G154" s="318" t="n">
        <v>1</v>
      </c>
      <c r="H154" s="318" t="n">
        <v>1</v>
      </c>
      <c r="I154" s="318" t="n">
        <v>1</v>
      </c>
      <c r="J154" s="318" t="n">
        <v>1</v>
      </c>
      <c r="K154" s="318" t="n">
        <v>1</v>
      </c>
      <c r="L154" s="318" t="n">
        <v>1</v>
      </c>
      <c r="M154" s="318" t="n">
        <v>1</v>
      </c>
      <c r="N154" s="318" t="n">
        <v>1</v>
      </c>
      <c r="O154" s="318" t="n">
        <v>1</v>
      </c>
      <c r="P154" s="318" t="n">
        <v>1.03</v>
      </c>
      <c r="Q154" s="318" t="n">
        <v>1.03</v>
      </c>
      <c r="R154" s="318" t="n">
        <v>1</v>
      </c>
      <c r="S154" s="318" t="n">
        <v>1</v>
      </c>
      <c r="T154" s="318" t="n">
        <v>1.02</v>
      </c>
      <c r="U154" s="318" t="n">
        <v>1</v>
      </c>
      <c r="V154" s="318" t="n">
        <v>1</v>
      </c>
      <c r="W154" s="318" t="n">
        <v>1</v>
      </c>
      <c r="X154" s="318" t="n">
        <v>1</v>
      </c>
      <c r="Y154" s="318" t="n">
        <v>1</v>
      </c>
      <c r="Z154" s="318" t="n">
        <v>1.02</v>
      </c>
      <c r="AA154" s="318" t="n">
        <v>1</v>
      </c>
      <c r="AB154" s="318" t="n">
        <v>1</v>
      </c>
      <c r="AC154" s="318" t="n">
        <v>1</v>
      </c>
      <c r="AD154" s="318" t="n">
        <v>1</v>
      </c>
      <c r="AE154" s="318" t="n">
        <v>0.98</v>
      </c>
      <c r="AF154" s="318" t="n">
        <v>0.98</v>
      </c>
      <c r="AG154" s="318" t="n">
        <v>0.98</v>
      </c>
      <c r="AH154" s="318" t="n">
        <v>1</v>
      </c>
      <c r="AI154" s="318" t="n">
        <v>1.05</v>
      </c>
      <c r="AJ154" s="318" t="n">
        <v>1</v>
      </c>
      <c r="AK154" s="318" t="n">
        <v>1</v>
      </c>
      <c r="AL154" s="318" t="n">
        <v>1.02</v>
      </c>
      <c r="AM154" s="318" t="n">
        <v>1</v>
      </c>
      <c r="AN154" s="318" t="n">
        <v>1</v>
      </c>
      <c r="AO154" s="318" t="n">
        <v>1</v>
      </c>
    </row>
    <row r="155" customFormat="false" ht="12.75" hidden="false" customHeight="false" outlineLevel="0" collapsed="false">
      <c r="A155" s="317" t="n">
        <v>41395</v>
      </c>
      <c r="B155" s="318" t="n">
        <v>1</v>
      </c>
      <c r="C155" s="318" t="n">
        <v>1</v>
      </c>
      <c r="D155" s="318" t="n">
        <v>1</v>
      </c>
      <c r="E155" s="318" t="n">
        <v>1</v>
      </c>
      <c r="F155" s="318" t="n">
        <v>1</v>
      </c>
      <c r="G155" s="318" t="n">
        <v>1</v>
      </c>
      <c r="H155" s="318" t="n">
        <v>1</v>
      </c>
      <c r="I155" s="318" t="n">
        <v>1</v>
      </c>
      <c r="J155" s="318" t="n">
        <v>1</v>
      </c>
      <c r="K155" s="318" t="n">
        <v>1</v>
      </c>
      <c r="L155" s="318" t="n">
        <v>1</v>
      </c>
      <c r="M155" s="318" t="n">
        <v>1</v>
      </c>
      <c r="N155" s="318" t="n">
        <v>1</v>
      </c>
      <c r="O155" s="318" t="n">
        <v>1</v>
      </c>
      <c r="P155" s="318" t="n">
        <v>1.03</v>
      </c>
      <c r="Q155" s="318" t="n">
        <v>1.03</v>
      </c>
      <c r="R155" s="318" t="n">
        <v>1</v>
      </c>
      <c r="S155" s="318" t="n">
        <v>1</v>
      </c>
      <c r="T155" s="318" t="n">
        <v>1.02</v>
      </c>
      <c r="U155" s="318" t="n">
        <v>1</v>
      </c>
      <c r="V155" s="318" t="n">
        <v>1</v>
      </c>
      <c r="W155" s="318" t="n">
        <v>1</v>
      </c>
      <c r="X155" s="318" t="n">
        <v>1</v>
      </c>
      <c r="Y155" s="318" t="n">
        <v>1</v>
      </c>
      <c r="Z155" s="318" t="n">
        <v>1.02</v>
      </c>
      <c r="AA155" s="318" t="n">
        <v>1</v>
      </c>
      <c r="AB155" s="318" t="n">
        <v>1</v>
      </c>
      <c r="AC155" s="318" t="n">
        <v>1</v>
      </c>
      <c r="AD155" s="318" t="n">
        <v>1</v>
      </c>
      <c r="AE155" s="318" t="n">
        <v>0.98</v>
      </c>
      <c r="AF155" s="318" t="n">
        <v>0.98</v>
      </c>
      <c r="AG155" s="318" t="n">
        <v>0.98</v>
      </c>
      <c r="AH155" s="318" t="n">
        <v>1</v>
      </c>
      <c r="AI155" s="318" t="n">
        <v>1.05</v>
      </c>
      <c r="AJ155" s="318" t="n">
        <v>1</v>
      </c>
      <c r="AK155" s="318" t="n">
        <v>1</v>
      </c>
      <c r="AL155" s="318" t="n">
        <v>1.02</v>
      </c>
      <c r="AM155" s="318" t="n">
        <v>1</v>
      </c>
      <c r="AN155" s="318" t="n">
        <v>1</v>
      </c>
      <c r="AO155" s="318" t="n">
        <v>1</v>
      </c>
    </row>
    <row r="156" customFormat="false" ht="12.75" hidden="false" customHeight="false" outlineLevel="0" collapsed="false">
      <c r="A156" s="317" t="n">
        <v>41426</v>
      </c>
      <c r="B156" s="318" t="n">
        <v>1</v>
      </c>
      <c r="C156" s="318" t="n">
        <v>1</v>
      </c>
      <c r="D156" s="318" t="n">
        <v>1</v>
      </c>
      <c r="E156" s="318" t="n">
        <v>1</v>
      </c>
      <c r="F156" s="318" t="n">
        <v>1</v>
      </c>
      <c r="G156" s="318" t="n">
        <v>1</v>
      </c>
      <c r="H156" s="318" t="n">
        <v>1</v>
      </c>
      <c r="I156" s="318" t="n">
        <v>1</v>
      </c>
      <c r="J156" s="318" t="n">
        <v>1</v>
      </c>
      <c r="K156" s="318" t="n">
        <v>1</v>
      </c>
      <c r="L156" s="318" t="n">
        <v>1</v>
      </c>
      <c r="M156" s="318" t="n">
        <v>1</v>
      </c>
      <c r="N156" s="318" t="n">
        <v>1</v>
      </c>
      <c r="O156" s="318" t="n">
        <v>1</v>
      </c>
      <c r="P156" s="318" t="n">
        <v>1.03</v>
      </c>
      <c r="Q156" s="318" t="n">
        <v>1.03</v>
      </c>
      <c r="R156" s="318" t="n">
        <v>1</v>
      </c>
      <c r="S156" s="318" t="n">
        <v>1</v>
      </c>
      <c r="T156" s="318" t="n">
        <v>1.02</v>
      </c>
      <c r="U156" s="318" t="n">
        <v>1</v>
      </c>
      <c r="V156" s="318" t="n">
        <v>1</v>
      </c>
      <c r="W156" s="318" t="n">
        <v>1</v>
      </c>
      <c r="X156" s="318" t="n">
        <v>1</v>
      </c>
      <c r="Y156" s="318" t="n">
        <v>1</v>
      </c>
      <c r="Z156" s="318" t="n">
        <v>1.02</v>
      </c>
      <c r="AA156" s="318" t="n">
        <v>1</v>
      </c>
      <c r="AB156" s="318" t="n">
        <v>1</v>
      </c>
      <c r="AC156" s="318" t="n">
        <v>1</v>
      </c>
      <c r="AD156" s="318" t="n">
        <v>1</v>
      </c>
      <c r="AE156" s="318" t="n">
        <v>0.98</v>
      </c>
      <c r="AF156" s="318" t="n">
        <v>0.98</v>
      </c>
      <c r="AG156" s="318" t="n">
        <v>0.98</v>
      </c>
      <c r="AH156" s="318" t="n">
        <v>1</v>
      </c>
      <c r="AI156" s="318" t="n">
        <v>1.05</v>
      </c>
      <c r="AJ156" s="318" t="n">
        <v>1</v>
      </c>
      <c r="AK156" s="318" t="n">
        <v>1</v>
      </c>
      <c r="AL156" s="318" t="n">
        <v>1.02</v>
      </c>
      <c r="AM156" s="318" t="n">
        <v>1</v>
      </c>
      <c r="AN156" s="318" t="n">
        <v>1</v>
      </c>
      <c r="AO156" s="318" t="n">
        <v>1</v>
      </c>
    </row>
    <row r="157" customFormat="false" ht="12.75" hidden="false" customHeight="false" outlineLevel="0" collapsed="false">
      <c r="A157" s="317" t="n">
        <v>41456</v>
      </c>
      <c r="B157" s="318" t="n">
        <v>1</v>
      </c>
      <c r="C157" s="318" t="n">
        <v>1</v>
      </c>
      <c r="D157" s="318" t="n">
        <v>1</v>
      </c>
      <c r="E157" s="318" t="n">
        <v>1</v>
      </c>
      <c r="F157" s="318" t="n">
        <v>1</v>
      </c>
      <c r="G157" s="318" t="n">
        <v>1</v>
      </c>
      <c r="H157" s="318" t="n">
        <v>1</v>
      </c>
      <c r="I157" s="318" t="n">
        <v>1</v>
      </c>
      <c r="J157" s="318" t="n">
        <v>1</v>
      </c>
      <c r="K157" s="318" t="n">
        <v>1</v>
      </c>
      <c r="L157" s="318" t="n">
        <v>1</v>
      </c>
      <c r="M157" s="318" t="n">
        <v>1</v>
      </c>
      <c r="N157" s="318" t="n">
        <v>1</v>
      </c>
      <c r="O157" s="318" t="n">
        <v>1</v>
      </c>
      <c r="P157" s="318" t="n">
        <v>1.03</v>
      </c>
      <c r="Q157" s="318" t="n">
        <v>1.03</v>
      </c>
      <c r="R157" s="318" t="n">
        <v>1</v>
      </c>
      <c r="S157" s="318" t="n">
        <v>1</v>
      </c>
      <c r="T157" s="318" t="n">
        <v>1.02</v>
      </c>
      <c r="U157" s="318" t="n">
        <v>1</v>
      </c>
      <c r="V157" s="318" t="n">
        <v>1</v>
      </c>
      <c r="W157" s="318" t="n">
        <v>1</v>
      </c>
      <c r="X157" s="318" t="n">
        <v>1</v>
      </c>
      <c r="Y157" s="318" t="n">
        <v>1</v>
      </c>
      <c r="Z157" s="318" t="n">
        <v>1.02</v>
      </c>
      <c r="AA157" s="318" t="n">
        <v>1</v>
      </c>
      <c r="AB157" s="318" t="n">
        <v>1</v>
      </c>
      <c r="AC157" s="318" t="n">
        <v>1</v>
      </c>
      <c r="AD157" s="318" t="n">
        <v>1</v>
      </c>
      <c r="AE157" s="318" t="n">
        <v>0.98</v>
      </c>
      <c r="AF157" s="318" t="n">
        <v>0.98</v>
      </c>
      <c r="AG157" s="318" t="n">
        <v>0.98</v>
      </c>
      <c r="AH157" s="318" t="n">
        <v>1</v>
      </c>
      <c r="AI157" s="318" t="n">
        <v>1.05</v>
      </c>
      <c r="AJ157" s="318" t="n">
        <v>1</v>
      </c>
      <c r="AK157" s="318" t="n">
        <v>1</v>
      </c>
      <c r="AL157" s="318" t="n">
        <v>1.02</v>
      </c>
      <c r="AM157" s="318" t="n">
        <v>1</v>
      </c>
      <c r="AN157" s="318" t="n">
        <v>1</v>
      </c>
      <c r="AO157" s="318" t="n">
        <v>1</v>
      </c>
    </row>
    <row r="158" customFormat="false" ht="12.75" hidden="false" customHeight="false" outlineLevel="0" collapsed="false">
      <c r="A158" s="317" t="n">
        <v>41487</v>
      </c>
      <c r="B158" s="318" t="n">
        <v>1</v>
      </c>
      <c r="C158" s="318" t="n">
        <v>1</v>
      </c>
      <c r="D158" s="318" t="n">
        <v>1</v>
      </c>
      <c r="E158" s="318" t="n">
        <v>1</v>
      </c>
      <c r="F158" s="318" t="n">
        <v>1</v>
      </c>
      <c r="G158" s="318" t="n">
        <v>1</v>
      </c>
      <c r="H158" s="318" t="n">
        <v>1</v>
      </c>
      <c r="I158" s="318" t="n">
        <v>1</v>
      </c>
      <c r="J158" s="318" t="n">
        <v>1</v>
      </c>
      <c r="K158" s="318" t="n">
        <v>1</v>
      </c>
      <c r="L158" s="318" t="n">
        <v>1</v>
      </c>
      <c r="M158" s="318" t="n">
        <v>1</v>
      </c>
      <c r="N158" s="318" t="n">
        <v>1</v>
      </c>
      <c r="O158" s="318" t="n">
        <v>1</v>
      </c>
      <c r="P158" s="318" t="n">
        <v>1.03</v>
      </c>
      <c r="Q158" s="318" t="n">
        <v>1.03</v>
      </c>
      <c r="R158" s="318" t="n">
        <v>1</v>
      </c>
      <c r="S158" s="318" t="n">
        <v>1</v>
      </c>
      <c r="T158" s="318" t="n">
        <v>1.02</v>
      </c>
      <c r="U158" s="318" t="n">
        <v>1</v>
      </c>
      <c r="V158" s="318" t="n">
        <v>1</v>
      </c>
      <c r="W158" s="318" t="n">
        <v>1</v>
      </c>
      <c r="X158" s="318" t="n">
        <v>1</v>
      </c>
      <c r="Y158" s="318" t="n">
        <v>1</v>
      </c>
      <c r="Z158" s="318" t="n">
        <v>1.02</v>
      </c>
      <c r="AA158" s="318" t="n">
        <v>1</v>
      </c>
      <c r="AB158" s="318" t="n">
        <v>1</v>
      </c>
      <c r="AC158" s="318" t="n">
        <v>1</v>
      </c>
      <c r="AD158" s="318" t="n">
        <v>1</v>
      </c>
      <c r="AE158" s="318" t="n">
        <v>0.98</v>
      </c>
      <c r="AF158" s="318" t="n">
        <v>0.98</v>
      </c>
      <c r="AG158" s="318" t="n">
        <v>0.98</v>
      </c>
      <c r="AH158" s="318" t="n">
        <v>1</v>
      </c>
      <c r="AI158" s="318" t="n">
        <v>1.05</v>
      </c>
      <c r="AJ158" s="318" t="n">
        <v>1</v>
      </c>
      <c r="AK158" s="318" t="n">
        <v>1</v>
      </c>
      <c r="AL158" s="318" t="n">
        <v>1.02</v>
      </c>
      <c r="AM158" s="318" t="n">
        <v>1</v>
      </c>
      <c r="AN158" s="318" t="n">
        <v>1</v>
      </c>
      <c r="AO158" s="318" t="n">
        <v>1</v>
      </c>
    </row>
    <row r="159" customFormat="false" ht="12.75" hidden="false" customHeight="false" outlineLevel="0" collapsed="false">
      <c r="A159" s="317" t="n">
        <v>41518</v>
      </c>
      <c r="B159" s="318" t="n">
        <v>1</v>
      </c>
      <c r="C159" s="318" t="n">
        <v>1</v>
      </c>
      <c r="D159" s="318" t="n">
        <v>1</v>
      </c>
      <c r="E159" s="318" t="n">
        <v>1</v>
      </c>
      <c r="F159" s="318" t="n">
        <v>1</v>
      </c>
      <c r="G159" s="318" t="n">
        <v>1</v>
      </c>
      <c r="H159" s="318" t="n">
        <v>1</v>
      </c>
      <c r="I159" s="318" t="n">
        <v>1</v>
      </c>
      <c r="J159" s="318" t="n">
        <v>1</v>
      </c>
      <c r="K159" s="318" t="n">
        <v>1</v>
      </c>
      <c r="L159" s="318" t="n">
        <v>1</v>
      </c>
      <c r="M159" s="318" t="n">
        <v>1</v>
      </c>
      <c r="N159" s="318" t="n">
        <v>1</v>
      </c>
      <c r="O159" s="318" t="n">
        <v>1</v>
      </c>
      <c r="P159" s="318" t="n">
        <v>1.03</v>
      </c>
      <c r="Q159" s="318" t="n">
        <v>1.03</v>
      </c>
      <c r="R159" s="318" t="n">
        <v>1</v>
      </c>
      <c r="S159" s="318" t="n">
        <v>1</v>
      </c>
      <c r="T159" s="318" t="n">
        <v>1.02</v>
      </c>
      <c r="U159" s="318" t="n">
        <v>1</v>
      </c>
      <c r="V159" s="318" t="n">
        <v>1</v>
      </c>
      <c r="W159" s="318" t="n">
        <v>1</v>
      </c>
      <c r="X159" s="318" t="n">
        <v>1</v>
      </c>
      <c r="Y159" s="318" t="n">
        <v>1</v>
      </c>
      <c r="Z159" s="318" t="n">
        <v>1.02</v>
      </c>
      <c r="AA159" s="318" t="n">
        <v>1</v>
      </c>
      <c r="AB159" s="318" t="n">
        <v>1</v>
      </c>
      <c r="AC159" s="318" t="n">
        <v>1</v>
      </c>
      <c r="AD159" s="318" t="n">
        <v>1</v>
      </c>
      <c r="AE159" s="318" t="n">
        <v>0.98</v>
      </c>
      <c r="AF159" s="318" t="n">
        <v>0.98</v>
      </c>
      <c r="AG159" s="318" t="n">
        <v>0.98</v>
      </c>
      <c r="AH159" s="318" t="n">
        <v>1</v>
      </c>
      <c r="AI159" s="318" t="n">
        <v>1.05</v>
      </c>
      <c r="AJ159" s="318" t="n">
        <v>1</v>
      </c>
      <c r="AK159" s="318" t="n">
        <v>1</v>
      </c>
      <c r="AL159" s="318" t="n">
        <v>1.02</v>
      </c>
      <c r="AM159" s="318" t="n">
        <v>1</v>
      </c>
      <c r="AN159" s="318" t="n">
        <v>1</v>
      </c>
      <c r="AO159" s="318" t="n">
        <v>1</v>
      </c>
    </row>
    <row r="160" customFormat="false" ht="12.75" hidden="false" customHeight="false" outlineLevel="0" collapsed="false">
      <c r="A160" s="317" t="n">
        <v>41548</v>
      </c>
      <c r="B160" s="318" t="n">
        <v>1</v>
      </c>
      <c r="C160" s="318" t="n">
        <v>1</v>
      </c>
      <c r="D160" s="318" t="n">
        <v>1</v>
      </c>
      <c r="E160" s="318" t="n">
        <v>1</v>
      </c>
      <c r="F160" s="318" t="n">
        <v>1</v>
      </c>
      <c r="G160" s="318" t="n">
        <v>1</v>
      </c>
      <c r="H160" s="318" t="n">
        <v>1</v>
      </c>
      <c r="I160" s="318" t="n">
        <v>1</v>
      </c>
      <c r="J160" s="318" t="n">
        <v>1</v>
      </c>
      <c r="K160" s="318" t="n">
        <v>1</v>
      </c>
      <c r="L160" s="318" t="n">
        <v>1</v>
      </c>
      <c r="M160" s="318" t="n">
        <v>1</v>
      </c>
      <c r="N160" s="318" t="n">
        <v>1</v>
      </c>
      <c r="O160" s="318" t="n">
        <v>1</v>
      </c>
      <c r="P160" s="318" t="n">
        <v>1.03</v>
      </c>
      <c r="Q160" s="318" t="n">
        <v>1.03</v>
      </c>
      <c r="R160" s="318" t="n">
        <v>1</v>
      </c>
      <c r="S160" s="318" t="n">
        <v>1</v>
      </c>
      <c r="T160" s="318" t="n">
        <v>1.02</v>
      </c>
      <c r="U160" s="318" t="n">
        <v>1</v>
      </c>
      <c r="V160" s="318" t="n">
        <v>1</v>
      </c>
      <c r="W160" s="318" t="n">
        <v>1</v>
      </c>
      <c r="X160" s="318" t="n">
        <v>1</v>
      </c>
      <c r="Y160" s="318" t="n">
        <v>1</v>
      </c>
      <c r="Z160" s="318" t="n">
        <v>1.02</v>
      </c>
      <c r="AA160" s="318" t="n">
        <v>1</v>
      </c>
      <c r="AB160" s="318" t="n">
        <v>1</v>
      </c>
      <c r="AC160" s="318" t="n">
        <v>1</v>
      </c>
      <c r="AD160" s="318" t="n">
        <v>1</v>
      </c>
      <c r="AE160" s="318" t="n">
        <v>0.98</v>
      </c>
      <c r="AF160" s="318" t="n">
        <v>0.98</v>
      </c>
      <c r="AG160" s="318" t="n">
        <v>0.98</v>
      </c>
      <c r="AH160" s="318" t="n">
        <v>1</v>
      </c>
      <c r="AI160" s="318" t="n">
        <v>1.05</v>
      </c>
      <c r="AJ160" s="318" t="n">
        <v>1</v>
      </c>
      <c r="AK160" s="318" t="n">
        <v>1</v>
      </c>
      <c r="AL160" s="318" t="n">
        <v>1.02</v>
      </c>
      <c r="AM160" s="318" t="n">
        <v>1</v>
      </c>
      <c r="AN160" s="318" t="n">
        <v>1</v>
      </c>
      <c r="AO160" s="318" t="n">
        <v>1</v>
      </c>
    </row>
    <row r="161" customFormat="false" ht="12.75" hidden="false" customHeight="false" outlineLevel="0" collapsed="false">
      <c r="A161" s="317" t="n">
        <v>41579</v>
      </c>
      <c r="B161" s="318" t="n">
        <v>1</v>
      </c>
      <c r="C161" s="318" t="n">
        <v>1</v>
      </c>
      <c r="D161" s="318" t="n">
        <v>1</v>
      </c>
      <c r="E161" s="318" t="n">
        <v>1</v>
      </c>
      <c r="F161" s="318" t="n">
        <v>1</v>
      </c>
      <c r="G161" s="318" t="n">
        <v>1</v>
      </c>
      <c r="H161" s="318" t="n">
        <v>1</v>
      </c>
      <c r="I161" s="318" t="n">
        <v>1</v>
      </c>
      <c r="J161" s="318" t="n">
        <v>1</v>
      </c>
      <c r="K161" s="318" t="n">
        <v>1</v>
      </c>
      <c r="L161" s="318" t="n">
        <v>1</v>
      </c>
      <c r="M161" s="318" t="n">
        <v>1</v>
      </c>
      <c r="N161" s="318" t="n">
        <v>1</v>
      </c>
      <c r="O161" s="318" t="n">
        <v>1</v>
      </c>
      <c r="P161" s="318" t="n">
        <v>1.03</v>
      </c>
      <c r="Q161" s="318" t="n">
        <v>1.03</v>
      </c>
      <c r="R161" s="318" t="n">
        <v>1</v>
      </c>
      <c r="S161" s="318" t="n">
        <v>1</v>
      </c>
      <c r="T161" s="318" t="n">
        <v>1.02</v>
      </c>
      <c r="U161" s="318" t="n">
        <v>1</v>
      </c>
      <c r="V161" s="318" t="n">
        <v>1</v>
      </c>
      <c r="W161" s="318" t="n">
        <v>1</v>
      </c>
      <c r="X161" s="318" t="n">
        <v>1</v>
      </c>
      <c r="Y161" s="318" t="n">
        <v>1</v>
      </c>
      <c r="Z161" s="318" t="n">
        <v>1</v>
      </c>
      <c r="AA161" s="318" t="n">
        <v>1</v>
      </c>
      <c r="AB161" s="318" t="n">
        <v>1</v>
      </c>
      <c r="AC161" s="318" t="n">
        <v>1</v>
      </c>
      <c r="AD161" s="318" t="n">
        <v>1</v>
      </c>
      <c r="AE161" s="318" t="n">
        <v>1</v>
      </c>
      <c r="AF161" s="318" t="n">
        <v>1</v>
      </c>
      <c r="AG161" s="318" t="n">
        <v>1.1</v>
      </c>
      <c r="AH161" s="318" t="n">
        <v>1.1</v>
      </c>
      <c r="AI161" s="318" t="n">
        <v>1.05</v>
      </c>
      <c r="AJ161" s="318" t="n">
        <v>1</v>
      </c>
      <c r="AK161" s="318" t="n">
        <v>1</v>
      </c>
      <c r="AL161" s="318" t="n">
        <v>1.02</v>
      </c>
      <c r="AM161" s="318" t="n">
        <v>1</v>
      </c>
      <c r="AN161" s="318" t="n">
        <v>1</v>
      </c>
      <c r="AO161" s="318" t="n">
        <v>1</v>
      </c>
    </row>
    <row r="162" customFormat="false" ht="12.75" hidden="false" customHeight="false" outlineLevel="0" collapsed="false">
      <c r="A162" s="317" t="n">
        <v>41609</v>
      </c>
      <c r="B162" s="318" t="n">
        <v>1</v>
      </c>
      <c r="C162" s="318" t="n">
        <v>1</v>
      </c>
      <c r="D162" s="318" t="n">
        <v>1</v>
      </c>
      <c r="E162" s="318" t="n">
        <v>1</v>
      </c>
      <c r="F162" s="318" t="n">
        <v>1</v>
      </c>
      <c r="G162" s="318" t="n">
        <v>1</v>
      </c>
      <c r="H162" s="318" t="n">
        <v>1</v>
      </c>
      <c r="I162" s="318" t="n">
        <v>1</v>
      </c>
      <c r="J162" s="318" t="n">
        <v>1</v>
      </c>
      <c r="K162" s="318" t="n">
        <v>1</v>
      </c>
      <c r="L162" s="318" t="n">
        <v>1</v>
      </c>
      <c r="M162" s="318" t="n">
        <v>1</v>
      </c>
      <c r="N162" s="318" t="n">
        <v>1</v>
      </c>
      <c r="O162" s="318" t="n">
        <v>1</v>
      </c>
      <c r="P162" s="318" t="n">
        <v>1.03</v>
      </c>
      <c r="Q162" s="318" t="n">
        <v>1.03</v>
      </c>
      <c r="R162" s="318" t="n">
        <v>1</v>
      </c>
      <c r="S162" s="318" t="n">
        <v>1</v>
      </c>
      <c r="T162" s="318" t="n">
        <v>1.02</v>
      </c>
      <c r="U162" s="318" t="n">
        <v>1</v>
      </c>
      <c r="V162" s="318" t="n">
        <v>1</v>
      </c>
      <c r="W162" s="318" t="n">
        <v>1</v>
      </c>
      <c r="X162" s="318" t="n">
        <v>1</v>
      </c>
      <c r="Y162" s="318" t="n">
        <v>1</v>
      </c>
      <c r="Z162" s="318" t="n">
        <v>1</v>
      </c>
      <c r="AA162" s="318" t="n">
        <v>1</v>
      </c>
      <c r="AB162" s="318" t="n">
        <v>1</v>
      </c>
      <c r="AC162" s="318" t="n">
        <v>1</v>
      </c>
      <c r="AD162" s="318" t="n">
        <v>1</v>
      </c>
      <c r="AE162" s="318" t="n">
        <v>1</v>
      </c>
      <c r="AF162" s="318" t="n">
        <v>1</v>
      </c>
      <c r="AG162" s="318" t="n">
        <v>1.1</v>
      </c>
      <c r="AH162" s="318" t="n">
        <v>1.02</v>
      </c>
      <c r="AI162" s="318" t="n">
        <v>1.05</v>
      </c>
      <c r="AJ162" s="318" t="n">
        <v>1</v>
      </c>
      <c r="AK162" s="318" t="n">
        <v>1</v>
      </c>
      <c r="AL162" s="318" t="n">
        <v>1.02</v>
      </c>
      <c r="AM162" s="318" t="n">
        <v>1</v>
      </c>
      <c r="AN162" s="318" t="n">
        <v>1</v>
      </c>
      <c r="AO162" s="318" t="n">
        <v>1</v>
      </c>
    </row>
    <row r="163" customFormat="false" ht="12.75" hidden="false" customHeight="false" outlineLevel="0" collapsed="false">
      <c r="A163" s="317" t="n">
        <v>41640</v>
      </c>
      <c r="B163" s="318" t="n">
        <v>1</v>
      </c>
      <c r="C163" s="318" t="n">
        <v>1</v>
      </c>
      <c r="D163" s="318" t="n">
        <v>1</v>
      </c>
      <c r="E163" s="318" t="n">
        <v>1</v>
      </c>
      <c r="F163" s="318" t="n">
        <v>1</v>
      </c>
      <c r="G163" s="318" t="n">
        <v>1</v>
      </c>
      <c r="H163" s="318" t="n">
        <v>1</v>
      </c>
      <c r="I163" s="318" t="n">
        <v>1</v>
      </c>
      <c r="J163" s="318" t="n">
        <v>1</v>
      </c>
      <c r="K163" s="318" t="n">
        <v>1</v>
      </c>
      <c r="L163" s="318" t="n">
        <v>1</v>
      </c>
      <c r="M163" s="318" t="n">
        <v>1</v>
      </c>
      <c r="N163" s="318" t="n">
        <v>1</v>
      </c>
      <c r="O163" s="318" t="n">
        <v>1</v>
      </c>
      <c r="P163" s="318" t="n">
        <v>1.03</v>
      </c>
      <c r="Q163" s="318" t="n">
        <v>1.03</v>
      </c>
      <c r="R163" s="318" t="n">
        <v>1</v>
      </c>
      <c r="S163" s="318" t="n">
        <v>1</v>
      </c>
      <c r="T163" s="318" t="n">
        <v>1.02</v>
      </c>
      <c r="U163" s="318" t="n">
        <v>1</v>
      </c>
      <c r="V163" s="318" t="n">
        <v>1</v>
      </c>
      <c r="W163" s="318" t="n">
        <v>1</v>
      </c>
      <c r="X163" s="318" t="n">
        <v>1</v>
      </c>
      <c r="Y163" s="318" t="n">
        <v>1</v>
      </c>
      <c r="Z163" s="318" t="n">
        <v>1</v>
      </c>
      <c r="AA163" s="318" t="n">
        <v>1</v>
      </c>
      <c r="AB163" s="318" t="n">
        <v>1</v>
      </c>
      <c r="AC163" s="318" t="n">
        <v>1</v>
      </c>
      <c r="AD163" s="318" t="n">
        <v>1</v>
      </c>
      <c r="AE163" s="318" t="n">
        <v>1</v>
      </c>
      <c r="AF163" s="318" t="n">
        <v>1</v>
      </c>
      <c r="AG163" s="318" t="n">
        <v>1.1</v>
      </c>
      <c r="AH163" s="318" t="n">
        <v>1.04</v>
      </c>
      <c r="AI163" s="318" t="n">
        <v>1.05</v>
      </c>
      <c r="AJ163" s="318" t="n">
        <v>1</v>
      </c>
      <c r="AK163" s="318" t="n">
        <v>1</v>
      </c>
      <c r="AL163" s="318" t="n">
        <v>1.02</v>
      </c>
      <c r="AM163" s="318" t="n">
        <v>1</v>
      </c>
      <c r="AN163" s="318" t="n">
        <v>1</v>
      </c>
      <c r="AO163" s="318" t="n">
        <v>1</v>
      </c>
    </row>
    <row r="164" customFormat="false" ht="12.75" hidden="false" customHeight="false" outlineLevel="0" collapsed="false">
      <c r="A164" s="317" t="n">
        <v>41671</v>
      </c>
      <c r="B164" s="318" t="n">
        <v>1</v>
      </c>
      <c r="C164" s="318" t="n">
        <v>1</v>
      </c>
      <c r="D164" s="318" t="n">
        <v>1</v>
      </c>
      <c r="E164" s="318" t="n">
        <v>1</v>
      </c>
      <c r="F164" s="318" t="n">
        <v>1</v>
      </c>
      <c r="G164" s="318" t="n">
        <v>1</v>
      </c>
      <c r="H164" s="318" t="n">
        <v>1</v>
      </c>
      <c r="I164" s="318" t="n">
        <v>1</v>
      </c>
      <c r="J164" s="318" t="n">
        <v>1</v>
      </c>
      <c r="K164" s="318" t="n">
        <v>1</v>
      </c>
      <c r="L164" s="318" t="n">
        <v>1</v>
      </c>
      <c r="M164" s="318" t="n">
        <v>1</v>
      </c>
      <c r="N164" s="318" t="n">
        <v>1</v>
      </c>
      <c r="O164" s="318" t="n">
        <v>1</v>
      </c>
      <c r="P164" s="318" t="n">
        <v>1.03</v>
      </c>
      <c r="Q164" s="318" t="n">
        <v>1.03</v>
      </c>
      <c r="R164" s="318" t="n">
        <v>1</v>
      </c>
      <c r="S164" s="318" t="n">
        <v>1</v>
      </c>
      <c r="T164" s="318" t="n">
        <v>1.02</v>
      </c>
      <c r="U164" s="318" t="n">
        <v>1</v>
      </c>
      <c r="V164" s="318" t="n">
        <v>1</v>
      </c>
      <c r="W164" s="318" t="n">
        <v>1</v>
      </c>
      <c r="X164" s="318" t="n">
        <v>1</v>
      </c>
      <c r="Y164" s="318" t="n">
        <v>1</v>
      </c>
      <c r="Z164" s="318" t="n">
        <v>1</v>
      </c>
      <c r="AA164" s="318" t="n">
        <v>1</v>
      </c>
      <c r="AB164" s="318" t="n">
        <v>1</v>
      </c>
      <c r="AC164" s="318" t="n">
        <v>1</v>
      </c>
      <c r="AD164" s="318" t="n">
        <v>1</v>
      </c>
      <c r="AE164" s="318" t="n">
        <v>1</v>
      </c>
      <c r="AF164" s="318" t="n">
        <v>1</v>
      </c>
      <c r="AG164" s="318" t="n">
        <v>1.1</v>
      </c>
      <c r="AH164" s="318" t="n">
        <v>1.04</v>
      </c>
      <c r="AI164" s="318" t="n">
        <v>1.05</v>
      </c>
      <c r="AJ164" s="318" t="n">
        <v>1</v>
      </c>
      <c r="AK164" s="318" t="n">
        <v>1</v>
      </c>
      <c r="AL164" s="318" t="n">
        <v>1.02</v>
      </c>
      <c r="AM164" s="318" t="n">
        <v>1</v>
      </c>
      <c r="AN164" s="318" t="n">
        <v>1</v>
      </c>
      <c r="AO164" s="318" t="n">
        <v>1</v>
      </c>
    </row>
    <row r="165" customFormat="false" ht="12.75" hidden="false" customHeight="false" outlineLevel="0" collapsed="false">
      <c r="A165" s="317" t="n">
        <v>41699</v>
      </c>
      <c r="B165" s="318" t="n">
        <v>1</v>
      </c>
      <c r="C165" s="318" t="n">
        <v>1</v>
      </c>
      <c r="D165" s="318" t="n">
        <v>1</v>
      </c>
      <c r="E165" s="318" t="n">
        <v>1</v>
      </c>
      <c r="F165" s="318" t="n">
        <v>1</v>
      </c>
      <c r="G165" s="318" t="n">
        <v>1</v>
      </c>
      <c r="H165" s="318" t="n">
        <v>1</v>
      </c>
      <c r="I165" s="318" t="n">
        <v>1</v>
      </c>
      <c r="J165" s="318" t="n">
        <v>1</v>
      </c>
      <c r="K165" s="318" t="n">
        <v>1</v>
      </c>
      <c r="L165" s="318" t="n">
        <v>1</v>
      </c>
      <c r="M165" s="318" t="n">
        <v>1</v>
      </c>
      <c r="N165" s="318" t="n">
        <v>1</v>
      </c>
      <c r="O165" s="318" t="n">
        <v>1</v>
      </c>
      <c r="P165" s="318" t="n">
        <v>1.03</v>
      </c>
      <c r="Q165" s="318" t="n">
        <v>1.03</v>
      </c>
      <c r="R165" s="318" t="n">
        <v>1</v>
      </c>
      <c r="S165" s="318" t="n">
        <v>1</v>
      </c>
      <c r="T165" s="318" t="n">
        <v>1.02</v>
      </c>
      <c r="U165" s="318" t="n">
        <v>1</v>
      </c>
      <c r="V165" s="318" t="n">
        <v>1</v>
      </c>
      <c r="W165" s="318" t="n">
        <v>1</v>
      </c>
      <c r="X165" s="318" t="n">
        <v>1</v>
      </c>
      <c r="Y165" s="318" t="n">
        <v>1</v>
      </c>
      <c r="Z165" s="318" t="n">
        <v>1</v>
      </c>
      <c r="AA165" s="318" t="n">
        <v>1</v>
      </c>
      <c r="AB165" s="318" t="n">
        <v>1</v>
      </c>
      <c r="AC165" s="318" t="n">
        <v>1</v>
      </c>
      <c r="AD165" s="318" t="n">
        <v>1</v>
      </c>
      <c r="AE165" s="318" t="n">
        <v>1</v>
      </c>
      <c r="AF165" s="318" t="n">
        <v>1</v>
      </c>
      <c r="AG165" s="318" t="n">
        <v>1.1</v>
      </c>
      <c r="AH165" s="318" t="n">
        <v>1.04</v>
      </c>
      <c r="AI165" s="318" t="n">
        <v>1.05</v>
      </c>
      <c r="AJ165" s="318" t="n">
        <v>1</v>
      </c>
      <c r="AK165" s="318" t="n">
        <v>1</v>
      </c>
      <c r="AL165" s="318" t="n">
        <v>1.02</v>
      </c>
      <c r="AM165" s="318" t="n">
        <v>1</v>
      </c>
      <c r="AN165" s="318" t="n">
        <v>1</v>
      </c>
      <c r="AO165" s="318" t="n">
        <v>1</v>
      </c>
    </row>
    <row r="166" customFormat="false" ht="12.75" hidden="false" customHeight="false" outlineLevel="0" collapsed="false">
      <c r="A166" s="317" t="n">
        <v>41730</v>
      </c>
      <c r="B166" s="318" t="n">
        <v>1</v>
      </c>
      <c r="C166" s="318" t="n">
        <v>1</v>
      </c>
      <c r="D166" s="318" t="n">
        <v>1</v>
      </c>
      <c r="E166" s="318" t="n">
        <v>1</v>
      </c>
      <c r="F166" s="318" t="n">
        <v>1</v>
      </c>
      <c r="G166" s="318" t="n">
        <v>1</v>
      </c>
      <c r="H166" s="318" t="n">
        <v>1</v>
      </c>
      <c r="I166" s="318" t="n">
        <v>1</v>
      </c>
      <c r="J166" s="318" t="n">
        <v>1</v>
      </c>
      <c r="K166" s="318" t="n">
        <v>1</v>
      </c>
      <c r="L166" s="318" t="n">
        <v>1</v>
      </c>
      <c r="M166" s="318" t="n">
        <v>1</v>
      </c>
      <c r="N166" s="318" t="n">
        <v>1</v>
      </c>
      <c r="O166" s="318" t="n">
        <v>1</v>
      </c>
      <c r="P166" s="318" t="n">
        <v>1.03</v>
      </c>
      <c r="Q166" s="318" t="n">
        <v>1.03</v>
      </c>
      <c r="R166" s="318" t="n">
        <v>1</v>
      </c>
      <c r="S166" s="318" t="n">
        <v>1</v>
      </c>
      <c r="T166" s="318" t="n">
        <v>1.02</v>
      </c>
      <c r="U166" s="318" t="n">
        <v>1</v>
      </c>
      <c r="V166" s="318" t="n">
        <v>1</v>
      </c>
      <c r="W166" s="318" t="n">
        <v>1</v>
      </c>
      <c r="X166" s="318" t="n">
        <v>1</v>
      </c>
      <c r="Y166" s="318" t="n">
        <v>1</v>
      </c>
      <c r="Z166" s="318" t="n">
        <v>1.02</v>
      </c>
      <c r="AA166" s="318" t="n">
        <v>1</v>
      </c>
      <c r="AB166" s="318" t="n">
        <v>1</v>
      </c>
      <c r="AC166" s="318" t="n">
        <v>1</v>
      </c>
      <c r="AD166" s="318" t="n">
        <v>1</v>
      </c>
      <c r="AE166" s="318" t="n">
        <v>0.98</v>
      </c>
      <c r="AF166" s="318" t="n">
        <v>0.98</v>
      </c>
      <c r="AG166" s="318" t="n">
        <v>0.98</v>
      </c>
      <c r="AH166" s="318" t="n">
        <v>1</v>
      </c>
      <c r="AI166" s="318" t="n">
        <v>1.05</v>
      </c>
      <c r="AJ166" s="318" t="n">
        <v>1</v>
      </c>
      <c r="AK166" s="318" t="n">
        <v>1</v>
      </c>
      <c r="AL166" s="318" t="n">
        <v>1.02</v>
      </c>
      <c r="AM166" s="318" t="n">
        <v>1</v>
      </c>
      <c r="AN166" s="318" t="n">
        <v>1</v>
      </c>
      <c r="AO166" s="318" t="n">
        <v>1</v>
      </c>
    </row>
    <row r="167" customFormat="false" ht="12.75" hidden="false" customHeight="false" outlineLevel="0" collapsed="false">
      <c r="A167" s="317" t="n">
        <v>41760</v>
      </c>
      <c r="B167" s="318" t="n">
        <v>1</v>
      </c>
      <c r="C167" s="318" t="n">
        <v>1</v>
      </c>
      <c r="D167" s="318" t="n">
        <v>1</v>
      </c>
      <c r="E167" s="318" t="n">
        <v>1</v>
      </c>
      <c r="F167" s="318" t="n">
        <v>1</v>
      </c>
      <c r="G167" s="318" t="n">
        <v>1</v>
      </c>
      <c r="H167" s="318" t="n">
        <v>1</v>
      </c>
      <c r="I167" s="318" t="n">
        <v>1</v>
      </c>
      <c r="J167" s="318" t="n">
        <v>1</v>
      </c>
      <c r="K167" s="318" t="n">
        <v>1</v>
      </c>
      <c r="L167" s="318" t="n">
        <v>1</v>
      </c>
      <c r="M167" s="318" t="n">
        <v>1</v>
      </c>
      <c r="N167" s="318" t="n">
        <v>1</v>
      </c>
      <c r="O167" s="318" t="n">
        <v>1</v>
      </c>
      <c r="P167" s="318" t="n">
        <v>1.03</v>
      </c>
      <c r="Q167" s="318" t="n">
        <v>1.03</v>
      </c>
      <c r="R167" s="318" t="n">
        <v>1</v>
      </c>
      <c r="S167" s="318" t="n">
        <v>1</v>
      </c>
      <c r="T167" s="318" t="n">
        <v>1.02</v>
      </c>
      <c r="U167" s="318" t="n">
        <v>1</v>
      </c>
      <c r="V167" s="318" t="n">
        <v>1</v>
      </c>
      <c r="W167" s="318" t="n">
        <v>1</v>
      </c>
      <c r="X167" s="318" t="n">
        <v>1</v>
      </c>
      <c r="Y167" s="318" t="n">
        <v>1</v>
      </c>
      <c r="Z167" s="318" t="n">
        <v>1.02</v>
      </c>
      <c r="AA167" s="318" t="n">
        <v>1</v>
      </c>
      <c r="AB167" s="318" t="n">
        <v>1</v>
      </c>
      <c r="AC167" s="318" t="n">
        <v>1</v>
      </c>
      <c r="AD167" s="318" t="n">
        <v>1</v>
      </c>
      <c r="AE167" s="318" t="n">
        <v>0.98</v>
      </c>
      <c r="AF167" s="318" t="n">
        <v>0.98</v>
      </c>
      <c r="AG167" s="318" t="n">
        <v>0.98</v>
      </c>
      <c r="AH167" s="318" t="n">
        <v>1</v>
      </c>
      <c r="AI167" s="318" t="n">
        <v>1.05</v>
      </c>
      <c r="AJ167" s="318" t="n">
        <v>1</v>
      </c>
      <c r="AK167" s="318" t="n">
        <v>1</v>
      </c>
      <c r="AL167" s="318" t="n">
        <v>1.02</v>
      </c>
      <c r="AM167" s="318" t="n">
        <v>1</v>
      </c>
      <c r="AN167" s="318" t="n">
        <v>1</v>
      </c>
      <c r="AO167" s="318" t="n">
        <v>1</v>
      </c>
    </row>
    <row r="168" customFormat="false" ht="12.75" hidden="false" customHeight="false" outlineLevel="0" collapsed="false">
      <c r="A168" s="317" t="n">
        <v>41791</v>
      </c>
      <c r="B168" s="318" t="n">
        <v>1</v>
      </c>
      <c r="C168" s="318" t="n">
        <v>1</v>
      </c>
      <c r="D168" s="318" t="n">
        <v>1</v>
      </c>
      <c r="E168" s="318" t="n">
        <v>1</v>
      </c>
      <c r="F168" s="318" t="n">
        <v>1</v>
      </c>
      <c r="G168" s="318" t="n">
        <v>1</v>
      </c>
      <c r="H168" s="318" t="n">
        <v>1</v>
      </c>
      <c r="I168" s="318" t="n">
        <v>1</v>
      </c>
      <c r="J168" s="318" t="n">
        <v>1</v>
      </c>
      <c r="K168" s="318" t="n">
        <v>1</v>
      </c>
      <c r="L168" s="318" t="n">
        <v>1</v>
      </c>
      <c r="M168" s="318" t="n">
        <v>1</v>
      </c>
      <c r="N168" s="318" t="n">
        <v>1</v>
      </c>
      <c r="O168" s="318" t="n">
        <v>1</v>
      </c>
      <c r="P168" s="318" t="n">
        <v>1.03</v>
      </c>
      <c r="Q168" s="318" t="n">
        <v>1.03</v>
      </c>
      <c r="R168" s="318" t="n">
        <v>1</v>
      </c>
      <c r="S168" s="318" t="n">
        <v>1</v>
      </c>
      <c r="T168" s="318" t="n">
        <v>1.02</v>
      </c>
      <c r="U168" s="318" t="n">
        <v>1</v>
      </c>
      <c r="V168" s="318" t="n">
        <v>1</v>
      </c>
      <c r="W168" s="318" t="n">
        <v>1</v>
      </c>
      <c r="X168" s="318" t="n">
        <v>1</v>
      </c>
      <c r="Y168" s="318" t="n">
        <v>1</v>
      </c>
      <c r="Z168" s="318" t="n">
        <v>1.02</v>
      </c>
      <c r="AA168" s="318" t="n">
        <v>1</v>
      </c>
      <c r="AB168" s="318" t="n">
        <v>1</v>
      </c>
      <c r="AC168" s="318" t="n">
        <v>1</v>
      </c>
      <c r="AD168" s="318" t="n">
        <v>1</v>
      </c>
      <c r="AE168" s="318" t="n">
        <v>0.98</v>
      </c>
      <c r="AF168" s="318" t="n">
        <v>0.98</v>
      </c>
      <c r="AG168" s="318" t="n">
        <v>0.98</v>
      </c>
      <c r="AH168" s="318" t="n">
        <v>1</v>
      </c>
      <c r="AI168" s="318" t="n">
        <v>1.05</v>
      </c>
      <c r="AJ168" s="318" t="n">
        <v>1</v>
      </c>
      <c r="AK168" s="318" t="n">
        <v>1</v>
      </c>
      <c r="AL168" s="318" t="n">
        <v>1.02</v>
      </c>
      <c r="AM168" s="318" t="n">
        <v>1</v>
      </c>
      <c r="AN168" s="318" t="n">
        <v>1</v>
      </c>
      <c r="AO168" s="318" t="n">
        <v>1</v>
      </c>
    </row>
    <row r="169" customFormat="false" ht="12.75" hidden="false" customHeight="false" outlineLevel="0" collapsed="false">
      <c r="A169" s="317" t="n">
        <v>41821</v>
      </c>
      <c r="B169" s="318" t="n">
        <v>1</v>
      </c>
      <c r="C169" s="318" t="n">
        <v>1</v>
      </c>
      <c r="D169" s="318" t="n">
        <v>1</v>
      </c>
      <c r="E169" s="318" t="n">
        <v>1</v>
      </c>
      <c r="F169" s="318" t="n">
        <v>1</v>
      </c>
      <c r="G169" s="318" t="n">
        <v>1</v>
      </c>
      <c r="H169" s="318" t="n">
        <v>1</v>
      </c>
      <c r="I169" s="318" t="n">
        <v>1</v>
      </c>
      <c r="J169" s="318" t="n">
        <v>1</v>
      </c>
      <c r="K169" s="318" t="n">
        <v>1</v>
      </c>
      <c r="L169" s="318" t="n">
        <v>1</v>
      </c>
      <c r="M169" s="318" t="n">
        <v>1</v>
      </c>
      <c r="N169" s="318" t="n">
        <v>1</v>
      </c>
      <c r="O169" s="318" t="n">
        <v>1</v>
      </c>
      <c r="P169" s="318" t="n">
        <v>1.03</v>
      </c>
      <c r="Q169" s="318" t="n">
        <v>1.03</v>
      </c>
      <c r="R169" s="318" t="n">
        <v>1</v>
      </c>
      <c r="S169" s="318" t="n">
        <v>1</v>
      </c>
      <c r="T169" s="318" t="n">
        <v>1.02</v>
      </c>
      <c r="U169" s="318" t="n">
        <v>1</v>
      </c>
      <c r="V169" s="318" t="n">
        <v>1</v>
      </c>
      <c r="W169" s="318" t="n">
        <v>1</v>
      </c>
      <c r="X169" s="318" t="n">
        <v>1</v>
      </c>
      <c r="Y169" s="318" t="n">
        <v>1</v>
      </c>
      <c r="Z169" s="318" t="n">
        <v>1.02</v>
      </c>
      <c r="AA169" s="318" t="n">
        <v>1</v>
      </c>
      <c r="AB169" s="318" t="n">
        <v>1</v>
      </c>
      <c r="AC169" s="318" t="n">
        <v>1</v>
      </c>
      <c r="AD169" s="318" t="n">
        <v>1</v>
      </c>
      <c r="AE169" s="318" t="n">
        <v>0.98</v>
      </c>
      <c r="AF169" s="318" t="n">
        <v>0.98</v>
      </c>
      <c r="AG169" s="318" t="n">
        <v>0.98</v>
      </c>
      <c r="AH169" s="318" t="n">
        <v>1</v>
      </c>
      <c r="AI169" s="318" t="n">
        <v>1.05</v>
      </c>
      <c r="AJ169" s="318" t="n">
        <v>1</v>
      </c>
      <c r="AK169" s="318" t="n">
        <v>1</v>
      </c>
      <c r="AL169" s="318" t="n">
        <v>1.02</v>
      </c>
      <c r="AM169" s="318" t="n">
        <v>1</v>
      </c>
      <c r="AN169" s="318" t="n">
        <v>1</v>
      </c>
      <c r="AO169" s="318" t="n">
        <v>1</v>
      </c>
    </row>
    <row r="170" customFormat="false" ht="12.75" hidden="false" customHeight="false" outlineLevel="0" collapsed="false">
      <c r="A170" s="317" t="n">
        <v>41852</v>
      </c>
      <c r="B170" s="318" t="n">
        <v>1</v>
      </c>
      <c r="C170" s="318" t="n">
        <v>1</v>
      </c>
      <c r="D170" s="318" t="n">
        <v>1</v>
      </c>
      <c r="E170" s="318" t="n">
        <v>1</v>
      </c>
      <c r="F170" s="318" t="n">
        <v>1</v>
      </c>
      <c r="G170" s="318" t="n">
        <v>1</v>
      </c>
      <c r="H170" s="318" t="n">
        <v>1</v>
      </c>
      <c r="I170" s="318" t="n">
        <v>1</v>
      </c>
      <c r="J170" s="318" t="n">
        <v>1</v>
      </c>
      <c r="K170" s="318" t="n">
        <v>1</v>
      </c>
      <c r="L170" s="318" t="n">
        <v>1</v>
      </c>
      <c r="M170" s="318" t="n">
        <v>1</v>
      </c>
      <c r="N170" s="318" t="n">
        <v>1</v>
      </c>
      <c r="O170" s="318" t="n">
        <v>1</v>
      </c>
      <c r="P170" s="318" t="n">
        <v>1.03</v>
      </c>
      <c r="Q170" s="318" t="n">
        <v>1.03</v>
      </c>
      <c r="R170" s="318" t="n">
        <v>1</v>
      </c>
      <c r="S170" s="318" t="n">
        <v>1</v>
      </c>
      <c r="T170" s="318" t="n">
        <v>1.02</v>
      </c>
      <c r="U170" s="318" t="n">
        <v>1</v>
      </c>
      <c r="V170" s="318" t="n">
        <v>1</v>
      </c>
      <c r="W170" s="318" t="n">
        <v>1</v>
      </c>
      <c r="X170" s="318" t="n">
        <v>1</v>
      </c>
      <c r="Y170" s="318" t="n">
        <v>1</v>
      </c>
      <c r="Z170" s="318" t="n">
        <v>1.02</v>
      </c>
      <c r="AA170" s="318" t="n">
        <v>1</v>
      </c>
      <c r="AB170" s="318" t="n">
        <v>1</v>
      </c>
      <c r="AC170" s="318" t="n">
        <v>1</v>
      </c>
      <c r="AD170" s="318" t="n">
        <v>1</v>
      </c>
      <c r="AE170" s="318" t="n">
        <v>0.98</v>
      </c>
      <c r="AF170" s="318" t="n">
        <v>0.98</v>
      </c>
      <c r="AG170" s="318" t="n">
        <v>0.98</v>
      </c>
      <c r="AH170" s="318" t="n">
        <v>1</v>
      </c>
      <c r="AI170" s="318" t="n">
        <v>1.05</v>
      </c>
      <c r="AJ170" s="318" t="n">
        <v>1</v>
      </c>
      <c r="AK170" s="318" t="n">
        <v>1</v>
      </c>
      <c r="AL170" s="318" t="n">
        <v>1.02</v>
      </c>
      <c r="AM170" s="318" t="n">
        <v>1</v>
      </c>
      <c r="AN170" s="318" t="n">
        <v>1</v>
      </c>
      <c r="AO170" s="318" t="n">
        <v>1</v>
      </c>
    </row>
    <row r="171" customFormat="false" ht="12.75" hidden="false" customHeight="false" outlineLevel="0" collapsed="false">
      <c r="A171" s="317" t="n">
        <v>41883</v>
      </c>
      <c r="B171" s="318" t="n">
        <v>1</v>
      </c>
      <c r="C171" s="318" t="n">
        <v>1</v>
      </c>
      <c r="D171" s="318" t="n">
        <v>1</v>
      </c>
      <c r="E171" s="318" t="n">
        <v>1</v>
      </c>
      <c r="F171" s="318" t="n">
        <v>1</v>
      </c>
      <c r="G171" s="318" t="n">
        <v>1</v>
      </c>
      <c r="H171" s="318" t="n">
        <v>1</v>
      </c>
      <c r="I171" s="318" t="n">
        <v>1</v>
      </c>
      <c r="J171" s="318" t="n">
        <v>1</v>
      </c>
      <c r="K171" s="318" t="n">
        <v>1</v>
      </c>
      <c r="L171" s="318" t="n">
        <v>1</v>
      </c>
      <c r="M171" s="318" t="n">
        <v>1</v>
      </c>
      <c r="N171" s="318" t="n">
        <v>1</v>
      </c>
      <c r="O171" s="318" t="n">
        <v>1</v>
      </c>
      <c r="P171" s="318" t="n">
        <v>1.03</v>
      </c>
      <c r="Q171" s="318" t="n">
        <v>1.03</v>
      </c>
      <c r="R171" s="318" t="n">
        <v>1</v>
      </c>
      <c r="S171" s="318" t="n">
        <v>1</v>
      </c>
      <c r="T171" s="318" t="n">
        <v>1.02</v>
      </c>
      <c r="U171" s="318" t="n">
        <v>1</v>
      </c>
      <c r="V171" s="318" t="n">
        <v>1</v>
      </c>
      <c r="W171" s="318" t="n">
        <v>1</v>
      </c>
      <c r="X171" s="318" t="n">
        <v>1</v>
      </c>
      <c r="Y171" s="318" t="n">
        <v>1</v>
      </c>
      <c r="Z171" s="318" t="n">
        <v>1.02</v>
      </c>
      <c r="AA171" s="318" t="n">
        <v>1</v>
      </c>
      <c r="AB171" s="318" t="n">
        <v>1</v>
      </c>
      <c r="AC171" s="318" t="n">
        <v>1</v>
      </c>
      <c r="AD171" s="318" t="n">
        <v>1</v>
      </c>
      <c r="AE171" s="318" t="n">
        <v>0.98</v>
      </c>
      <c r="AF171" s="318" t="n">
        <v>0.98</v>
      </c>
      <c r="AG171" s="318" t="n">
        <v>0.98</v>
      </c>
      <c r="AH171" s="318" t="n">
        <v>1</v>
      </c>
      <c r="AI171" s="318" t="n">
        <v>1.05</v>
      </c>
      <c r="AJ171" s="318" t="n">
        <v>1</v>
      </c>
      <c r="AK171" s="318" t="n">
        <v>1</v>
      </c>
      <c r="AL171" s="318" t="n">
        <v>1.02</v>
      </c>
      <c r="AM171" s="318" t="n">
        <v>1</v>
      </c>
      <c r="AN171" s="318" t="n">
        <v>1</v>
      </c>
      <c r="AO171" s="318" t="n">
        <v>1</v>
      </c>
    </row>
    <row r="172" customFormat="false" ht="12.75" hidden="false" customHeight="false" outlineLevel="0" collapsed="false">
      <c r="A172" s="317" t="n">
        <v>41913</v>
      </c>
      <c r="B172" s="318" t="n">
        <v>1</v>
      </c>
      <c r="C172" s="318" t="n">
        <v>1</v>
      </c>
      <c r="D172" s="318" t="n">
        <v>1</v>
      </c>
      <c r="E172" s="318" t="n">
        <v>1</v>
      </c>
      <c r="F172" s="318" t="n">
        <v>1</v>
      </c>
      <c r="G172" s="318" t="n">
        <v>1</v>
      </c>
      <c r="H172" s="318" t="n">
        <v>1</v>
      </c>
      <c r="I172" s="318" t="n">
        <v>1</v>
      </c>
      <c r="J172" s="318" t="n">
        <v>1</v>
      </c>
      <c r="K172" s="318" t="n">
        <v>1</v>
      </c>
      <c r="L172" s="318" t="n">
        <v>1</v>
      </c>
      <c r="M172" s="318" t="n">
        <v>1</v>
      </c>
      <c r="N172" s="318" t="n">
        <v>1</v>
      </c>
      <c r="O172" s="318" t="n">
        <v>1</v>
      </c>
      <c r="P172" s="318" t="n">
        <v>1.03</v>
      </c>
      <c r="Q172" s="318" t="n">
        <v>1.03</v>
      </c>
      <c r="R172" s="318" t="n">
        <v>1</v>
      </c>
      <c r="S172" s="318" t="n">
        <v>1</v>
      </c>
      <c r="T172" s="318" t="n">
        <v>1.02</v>
      </c>
      <c r="U172" s="318" t="n">
        <v>1</v>
      </c>
      <c r="V172" s="318" t="n">
        <v>1</v>
      </c>
      <c r="W172" s="318" t="n">
        <v>1</v>
      </c>
      <c r="X172" s="318" t="n">
        <v>1</v>
      </c>
      <c r="Y172" s="318" t="n">
        <v>1</v>
      </c>
      <c r="Z172" s="318" t="n">
        <v>1.02</v>
      </c>
      <c r="AA172" s="318" t="n">
        <v>1</v>
      </c>
      <c r="AB172" s="318" t="n">
        <v>1</v>
      </c>
      <c r="AC172" s="318" t="n">
        <v>1</v>
      </c>
      <c r="AD172" s="318" t="n">
        <v>1</v>
      </c>
      <c r="AE172" s="318" t="n">
        <v>0.98</v>
      </c>
      <c r="AF172" s="318" t="n">
        <v>0.98</v>
      </c>
      <c r="AG172" s="318" t="n">
        <v>0.98</v>
      </c>
      <c r="AH172" s="318" t="n">
        <v>1</v>
      </c>
      <c r="AI172" s="318" t="n">
        <v>1.05</v>
      </c>
      <c r="AJ172" s="318" t="n">
        <v>1</v>
      </c>
      <c r="AK172" s="318" t="n">
        <v>1</v>
      </c>
      <c r="AL172" s="318" t="n">
        <v>1.02</v>
      </c>
      <c r="AM172" s="318" t="n">
        <v>1</v>
      </c>
      <c r="AN172" s="318" t="n">
        <v>1</v>
      </c>
      <c r="AO172" s="318" t="n">
        <v>1</v>
      </c>
    </row>
    <row r="173" customFormat="false" ht="12.75" hidden="false" customHeight="false" outlineLevel="0" collapsed="false">
      <c r="A173" s="317" t="n">
        <v>41944</v>
      </c>
      <c r="B173" s="318" t="n">
        <v>1</v>
      </c>
      <c r="C173" s="318" t="n">
        <v>1</v>
      </c>
      <c r="D173" s="318" t="n">
        <v>1</v>
      </c>
      <c r="E173" s="318" t="n">
        <v>1</v>
      </c>
      <c r="F173" s="318" t="n">
        <v>1</v>
      </c>
      <c r="G173" s="318" t="n">
        <v>1</v>
      </c>
      <c r="H173" s="318" t="n">
        <v>1</v>
      </c>
      <c r="I173" s="318" t="n">
        <v>1</v>
      </c>
      <c r="J173" s="318" t="n">
        <v>1</v>
      </c>
      <c r="K173" s="318" t="n">
        <v>1</v>
      </c>
      <c r="L173" s="318" t="n">
        <v>1</v>
      </c>
      <c r="M173" s="318" t="n">
        <v>1</v>
      </c>
      <c r="N173" s="318" t="n">
        <v>1</v>
      </c>
      <c r="O173" s="318" t="n">
        <v>1</v>
      </c>
      <c r="P173" s="318" t="n">
        <v>1.03</v>
      </c>
      <c r="Q173" s="318" t="n">
        <v>1.03</v>
      </c>
      <c r="R173" s="318" t="n">
        <v>1</v>
      </c>
      <c r="S173" s="318" t="n">
        <v>1</v>
      </c>
      <c r="T173" s="318" t="n">
        <v>1.02</v>
      </c>
      <c r="U173" s="318" t="n">
        <v>1</v>
      </c>
      <c r="V173" s="318" t="n">
        <v>1</v>
      </c>
      <c r="W173" s="318" t="n">
        <v>1</v>
      </c>
      <c r="X173" s="318" t="n">
        <v>1</v>
      </c>
      <c r="Y173" s="318" t="n">
        <v>1</v>
      </c>
      <c r="Z173" s="318" t="n">
        <v>1</v>
      </c>
      <c r="AA173" s="318" t="n">
        <v>1</v>
      </c>
      <c r="AB173" s="318" t="n">
        <v>1</v>
      </c>
      <c r="AC173" s="318" t="n">
        <v>1</v>
      </c>
      <c r="AD173" s="318" t="n">
        <v>1</v>
      </c>
      <c r="AE173" s="318" t="n">
        <v>1</v>
      </c>
      <c r="AF173" s="318" t="n">
        <v>1</v>
      </c>
      <c r="AG173" s="318" t="n">
        <v>1.1</v>
      </c>
      <c r="AH173" s="318" t="n">
        <v>1.1</v>
      </c>
      <c r="AI173" s="318" t="n">
        <v>1.05</v>
      </c>
      <c r="AJ173" s="318" t="n">
        <v>1</v>
      </c>
      <c r="AK173" s="318" t="n">
        <v>1</v>
      </c>
      <c r="AL173" s="318" t="n">
        <v>1.02</v>
      </c>
      <c r="AM173" s="318" t="n">
        <v>1</v>
      </c>
      <c r="AN173" s="318" t="n">
        <v>1</v>
      </c>
      <c r="AO173" s="318" t="n">
        <v>1</v>
      </c>
    </row>
    <row r="174" customFormat="false" ht="12.75" hidden="false" customHeight="false" outlineLevel="0" collapsed="false">
      <c r="A174" s="317" t="n">
        <v>41974</v>
      </c>
      <c r="B174" s="318" t="n">
        <v>1</v>
      </c>
      <c r="C174" s="318" t="n">
        <v>1</v>
      </c>
      <c r="D174" s="318" t="n">
        <v>1</v>
      </c>
      <c r="E174" s="318" t="n">
        <v>1</v>
      </c>
      <c r="F174" s="318" t="n">
        <v>1</v>
      </c>
      <c r="G174" s="318" t="n">
        <v>1</v>
      </c>
      <c r="H174" s="318" t="n">
        <v>1</v>
      </c>
      <c r="I174" s="318" t="n">
        <v>1</v>
      </c>
      <c r="J174" s="318" t="n">
        <v>1</v>
      </c>
      <c r="K174" s="318" t="n">
        <v>1</v>
      </c>
      <c r="L174" s="318" t="n">
        <v>1</v>
      </c>
      <c r="M174" s="318" t="n">
        <v>1</v>
      </c>
      <c r="N174" s="318" t="n">
        <v>1</v>
      </c>
      <c r="O174" s="318" t="n">
        <v>1</v>
      </c>
      <c r="P174" s="318" t="n">
        <v>1.03</v>
      </c>
      <c r="Q174" s="318" t="n">
        <v>1.03</v>
      </c>
      <c r="R174" s="318" t="n">
        <v>1</v>
      </c>
      <c r="S174" s="318" t="n">
        <v>1</v>
      </c>
      <c r="T174" s="318" t="n">
        <v>1.02</v>
      </c>
      <c r="U174" s="318" t="n">
        <v>1</v>
      </c>
      <c r="V174" s="318" t="n">
        <v>1</v>
      </c>
      <c r="W174" s="318" t="n">
        <v>1</v>
      </c>
      <c r="X174" s="318" t="n">
        <v>1</v>
      </c>
      <c r="Y174" s="318" t="n">
        <v>1</v>
      </c>
      <c r="Z174" s="318" t="n">
        <v>1</v>
      </c>
      <c r="AA174" s="318" t="n">
        <v>1</v>
      </c>
      <c r="AB174" s="318" t="n">
        <v>1</v>
      </c>
      <c r="AC174" s="318" t="n">
        <v>1</v>
      </c>
      <c r="AD174" s="318" t="n">
        <v>1</v>
      </c>
      <c r="AE174" s="318" t="n">
        <v>1</v>
      </c>
      <c r="AF174" s="318" t="n">
        <v>1</v>
      </c>
      <c r="AG174" s="318" t="n">
        <v>1.1</v>
      </c>
      <c r="AH174" s="318" t="n">
        <v>1.02</v>
      </c>
      <c r="AI174" s="318" t="n">
        <v>1.05</v>
      </c>
      <c r="AJ174" s="318" t="n">
        <v>1</v>
      </c>
      <c r="AK174" s="318" t="n">
        <v>1</v>
      </c>
      <c r="AL174" s="318" t="n">
        <v>1.02</v>
      </c>
      <c r="AM174" s="318" t="n">
        <v>1</v>
      </c>
      <c r="AN174" s="318" t="n">
        <v>1</v>
      </c>
      <c r="AO174" s="318" t="n">
        <v>1</v>
      </c>
    </row>
    <row r="175" customFormat="false" ht="12.75" hidden="false" customHeight="false" outlineLevel="0" collapsed="false">
      <c r="A175" s="317" t="n">
        <v>42005</v>
      </c>
      <c r="B175" s="318" t="n">
        <v>1</v>
      </c>
      <c r="C175" s="318" t="n">
        <v>1</v>
      </c>
      <c r="D175" s="318" t="n">
        <v>1</v>
      </c>
      <c r="E175" s="318" t="n">
        <v>1</v>
      </c>
      <c r="F175" s="318" t="n">
        <v>1</v>
      </c>
      <c r="G175" s="318" t="n">
        <v>1</v>
      </c>
      <c r="H175" s="318" t="n">
        <v>1</v>
      </c>
      <c r="I175" s="318" t="n">
        <v>1</v>
      </c>
      <c r="J175" s="318" t="n">
        <v>1</v>
      </c>
      <c r="K175" s="318" t="n">
        <v>1</v>
      </c>
      <c r="L175" s="318" t="n">
        <v>1</v>
      </c>
      <c r="M175" s="318" t="n">
        <v>1</v>
      </c>
      <c r="N175" s="318" t="n">
        <v>1</v>
      </c>
      <c r="O175" s="318" t="n">
        <v>1</v>
      </c>
      <c r="P175" s="318" t="n">
        <v>1.03</v>
      </c>
      <c r="Q175" s="318" t="n">
        <v>1.03</v>
      </c>
      <c r="R175" s="318" t="n">
        <v>1</v>
      </c>
      <c r="S175" s="318" t="n">
        <v>1</v>
      </c>
      <c r="T175" s="318" t="n">
        <v>1.02</v>
      </c>
      <c r="U175" s="318" t="n">
        <v>1</v>
      </c>
      <c r="V175" s="318" t="n">
        <v>1</v>
      </c>
      <c r="W175" s="318" t="n">
        <v>1</v>
      </c>
      <c r="X175" s="318" t="n">
        <v>1</v>
      </c>
      <c r="Y175" s="318" t="n">
        <v>1</v>
      </c>
      <c r="Z175" s="318" t="n">
        <v>1</v>
      </c>
      <c r="AA175" s="318" t="n">
        <v>1</v>
      </c>
      <c r="AB175" s="318" t="n">
        <v>1</v>
      </c>
      <c r="AC175" s="318" t="n">
        <v>1</v>
      </c>
      <c r="AD175" s="318" t="n">
        <v>1</v>
      </c>
      <c r="AE175" s="318" t="n">
        <v>1</v>
      </c>
      <c r="AF175" s="318" t="n">
        <v>1</v>
      </c>
      <c r="AG175" s="318" t="n">
        <v>1.1</v>
      </c>
      <c r="AH175" s="318" t="n">
        <v>1.04</v>
      </c>
      <c r="AI175" s="318" t="n">
        <v>1.05</v>
      </c>
      <c r="AJ175" s="318" t="n">
        <v>1</v>
      </c>
      <c r="AK175" s="318" t="n">
        <v>1</v>
      </c>
      <c r="AL175" s="318" t="n">
        <v>1.02</v>
      </c>
      <c r="AM175" s="318" t="n">
        <v>1</v>
      </c>
      <c r="AN175" s="318" t="n">
        <v>1</v>
      </c>
      <c r="AO175" s="318" t="n">
        <v>1</v>
      </c>
    </row>
    <row r="176" customFormat="false" ht="12.75" hidden="false" customHeight="false" outlineLevel="0" collapsed="false">
      <c r="A176" s="317" t="n">
        <v>42036</v>
      </c>
      <c r="B176" s="318" t="n">
        <v>1</v>
      </c>
      <c r="C176" s="318" t="n">
        <v>1</v>
      </c>
      <c r="D176" s="318" t="n">
        <v>1</v>
      </c>
      <c r="E176" s="318" t="n">
        <v>1</v>
      </c>
      <c r="F176" s="318" t="n">
        <v>1</v>
      </c>
      <c r="G176" s="318" t="n">
        <v>1</v>
      </c>
      <c r="H176" s="318" t="n">
        <v>1</v>
      </c>
      <c r="I176" s="318" t="n">
        <v>1</v>
      </c>
      <c r="J176" s="318" t="n">
        <v>1</v>
      </c>
      <c r="K176" s="318" t="n">
        <v>1</v>
      </c>
      <c r="L176" s="318" t="n">
        <v>1</v>
      </c>
      <c r="M176" s="318" t="n">
        <v>1</v>
      </c>
      <c r="N176" s="318" t="n">
        <v>1</v>
      </c>
      <c r="O176" s="318" t="n">
        <v>1</v>
      </c>
      <c r="P176" s="318" t="n">
        <v>1.03</v>
      </c>
      <c r="Q176" s="318" t="n">
        <v>1.03</v>
      </c>
      <c r="R176" s="318" t="n">
        <v>1</v>
      </c>
      <c r="S176" s="318" t="n">
        <v>1</v>
      </c>
      <c r="T176" s="318" t="n">
        <v>1.02</v>
      </c>
      <c r="U176" s="318" t="n">
        <v>1</v>
      </c>
      <c r="V176" s="318" t="n">
        <v>1</v>
      </c>
      <c r="W176" s="318" t="n">
        <v>1</v>
      </c>
      <c r="X176" s="318" t="n">
        <v>1</v>
      </c>
      <c r="Y176" s="318" t="n">
        <v>1</v>
      </c>
      <c r="Z176" s="318" t="n">
        <v>1</v>
      </c>
      <c r="AA176" s="318" t="n">
        <v>1</v>
      </c>
      <c r="AB176" s="318" t="n">
        <v>1</v>
      </c>
      <c r="AC176" s="318" t="n">
        <v>1</v>
      </c>
      <c r="AD176" s="318" t="n">
        <v>1</v>
      </c>
      <c r="AE176" s="318" t="n">
        <v>1</v>
      </c>
      <c r="AF176" s="318" t="n">
        <v>1</v>
      </c>
      <c r="AG176" s="318" t="n">
        <v>1.1</v>
      </c>
      <c r="AH176" s="318" t="n">
        <v>1.04</v>
      </c>
      <c r="AI176" s="318" t="n">
        <v>1.05</v>
      </c>
      <c r="AJ176" s="318" t="n">
        <v>1</v>
      </c>
      <c r="AK176" s="318" t="n">
        <v>1</v>
      </c>
      <c r="AL176" s="318" t="n">
        <v>1.02</v>
      </c>
      <c r="AM176" s="318" t="n">
        <v>1</v>
      </c>
      <c r="AN176" s="318" t="n">
        <v>1</v>
      </c>
      <c r="AO176" s="318" t="n">
        <v>1</v>
      </c>
    </row>
    <row r="177" customFormat="false" ht="12.75" hidden="false" customHeight="false" outlineLevel="0" collapsed="false">
      <c r="A177" s="317" t="n">
        <v>42064</v>
      </c>
      <c r="B177" s="318" t="n">
        <v>1</v>
      </c>
      <c r="C177" s="318" t="n">
        <v>1</v>
      </c>
      <c r="D177" s="318" t="n">
        <v>1</v>
      </c>
      <c r="E177" s="318" t="n">
        <v>1</v>
      </c>
      <c r="F177" s="318" t="n">
        <v>1</v>
      </c>
      <c r="G177" s="318" t="n">
        <v>1</v>
      </c>
      <c r="H177" s="318" t="n">
        <v>1</v>
      </c>
      <c r="I177" s="318" t="n">
        <v>1</v>
      </c>
      <c r="J177" s="318" t="n">
        <v>1</v>
      </c>
      <c r="K177" s="318" t="n">
        <v>1</v>
      </c>
      <c r="L177" s="318" t="n">
        <v>1</v>
      </c>
      <c r="M177" s="318" t="n">
        <v>1</v>
      </c>
      <c r="N177" s="318" t="n">
        <v>1</v>
      </c>
      <c r="O177" s="318" t="n">
        <v>1</v>
      </c>
      <c r="P177" s="318" t="n">
        <v>1.03</v>
      </c>
      <c r="Q177" s="318" t="n">
        <v>1.03</v>
      </c>
      <c r="R177" s="318" t="n">
        <v>1</v>
      </c>
      <c r="S177" s="318" t="n">
        <v>1</v>
      </c>
      <c r="T177" s="318" t="n">
        <v>1.02</v>
      </c>
      <c r="U177" s="318" t="n">
        <v>1</v>
      </c>
      <c r="V177" s="318" t="n">
        <v>1</v>
      </c>
      <c r="W177" s="318" t="n">
        <v>1</v>
      </c>
      <c r="X177" s="318" t="n">
        <v>1</v>
      </c>
      <c r="Y177" s="318" t="n">
        <v>1</v>
      </c>
      <c r="Z177" s="318" t="n">
        <v>1</v>
      </c>
      <c r="AA177" s="318" t="n">
        <v>1</v>
      </c>
      <c r="AB177" s="318" t="n">
        <v>1</v>
      </c>
      <c r="AC177" s="318" t="n">
        <v>1</v>
      </c>
      <c r="AD177" s="318" t="n">
        <v>1</v>
      </c>
      <c r="AE177" s="318" t="n">
        <v>1</v>
      </c>
      <c r="AF177" s="318" t="n">
        <v>1</v>
      </c>
      <c r="AG177" s="318" t="n">
        <v>1.1</v>
      </c>
      <c r="AH177" s="318" t="n">
        <v>1.04</v>
      </c>
      <c r="AI177" s="318" t="n">
        <v>1.05</v>
      </c>
      <c r="AJ177" s="318" t="n">
        <v>1</v>
      </c>
      <c r="AK177" s="318" t="n">
        <v>1</v>
      </c>
      <c r="AL177" s="318" t="n">
        <v>1.02</v>
      </c>
      <c r="AM177" s="318" t="n">
        <v>1</v>
      </c>
      <c r="AN177" s="318" t="n">
        <v>1</v>
      </c>
      <c r="AO177" s="318" t="n">
        <v>1</v>
      </c>
    </row>
    <row r="178" customFormat="false" ht="12.75" hidden="false" customHeight="false" outlineLevel="0" collapsed="false">
      <c r="A178" s="317" t="n">
        <v>42095</v>
      </c>
      <c r="B178" s="318" t="n">
        <v>1</v>
      </c>
      <c r="C178" s="318" t="n">
        <v>1</v>
      </c>
      <c r="D178" s="318" t="n">
        <v>1</v>
      </c>
      <c r="E178" s="318" t="n">
        <v>1</v>
      </c>
      <c r="F178" s="318" t="n">
        <v>1</v>
      </c>
      <c r="G178" s="318" t="n">
        <v>1</v>
      </c>
      <c r="H178" s="318" t="n">
        <v>1</v>
      </c>
      <c r="I178" s="318" t="n">
        <v>1</v>
      </c>
      <c r="J178" s="318" t="n">
        <v>1</v>
      </c>
      <c r="K178" s="318" t="n">
        <v>1</v>
      </c>
      <c r="L178" s="318" t="n">
        <v>1</v>
      </c>
      <c r="M178" s="318" t="n">
        <v>1</v>
      </c>
      <c r="N178" s="318" t="n">
        <v>1</v>
      </c>
      <c r="O178" s="318" t="n">
        <v>1</v>
      </c>
      <c r="P178" s="318" t="n">
        <v>1.03</v>
      </c>
      <c r="Q178" s="318" t="n">
        <v>1.03</v>
      </c>
      <c r="R178" s="318" t="n">
        <v>1</v>
      </c>
      <c r="S178" s="318" t="n">
        <v>1</v>
      </c>
      <c r="T178" s="318" t="n">
        <v>1.02</v>
      </c>
      <c r="U178" s="318" t="n">
        <v>1</v>
      </c>
      <c r="V178" s="318" t="n">
        <v>1</v>
      </c>
      <c r="W178" s="318" t="n">
        <v>1</v>
      </c>
      <c r="X178" s="318" t="n">
        <v>1</v>
      </c>
      <c r="Y178" s="318" t="n">
        <v>1</v>
      </c>
      <c r="Z178" s="318" t="n">
        <v>1.02</v>
      </c>
      <c r="AA178" s="318" t="n">
        <v>1</v>
      </c>
      <c r="AB178" s="318" t="n">
        <v>1</v>
      </c>
      <c r="AC178" s="318" t="n">
        <v>1</v>
      </c>
      <c r="AD178" s="318" t="n">
        <v>1</v>
      </c>
      <c r="AE178" s="318" t="n">
        <v>0.98</v>
      </c>
      <c r="AF178" s="318" t="n">
        <v>0.98</v>
      </c>
      <c r="AG178" s="318" t="n">
        <v>0.98</v>
      </c>
      <c r="AH178" s="318" t="n">
        <v>1</v>
      </c>
      <c r="AI178" s="318" t="n">
        <v>1.05</v>
      </c>
      <c r="AJ178" s="318" t="n">
        <v>1</v>
      </c>
      <c r="AK178" s="318" t="n">
        <v>1</v>
      </c>
      <c r="AL178" s="318" t="n">
        <v>1.02</v>
      </c>
      <c r="AM178" s="318" t="n">
        <v>1</v>
      </c>
      <c r="AN178" s="318" t="n">
        <v>1</v>
      </c>
      <c r="AO178" s="318" t="n">
        <v>1</v>
      </c>
    </row>
    <row r="179" customFormat="false" ht="12.75" hidden="false" customHeight="false" outlineLevel="0" collapsed="false">
      <c r="A179" s="317" t="n">
        <v>42125</v>
      </c>
      <c r="B179" s="318" t="n">
        <v>1</v>
      </c>
      <c r="C179" s="318" t="n">
        <v>1</v>
      </c>
      <c r="D179" s="318" t="n">
        <v>1</v>
      </c>
      <c r="E179" s="318" t="n">
        <v>1</v>
      </c>
      <c r="F179" s="318" t="n">
        <v>1</v>
      </c>
      <c r="G179" s="318" t="n">
        <v>1</v>
      </c>
      <c r="H179" s="318" t="n">
        <v>1</v>
      </c>
      <c r="I179" s="318" t="n">
        <v>1</v>
      </c>
      <c r="J179" s="318" t="n">
        <v>1</v>
      </c>
      <c r="K179" s="318" t="n">
        <v>1</v>
      </c>
      <c r="L179" s="318" t="n">
        <v>1</v>
      </c>
      <c r="M179" s="318" t="n">
        <v>1</v>
      </c>
      <c r="N179" s="318" t="n">
        <v>1</v>
      </c>
      <c r="O179" s="318" t="n">
        <v>1</v>
      </c>
      <c r="P179" s="318" t="n">
        <v>1.03</v>
      </c>
      <c r="Q179" s="318" t="n">
        <v>1.03</v>
      </c>
      <c r="R179" s="318" t="n">
        <v>1</v>
      </c>
      <c r="S179" s="318" t="n">
        <v>1</v>
      </c>
      <c r="T179" s="318" t="n">
        <v>1.02</v>
      </c>
      <c r="U179" s="318" t="n">
        <v>1</v>
      </c>
      <c r="V179" s="318" t="n">
        <v>1</v>
      </c>
      <c r="W179" s="318" t="n">
        <v>1</v>
      </c>
      <c r="X179" s="318" t="n">
        <v>1</v>
      </c>
      <c r="Y179" s="318" t="n">
        <v>1</v>
      </c>
      <c r="Z179" s="318" t="n">
        <v>1.02</v>
      </c>
      <c r="AA179" s="318" t="n">
        <v>1</v>
      </c>
      <c r="AB179" s="318" t="n">
        <v>1</v>
      </c>
      <c r="AC179" s="318" t="n">
        <v>1</v>
      </c>
      <c r="AD179" s="318" t="n">
        <v>1</v>
      </c>
      <c r="AE179" s="318" t="n">
        <v>0.98</v>
      </c>
      <c r="AF179" s="318" t="n">
        <v>0.98</v>
      </c>
      <c r="AG179" s="318" t="n">
        <v>0.98</v>
      </c>
      <c r="AH179" s="318" t="n">
        <v>1</v>
      </c>
      <c r="AI179" s="318" t="n">
        <v>1.05</v>
      </c>
      <c r="AJ179" s="318" t="n">
        <v>1</v>
      </c>
      <c r="AK179" s="318" t="n">
        <v>1</v>
      </c>
      <c r="AL179" s="318" t="n">
        <v>1.02</v>
      </c>
      <c r="AM179" s="318" t="n">
        <v>1</v>
      </c>
      <c r="AN179" s="318" t="n">
        <v>1</v>
      </c>
      <c r="AO179" s="318" t="n">
        <v>1</v>
      </c>
    </row>
    <row r="180" customFormat="false" ht="12.75" hidden="false" customHeight="false" outlineLevel="0" collapsed="false">
      <c r="A180" s="317" t="n">
        <v>42156</v>
      </c>
      <c r="B180" s="318" t="n">
        <v>1</v>
      </c>
      <c r="C180" s="318" t="n">
        <v>1</v>
      </c>
      <c r="D180" s="318" t="n">
        <v>1</v>
      </c>
      <c r="E180" s="318" t="n">
        <v>1</v>
      </c>
      <c r="F180" s="318" t="n">
        <v>1</v>
      </c>
      <c r="G180" s="318" t="n">
        <v>1</v>
      </c>
      <c r="H180" s="318" t="n">
        <v>1</v>
      </c>
      <c r="I180" s="318" t="n">
        <v>1</v>
      </c>
      <c r="J180" s="318" t="n">
        <v>1</v>
      </c>
      <c r="K180" s="318" t="n">
        <v>1</v>
      </c>
      <c r="L180" s="318" t="n">
        <v>1</v>
      </c>
      <c r="M180" s="318" t="n">
        <v>1</v>
      </c>
      <c r="N180" s="318" t="n">
        <v>1</v>
      </c>
      <c r="O180" s="318" t="n">
        <v>1</v>
      </c>
      <c r="P180" s="318" t="n">
        <v>1.03</v>
      </c>
      <c r="Q180" s="318" t="n">
        <v>1.03</v>
      </c>
      <c r="R180" s="318" t="n">
        <v>1</v>
      </c>
      <c r="S180" s="318" t="n">
        <v>1</v>
      </c>
      <c r="T180" s="318" t="n">
        <v>1.02</v>
      </c>
      <c r="U180" s="318" t="n">
        <v>1</v>
      </c>
      <c r="V180" s="318" t="n">
        <v>1</v>
      </c>
      <c r="W180" s="318" t="n">
        <v>1</v>
      </c>
      <c r="X180" s="318" t="n">
        <v>1</v>
      </c>
      <c r="Y180" s="318" t="n">
        <v>1</v>
      </c>
      <c r="Z180" s="318" t="n">
        <v>1.02</v>
      </c>
      <c r="AA180" s="318" t="n">
        <v>1</v>
      </c>
      <c r="AB180" s="318" t="n">
        <v>1</v>
      </c>
      <c r="AC180" s="318" t="n">
        <v>1</v>
      </c>
      <c r="AD180" s="318" t="n">
        <v>1</v>
      </c>
      <c r="AE180" s="318" t="n">
        <v>0.98</v>
      </c>
      <c r="AF180" s="318" t="n">
        <v>0.98</v>
      </c>
      <c r="AG180" s="318" t="n">
        <v>0.98</v>
      </c>
      <c r="AH180" s="318" t="n">
        <v>1</v>
      </c>
      <c r="AI180" s="318" t="n">
        <v>1.05</v>
      </c>
      <c r="AJ180" s="318" t="n">
        <v>1</v>
      </c>
      <c r="AK180" s="318" t="n">
        <v>1</v>
      </c>
      <c r="AL180" s="318" t="n">
        <v>1.02</v>
      </c>
      <c r="AM180" s="318" t="n">
        <v>1</v>
      </c>
      <c r="AN180" s="318" t="n">
        <v>1</v>
      </c>
      <c r="AO180" s="318" t="n">
        <v>1</v>
      </c>
    </row>
    <row r="181" customFormat="false" ht="12.75" hidden="false" customHeight="false" outlineLevel="0" collapsed="false">
      <c r="A181" s="317" t="n">
        <v>42186</v>
      </c>
      <c r="B181" s="318" t="n">
        <v>1</v>
      </c>
      <c r="C181" s="318" t="n">
        <v>1</v>
      </c>
      <c r="D181" s="318" t="n">
        <v>1</v>
      </c>
      <c r="E181" s="318" t="n">
        <v>1</v>
      </c>
      <c r="F181" s="318" t="n">
        <v>1</v>
      </c>
      <c r="G181" s="318" t="n">
        <v>1</v>
      </c>
      <c r="H181" s="318" t="n">
        <v>1</v>
      </c>
      <c r="I181" s="318" t="n">
        <v>1</v>
      </c>
      <c r="J181" s="318" t="n">
        <v>1</v>
      </c>
      <c r="K181" s="318" t="n">
        <v>1</v>
      </c>
      <c r="L181" s="318" t="n">
        <v>1</v>
      </c>
      <c r="M181" s="318" t="n">
        <v>1</v>
      </c>
      <c r="N181" s="318" t="n">
        <v>1</v>
      </c>
      <c r="O181" s="318" t="n">
        <v>1</v>
      </c>
      <c r="P181" s="318" t="n">
        <v>1.03</v>
      </c>
      <c r="Q181" s="318" t="n">
        <v>1.03</v>
      </c>
      <c r="R181" s="318" t="n">
        <v>1</v>
      </c>
      <c r="S181" s="318" t="n">
        <v>1</v>
      </c>
      <c r="T181" s="318" t="n">
        <v>1.02</v>
      </c>
      <c r="U181" s="318" t="n">
        <v>1</v>
      </c>
      <c r="V181" s="318" t="n">
        <v>1</v>
      </c>
      <c r="W181" s="318" t="n">
        <v>1</v>
      </c>
      <c r="X181" s="318" t="n">
        <v>1</v>
      </c>
      <c r="Y181" s="318" t="n">
        <v>1</v>
      </c>
      <c r="Z181" s="318" t="n">
        <v>1.02</v>
      </c>
      <c r="AA181" s="318" t="n">
        <v>1</v>
      </c>
      <c r="AB181" s="318" t="n">
        <v>1</v>
      </c>
      <c r="AC181" s="318" t="n">
        <v>1</v>
      </c>
      <c r="AD181" s="318" t="n">
        <v>1</v>
      </c>
      <c r="AE181" s="318" t="n">
        <v>0.98</v>
      </c>
      <c r="AF181" s="318" t="n">
        <v>0.98</v>
      </c>
      <c r="AG181" s="318" t="n">
        <v>0.98</v>
      </c>
      <c r="AH181" s="318" t="n">
        <v>1</v>
      </c>
      <c r="AI181" s="318" t="n">
        <v>1.05</v>
      </c>
      <c r="AJ181" s="318" t="n">
        <v>1</v>
      </c>
      <c r="AK181" s="318" t="n">
        <v>1</v>
      </c>
      <c r="AL181" s="318" t="n">
        <v>1.02</v>
      </c>
      <c r="AM181" s="318" t="n">
        <v>1</v>
      </c>
      <c r="AN181" s="318" t="n">
        <v>1</v>
      </c>
      <c r="AO181" s="318" t="n">
        <v>1</v>
      </c>
    </row>
    <row r="182" customFormat="false" ht="12.75" hidden="false" customHeight="false" outlineLevel="0" collapsed="false">
      <c r="A182" s="317" t="n">
        <v>42217</v>
      </c>
      <c r="B182" s="318" t="n">
        <v>1</v>
      </c>
      <c r="C182" s="318" t="n">
        <v>1</v>
      </c>
      <c r="D182" s="318" t="n">
        <v>1</v>
      </c>
      <c r="E182" s="318" t="n">
        <v>1</v>
      </c>
      <c r="F182" s="318" t="n">
        <v>1</v>
      </c>
      <c r="G182" s="318" t="n">
        <v>1</v>
      </c>
      <c r="H182" s="318" t="n">
        <v>1</v>
      </c>
      <c r="I182" s="318" t="n">
        <v>1</v>
      </c>
      <c r="J182" s="318" t="n">
        <v>1</v>
      </c>
      <c r="K182" s="318" t="n">
        <v>1</v>
      </c>
      <c r="L182" s="318" t="n">
        <v>1</v>
      </c>
      <c r="M182" s="318" t="n">
        <v>1</v>
      </c>
      <c r="N182" s="318" t="n">
        <v>1</v>
      </c>
      <c r="O182" s="318" t="n">
        <v>1</v>
      </c>
      <c r="P182" s="318" t="n">
        <v>1.03</v>
      </c>
      <c r="Q182" s="318" t="n">
        <v>1.03</v>
      </c>
      <c r="R182" s="318" t="n">
        <v>1</v>
      </c>
      <c r="S182" s="318" t="n">
        <v>1</v>
      </c>
      <c r="T182" s="318" t="n">
        <v>1.02</v>
      </c>
      <c r="U182" s="318" t="n">
        <v>1</v>
      </c>
      <c r="V182" s="318" t="n">
        <v>1</v>
      </c>
      <c r="W182" s="318" t="n">
        <v>1</v>
      </c>
      <c r="X182" s="318" t="n">
        <v>1</v>
      </c>
      <c r="Y182" s="318" t="n">
        <v>1</v>
      </c>
      <c r="Z182" s="318" t="n">
        <v>1.02</v>
      </c>
      <c r="AA182" s="318" t="n">
        <v>1</v>
      </c>
      <c r="AB182" s="318" t="n">
        <v>1</v>
      </c>
      <c r="AC182" s="318" t="n">
        <v>1</v>
      </c>
      <c r="AD182" s="318" t="n">
        <v>1</v>
      </c>
      <c r="AE182" s="318" t="n">
        <v>0.98</v>
      </c>
      <c r="AF182" s="318" t="n">
        <v>0.98</v>
      </c>
      <c r="AG182" s="318" t="n">
        <v>0.98</v>
      </c>
      <c r="AH182" s="318" t="n">
        <v>1</v>
      </c>
      <c r="AI182" s="318" t="n">
        <v>1.05</v>
      </c>
      <c r="AJ182" s="318" t="n">
        <v>1</v>
      </c>
      <c r="AK182" s="318" t="n">
        <v>1</v>
      </c>
      <c r="AL182" s="318" t="n">
        <v>1.02</v>
      </c>
      <c r="AM182" s="318" t="n">
        <v>1</v>
      </c>
      <c r="AN182" s="318" t="n">
        <v>1</v>
      </c>
      <c r="AO182" s="318" t="n">
        <v>1</v>
      </c>
    </row>
    <row r="183" customFormat="false" ht="12.75" hidden="false" customHeight="false" outlineLevel="0" collapsed="false">
      <c r="A183" s="317" t="n">
        <v>42248</v>
      </c>
      <c r="B183" s="318" t="n">
        <v>1</v>
      </c>
      <c r="C183" s="318" t="n">
        <v>1</v>
      </c>
      <c r="D183" s="318" t="n">
        <v>1</v>
      </c>
      <c r="E183" s="318" t="n">
        <v>1</v>
      </c>
      <c r="F183" s="318" t="n">
        <v>1</v>
      </c>
      <c r="G183" s="318" t="n">
        <v>1</v>
      </c>
      <c r="H183" s="318" t="n">
        <v>1</v>
      </c>
      <c r="I183" s="318" t="n">
        <v>1</v>
      </c>
      <c r="J183" s="318" t="n">
        <v>1</v>
      </c>
      <c r="K183" s="318" t="n">
        <v>1</v>
      </c>
      <c r="L183" s="318" t="n">
        <v>1</v>
      </c>
      <c r="M183" s="318" t="n">
        <v>1</v>
      </c>
      <c r="N183" s="318" t="n">
        <v>1</v>
      </c>
      <c r="O183" s="318" t="n">
        <v>1</v>
      </c>
      <c r="P183" s="318" t="n">
        <v>1.03</v>
      </c>
      <c r="Q183" s="318" t="n">
        <v>1.03</v>
      </c>
      <c r="R183" s="318" t="n">
        <v>1</v>
      </c>
      <c r="S183" s="318" t="n">
        <v>1</v>
      </c>
      <c r="T183" s="318" t="n">
        <v>1.02</v>
      </c>
      <c r="U183" s="318" t="n">
        <v>1</v>
      </c>
      <c r="V183" s="318" t="n">
        <v>1</v>
      </c>
      <c r="W183" s="318" t="n">
        <v>1</v>
      </c>
      <c r="X183" s="318" t="n">
        <v>1</v>
      </c>
      <c r="Y183" s="318" t="n">
        <v>1</v>
      </c>
      <c r="Z183" s="318" t="n">
        <v>1.02</v>
      </c>
      <c r="AA183" s="318" t="n">
        <v>1</v>
      </c>
      <c r="AB183" s="318" t="n">
        <v>1</v>
      </c>
      <c r="AC183" s="318" t="n">
        <v>1</v>
      </c>
      <c r="AD183" s="318" t="n">
        <v>1</v>
      </c>
      <c r="AE183" s="318" t="n">
        <v>0.98</v>
      </c>
      <c r="AF183" s="318" t="n">
        <v>0.98</v>
      </c>
      <c r="AG183" s="318" t="n">
        <v>0.98</v>
      </c>
      <c r="AH183" s="318" t="n">
        <v>1</v>
      </c>
      <c r="AI183" s="318" t="n">
        <v>1.05</v>
      </c>
      <c r="AJ183" s="318" t="n">
        <v>1</v>
      </c>
      <c r="AK183" s="318" t="n">
        <v>1</v>
      </c>
      <c r="AL183" s="318" t="n">
        <v>1.02</v>
      </c>
      <c r="AM183" s="318" t="n">
        <v>1</v>
      </c>
      <c r="AN183" s="318" t="n">
        <v>1</v>
      </c>
      <c r="AO183" s="318" t="n">
        <v>1</v>
      </c>
    </row>
    <row r="184" customFormat="false" ht="12.75" hidden="false" customHeight="false" outlineLevel="0" collapsed="false">
      <c r="A184" s="317" t="n">
        <v>42278</v>
      </c>
      <c r="B184" s="318" t="n">
        <v>1</v>
      </c>
      <c r="C184" s="318" t="n">
        <v>1</v>
      </c>
      <c r="D184" s="318" t="n">
        <v>1</v>
      </c>
      <c r="E184" s="318" t="n">
        <v>1</v>
      </c>
      <c r="F184" s="318" t="n">
        <v>1</v>
      </c>
      <c r="G184" s="318" t="n">
        <v>1</v>
      </c>
      <c r="H184" s="318" t="n">
        <v>1</v>
      </c>
      <c r="I184" s="318" t="n">
        <v>1</v>
      </c>
      <c r="J184" s="318" t="n">
        <v>1</v>
      </c>
      <c r="K184" s="318" t="n">
        <v>1</v>
      </c>
      <c r="L184" s="318" t="n">
        <v>1</v>
      </c>
      <c r="M184" s="318" t="n">
        <v>1</v>
      </c>
      <c r="N184" s="318" t="n">
        <v>1</v>
      </c>
      <c r="O184" s="318" t="n">
        <v>1</v>
      </c>
      <c r="P184" s="318" t="n">
        <v>1.03</v>
      </c>
      <c r="Q184" s="318" t="n">
        <v>1.03</v>
      </c>
      <c r="R184" s="318" t="n">
        <v>1</v>
      </c>
      <c r="S184" s="318" t="n">
        <v>1</v>
      </c>
      <c r="T184" s="318" t="n">
        <v>1.02</v>
      </c>
      <c r="U184" s="318" t="n">
        <v>1</v>
      </c>
      <c r="V184" s="318" t="n">
        <v>1</v>
      </c>
      <c r="W184" s="318" t="n">
        <v>1</v>
      </c>
      <c r="X184" s="318" t="n">
        <v>1</v>
      </c>
      <c r="Y184" s="318" t="n">
        <v>1</v>
      </c>
      <c r="Z184" s="318" t="n">
        <v>1.02</v>
      </c>
      <c r="AA184" s="318" t="n">
        <v>1</v>
      </c>
      <c r="AB184" s="318" t="n">
        <v>1</v>
      </c>
      <c r="AC184" s="318" t="n">
        <v>1</v>
      </c>
      <c r="AD184" s="318" t="n">
        <v>1</v>
      </c>
      <c r="AE184" s="318" t="n">
        <v>0.98</v>
      </c>
      <c r="AF184" s="318" t="n">
        <v>0.98</v>
      </c>
      <c r="AG184" s="318" t="n">
        <v>0.98</v>
      </c>
      <c r="AH184" s="318" t="n">
        <v>1</v>
      </c>
      <c r="AI184" s="318" t="n">
        <v>1.05</v>
      </c>
      <c r="AJ184" s="318" t="n">
        <v>1</v>
      </c>
      <c r="AK184" s="318" t="n">
        <v>1</v>
      </c>
      <c r="AL184" s="318" t="n">
        <v>1.02</v>
      </c>
      <c r="AM184" s="318" t="n">
        <v>1</v>
      </c>
      <c r="AN184" s="318" t="n">
        <v>1</v>
      </c>
      <c r="AO184" s="318" t="n">
        <v>1</v>
      </c>
    </row>
    <row r="185" customFormat="false" ht="12.75" hidden="false" customHeight="false" outlineLevel="0" collapsed="false">
      <c r="A185" s="317" t="n">
        <v>42309</v>
      </c>
      <c r="B185" s="318" t="n">
        <v>1</v>
      </c>
      <c r="C185" s="318" t="n">
        <v>1</v>
      </c>
      <c r="D185" s="318" t="n">
        <v>1</v>
      </c>
      <c r="E185" s="318" t="n">
        <v>1</v>
      </c>
      <c r="F185" s="318" t="n">
        <v>1</v>
      </c>
      <c r="G185" s="318" t="n">
        <v>1</v>
      </c>
      <c r="H185" s="318" t="n">
        <v>1</v>
      </c>
      <c r="I185" s="318" t="n">
        <v>1</v>
      </c>
      <c r="J185" s="318" t="n">
        <v>1</v>
      </c>
      <c r="K185" s="318" t="n">
        <v>1</v>
      </c>
      <c r="L185" s="318" t="n">
        <v>1</v>
      </c>
      <c r="M185" s="318" t="n">
        <v>1</v>
      </c>
      <c r="N185" s="318" t="n">
        <v>1</v>
      </c>
      <c r="O185" s="318" t="n">
        <v>1</v>
      </c>
      <c r="P185" s="318" t="n">
        <v>1.03</v>
      </c>
      <c r="Q185" s="318" t="n">
        <v>1.03</v>
      </c>
      <c r="R185" s="318" t="n">
        <v>1</v>
      </c>
      <c r="S185" s="318" t="n">
        <v>1</v>
      </c>
      <c r="T185" s="318" t="n">
        <v>1.02</v>
      </c>
      <c r="U185" s="318" t="n">
        <v>1</v>
      </c>
      <c r="V185" s="318" t="n">
        <v>1</v>
      </c>
      <c r="W185" s="318" t="n">
        <v>1</v>
      </c>
      <c r="X185" s="318" t="n">
        <v>1</v>
      </c>
      <c r="Y185" s="318" t="n">
        <v>1</v>
      </c>
      <c r="Z185" s="318" t="n">
        <v>1</v>
      </c>
      <c r="AA185" s="318" t="n">
        <v>1</v>
      </c>
      <c r="AB185" s="318" t="n">
        <v>1</v>
      </c>
      <c r="AC185" s="318" t="n">
        <v>1</v>
      </c>
      <c r="AD185" s="318" t="n">
        <v>1</v>
      </c>
      <c r="AE185" s="318" t="n">
        <v>1</v>
      </c>
      <c r="AF185" s="318" t="n">
        <v>1</v>
      </c>
      <c r="AG185" s="318" t="n">
        <v>1.1</v>
      </c>
      <c r="AH185" s="318" t="n">
        <v>1.1</v>
      </c>
      <c r="AI185" s="318" t="n">
        <v>1.05</v>
      </c>
      <c r="AJ185" s="318" t="n">
        <v>1</v>
      </c>
      <c r="AK185" s="318" t="n">
        <v>1</v>
      </c>
      <c r="AL185" s="318" t="n">
        <v>1.02</v>
      </c>
      <c r="AM185" s="318" t="n">
        <v>1</v>
      </c>
      <c r="AN185" s="318" t="n">
        <v>1</v>
      </c>
      <c r="AO185" s="318" t="n">
        <v>1</v>
      </c>
    </row>
    <row r="186" customFormat="false" ht="12.75" hidden="false" customHeight="false" outlineLevel="0" collapsed="false">
      <c r="A186" s="317" t="n">
        <v>42339</v>
      </c>
      <c r="B186" s="318" t="n">
        <v>1</v>
      </c>
      <c r="C186" s="318" t="n">
        <v>1</v>
      </c>
      <c r="D186" s="318" t="n">
        <v>1</v>
      </c>
      <c r="E186" s="318" t="n">
        <v>1</v>
      </c>
      <c r="F186" s="318" t="n">
        <v>1</v>
      </c>
      <c r="G186" s="318" t="n">
        <v>1</v>
      </c>
      <c r="H186" s="318" t="n">
        <v>1</v>
      </c>
      <c r="I186" s="318" t="n">
        <v>1</v>
      </c>
      <c r="J186" s="318" t="n">
        <v>1</v>
      </c>
      <c r="K186" s="318" t="n">
        <v>1</v>
      </c>
      <c r="L186" s="318" t="n">
        <v>1</v>
      </c>
      <c r="M186" s="318" t="n">
        <v>1</v>
      </c>
      <c r="N186" s="318" t="n">
        <v>1</v>
      </c>
      <c r="O186" s="318" t="n">
        <v>1</v>
      </c>
      <c r="P186" s="318" t="n">
        <v>1.03</v>
      </c>
      <c r="Q186" s="318" t="n">
        <v>1.03</v>
      </c>
      <c r="R186" s="318" t="n">
        <v>1</v>
      </c>
      <c r="S186" s="318" t="n">
        <v>1</v>
      </c>
      <c r="T186" s="318" t="n">
        <v>1.02</v>
      </c>
      <c r="U186" s="318" t="n">
        <v>1</v>
      </c>
      <c r="V186" s="318" t="n">
        <v>1</v>
      </c>
      <c r="W186" s="318" t="n">
        <v>1</v>
      </c>
      <c r="X186" s="318" t="n">
        <v>1</v>
      </c>
      <c r="Y186" s="318" t="n">
        <v>1</v>
      </c>
      <c r="Z186" s="318" t="n">
        <v>1</v>
      </c>
      <c r="AA186" s="318" t="n">
        <v>1</v>
      </c>
      <c r="AB186" s="318" t="n">
        <v>1</v>
      </c>
      <c r="AC186" s="318" t="n">
        <v>1</v>
      </c>
      <c r="AD186" s="318" t="n">
        <v>1</v>
      </c>
      <c r="AE186" s="318" t="n">
        <v>1</v>
      </c>
      <c r="AF186" s="318" t="n">
        <v>1</v>
      </c>
      <c r="AG186" s="318" t="n">
        <v>1.1</v>
      </c>
      <c r="AH186" s="318" t="n">
        <v>1.02</v>
      </c>
      <c r="AI186" s="318" t="n">
        <v>1.05</v>
      </c>
      <c r="AJ186" s="318" t="n">
        <v>1</v>
      </c>
      <c r="AK186" s="318" t="n">
        <v>1</v>
      </c>
      <c r="AL186" s="318" t="n">
        <v>1.02</v>
      </c>
      <c r="AM186" s="318" t="n">
        <v>1</v>
      </c>
      <c r="AN186" s="318" t="n">
        <v>1</v>
      </c>
      <c r="AO186" s="318" t="n">
        <v>1</v>
      </c>
    </row>
    <row r="187" customFormat="false" ht="12.75" hidden="false" customHeight="false" outlineLevel="0" collapsed="false">
      <c r="A187" s="317" t="n">
        <v>42370</v>
      </c>
      <c r="B187" s="318" t="n">
        <v>1</v>
      </c>
      <c r="C187" s="318" t="n">
        <v>1</v>
      </c>
      <c r="D187" s="318" t="n">
        <v>1</v>
      </c>
      <c r="E187" s="318" t="n">
        <v>1</v>
      </c>
      <c r="F187" s="318" t="n">
        <v>1</v>
      </c>
      <c r="G187" s="318" t="n">
        <v>1</v>
      </c>
      <c r="H187" s="318" t="n">
        <v>1</v>
      </c>
      <c r="I187" s="318" t="n">
        <v>1</v>
      </c>
      <c r="J187" s="318" t="n">
        <v>1</v>
      </c>
      <c r="K187" s="318" t="n">
        <v>1</v>
      </c>
      <c r="L187" s="318" t="n">
        <v>1</v>
      </c>
      <c r="M187" s="318" t="n">
        <v>1</v>
      </c>
      <c r="N187" s="318" t="n">
        <v>1</v>
      </c>
      <c r="O187" s="318" t="n">
        <v>1</v>
      </c>
      <c r="P187" s="318" t="n">
        <v>1.03</v>
      </c>
      <c r="Q187" s="318" t="n">
        <v>1.03</v>
      </c>
      <c r="R187" s="318" t="n">
        <v>1</v>
      </c>
      <c r="S187" s="318" t="n">
        <v>1</v>
      </c>
      <c r="T187" s="318" t="n">
        <v>1.02</v>
      </c>
      <c r="U187" s="318" t="n">
        <v>1</v>
      </c>
      <c r="V187" s="318" t="n">
        <v>1</v>
      </c>
      <c r="W187" s="318" t="n">
        <v>1</v>
      </c>
      <c r="X187" s="318" t="n">
        <v>1</v>
      </c>
      <c r="Y187" s="318" t="n">
        <v>1</v>
      </c>
      <c r="Z187" s="318" t="n">
        <v>1</v>
      </c>
      <c r="AA187" s="318" t="n">
        <v>1</v>
      </c>
      <c r="AB187" s="318" t="n">
        <v>1</v>
      </c>
      <c r="AC187" s="318" t="n">
        <v>1</v>
      </c>
      <c r="AD187" s="318" t="n">
        <v>1</v>
      </c>
      <c r="AE187" s="318" t="n">
        <v>1</v>
      </c>
      <c r="AF187" s="318" t="n">
        <v>1</v>
      </c>
      <c r="AG187" s="318" t="n">
        <v>1.1</v>
      </c>
      <c r="AH187" s="318" t="n">
        <v>1.04</v>
      </c>
      <c r="AI187" s="318" t="n">
        <v>1.05</v>
      </c>
      <c r="AJ187" s="318" t="n">
        <v>1</v>
      </c>
      <c r="AK187" s="318" t="n">
        <v>1</v>
      </c>
      <c r="AL187" s="318" t="n">
        <v>1.02</v>
      </c>
      <c r="AM187" s="318" t="n">
        <v>1</v>
      </c>
      <c r="AN187" s="318" t="n">
        <v>1</v>
      </c>
      <c r="AO187" s="318" t="n">
        <v>1</v>
      </c>
    </row>
    <row r="188" customFormat="false" ht="12.75" hidden="false" customHeight="false" outlineLevel="0" collapsed="false">
      <c r="A188" s="317" t="n">
        <v>42401</v>
      </c>
      <c r="B188" s="318" t="n">
        <v>1</v>
      </c>
      <c r="C188" s="318" t="n">
        <v>1</v>
      </c>
      <c r="D188" s="318" t="n">
        <v>1</v>
      </c>
      <c r="E188" s="318" t="n">
        <v>1</v>
      </c>
      <c r="F188" s="318" t="n">
        <v>1</v>
      </c>
      <c r="G188" s="318" t="n">
        <v>1</v>
      </c>
      <c r="H188" s="318" t="n">
        <v>1</v>
      </c>
      <c r="I188" s="318" t="n">
        <v>1</v>
      </c>
      <c r="J188" s="318" t="n">
        <v>1</v>
      </c>
      <c r="K188" s="318" t="n">
        <v>1</v>
      </c>
      <c r="L188" s="318" t="n">
        <v>1</v>
      </c>
      <c r="M188" s="318" t="n">
        <v>1</v>
      </c>
      <c r="N188" s="318" t="n">
        <v>1</v>
      </c>
      <c r="O188" s="318" t="n">
        <v>1</v>
      </c>
      <c r="P188" s="318" t="n">
        <v>1.03</v>
      </c>
      <c r="Q188" s="318" t="n">
        <v>1.03</v>
      </c>
      <c r="R188" s="318" t="n">
        <v>1</v>
      </c>
      <c r="S188" s="318" t="n">
        <v>1</v>
      </c>
      <c r="T188" s="318" t="n">
        <v>1.02</v>
      </c>
      <c r="U188" s="318" t="n">
        <v>1</v>
      </c>
      <c r="V188" s="318" t="n">
        <v>1</v>
      </c>
      <c r="W188" s="318" t="n">
        <v>1</v>
      </c>
      <c r="X188" s="318" t="n">
        <v>1</v>
      </c>
      <c r="Y188" s="318" t="n">
        <v>1</v>
      </c>
      <c r="Z188" s="318" t="n">
        <v>1</v>
      </c>
      <c r="AA188" s="318" t="n">
        <v>1</v>
      </c>
      <c r="AB188" s="318" t="n">
        <v>1</v>
      </c>
      <c r="AC188" s="318" t="n">
        <v>1</v>
      </c>
      <c r="AD188" s="318" t="n">
        <v>1</v>
      </c>
      <c r="AE188" s="318" t="n">
        <v>1</v>
      </c>
      <c r="AF188" s="318" t="n">
        <v>1</v>
      </c>
      <c r="AG188" s="318" t="n">
        <v>1.1</v>
      </c>
      <c r="AH188" s="318" t="n">
        <v>1.04</v>
      </c>
      <c r="AI188" s="318" t="n">
        <v>1.05</v>
      </c>
      <c r="AJ188" s="318" t="n">
        <v>1</v>
      </c>
      <c r="AK188" s="318" t="n">
        <v>1</v>
      </c>
      <c r="AL188" s="318" t="n">
        <v>1.02</v>
      </c>
      <c r="AM188" s="318" t="n">
        <v>1</v>
      </c>
      <c r="AN188" s="318" t="n">
        <v>1</v>
      </c>
      <c r="AO188" s="318" t="n">
        <v>1</v>
      </c>
    </row>
    <row r="189" customFormat="false" ht="12.75" hidden="false" customHeight="false" outlineLevel="0" collapsed="false">
      <c r="A189" s="317" t="n">
        <v>42430</v>
      </c>
      <c r="B189" s="318" t="n">
        <v>1</v>
      </c>
      <c r="C189" s="318" t="n">
        <v>1</v>
      </c>
      <c r="D189" s="318" t="n">
        <v>1</v>
      </c>
      <c r="E189" s="318" t="n">
        <v>1</v>
      </c>
      <c r="F189" s="318" t="n">
        <v>1</v>
      </c>
      <c r="G189" s="318" t="n">
        <v>1</v>
      </c>
      <c r="H189" s="318" t="n">
        <v>1</v>
      </c>
      <c r="I189" s="318" t="n">
        <v>1</v>
      </c>
      <c r="J189" s="318" t="n">
        <v>1</v>
      </c>
      <c r="K189" s="318" t="n">
        <v>1</v>
      </c>
      <c r="L189" s="318" t="n">
        <v>1</v>
      </c>
      <c r="M189" s="318" t="n">
        <v>1</v>
      </c>
      <c r="N189" s="318" t="n">
        <v>1</v>
      </c>
      <c r="O189" s="318" t="n">
        <v>1</v>
      </c>
      <c r="P189" s="318" t="n">
        <v>1.03</v>
      </c>
      <c r="Q189" s="318" t="n">
        <v>1.03</v>
      </c>
      <c r="R189" s="318" t="n">
        <v>1</v>
      </c>
      <c r="S189" s="318" t="n">
        <v>1</v>
      </c>
      <c r="T189" s="318" t="n">
        <v>1.02</v>
      </c>
      <c r="U189" s="318" t="n">
        <v>1</v>
      </c>
      <c r="V189" s="318" t="n">
        <v>1</v>
      </c>
      <c r="W189" s="318" t="n">
        <v>1</v>
      </c>
      <c r="X189" s="318" t="n">
        <v>1</v>
      </c>
      <c r="Y189" s="318" t="n">
        <v>1</v>
      </c>
      <c r="Z189" s="318" t="n">
        <v>1</v>
      </c>
      <c r="AA189" s="318" t="n">
        <v>1</v>
      </c>
      <c r="AB189" s="318" t="n">
        <v>1</v>
      </c>
      <c r="AC189" s="318" t="n">
        <v>1</v>
      </c>
      <c r="AD189" s="318" t="n">
        <v>1</v>
      </c>
      <c r="AE189" s="318" t="n">
        <v>1</v>
      </c>
      <c r="AF189" s="318" t="n">
        <v>1</v>
      </c>
      <c r="AG189" s="318" t="n">
        <v>1.1</v>
      </c>
      <c r="AH189" s="318" t="n">
        <v>1.04</v>
      </c>
      <c r="AI189" s="318" t="n">
        <v>1.05</v>
      </c>
      <c r="AJ189" s="318" t="n">
        <v>1</v>
      </c>
      <c r="AK189" s="318" t="n">
        <v>1</v>
      </c>
      <c r="AL189" s="318" t="n">
        <v>1.02</v>
      </c>
      <c r="AM189" s="318" t="n">
        <v>1</v>
      </c>
      <c r="AN189" s="318" t="n">
        <v>1</v>
      </c>
      <c r="AO189" s="318" t="n">
        <v>1</v>
      </c>
    </row>
    <row r="190" customFormat="false" ht="12.75" hidden="false" customHeight="false" outlineLevel="0" collapsed="false">
      <c r="A190" s="317" t="n">
        <v>42461</v>
      </c>
      <c r="B190" s="318" t="n">
        <v>1</v>
      </c>
      <c r="C190" s="318" t="n">
        <v>1</v>
      </c>
      <c r="D190" s="318" t="n">
        <v>1</v>
      </c>
      <c r="E190" s="318" t="n">
        <v>1</v>
      </c>
      <c r="F190" s="318" t="n">
        <v>1</v>
      </c>
      <c r="G190" s="318" t="n">
        <v>1</v>
      </c>
      <c r="H190" s="318" t="n">
        <v>1</v>
      </c>
      <c r="I190" s="318" t="n">
        <v>1</v>
      </c>
      <c r="J190" s="318" t="n">
        <v>1</v>
      </c>
      <c r="K190" s="318" t="n">
        <v>1</v>
      </c>
      <c r="L190" s="318" t="n">
        <v>1</v>
      </c>
      <c r="M190" s="318" t="n">
        <v>1</v>
      </c>
      <c r="N190" s="318" t="n">
        <v>1</v>
      </c>
      <c r="O190" s="318" t="n">
        <v>1</v>
      </c>
      <c r="P190" s="318" t="n">
        <v>1.03</v>
      </c>
      <c r="Q190" s="318" t="n">
        <v>1.03</v>
      </c>
      <c r="R190" s="318" t="n">
        <v>1</v>
      </c>
      <c r="S190" s="318" t="n">
        <v>1</v>
      </c>
      <c r="T190" s="318" t="n">
        <v>1.02</v>
      </c>
      <c r="U190" s="318" t="n">
        <v>1</v>
      </c>
      <c r="V190" s="318" t="n">
        <v>1</v>
      </c>
      <c r="W190" s="318" t="n">
        <v>1</v>
      </c>
      <c r="X190" s="318" t="n">
        <v>1</v>
      </c>
      <c r="Y190" s="318" t="n">
        <v>1</v>
      </c>
      <c r="Z190" s="318" t="n">
        <v>1.02</v>
      </c>
      <c r="AA190" s="318" t="n">
        <v>1</v>
      </c>
      <c r="AB190" s="318" t="n">
        <v>1</v>
      </c>
      <c r="AC190" s="318" t="n">
        <v>1</v>
      </c>
      <c r="AD190" s="318" t="n">
        <v>1</v>
      </c>
      <c r="AE190" s="318" t="n">
        <v>0.98</v>
      </c>
      <c r="AF190" s="318" t="n">
        <v>0.98</v>
      </c>
      <c r="AG190" s="318" t="n">
        <v>0.98</v>
      </c>
      <c r="AH190" s="318" t="n">
        <v>1</v>
      </c>
      <c r="AI190" s="318" t="n">
        <v>1.05</v>
      </c>
      <c r="AJ190" s="318" t="n">
        <v>1</v>
      </c>
      <c r="AK190" s="318" t="n">
        <v>1</v>
      </c>
      <c r="AL190" s="318" t="n">
        <v>1.02</v>
      </c>
      <c r="AM190" s="318" t="n">
        <v>1</v>
      </c>
      <c r="AN190" s="318" t="n">
        <v>1</v>
      </c>
      <c r="AO190" s="318" t="n">
        <v>1</v>
      </c>
    </row>
    <row r="191" customFormat="false" ht="12.75" hidden="false" customHeight="false" outlineLevel="0" collapsed="false">
      <c r="A191" s="317" t="n">
        <v>42491</v>
      </c>
      <c r="B191" s="318" t="n">
        <v>1</v>
      </c>
      <c r="C191" s="318" t="n">
        <v>1</v>
      </c>
      <c r="D191" s="318" t="n">
        <v>1</v>
      </c>
      <c r="E191" s="318" t="n">
        <v>1</v>
      </c>
      <c r="F191" s="318" t="n">
        <v>1</v>
      </c>
      <c r="G191" s="318" t="n">
        <v>1</v>
      </c>
      <c r="H191" s="318" t="n">
        <v>1</v>
      </c>
      <c r="I191" s="318" t="n">
        <v>1</v>
      </c>
      <c r="J191" s="318" t="n">
        <v>1</v>
      </c>
      <c r="K191" s="318" t="n">
        <v>1</v>
      </c>
      <c r="L191" s="318" t="n">
        <v>1</v>
      </c>
      <c r="M191" s="318" t="n">
        <v>1</v>
      </c>
      <c r="N191" s="318" t="n">
        <v>1</v>
      </c>
      <c r="O191" s="318" t="n">
        <v>1</v>
      </c>
      <c r="P191" s="318" t="n">
        <v>1.03</v>
      </c>
      <c r="Q191" s="318" t="n">
        <v>1.03</v>
      </c>
      <c r="R191" s="318" t="n">
        <v>1</v>
      </c>
      <c r="S191" s="318" t="n">
        <v>1</v>
      </c>
      <c r="T191" s="318" t="n">
        <v>1.02</v>
      </c>
      <c r="U191" s="318" t="n">
        <v>1</v>
      </c>
      <c r="V191" s="318" t="n">
        <v>1</v>
      </c>
      <c r="W191" s="318" t="n">
        <v>1</v>
      </c>
      <c r="X191" s="318" t="n">
        <v>1</v>
      </c>
      <c r="Y191" s="318" t="n">
        <v>1</v>
      </c>
      <c r="Z191" s="318" t="n">
        <v>1.02</v>
      </c>
      <c r="AA191" s="318" t="n">
        <v>1</v>
      </c>
      <c r="AB191" s="318" t="n">
        <v>1</v>
      </c>
      <c r="AC191" s="318" t="n">
        <v>1</v>
      </c>
      <c r="AD191" s="318" t="n">
        <v>1</v>
      </c>
      <c r="AE191" s="318" t="n">
        <v>0.98</v>
      </c>
      <c r="AF191" s="318" t="n">
        <v>0.98</v>
      </c>
      <c r="AG191" s="318" t="n">
        <v>0.98</v>
      </c>
      <c r="AH191" s="318" t="n">
        <v>1</v>
      </c>
      <c r="AI191" s="318" t="n">
        <v>1.05</v>
      </c>
      <c r="AJ191" s="318" t="n">
        <v>1</v>
      </c>
      <c r="AK191" s="318" t="n">
        <v>1</v>
      </c>
      <c r="AL191" s="318" t="n">
        <v>1.02</v>
      </c>
      <c r="AM191" s="318" t="n">
        <v>1</v>
      </c>
      <c r="AN191" s="318" t="n">
        <v>1</v>
      </c>
      <c r="AO191" s="318" t="n">
        <v>1</v>
      </c>
    </row>
    <row r="192" customFormat="false" ht="12.75" hidden="false" customHeight="false" outlineLevel="0" collapsed="false">
      <c r="A192" s="317" t="n">
        <v>42522</v>
      </c>
      <c r="B192" s="318" t="n">
        <v>1</v>
      </c>
      <c r="C192" s="318" t="n">
        <v>1</v>
      </c>
      <c r="D192" s="318" t="n">
        <v>1</v>
      </c>
      <c r="E192" s="318" t="n">
        <v>1</v>
      </c>
      <c r="F192" s="318" t="n">
        <v>1</v>
      </c>
      <c r="G192" s="318" t="n">
        <v>1</v>
      </c>
      <c r="H192" s="318" t="n">
        <v>1</v>
      </c>
      <c r="I192" s="318" t="n">
        <v>1</v>
      </c>
      <c r="J192" s="318" t="n">
        <v>1</v>
      </c>
      <c r="K192" s="318" t="n">
        <v>1</v>
      </c>
      <c r="L192" s="318" t="n">
        <v>1</v>
      </c>
      <c r="M192" s="318" t="n">
        <v>1</v>
      </c>
      <c r="N192" s="318" t="n">
        <v>1</v>
      </c>
      <c r="O192" s="318" t="n">
        <v>1</v>
      </c>
      <c r="P192" s="318" t="n">
        <v>1.03</v>
      </c>
      <c r="Q192" s="318" t="n">
        <v>1.03</v>
      </c>
      <c r="R192" s="318" t="n">
        <v>1</v>
      </c>
      <c r="S192" s="318" t="n">
        <v>1</v>
      </c>
      <c r="T192" s="318" t="n">
        <v>1.02</v>
      </c>
      <c r="U192" s="318" t="n">
        <v>1</v>
      </c>
      <c r="V192" s="318" t="n">
        <v>1</v>
      </c>
      <c r="W192" s="318" t="n">
        <v>1</v>
      </c>
      <c r="X192" s="318" t="n">
        <v>1</v>
      </c>
      <c r="Y192" s="318" t="n">
        <v>1</v>
      </c>
      <c r="Z192" s="318" t="n">
        <v>1.02</v>
      </c>
      <c r="AA192" s="318" t="n">
        <v>1</v>
      </c>
      <c r="AB192" s="318" t="n">
        <v>1</v>
      </c>
      <c r="AC192" s="318" t="n">
        <v>1</v>
      </c>
      <c r="AD192" s="318" t="n">
        <v>1</v>
      </c>
      <c r="AE192" s="318" t="n">
        <v>0.98</v>
      </c>
      <c r="AF192" s="318" t="n">
        <v>0.98</v>
      </c>
      <c r="AG192" s="318" t="n">
        <v>0.98</v>
      </c>
      <c r="AH192" s="318" t="n">
        <v>1</v>
      </c>
      <c r="AI192" s="318" t="n">
        <v>1.05</v>
      </c>
      <c r="AJ192" s="318" t="n">
        <v>1</v>
      </c>
      <c r="AK192" s="318" t="n">
        <v>1</v>
      </c>
      <c r="AL192" s="318" t="n">
        <v>1.02</v>
      </c>
      <c r="AM192" s="318" t="n">
        <v>1</v>
      </c>
      <c r="AN192" s="318" t="n">
        <v>1</v>
      </c>
      <c r="AO192" s="318" t="n">
        <v>1</v>
      </c>
    </row>
    <row r="193" customFormat="false" ht="12.75" hidden="false" customHeight="false" outlineLevel="0" collapsed="false">
      <c r="A193" s="317" t="n">
        <v>42552</v>
      </c>
      <c r="B193" s="318" t="n">
        <v>1</v>
      </c>
      <c r="C193" s="318" t="n">
        <v>1</v>
      </c>
      <c r="D193" s="318" t="n">
        <v>1</v>
      </c>
      <c r="E193" s="318" t="n">
        <v>1</v>
      </c>
      <c r="F193" s="318" t="n">
        <v>1</v>
      </c>
      <c r="G193" s="318" t="n">
        <v>1</v>
      </c>
      <c r="H193" s="318" t="n">
        <v>1</v>
      </c>
      <c r="I193" s="318" t="n">
        <v>1</v>
      </c>
      <c r="J193" s="318" t="n">
        <v>1</v>
      </c>
      <c r="K193" s="318" t="n">
        <v>1</v>
      </c>
      <c r="L193" s="318" t="n">
        <v>1</v>
      </c>
      <c r="M193" s="318" t="n">
        <v>1</v>
      </c>
      <c r="N193" s="318" t="n">
        <v>1</v>
      </c>
      <c r="O193" s="318" t="n">
        <v>1</v>
      </c>
      <c r="P193" s="318" t="n">
        <v>1.03</v>
      </c>
      <c r="Q193" s="318" t="n">
        <v>1.03</v>
      </c>
      <c r="R193" s="318" t="n">
        <v>1</v>
      </c>
      <c r="S193" s="318" t="n">
        <v>1</v>
      </c>
      <c r="T193" s="318" t="n">
        <v>1.02</v>
      </c>
      <c r="U193" s="318" t="n">
        <v>1</v>
      </c>
      <c r="V193" s="318" t="n">
        <v>1</v>
      </c>
      <c r="W193" s="318" t="n">
        <v>1</v>
      </c>
      <c r="X193" s="318" t="n">
        <v>1</v>
      </c>
      <c r="Y193" s="318" t="n">
        <v>1</v>
      </c>
      <c r="Z193" s="318" t="n">
        <v>1.02</v>
      </c>
      <c r="AA193" s="318" t="n">
        <v>1</v>
      </c>
      <c r="AB193" s="318" t="n">
        <v>1</v>
      </c>
      <c r="AC193" s="318" t="n">
        <v>1</v>
      </c>
      <c r="AD193" s="318" t="n">
        <v>1</v>
      </c>
      <c r="AE193" s="318" t="n">
        <v>0.98</v>
      </c>
      <c r="AF193" s="318" t="n">
        <v>0.98</v>
      </c>
      <c r="AG193" s="318" t="n">
        <v>0.98</v>
      </c>
      <c r="AH193" s="318" t="n">
        <v>1</v>
      </c>
      <c r="AI193" s="318" t="n">
        <v>1.05</v>
      </c>
      <c r="AJ193" s="318" t="n">
        <v>1</v>
      </c>
      <c r="AK193" s="318" t="n">
        <v>1</v>
      </c>
      <c r="AL193" s="318" t="n">
        <v>1.02</v>
      </c>
      <c r="AM193" s="318" t="n">
        <v>1</v>
      </c>
      <c r="AN193" s="318" t="n">
        <v>1</v>
      </c>
      <c r="AO193" s="318" t="n">
        <v>1</v>
      </c>
    </row>
    <row r="194" customFormat="false" ht="12.75" hidden="false" customHeight="false" outlineLevel="0" collapsed="false">
      <c r="A194" s="317" t="n">
        <v>42583</v>
      </c>
      <c r="B194" s="318" t="n">
        <v>1</v>
      </c>
      <c r="C194" s="318" t="n">
        <v>1</v>
      </c>
      <c r="D194" s="318" t="n">
        <v>1</v>
      </c>
      <c r="E194" s="318" t="n">
        <v>1</v>
      </c>
      <c r="F194" s="318" t="n">
        <v>1</v>
      </c>
      <c r="G194" s="318" t="n">
        <v>1</v>
      </c>
      <c r="H194" s="318" t="n">
        <v>1</v>
      </c>
      <c r="I194" s="318" t="n">
        <v>1</v>
      </c>
      <c r="J194" s="318" t="n">
        <v>1</v>
      </c>
      <c r="K194" s="318" t="n">
        <v>1</v>
      </c>
      <c r="L194" s="318" t="n">
        <v>1</v>
      </c>
      <c r="M194" s="318" t="n">
        <v>1</v>
      </c>
      <c r="N194" s="318" t="n">
        <v>1</v>
      </c>
      <c r="O194" s="318" t="n">
        <v>1</v>
      </c>
      <c r="P194" s="318" t="n">
        <v>1.03</v>
      </c>
      <c r="Q194" s="318" t="n">
        <v>1.03</v>
      </c>
      <c r="R194" s="318" t="n">
        <v>1</v>
      </c>
      <c r="S194" s="318" t="n">
        <v>1</v>
      </c>
      <c r="T194" s="318" t="n">
        <v>1.02</v>
      </c>
      <c r="U194" s="318" t="n">
        <v>1</v>
      </c>
      <c r="V194" s="318" t="n">
        <v>1</v>
      </c>
      <c r="W194" s="318" t="n">
        <v>1</v>
      </c>
      <c r="X194" s="318" t="n">
        <v>1</v>
      </c>
      <c r="Y194" s="318" t="n">
        <v>1</v>
      </c>
      <c r="Z194" s="318" t="n">
        <v>1.02</v>
      </c>
      <c r="AA194" s="318" t="n">
        <v>1</v>
      </c>
      <c r="AB194" s="318" t="n">
        <v>1</v>
      </c>
      <c r="AC194" s="318" t="n">
        <v>1</v>
      </c>
      <c r="AD194" s="318" t="n">
        <v>1</v>
      </c>
      <c r="AE194" s="318" t="n">
        <v>0.98</v>
      </c>
      <c r="AF194" s="318" t="n">
        <v>0.98</v>
      </c>
      <c r="AG194" s="318" t="n">
        <v>0.98</v>
      </c>
      <c r="AH194" s="318" t="n">
        <v>1</v>
      </c>
      <c r="AI194" s="318" t="n">
        <v>1.05</v>
      </c>
      <c r="AJ194" s="318" t="n">
        <v>1</v>
      </c>
      <c r="AK194" s="318" t="n">
        <v>1</v>
      </c>
      <c r="AL194" s="318" t="n">
        <v>1.02</v>
      </c>
      <c r="AM194" s="318" t="n">
        <v>1</v>
      </c>
      <c r="AN194" s="318" t="n">
        <v>1</v>
      </c>
      <c r="AO194" s="318" t="n">
        <v>1</v>
      </c>
    </row>
    <row r="195" customFormat="false" ht="12.75" hidden="false" customHeight="false" outlineLevel="0" collapsed="false">
      <c r="A195" s="317" t="n">
        <v>42614</v>
      </c>
      <c r="B195" s="318" t="n">
        <v>1</v>
      </c>
      <c r="C195" s="318" t="n">
        <v>1</v>
      </c>
      <c r="D195" s="318" t="n">
        <v>1</v>
      </c>
      <c r="E195" s="318" t="n">
        <v>1</v>
      </c>
      <c r="F195" s="318" t="n">
        <v>1</v>
      </c>
      <c r="G195" s="318" t="n">
        <v>1</v>
      </c>
      <c r="H195" s="318" t="n">
        <v>1</v>
      </c>
      <c r="I195" s="318" t="n">
        <v>1</v>
      </c>
      <c r="J195" s="318" t="n">
        <v>1</v>
      </c>
      <c r="K195" s="318" t="n">
        <v>1</v>
      </c>
      <c r="L195" s="318" t="n">
        <v>1</v>
      </c>
      <c r="M195" s="318" t="n">
        <v>1</v>
      </c>
      <c r="N195" s="318" t="n">
        <v>1</v>
      </c>
      <c r="O195" s="318" t="n">
        <v>1</v>
      </c>
      <c r="P195" s="318" t="n">
        <v>1.03</v>
      </c>
      <c r="Q195" s="318" t="n">
        <v>1.03</v>
      </c>
      <c r="R195" s="318" t="n">
        <v>1</v>
      </c>
      <c r="S195" s="318" t="n">
        <v>1</v>
      </c>
      <c r="T195" s="318" t="n">
        <v>1.02</v>
      </c>
      <c r="U195" s="318" t="n">
        <v>1</v>
      </c>
      <c r="V195" s="318" t="n">
        <v>1</v>
      </c>
      <c r="W195" s="318" t="n">
        <v>1</v>
      </c>
      <c r="X195" s="318" t="n">
        <v>1</v>
      </c>
      <c r="Y195" s="318" t="n">
        <v>1</v>
      </c>
      <c r="Z195" s="318" t="n">
        <v>1.02</v>
      </c>
      <c r="AA195" s="318" t="n">
        <v>1</v>
      </c>
      <c r="AB195" s="318" t="n">
        <v>1</v>
      </c>
      <c r="AC195" s="318" t="n">
        <v>1</v>
      </c>
      <c r="AD195" s="318" t="n">
        <v>1</v>
      </c>
      <c r="AE195" s="318" t="n">
        <v>0.98</v>
      </c>
      <c r="AF195" s="318" t="n">
        <v>0.98</v>
      </c>
      <c r="AG195" s="318" t="n">
        <v>0.98</v>
      </c>
      <c r="AH195" s="318" t="n">
        <v>1</v>
      </c>
      <c r="AI195" s="318" t="n">
        <v>1.05</v>
      </c>
      <c r="AJ195" s="318" t="n">
        <v>1</v>
      </c>
      <c r="AK195" s="318" t="n">
        <v>1</v>
      </c>
      <c r="AL195" s="318" t="n">
        <v>1.02</v>
      </c>
      <c r="AM195" s="318" t="n">
        <v>1</v>
      </c>
      <c r="AN195" s="318" t="n">
        <v>1</v>
      </c>
      <c r="AO195" s="318" t="n">
        <v>1</v>
      </c>
    </row>
    <row r="196" customFormat="false" ht="12.75" hidden="false" customHeight="false" outlineLevel="0" collapsed="false">
      <c r="A196" s="317" t="n">
        <v>42644</v>
      </c>
      <c r="B196" s="318" t="n">
        <v>1</v>
      </c>
      <c r="C196" s="318" t="n">
        <v>1</v>
      </c>
      <c r="D196" s="318" t="n">
        <v>1</v>
      </c>
      <c r="E196" s="318" t="n">
        <v>1</v>
      </c>
      <c r="F196" s="318" t="n">
        <v>1</v>
      </c>
      <c r="G196" s="318" t="n">
        <v>1</v>
      </c>
      <c r="H196" s="318" t="n">
        <v>1</v>
      </c>
      <c r="I196" s="318" t="n">
        <v>1</v>
      </c>
      <c r="J196" s="318" t="n">
        <v>1</v>
      </c>
      <c r="K196" s="318" t="n">
        <v>1</v>
      </c>
      <c r="L196" s="318" t="n">
        <v>1</v>
      </c>
      <c r="M196" s="318" t="n">
        <v>1</v>
      </c>
      <c r="N196" s="318" t="n">
        <v>1</v>
      </c>
      <c r="O196" s="318" t="n">
        <v>1</v>
      </c>
      <c r="P196" s="318" t="n">
        <v>1.03</v>
      </c>
      <c r="Q196" s="318" t="n">
        <v>1.03</v>
      </c>
      <c r="R196" s="318" t="n">
        <v>1</v>
      </c>
      <c r="S196" s="318" t="n">
        <v>1</v>
      </c>
      <c r="T196" s="318" t="n">
        <v>1.02</v>
      </c>
      <c r="U196" s="318" t="n">
        <v>1</v>
      </c>
      <c r="V196" s="318" t="n">
        <v>1</v>
      </c>
      <c r="W196" s="318" t="n">
        <v>1</v>
      </c>
      <c r="X196" s="318" t="n">
        <v>1</v>
      </c>
      <c r="Y196" s="318" t="n">
        <v>1</v>
      </c>
      <c r="Z196" s="318" t="n">
        <v>1.02</v>
      </c>
      <c r="AA196" s="318" t="n">
        <v>1</v>
      </c>
      <c r="AB196" s="318" t="n">
        <v>1</v>
      </c>
      <c r="AC196" s="318" t="n">
        <v>1</v>
      </c>
      <c r="AD196" s="318" t="n">
        <v>1</v>
      </c>
      <c r="AE196" s="318" t="n">
        <v>0.98</v>
      </c>
      <c r="AF196" s="318" t="n">
        <v>0.98</v>
      </c>
      <c r="AG196" s="318" t="n">
        <v>0.98</v>
      </c>
      <c r="AH196" s="318" t="n">
        <v>1</v>
      </c>
      <c r="AI196" s="318" t="n">
        <v>1.05</v>
      </c>
      <c r="AJ196" s="318" t="n">
        <v>1</v>
      </c>
      <c r="AK196" s="318" t="n">
        <v>1</v>
      </c>
      <c r="AL196" s="318" t="n">
        <v>1.02</v>
      </c>
      <c r="AM196" s="318" t="n">
        <v>1</v>
      </c>
      <c r="AN196" s="318" t="n">
        <v>1</v>
      </c>
      <c r="AO196" s="318" t="n">
        <v>1</v>
      </c>
    </row>
    <row r="197" customFormat="false" ht="12.75" hidden="false" customHeight="false" outlineLevel="0" collapsed="false">
      <c r="A197" s="317" t="n">
        <v>42675</v>
      </c>
      <c r="B197" s="318" t="n">
        <v>1</v>
      </c>
      <c r="C197" s="318" t="n">
        <v>1</v>
      </c>
      <c r="D197" s="318" t="n">
        <v>1</v>
      </c>
      <c r="E197" s="318" t="n">
        <v>1</v>
      </c>
      <c r="F197" s="318" t="n">
        <v>1</v>
      </c>
      <c r="G197" s="318" t="n">
        <v>1</v>
      </c>
      <c r="H197" s="318" t="n">
        <v>1</v>
      </c>
      <c r="I197" s="318" t="n">
        <v>1</v>
      </c>
      <c r="J197" s="318" t="n">
        <v>1</v>
      </c>
      <c r="K197" s="318" t="n">
        <v>1</v>
      </c>
      <c r="L197" s="318" t="n">
        <v>1</v>
      </c>
      <c r="M197" s="318" t="n">
        <v>1</v>
      </c>
      <c r="N197" s="318" t="n">
        <v>1</v>
      </c>
      <c r="O197" s="318" t="n">
        <v>1</v>
      </c>
      <c r="P197" s="318" t="n">
        <v>1.03</v>
      </c>
      <c r="Q197" s="318" t="n">
        <v>1.03</v>
      </c>
      <c r="R197" s="318" t="n">
        <v>1</v>
      </c>
      <c r="S197" s="318" t="n">
        <v>1</v>
      </c>
      <c r="T197" s="318" t="n">
        <v>1.02</v>
      </c>
      <c r="U197" s="318" t="n">
        <v>1</v>
      </c>
      <c r="V197" s="318" t="n">
        <v>1</v>
      </c>
      <c r="W197" s="318" t="n">
        <v>1</v>
      </c>
      <c r="X197" s="318" t="n">
        <v>1</v>
      </c>
      <c r="Y197" s="318" t="n">
        <v>1</v>
      </c>
      <c r="Z197" s="318" t="n">
        <v>1</v>
      </c>
      <c r="AA197" s="318" t="n">
        <v>1</v>
      </c>
      <c r="AB197" s="318" t="n">
        <v>1</v>
      </c>
      <c r="AC197" s="318" t="n">
        <v>1</v>
      </c>
      <c r="AD197" s="318" t="n">
        <v>1</v>
      </c>
      <c r="AE197" s="318" t="n">
        <v>1</v>
      </c>
      <c r="AF197" s="318" t="n">
        <v>1</v>
      </c>
      <c r="AG197" s="318" t="n">
        <v>1.1</v>
      </c>
      <c r="AH197" s="318" t="n">
        <v>1.1</v>
      </c>
      <c r="AI197" s="318" t="n">
        <v>1.05</v>
      </c>
      <c r="AJ197" s="318" t="n">
        <v>1</v>
      </c>
      <c r="AK197" s="318" t="n">
        <v>1</v>
      </c>
      <c r="AL197" s="318" t="n">
        <v>1.02</v>
      </c>
      <c r="AM197" s="318" t="n">
        <v>1</v>
      </c>
      <c r="AN197" s="318" t="n">
        <v>1</v>
      </c>
      <c r="AO197" s="318" t="n">
        <v>1</v>
      </c>
    </row>
    <row r="198" customFormat="false" ht="12.75" hidden="false" customHeight="false" outlineLevel="0" collapsed="false">
      <c r="A198" s="317" t="n">
        <v>42705</v>
      </c>
      <c r="B198" s="318" t="n">
        <v>1</v>
      </c>
      <c r="C198" s="318" t="n">
        <v>1</v>
      </c>
      <c r="D198" s="318" t="n">
        <v>1</v>
      </c>
      <c r="E198" s="318" t="n">
        <v>1</v>
      </c>
      <c r="F198" s="318" t="n">
        <v>1</v>
      </c>
      <c r="G198" s="318" t="n">
        <v>1</v>
      </c>
      <c r="H198" s="318" t="n">
        <v>1</v>
      </c>
      <c r="I198" s="318" t="n">
        <v>1</v>
      </c>
      <c r="J198" s="318" t="n">
        <v>1</v>
      </c>
      <c r="K198" s="318" t="n">
        <v>1</v>
      </c>
      <c r="L198" s="318" t="n">
        <v>1</v>
      </c>
      <c r="M198" s="318" t="n">
        <v>1</v>
      </c>
      <c r="N198" s="318" t="n">
        <v>1</v>
      </c>
      <c r="O198" s="318" t="n">
        <v>1</v>
      </c>
      <c r="P198" s="318" t="n">
        <v>1.03</v>
      </c>
      <c r="Q198" s="318" t="n">
        <v>1.03</v>
      </c>
      <c r="R198" s="318" t="n">
        <v>1</v>
      </c>
      <c r="S198" s="318" t="n">
        <v>1</v>
      </c>
      <c r="T198" s="318" t="n">
        <v>1.02</v>
      </c>
      <c r="U198" s="318" t="n">
        <v>1</v>
      </c>
      <c r="V198" s="318" t="n">
        <v>1</v>
      </c>
      <c r="W198" s="318" t="n">
        <v>1</v>
      </c>
      <c r="X198" s="318" t="n">
        <v>1</v>
      </c>
      <c r="Y198" s="318" t="n">
        <v>1</v>
      </c>
      <c r="Z198" s="318" t="n">
        <v>1</v>
      </c>
      <c r="AA198" s="318" t="n">
        <v>1</v>
      </c>
      <c r="AB198" s="318" t="n">
        <v>1</v>
      </c>
      <c r="AC198" s="318" t="n">
        <v>1</v>
      </c>
      <c r="AD198" s="318" t="n">
        <v>1</v>
      </c>
      <c r="AE198" s="318" t="n">
        <v>1</v>
      </c>
      <c r="AF198" s="318" t="n">
        <v>1</v>
      </c>
      <c r="AG198" s="318" t="n">
        <v>1.1</v>
      </c>
      <c r="AH198" s="318" t="n">
        <v>1.02</v>
      </c>
      <c r="AI198" s="318" t="n">
        <v>1.05</v>
      </c>
      <c r="AJ198" s="318" t="n">
        <v>1</v>
      </c>
      <c r="AK198" s="318" t="n">
        <v>1</v>
      </c>
      <c r="AL198" s="318" t="n">
        <v>1.02</v>
      </c>
      <c r="AM198" s="318" t="n">
        <v>1</v>
      </c>
      <c r="AN198" s="318" t="n">
        <v>1</v>
      </c>
      <c r="AO198" s="318" t="n">
        <v>1</v>
      </c>
    </row>
    <row r="199" customFormat="false" ht="12.75" hidden="false" customHeight="false" outlineLevel="0" collapsed="false">
      <c r="A199" s="317" t="n">
        <v>42736</v>
      </c>
      <c r="B199" s="318" t="n">
        <v>1</v>
      </c>
      <c r="C199" s="318" t="n">
        <v>1</v>
      </c>
      <c r="D199" s="318" t="n">
        <v>1</v>
      </c>
      <c r="E199" s="318" t="n">
        <v>1</v>
      </c>
      <c r="F199" s="318" t="n">
        <v>1</v>
      </c>
      <c r="G199" s="318" t="n">
        <v>1</v>
      </c>
      <c r="H199" s="318" t="n">
        <v>1</v>
      </c>
      <c r="I199" s="318" t="n">
        <v>1</v>
      </c>
      <c r="J199" s="318" t="n">
        <v>1</v>
      </c>
      <c r="K199" s="318" t="n">
        <v>1</v>
      </c>
      <c r="L199" s="318" t="n">
        <v>1</v>
      </c>
      <c r="M199" s="318" t="n">
        <v>1</v>
      </c>
      <c r="N199" s="318" t="n">
        <v>1</v>
      </c>
      <c r="O199" s="318" t="n">
        <v>1</v>
      </c>
      <c r="P199" s="318" t="n">
        <v>1.03</v>
      </c>
      <c r="Q199" s="318" t="n">
        <v>1.03</v>
      </c>
      <c r="R199" s="318" t="n">
        <v>1</v>
      </c>
      <c r="S199" s="318" t="n">
        <v>1</v>
      </c>
      <c r="T199" s="318" t="n">
        <v>1.02</v>
      </c>
      <c r="U199" s="318" t="n">
        <v>1</v>
      </c>
      <c r="V199" s="318" t="n">
        <v>1</v>
      </c>
      <c r="W199" s="318" t="n">
        <v>1</v>
      </c>
      <c r="X199" s="318" t="n">
        <v>1</v>
      </c>
      <c r="Y199" s="318" t="n">
        <v>1</v>
      </c>
      <c r="Z199" s="318" t="n">
        <v>1</v>
      </c>
      <c r="AA199" s="318" t="n">
        <v>1</v>
      </c>
      <c r="AB199" s="318" t="n">
        <v>1</v>
      </c>
      <c r="AC199" s="318" t="n">
        <v>1</v>
      </c>
      <c r="AD199" s="318" t="n">
        <v>1</v>
      </c>
      <c r="AE199" s="318" t="n">
        <v>1</v>
      </c>
      <c r="AF199" s="318" t="n">
        <v>1</v>
      </c>
      <c r="AG199" s="318" t="n">
        <v>1.1</v>
      </c>
      <c r="AH199" s="318" t="n">
        <v>1.04</v>
      </c>
      <c r="AI199" s="318" t="n">
        <v>1.05</v>
      </c>
      <c r="AJ199" s="318" t="n">
        <v>1</v>
      </c>
      <c r="AK199" s="318" t="n">
        <v>1</v>
      </c>
      <c r="AL199" s="318" t="n">
        <v>1.02</v>
      </c>
      <c r="AM199" s="318" t="n">
        <v>1</v>
      </c>
      <c r="AN199" s="318" t="n">
        <v>1</v>
      </c>
      <c r="AO199" s="318" t="n">
        <v>1</v>
      </c>
    </row>
    <row r="200" customFormat="false" ht="12.75" hidden="false" customHeight="false" outlineLevel="0" collapsed="false">
      <c r="A200" s="317" t="n">
        <v>42767</v>
      </c>
      <c r="B200" s="318" t="n">
        <v>1</v>
      </c>
      <c r="C200" s="318" t="n">
        <v>1</v>
      </c>
      <c r="D200" s="318" t="n">
        <v>1</v>
      </c>
      <c r="E200" s="318" t="n">
        <v>1</v>
      </c>
      <c r="F200" s="318" t="n">
        <v>1</v>
      </c>
      <c r="G200" s="318" t="n">
        <v>1</v>
      </c>
      <c r="H200" s="318" t="n">
        <v>1</v>
      </c>
      <c r="I200" s="318" t="n">
        <v>1</v>
      </c>
      <c r="J200" s="318" t="n">
        <v>1</v>
      </c>
      <c r="K200" s="318" t="n">
        <v>1</v>
      </c>
      <c r="L200" s="318" t="n">
        <v>1</v>
      </c>
      <c r="M200" s="318" t="n">
        <v>1</v>
      </c>
      <c r="N200" s="318" t="n">
        <v>1</v>
      </c>
      <c r="O200" s="318" t="n">
        <v>1</v>
      </c>
      <c r="P200" s="318" t="n">
        <v>1.03</v>
      </c>
      <c r="Q200" s="318" t="n">
        <v>1.03</v>
      </c>
      <c r="R200" s="318" t="n">
        <v>1</v>
      </c>
      <c r="S200" s="318" t="n">
        <v>1</v>
      </c>
      <c r="T200" s="318" t="n">
        <v>1.02</v>
      </c>
      <c r="U200" s="318" t="n">
        <v>1</v>
      </c>
      <c r="V200" s="318" t="n">
        <v>1</v>
      </c>
      <c r="W200" s="318" t="n">
        <v>1</v>
      </c>
      <c r="X200" s="318" t="n">
        <v>1</v>
      </c>
      <c r="Y200" s="318" t="n">
        <v>1</v>
      </c>
      <c r="Z200" s="318" t="n">
        <v>1</v>
      </c>
      <c r="AA200" s="318" t="n">
        <v>1</v>
      </c>
      <c r="AB200" s="318" t="n">
        <v>1</v>
      </c>
      <c r="AC200" s="318" t="n">
        <v>1</v>
      </c>
      <c r="AD200" s="318" t="n">
        <v>1</v>
      </c>
      <c r="AE200" s="318" t="n">
        <v>1</v>
      </c>
      <c r="AF200" s="318" t="n">
        <v>1</v>
      </c>
      <c r="AG200" s="318" t="n">
        <v>1.1</v>
      </c>
      <c r="AH200" s="318" t="n">
        <v>1.04</v>
      </c>
      <c r="AI200" s="318" t="n">
        <v>1.05</v>
      </c>
      <c r="AJ200" s="318" t="n">
        <v>1</v>
      </c>
      <c r="AK200" s="318" t="n">
        <v>1</v>
      </c>
      <c r="AL200" s="318" t="n">
        <v>1.02</v>
      </c>
      <c r="AM200" s="318" t="n">
        <v>1</v>
      </c>
      <c r="AN200" s="318" t="n">
        <v>1</v>
      </c>
      <c r="AO200" s="318" t="n">
        <v>1</v>
      </c>
    </row>
    <row r="201" customFormat="false" ht="12.75" hidden="false" customHeight="false" outlineLevel="0" collapsed="false">
      <c r="A201" s="317" t="n">
        <v>42795</v>
      </c>
      <c r="B201" s="318" t="n">
        <v>1</v>
      </c>
      <c r="C201" s="318" t="n">
        <v>1</v>
      </c>
      <c r="D201" s="318" t="n">
        <v>1</v>
      </c>
      <c r="E201" s="318" t="n">
        <v>1</v>
      </c>
      <c r="F201" s="318" t="n">
        <v>1</v>
      </c>
      <c r="G201" s="318" t="n">
        <v>1</v>
      </c>
      <c r="H201" s="318" t="n">
        <v>1</v>
      </c>
      <c r="I201" s="318" t="n">
        <v>1</v>
      </c>
      <c r="J201" s="318" t="n">
        <v>1</v>
      </c>
      <c r="K201" s="318" t="n">
        <v>1</v>
      </c>
      <c r="L201" s="318" t="n">
        <v>1</v>
      </c>
      <c r="M201" s="318" t="n">
        <v>1</v>
      </c>
      <c r="N201" s="318" t="n">
        <v>1</v>
      </c>
      <c r="O201" s="318" t="n">
        <v>1</v>
      </c>
      <c r="P201" s="318" t="n">
        <v>1.03</v>
      </c>
      <c r="Q201" s="318" t="n">
        <v>1.03</v>
      </c>
      <c r="R201" s="318" t="n">
        <v>1</v>
      </c>
      <c r="S201" s="318" t="n">
        <v>1</v>
      </c>
      <c r="T201" s="318" t="n">
        <v>1.02</v>
      </c>
      <c r="U201" s="318" t="n">
        <v>1</v>
      </c>
      <c r="V201" s="318" t="n">
        <v>1</v>
      </c>
      <c r="W201" s="318" t="n">
        <v>1</v>
      </c>
      <c r="X201" s="318" t="n">
        <v>1</v>
      </c>
      <c r="Y201" s="318" t="n">
        <v>1</v>
      </c>
      <c r="Z201" s="318" t="n">
        <v>1</v>
      </c>
      <c r="AA201" s="318" t="n">
        <v>1</v>
      </c>
      <c r="AB201" s="318" t="n">
        <v>1</v>
      </c>
      <c r="AC201" s="318" t="n">
        <v>1</v>
      </c>
      <c r="AD201" s="318" t="n">
        <v>1</v>
      </c>
      <c r="AE201" s="318" t="n">
        <v>1</v>
      </c>
      <c r="AF201" s="318" t="n">
        <v>1</v>
      </c>
      <c r="AG201" s="318" t="n">
        <v>1.1</v>
      </c>
      <c r="AH201" s="318" t="n">
        <v>1.04</v>
      </c>
      <c r="AI201" s="318" t="n">
        <v>1.05</v>
      </c>
      <c r="AJ201" s="318" t="n">
        <v>1</v>
      </c>
      <c r="AK201" s="318" t="n">
        <v>1</v>
      </c>
      <c r="AL201" s="318" t="n">
        <v>1.02</v>
      </c>
      <c r="AM201" s="318" t="n">
        <v>1</v>
      </c>
      <c r="AN201" s="318" t="n">
        <v>1</v>
      </c>
      <c r="AO201" s="318" t="n">
        <v>1</v>
      </c>
    </row>
    <row r="202" customFormat="false" ht="12.75" hidden="false" customHeight="false" outlineLevel="0" collapsed="false">
      <c r="A202" s="317" t="n">
        <v>42826</v>
      </c>
      <c r="B202" s="318" t="n">
        <v>1</v>
      </c>
      <c r="C202" s="318" t="n">
        <v>1</v>
      </c>
      <c r="D202" s="318" t="n">
        <v>1</v>
      </c>
      <c r="E202" s="318" t="n">
        <v>1</v>
      </c>
      <c r="F202" s="318" t="n">
        <v>1</v>
      </c>
      <c r="G202" s="318" t="n">
        <v>1</v>
      </c>
      <c r="H202" s="318" t="n">
        <v>1</v>
      </c>
      <c r="I202" s="318" t="n">
        <v>1</v>
      </c>
      <c r="J202" s="318" t="n">
        <v>1</v>
      </c>
      <c r="K202" s="318" t="n">
        <v>1</v>
      </c>
      <c r="L202" s="318" t="n">
        <v>1</v>
      </c>
      <c r="M202" s="318" t="n">
        <v>1</v>
      </c>
      <c r="N202" s="318" t="n">
        <v>1</v>
      </c>
      <c r="O202" s="318" t="n">
        <v>1</v>
      </c>
      <c r="P202" s="318" t="n">
        <v>1.03</v>
      </c>
      <c r="Q202" s="318" t="n">
        <v>1.03</v>
      </c>
      <c r="R202" s="318" t="n">
        <v>1</v>
      </c>
      <c r="S202" s="318" t="n">
        <v>1</v>
      </c>
      <c r="T202" s="318" t="n">
        <v>1.02</v>
      </c>
      <c r="U202" s="318" t="n">
        <v>1</v>
      </c>
      <c r="V202" s="318" t="n">
        <v>1</v>
      </c>
      <c r="W202" s="318" t="n">
        <v>1</v>
      </c>
      <c r="X202" s="318" t="n">
        <v>1</v>
      </c>
      <c r="Y202" s="318" t="n">
        <v>1</v>
      </c>
      <c r="Z202" s="318" t="n">
        <v>1.02</v>
      </c>
      <c r="AA202" s="318" t="n">
        <v>1</v>
      </c>
      <c r="AB202" s="318" t="n">
        <v>1</v>
      </c>
      <c r="AC202" s="318" t="n">
        <v>1</v>
      </c>
      <c r="AD202" s="318" t="n">
        <v>1</v>
      </c>
      <c r="AE202" s="318" t="n">
        <v>0.98</v>
      </c>
      <c r="AF202" s="318" t="n">
        <v>0.98</v>
      </c>
      <c r="AG202" s="318" t="n">
        <v>0.98</v>
      </c>
      <c r="AH202" s="318" t="n">
        <v>1</v>
      </c>
      <c r="AI202" s="318" t="n">
        <v>1.05</v>
      </c>
      <c r="AJ202" s="318" t="n">
        <v>1</v>
      </c>
      <c r="AK202" s="318" t="n">
        <v>1</v>
      </c>
      <c r="AL202" s="318" t="n">
        <v>1.02</v>
      </c>
      <c r="AM202" s="318" t="n">
        <v>1</v>
      </c>
      <c r="AN202" s="318" t="n">
        <v>1</v>
      </c>
      <c r="AO202" s="318" t="n">
        <v>1</v>
      </c>
    </row>
    <row r="203" customFormat="false" ht="12.75" hidden="false" customHeight="false" outlineLevel="0" collapsed="false">
      <c r="A203" s="317" t="n">
        <v>42856</v>
      </c>
      <c r="B203" s="318" t="n">
        <v>1</v>
      </c>
      <c r="C203" s="318" t="n">
        <v>1</v>
      </c>
      <c r="D203" s="318" t="n">
        <v>1</v>
      </c>
      <c r="E203" s="318" t="n">
        <v>1</v>
      </c>
      <c r="F203" s="318" t="n">
        <v>1</v>
      </c>
      <c r="G203" s="318" t="n">
        <v>1</v>
      </c>
      <c r="H203" s="318" t="n">
        <v>1</v>
      </c>
      <c r="I203" s="318" t="n">
        <v>1</v>
      </c>
      <c r="J203" s="318" t="n">
        <v>1</v>
      </c>
      <c r="K203" s="318" t="n">
        <v>1</v>
      </c>
      <c r="L203" s="318" t="n">
        <v>1</v>
      </c>
      <c r="M203" s="318" t="n">
        <v>1</v>
      </c>
      <c r="N203" s="318" t="n">
        <v>1</v>
      </c>
      <c r="O203" s="318" t="n">
        <v>1</v>
      </c>
      <c r="P203" s="318" t="n">
        <v>1.03</v>
      </c>
      <c r="Q203" s="318" t="n">
        <v>1.03</v>
      </c>
      <c r="R203" s="318" t="n">
        <v>1</v>
      </c>
      <c r="S203" s="318" t="n">
        <v>1</v>
      </c>
      <c r="T203" s="318" t="n">
        <v>1.02</v>
      </c>
      <c r="U203" s="318" t="n">
        <v>1</v>
      </c>
      <c r="V203" s="318" t="n">
        <v>1</v>
      </c>
      <c r="W203" s="318" t="n">
        <v>1</v>
      </c>
      <c r="X203" s="318" t="n">
        <v>1</v>
      </c>
      <c r="Y203" s="318" t="n">
        <v>1</v>
      </c>
      <c r="Z203" s="318" t="n">
        <v>1.02</v>
      </c>
      <c r="AA203" s="318" t="n">
        <v>1</v>
      </c>
      <c r="AB203" s="318" t="n">
        <v>1</v>
      </c>
      <c r="AC203" s="318" t="n">
        <v>1</v>
      </c>
      <c r="AD203" s="318" t="n">
        <v>1</v>
      </c>
      <c r="AE203" s="318" t="n">
        <v>0.98</v>
      </c>
      <c r="AF203" s="318" t="n">
        <v>0.98</v>
      </c>
      <c r="AG203" s="318" t="n">
        <v>0.98</v>
      </c>
      <c r="AH203" s="318" t="n">
        <v>1</v>
      </c>
      <c r="AI203" s="318" t="n">
        <v>1.05</v>
      </c>
      <c r="AJ203" s="318" t="n">
        <v>1</v>
      </c>
      <c r="AK203" s="318" t="n">
        <v>1</v>
      </c>
      <c r="AL203" s="318" t="n">
        <v>1.02</v>
      </c>
      <c r="AM203" s="318" t="n">
        <v>1</v>
      </c>
      <c r="AN203" s="318" t="n">
        <v>1</v>
      </c>
      <c r="AO203" s="318" t="n">
        <v>1</v>
      </c>
    </row>
    <row r="204" customFormat="false" ht="12.75" hidden="false" customHeight="false" outlineLevel="0" collapsed="false">
      <c r="A204" s="317" t="n">
        <v>42887</v>
      </c>
      <c r="B204" s="318" t="n">
        <v>1</v>
      </c>
      <c r="C204" s="318" t="n">
        <v>1</v>
      </c>
      <c r="D204" s="318" t="n">
        <v>1</v>
      </c>
      <c r="E204" s="318" t="n">
        <v>1</v>
      </c>
      <c r="F204" s="318" t="n">
        <v>1</v>
      </c>
      <c r="G204" s="318" t="n">
        <v>1</v>
      </c>
      <c r="H204" s="318" t="n">
        <v>1</v>
      </c>
      <c r="I204" s="318" t="n">
        <v>1</v>
      </c>
      <c r="J204" s="318" t="n">
        <v>1</v>
      </c>
      <c r="K204" s="318" t="n">
        <v>1</v>
      </c>
      <c r="L204" s="318" t="n">
        <v>1</v>
      </c>
      <c r="M204" s="318" t="n">
        <v>1</v>
      </c>
      <c r="N204" s="318" t="n">
        <v>1</v>
      </c>
      <c r="O204" s="318" t="n">
        <v>1</v>
      </c>
      <c r="P204" s="318" t="n">
        <v>1.03</v>
      </c>
      <c r="Q204" s="318" t="n">
        <v>1.03</v>
      </c>
      <c r="R204" s="318" t="n">
        <v>1</v>
      </c>
      <c r="S204" s="318" t="n">
        <v>1</v>
      </c>
      <c r="T204" s="318" t="n">
        <v>1.02</v>
      </c>
      <c r="U204" s="318" t="n">
        <v>1</v>
      </c>
      <c r="V204" s="318" t="n">
        <v>1</v>
      </c>
      <c r="W204" s="318" t="n">
        <v>1</v>
      </c>
      <c r="X204" s="318" t="n">
        <v>1</v>
      </c>
      <c r="Y204" s="318" t="n">
        <v>1</v>
      </c>
      <c r="Z204" s="318" t="n">
        <v>1.02</v>
      </c>
      <c r="AA204" s="318" t="n">
        <v>1</v>
      </c>
      <c r="AB204" s="318" t="n">
        <v>1</v>
      </c>
      <c r="AC204" s="318" t="n">
        <v>1</v>
      </c>
      <c r="AD204" s="318" t="n">
        <v>1</v>
      </c>
      <c r="AE204" s="318" t="n">
        <v>0.98</v>
      </c>
      <c r="AF204" s="318" t="n">
        <v>0.98</v>
      </c>
      <c r="AG204" s="318" t="n">
        <v>0.98</v>
      </c>
      <c r="AH204" s="318" t="n">
        <v>1</v>
      </c>
      <c r="AI204" s="318" t="n">
        <v>1.05</v>
      </c>
      <c r="AJ204" s="318" t="n">
        <v>1</v>
      </c>
      <c r="AK204" s="318" t="n">
        <v>1</v>
      </c>
      <c r="AL204" s="318" t="n">
        <v>1.02</v>
      </c>
      <c r="AM204" s="318" t="n">
        <v>1</v>
      </c>
      <c r="AN204" s="318" t="n">
        <v>1</v>
      </c>
      <c r="AO204" s="318" t="n">
        <v>1</v>
      </c>
    </row>
    <row r="205" customFormat="false" ht="12.75" hidden="false" customHeight="false" outlineLevel="0" collapsed="false">
      <c r="A205" s="317" t="n">
        <v>42917</v>
      </c>
      <c r="B205" s="318" t="n">
        <v>1</v>
      </c>
      <c r="C205" s="318" t="n">
        <v>1</v>
      </c>
      <c r="D205" s="318" t="n">
        <v>1</v>
      </c>
      <c r="E205" s="318" t="n">
        <v>1</v>
      </c>
      <c r="F205" s="318" t="n">
        <v>1</v>
      </c>
      <c r="G205" s="318" t="n">
        <v>1</v>
      </c>
      <c r="H205" s="318" t="n">
        <v>1</v>
      </c>
      <c r="I205" s="318" t="n">
        <v>1</v>
      </c>
      <c r="J205" s="318" t="n">
        <v>1</v>
      </c>
      <c r="K205" s="318" t="n">
        <v>1</v>
      </c>
      <c r="L205" s="318" t="n">
        <v>1</v>
      </c>
      <c r="M205" s="318" t="n">
        <v>1</v>
      </c>
      <c r="N205" s="318" t="n">
        <v>1</v>
      </c>
      <c r="O205" s="318" t="n">
        <v>1</v>
      </c>
      <c r="P205" s="318" t="n">
        <v>1.03</v>
      </c>
      <c r="Q205" s="318" t="n">
        <v>1.03</v>
      </c>
      <c r="R205" s="318" t="n">
        <v>1</v>
      </c>
      <c r="S205" s="318" t="n">
        <v>1</v>
      </c>
      <c r="T205" s="318" t="n">
        <v>1.02</v>
      </c>
      <c r="U205" s="318" t="n">
        <v>1</v>
      </c>
      <c r="V205" s="318" t="n">
        <v>1</v>
      </c>
      <c r="W205" s="318" t="n">
        <v>1</v>
      </c>
      <c r="X205" s="318" t="n">
        <v>1</v>
      </c>
      <c r="Y205" s="318" t="n">
        <v>1</v>
      </c>
      <c r="Z205" s="318" t="n">
        <v>1.02</v>
      </c>
      <c r="AA205" s="318" t="n">
        <v>1</v>
      </c>
      <c r="AB205" s="318" t="n">
        <v>1</v>
      </c>
      <c r="AC205" s="318" t="n">
        <v>1</v>
      </c>
      <c r="AD205" s="318" t="n">
        <v>1</v>
      </c>
      <c r="AE205" s="318" t="n">
        <v>0.98</v>
      </c>
      <c r="AF205" s="318" t="n">
        <v>0.98</v>
      </c>
      <c r="AG205" s="318" t="n">
        <v>0.98</v>
      </c>
      <c r="AH205" s="318" t="n">
        <v>1</v>
      </c>
      <c r="AI205" s="318" t="n">
        <v>1.05</v>
      </c>
      <c r="AJ205" s="318" t="n">
        <v>1</v>
      </c>
      <c r="AK205" s="318" t="n">
        <v>1</v>
      </c>
      <c r="AL205" s="318" t="n">
        <v>1.02</v>
      </c>
      <c r="AM205" s="318" t="n">
        <v>1</v>
      </c>
      <c r="AN205" s="318" t="n">
        <v>1</v>
      </c>
      <c r="AO205" s="318" t="n">
        <v>1</v>
      </c>
    </row>
    <row r="206" customFormat="false" ht="12.75" hidden="false" customHeight="false" outlineLevel="0" collapsed="false">
      <c r="A206" s="317" t="n">
        <v>42948</v>
      </c>
      <c r="B206" s="318" t="n">
        <v>1</v>
      </c>
      <c r="C206" s="318" t="n">
        <v>1</v>
      </c>
      <c r="D206" s="318" t="n">
        <v>1</v>
      </c>
      <c r="E206" s="318" t="n">
        <v>1</v>
      </c>
      <c r="F206" s="318" t="n">
        <v>1</v>
      </c>
      <c r="G206" s="318" t="n">
        <v>1</v>
      </c>
      <c r="H206" s="318" t="n">
        <v>1</v>
      </c>
      <c r="I206" s="318" t="n">
        <v>1</v>
      </c>
      <c r="J206" s="318" t="n">
        <v>1</v>
      </c>
      <c r="K206" s="318" t="n">
        <v>1</v>
      </c>
      <c r="L206" s="318" t="n">
        <v>1</v>
      </c>
      <c r="M206" s="318" t="n">
        <v>1</v>
      </c>
      <c r="N206" s="318" t="n">
        <v>1</v>
      </c>
      <c r="O206" s="318" t="n">
        <v>1</v>
      </c>
      <c r="P206" s="318" t="n">
        <v>1.03</v>
      </c>
      <c r="Q206" s="318" t="n">
        <v>1.03</v>
      </c>
      <c r="R206" s="318" t="n">
        <v>1</v>
      </c>
      <c r="S206" s="318" t="n">
        <v>1</v>
      </c>
      <c r="T206" s="318" t="n">
        <v>1.02</v>
      </c>
      <c r="U206" s="318" t="n">
        <v>1</v>
      </c>
      <c r="V206" s="318" t="n">
        <v>1</v>
      </c>
      <c r="W206" s="318" t="n">
        <v>1</v>
      </c>
      <c r="X206" s="318" t="n">
        <v>1</v>
      </c>
      <c r="Y206" s="318" t="n">
        <v>1</v>
      </c>
      <c r="Z206" s="318" t="n">
        <v>1.02</v>
      </c>
      <c r="AA206" s="318" t="n">
        <v>1</v>
      </c>
      <c r="AB206" s="318" t="n">
        <v>1</v>
      </c>
      <c r="AC206" s="318" t="n">
        <v>1</v>
      </c>
      <c r="AD206" s="318" t="n">
        <v>1</v>
      </c>
      <c r="AE206" s="318" t="n">
        <v>0.98</v>
      </c>
      <c r="AF206" s="318" t="n">
        <v>0.98</v>
      </c>
      <c r="AG206" s="318" t="n">
        <v>0.98</v>
      </c>
      <c r="AH206" s="318" t="n">
        <v>1</v>
      </c>
      <c r="AI206" s="318" t="n">
        <v>1.05</v>
      </c>
      <c r="AJ206" s="318" t="n">
        <v>1</v>
      </c>
      <c r="AK206" s="318" t="n">
        <v>1</v>
      </c>
      <c r="AL206" s="318" t="n">
        <v>1.02</v>
      </c>
      <c r="AM206" s="318" t="n">
        <v>1</v>
      </c>
      <c r="AN206" s="318" t="n">
        <v>1</v>
      </c>
      <c r="AO206" s="318" t="n">
        <v>1</v>
      </c>
    </row>
    <row r="207" customFormat="false" ht="12.75" hidden="false" customHeight="false" outlineLevel="0" collapsed="false">
      <c r="A207" s="317" t="n">
        <v>42979</v>
      </c>
      <c r="B207" s="318" t="n">
        <v>1</v>
      </c>
      <c r="C207" s="318" t="n">
        <v>1</v>
      </c>
      <c r="D207" s="318" t="n">
        <v>1</v>
      </c>
      <c r="E207" s="318" t="n">
        <v>1</v>
      </c>
      <c r="F207" s="318" t="n">
        <v>1</v>
      </c>
      <c r="G207" s="318" t="n">
        <v>1</v>
      </c>
      <c r="H207" s="318" t="n">
        <v>1</v>
      </c>
      <c r="I207" s="318" t="n">
        <v>1</v>
      </c>
      <c r="J207" s="318" t="n">
        <v>1</v>
      </c>
      <c r="K207" s="318" t="n">
        <v>1</v>
      </c>
      <c r="L207" s="318" t="n">
        <v>1</v>
      </c>
      <c r="M207" s="318" t="n">
        <v>1</v>
      </c>
      <c r="N207" s="318" t="n">
        <v>1</v>
      </c>
      <c r="O207" s="318" t="n">
        <v>1</v>
      </c>
      <c r="P207" s="318" t="n">
        <v>1.03</v>
      </c>
      <c r="Q207" s="318" t="n">
        <v>1.03</v>
      </c>
      <c r="R207" s="318" t="n">
        <v>1</v>
      </c>
      <c r="S207" s="318" t="n">
        <v>1</v>
      </c>
      <c r="T207" s="318" t="n">
        <v>1.02</v>
      </c>
      <c r="U207" s="318" t="n">
        <v>1</v>
      </c>
      <c r="V207" s="318" t="n">
        <v>1</v>
      </c>
      <c r="W207" s="318" t="n">
        <v>1</v>
      </c>
      <c r="X207" s="318" t="n">
        <v>1</v>
      </c>
      <c r="Y207" s="318" t="n">
        <v>1</v>
      </c>
      <c r="Z207" s="318" t="n">
        <v>1.02</v>
      </c>
      <c r="AA207" s="318" t="n">
        <v>1</v>
      </c>
      <c r="AB207" s="318" t="n">
        <v>1</v>
      </c>
      <c r="AC207" s="318" t="n">
        <v>1</v>
      </c>
      <c r="AD207" s="318" t="n">
        <v>1</v>
      </c>
      <c r="AE207" s="318" t="n">
        <v>0.98</v>
      </c>
      <c r="AF207" s="318" t="n">
        <v>0.98</v>
      </c>
      <c r="AG207" s="318" t="n">
        <v>0.98</v>
      </c>
      <c r="AH207" s="318" t="n">
        <v>1</v>
      </c>
      <c r="AI207" s="318" t="n">
        <v>1.05</v>
      </c>
      <c r="AJ207" s="318" t="n">
        <v>1</v>
      </c>
      <c r="AK207" s="318" t="n">
        <v>1</v>
      </c>
      <c r="AL207" s="318" t="n">
        <v>1.02</v>
      </c>
      <c r="AM207" s="318" t="n">
        <v>1</v>
      </c>
      <c r="AN207" s="318" t="n">
        <v>1</v>
      </c>
      <c r="AO207" s="318" t="n">
        <v>1</v>
      </c>
    </row>
    <row r="208" customFormat="false" ht="12.75" hidden="false" customHeight="false" outlineLevel="0" collapsed="false">
      <c r="A208" s="317" t="n">
        <v>43009</v>
      </c>
      <c r="B208" s="318" t="n">
        <v>1</v>
      </c>
      <c r="C208" s="318" t="n">
        <v>1</v>
      </c>
      <c r="D208" s="318" t="n">
        <v>1</v>
      </c>
      <c r="E208" s="318" t="n">
        <v>1</v>
      </c>
      <c r="F208" s="318" t="n">
        <v>1</v>
      </c>
      <c r="G208" s="318" t="n">
        <v>1</v>
      </c>
      <c r="H208" s="318" t="n">
        <v>1</v>
      </c>
      <c r="I208" s="318" t="n">
        <v>1</v>
      </c>
      <c r="J208" s="318" t="n">
        <v>1</v>
      </c>
      <c r="K208" s="318" t="n">
        <v>1</v>
      </c>
      <c r="L208" s="318" t="n">
        <v>1</v>
      </c>
      <c r="M208" s="318" t="n">
        <v>1</v>
      </c>
      <c r="N208" s="318" t="n">
        <v>1</v>
      </c>
      <c r="O208" s="318" t="n">
        <v>1</v>
      </c>
      <c r="P208" s="318" t="n">
        <v>1.03</v>
      </c>
      <c r="Q208" s="318" t="n">
        <v>1.03</v>
      </c>
      <c r="R208" s="318" t="n">
        <v>1</v>
      </c>
      <c r="S208" s="318" t="n">
        <v>1</v>
      </c>
      <c r="T208" s="318" t="n">
        <v>1.02</v>
      </c>
      <c r="U208" s="318" t="n">
        <v>1</v>
      </c>
      <c r="V208" s="318" t="n">
        <v>1</v>
      </c>
      <c r="W208" s="318" t="n">
        <v>1</v>
      </c>
      <c r="X208" s="318" t="n">
        <v>1</v>
      </c>
      <c r="Y208" s="318" t="n">
        <v>1</v>
      </c>
      <c r="Z208" s="318" t="n">
        <v>1.02</v>
      </c>
      <c r="AA208" s="318" t="n">
        <v>1</v>
      </c>
      <c r="AB208" s="318" t="n">
        <v>1</v>
      </c>
      <c r="AC208" s="318" t="n">
        <v>1</v>
      </c>
      <c r="AD208" s="318" t="n">
        <v>1</v>
      </c>
      <c r="AE208" s="318" t="n">
        <v>0.98</v>
      </c>
      <c r="AF208" s="318" t="n">
        <v>0.98</v>
      </c>
      <c r="AG208" s="318" t="n">
        <v>0.98</v>
      </c>
      <c r="AH208" s="318" t="n">
        <v>1</v>
      </c>
      <c r="AI208" s="318" t="n">
        <v>1.05</v>
      </c>
      <c r="AJ208" s="318" t="n">
        <v>1</v>
      </c>
      <c r="AK208" s="318" t="n">
        <v>1</v>
      </c>
      <c r="AL208" s="318" t="n">
        <v>1.02</v>
      </c>
      <c r="AM208" s="318" t="n">
        <v>1</v>
      </c>
      <c r="AN208" s="318" t="n">
        <v>1</v>
      </c>
      <c r="AO208" s="318" t="n">
        <v>1</v>
      </c>
    </row>
    <row r="209" customFormat="false" ht="12.75" hidden="false" customHeight="false" outlineLevel="0" collapsed="false">
      <c r="A209" s="317" t="n">
        <v>43040</v>
      </c>
      <c r="B209" s="318" t="n">
        <v>1</v>
      </c>
      <c r="C209" s="318" t="n">
        <v>1</v>
      </c>
      <c r="D209" s="318" t="n">
        <v>1</v>
      </c>
      <c r="E209" s="318" t="n">
        <v>1</v>
      </c>
      <c r="F209" s="318" t="n">
        <v>1</v>
      </c>
      <c r="G209" s="318" t="n">
        <v>1</v>
      </c>
      <c r="H209" s="318" t="n">
        <v>1</v>
      </c>
      <c r="I209" s="318" t="n">
        <v>1</v>
      </c>
      <c r="J209" s="318" t="n">
        <v>1</v>
      </c>
      <c r="K209" s="318" t="n">
        <v>1</v>
      </c>
      <c r="L209" s="318" t="n">
        <v>1</v>
      </c>
      <c r="M209" s="318" t="n">
        <v>1</v>
      </c>
      <c r="N209" s="318" t="n">
        <v>1</v>
      </c>
      <c r="O209" s="318" t="n">
        <v>1</v>
      </c>
      <c r="P209" s="318" t="n">
        <v>1.03</v>
      </c>
      <c r="Q209" s="318" t="n">
        <v>1.03</v>
      </c>
      <c r="R209" s="318" t="n">
        <v>1</v>
      </c>
      <c r="S209" s="318" t="n">
        <v>1</v>
      </c>
      <c r="T209" s="318" t="n">
        <v>1.02</v>
      </c>
      <c r="U209" s="318" t="n">
        <v>1</v>
      </c>
      <c r="V209" s="318" t="n">
        <v>1</v>
      </c>
      <c r="W209" s="318" t="n">
        <v>1</v>
      </c>
      <c r="X209" s="318" t="n">
        <v>1</v>
      </c>
      <c r="Y209" s="318" t="n">
        <v>1</v>
      </c>
      <c r="Z209" s="318" t="n">
        <v>1</v>
      </c>
      <c r="AA209" s="318" t="n">
        <v>1</v>
      </c>
      <c r="AB209" s="318" t="n">
        <v>1</v>
      </c>
      <c r="AC209" s="318" t="n">
        <v>1</v>
      </c>
      <c r="AD209" s="318" t="n">
        <v>1</v>
      </c>
      <c r="AE209" s="318" t="n">
        <v>1</v>
      </c>
      <c r="AF209" s="318" t="n">
        <v>1</v>
      </c>
      <c r="AG209" s="318" t="n">
        <v>1.1</v>
      </c>
      <c r="AH209" s="318" t="n">
        <v>1.1</v>
      </c>
      <c r="AI209" s="318" t="n">
        <v>1.05</v>
      </c>
      <c r="AJ209" s="318" t="n">
        <v>1</v>
      </c>
      <c r="AK209" s="318" t="n">
        <v>1</v>
      </c>
      <c r="AL209" s="318" t="n">
        <v>1.02</v>
      </c>
      <c r="AM209" s="318" t="n">
        <v>1</v>
      </c>
      <c r="AN209" s="318" t="n">
        <v>1</v>
      </c>
      <c r="AO209" s="318" t="n">
        <v>1</v>
      </c>
    </row>
    <row r="210" customFormat="false" ht="12.75" hidden="false" customHeight="false" outlineLevel="0" collapsed="false">
      <c r="A210" s="317" t="n">
        <v>43070</v>
      </c>
      <c r="B210" s="318" t="n">
        <v>1</v>
      </c>
      <c r="C210" s="318" t="n">
        <v>1</v>
      </c>
      <c r="D210" s="318" t="n">
        <v>1</v>
      </c>
      <c r="E210" s="318" t="n">
        <v>1</v>
      </c>
      <c r="F210" s="318" t="n">
        <v>1</v>
      </c>
      <c r="G210" s="318" t="n">
        <v>1</v>
      </c>
      <c r="H210" s="318" t="n">
        <v>1</v>
      </c>
      <c r="I210" s="318" t="n">
        <v>1</v>
      </c>
      <c r="J210" s="318" t="n">
        <v>1</v>
      </c>
      <c r="K210" s="318" t="n">
        <v>1</v>
      </c>
      <c r="L210" s="318" t="n">
        <v>1</v>
      </c>
      <c r="M210" s="318" t="n">
        <v>1</v>
      </c>
      <c r="N210" s="318" t="n">
        <v>1</v>
      </c>
      <c r="O210" s="318" t="n">
        <v>1</v>
      </c>
      <c r="P210" s="318" t="n">
        <v>1.03</v>
      </c>
      <c r="Q210" s="318" t="n">
        <v>1.03</v>
      </c>
      <c r="R210" s="318" t="n">
        <v>1</v>
      </c>
      <c r="S210" s="318" t="n">
        <v>1</v>
      </c>
      <c r="T210" s="318" t="n">
        <v>1.02</v>
      </c>
      <c r="U210" s="318" t="n">
        <v>1</v>
      </c>
      <c r="V210" s="318" t="n">
        <v>1</v>
      </c>
      <c r="W210" s="318" t="n">
        <v>1</v>
      </c>
      <c r="X210" s="318" t="n">
        <v>1</v>
      </c>
      <c r="Y210" s="318" t="n">
        <v>1</v>
      </c>
      <c r="Z210" s="318" t="n">
        <v>1</v>
      </c>
      <c r="AA210" s="318" t="n">
        <v>1</v>
      </c>
      <c r="AB210" s="318" t="n">
        <v>1</v>
      </c>
      <c r="AC210" s="318" t="n">
        <v>1</v>
      </c>
      <c r="AD210" s="318" t="n">
        <v>1</v>
      </c>
      <c r="AE210" s="318" t="n">
        <v>1</v>
      </c>
      <c r="AF210" s="318" t="n">
        <v>1</v>
      </c>
      <c r="AG210" s="318" t="n">
        <v>1.1</v>
      </c>
      <c r="AH210" s="318" t="n">
        <v>1.02</v>
      </c>
      <c r="AI210" s="318" t="n">
        <v>1.05</v>
      </c>
      <c r="AJ210" s="318" t="n">
        <v>1</v>
      </c>
      <c r="AK210" s="318" t="n">
        <v>1</v>
      </c>
      <c r="AL210" s="318" t="n">
        <v>1.02</v>
      </c>
      <c r="AM210" s="318" t="n">
        <v>1</v>
      </c>
      <c r="AN210" s="318" t="n">
        <v>1</v>
      </c>
      <c r="AO210" s="318" t="n">
        <v>1</v>
      </c>
    </row>
    <row r="211" customFormat="false" ht="12.75" hidden="false" customHeight="false" outlineLevel="0" collapsed="false">
      <c r="B211" s="318" t="n">
        <v>1</v>
      </c>
      <c r="C211" s="318" t="n">
        <v>1</v>
      </c>
      <c r="D211" s="318" t="n">
        <v>1</v>
      </c>
      <c r="E211" s="318" t="n">
        <v>1</v>
      </c>
      <c r="F211" s="318" t="n">
        <v>1</v>
      </c>
      <c r="G211" s="318" t="n">
        <v>1</v>
      </c>
      <c r="H211" s="318" t="n">
        <v>1</v>
      </c>
      <c r="I211" s="318" t="n">
        <v>1</v>
      </c>
      <c r="J211" s="318" t="n">
        <v>1</v>
      </c>
      <c r="K211" s="318" t="n">
        <v>1</v>
      </c>
      <c r="L211" s="318" t="n">
        <v>1</v>
      </c>
      <c r="M211" s="318" t="n">
        <v>1</v>
      </c>
      <c r="N211" s="318" t="n">
        <v>1</v>
      </c>
      <c r="O211" s="318" t="n">
        <v>1</v>
      </c>
      <c r="P211" s="318" t="n">
        <v>1.03</v>
      </c>
      <c r="Q211" s="318" t="n">
        <v>1.03</v>
      </c>
      <c r="R211" s="318" t="n">
        <v>1</v>
      </c>
      <c r="S211" s="318" t="n">
        <v>1</v>
      </c>
      <c r="T211" s="318" t="n">
        <v>1.02</v>
      </c>
      <c r="U211" s="318" t="n">
        <v>1</v>
      </c>
      <c r="V211" s="318" t="n">
        <v>1</v>
      </c>
      <c r="W211" s="318" t="n">
        <v>1</v>
      </c>
      <c r="X211" s="318" t="n">
        <v>1</v>
      </c>
      <c r="Y211" s="318" t="n">
        <v>1</v>
      </c>
      <c r="Z211" s="318" t="n">
        <v>1</v>
      </c>
      <c r="AA211" s="318" t="n">
        <v>1</v>
      </c>
      <c r="AB211" s="318" t="n">
        <v>1</v>
      </c>
      <c r="AC211" s="318" t="n">
        <v>1</v>
      </c>
      <c r="AD211" s="318" t="n">
        <v>1</v>
      </c>
      <c r="AE211" s="318" t="n">
        <v>1</v>
      </c>
      <c r="AF211" s="318" t="n">
        <v>1</v>
      </c>
      <c r="AG211" s="318" t="n">
        <v>1.1</v>
      </c>
      <c r="AH211" s="318" t="n">
        <v>1.04</v>
      </c>
      <c r="AI211" s="318" t="n">
        <v>1.05</v>
      </c>
      <c r="AJ211" s="318" t="n">
        <v>1</v>
      </c>
      <c r="AK211" s="318" t="n">
        <v>1</v>
      </c>
      <c r="AL211" s="318" t="n">
        <v>1.02</v>
      </c>
      <c r="AM211" s="318" t="n">
        <v>1</v>
      </c>
      <c r="AN211" s="318" t="n">
        <v>1</v>
      </c>
      <c r="AO211" s="318" t="n">
        <v>1</v>
      </c>
    </row>
    <row r="212" customFormat="false" ht="12.75" hidden="false" customHeight="false" outlineLevel="0" collapsed="false">
      <c r="B212" s="318" t="n">
        <v>1</v>
      </c>
      <c r="C212" s="318" t="n">
        <v>1</v>
      </c>
      <c r="D212" s="318" t="n">
        <v>1</v>
      </c>
      <c r="E212" s="318" t="n">
        <v>1</v>
      </c>
      <c r="F212" s="318" t="n">
        <v>1</v>
      </c>
      <c r="G212" s="318" t="n">
        <v>1</v>
      </c>
      <c r="H212" s="318" t="n">
        <v>1</v>
      </c>
      <c r="I212" s="318" t="n">
        <v>1</v>
      </c>
      <c r="J212" s="318" t="n">
        <v>1</v>
      </c>
      <c r="K212" s="318" t="n">
        <v>1</v>
      </c>
      <c r="L212" s="318" t="n">
        <v>1</v>
      </c>
      <c r="M212" s="318" t="n">
        <v>1</v>
      </c>
      <c r="N212" s="318" t="n">
        <v>1</v>
      </c>
      <c r="O212" s="318" t="n">
        <v>1</v>
      </c>
      <c r="P212" s="318" t="n">
        <v>1.03</v>
      </c>
      <c r="Q212" s="318" t="n">
        <v>1.03</v>
      </c>
      <c r="R212" s="318" t="n">
        <v>1</v>
      </c>
      <c r="S212" s="318" t="n">
        <v>1</v>
      </c>
      <c r="T212" s="318" t="n">
        <v>1.02</v>
      </c>
      <c r="U212" s="318" t="n">
        <v>1</v>
      </c>
      <c r="V212" s="318" t="n">
        <v>1</v>
      </c>
      <c r="W212" s="318" t="n">
        <v>1</v>
      </c>
      <c r="X212" s="318" t="n">
        <v>1</v>
      </c>
      <c r="Y212" s="318" t="n">
        <v>1</v>
      </c>
      <c r="Z212" s="318" t="n">
        <v>1</v>
      </c>
      <c r="AA212" s="318" t="n">
        <v>1</v>
      </c>
      <c r="AB212" s="318" t="n">
        <v>1</v>
      </c>
      <c r="AC212" s="318" t="n">
        <v>1</v>
      </c>
      <c r="AD212" s="318" t="n">
        <v>1</v>
      </c>
      <c r="AE212" s="318" t="n">
        <v>1</v>
      </c>
      <c r="AF212" s="318" t="n">
        <v>1</v>
      </c>
      <c r="AG212" s="318" t="n">
        <v>1.1</v>
      </c>
      <c r="AH212" s="318" t="n">
        <v>1.04</v>
      </c>
      <c r="AI212" s="318" t="n">
        <v>1.05</v>
      </c>
      <c r="AJ212" s="318" t="n">
        <v>1</v>
      </c>
      <c r="AK212" s="318" t="n">
        <v>1</v>
      </c>
      <c r="AL212" s="318" t="n">
        <v>1.02</v>
      </c>
      <c r="AM212" s="318" t="n">
        <v>1</v>
      </c>
      <c r="AN212" s="318" t="n">
        <v>1</v>
      </c>
      <c r="AO212" s="318" t="n">
        <v>1</v>
      </c>
    </row>
    <row r="213" customFormat="false" ht="12.75" hidden="false" customHeight="false" outlineLevel="0" collapsed="false">
      <c r="B213" s="318" t="n">
        <v>1</v>
      </c>
      <c r="C213" s="318" t="n">
        <v>1</v>
      </c>
      <c r="D213" s="318" t="n">
        <v>1</v>
      </c>
      <c r="E213" s="318" t="n">
        <v>1</v>
      </c>
      <c r="F213" s="318" t="n">
        <v>1</v>
      </c>
      <c r="G213" s="318" t="n">
        <v>1</v>
      </c>
      <c r="H213" s="318" t="n">
        <v>1</v>
      </c>
      <c r="I213" s="318" t="n">
        <v>1</v>
      </c>
      <c r="J213" s="318" t="n">
        <v>1</v>
      </c>
      <c r="K213" s="318" t="n">
        <v>1</v>
      </c>
      <c r="L213" s="318" t="n">
        <v>1</v>
      </c>
      <c r="M213" s="318" t="n">
        <v>1</v>
      </c>
      <c r="N213" s="318" t="n">
        <v>1</v>
      </c>
      <c r="O213" s="318" t="n">
        <v>1</v>
      </c>
      <c r="P213" s="318" t="n">
        <v>1.03</v>
      </c>
      <c r="Q213" s="318" t="n">
        <v>1.03</v>
      </c>
      <c r="R213" s="318" t="n">
        <v>1</v>
      </c>
      <c r="S213" s="318" t="n">
        <v>1</v>
      </c>
      <c r="T213" s="318" t="n">
        <v>1.02</v>
      </c>
      <c r="U213" s="318" t="n">
        <v>1</v>
      </c>
      <c r="V213" s="318" t="n">
        <v>1</v>
      </c>
      <c r="W213" s="318" t="n">
        <v>1</v>
      </c>
      <c r="X213" s="318" t="n">
        <v>1</v>
      </c>
      <c r="Y213" s="318" t="n">
        <v>1</v>
      </c>
      <c r="Z213" s="318" t="n">
        <v>1</v>
      </c>
      <c r="AA213" s="318" t="n">
        <v>1</v>
      </c>
      <c r="AB213" s="318" t="n">
        <v>1</v>
      </c>
      <c r="AC213" s="318" t="n">
        <v>1</v>
      </c>
      <c r="AD213" s="318" t="n">
        <v>1</v>
      </c>
      <c r="AE213" s="318" t="n">
        <v>1</v>
      </c>
      <c r="AF213" s="318" t="n">
        <v>1</v>
      </c>
      <c r="AG213" s="318" t="n">
        <v>1.1</v>
      </c>
      <c r="AH213" s="318" t="n">
        <v>1.04</v>
      </c>
      <c r="AI213" s="318" t="n">
        <v>1.05</v>
      </c>
      <c r="AJ213" s="318" t="n">
        <v>1</v>
      </c>
      <c r="AK213" s="318" t="n">
        <v>1</v>
      </c>
      <c r="AL213" s="318" t="n">
        <v>1.02</v>
      </c>
      <c r="AM213" s="318" t="n">
        <v>1</v>
      </c>
      <c r="AN213" s="318" t="n">
        <v>1</v>
      </c>
      <c r="AO213" s="318" t="n">
        <v>1</v>
      </c>
    </row>
    <row r="214" customFormat="false" ht="12.75" hidden="false" customHeight="false" outlineLevel="0" collapsed="false">
      <c r="B214" s="318" t="n">
        <v>1</v>
      </c>
      <c r="C214" s="318" t="n">
        <v>1</v>
      </c>
      <c r="D214" s="318" t="n">
        <v>1</v>
      </c>
      <c r="E214" s="318" t="n">
        <v>1</v>
      </c>
      <c r="F214" s="318" t="n">
        <v>1</v>
      </c>
      <c r="G214" s="318" t="n">
        <v>1</v>
      </c>
      <c r="H214" s="318" t="n">
        <v>1</v>
      </c>
      <c r="I214" s="318" t="n">
        <v>1</v>
      </c>
      <c r="J214" s="318" t="n">
        <v>1</v>
      </c>
      <c r="K214" s="318" t="n">
        <v>1</v>
      </c>
      <c r="L214" s="318" t="n">
        <v>1</v>
      </c>
      <c r="M214" s="318" t="n">
        <v>1</v>
      </c>
      <c r="N214" s="318" t="n">
        <v>1</v>
      </c>
      <c r="O214" s="318" t="n">
        <v>1</v>
      </c>
      <c r="P214" s="318" t="n">
        <v>1.03</v>
      </c>
      <c r="Q214" s="318" t="n">
        <v>1.03</v>
      </c>
      <c r="R214" s="318" t="n">
        <v>1</v>
      </c>
      <c r="S214" s="318" t="n">
        <v>1</v>
      </c>
      <c r="T214" s="318" t="n">
        <v>1.02</v>
      </c>
      <c r="U214" s="318" t="n">
        <v>1</v>
      </c>
      <c r="V214" s="318" t="n">
        <v>1</v>
      </c>
      <c r="W214" s="318" t="n">
        <v>1</v>
      </c>
      <c r="X214" s="318" t="n">
        <v>1</v>
      </c>
      <c r="Y214" s="318" t="n">
        <v>1</v>
      </c>
      <c r="Z214" s="318" t="n">
        <v>1.02</v>
      </c>
      <c r="AA214" s="318" t="n">
        <v>1</v>
      </c>
      <c r="AB214" s="318" t="n">
        <v>1</v>
      </c>
      <c r="AC214" s="318" t="n">
        <v>1</v>
      </c>
      <c r="AD214" s="318" t="n">
        <v>1</v>
      </c>
      <c r="AE214" s="318" t="n">
        <v>0.98</v>
      </c>
      <c r="AF214" s="318" t="n">
        <v>0.98</v>
      </c>
      <c r="AG214" s="318" t="n">
        <v>0.98</v>
      </c>
      <c r="AH214" s="318" t="n">
        <v>1</v>
      </c>
      <c r="AI214" s="318" t="n">
        <v>1.05</v>
      </c>
      <c r="AJ214" s="318" t="n">
        <v>1</v>
      </c>
      <c r="AK214" s="318" t="n">
        <v>1</v>
      </c>
      <c r="AL214" s="318" t="n">
        <v>1.02</v>
      </c>
      <c r="AM214" s="318" t="n">
        <v>1</v>
      </c>
      <c r="AN214" s="318" t="n">
        <v>1</v>
      </c>
      <c r="AO214" s="318" t="n">
        <v>1</v>
      </c>
    </row>
    <row r="215" customFormat="false" ht="12.75" hidden="false" customHeight="false" outlineLevel="0" collapsed="false">
      <c r="B215" s="318" t="n">
        <v>1</v>
      </c>
      <c r="C215" s="318" t="n">
        <v>1</v>
      </c>
      <c r="D215" s="318" t="n">
        <v>1</v>
      </c>
      <c r="E215" s="318" t="n">
        <v>1</v>
      </c>
      <c r="F215" s="318" t="n">
        <v>1</v>
      </c>
      <c r="G215" s="318" t="n">
        <v>1</v>
      </c>
      <c r="H215" s="318" t="n">
        <v>1</v>
      </c>
      <c r="I215" s="318" t="n">
        <v>1</v>
      </c>
      <c r="J215" s="318" t="n">
        <v>1</v>
      </c>
      <c r="K215" s="318" t="n">
        <v>1</v>
      </c>
      <c r="L215" s="318" t="n">
        <v>1</v>
      </c>
      <c r="M215" s="318" t="n">
        <v>1</v>
      </c>
      <c r="N215" s="318" t="n">
        <v>1</v>
      </c>
      <c r="O215" s="318" t="n">
        <v>1</v>
      </c>
      <c r="P215" s="318" t="n">
        <v>1.03</v>
      </c>
      <c r="Q215" s="318" t="n">
        <v>1.03</v>
      </c>
      <c r="R215" s="318" t="n">
        <v>1</v>
      </c>
      <c r="S215" s="318" t="n">
        <v>1</v>
      </c>
      <c r="T215" s="318" t="n">
        <v>1.02</v>
      </c>
      <c r="U215" s="318" t="n">
        <v>1</v>
      </c>
      <c r="V215" s="318" t="n">
        <v>1</v>
      </c>
      <c r="W215" s="318" t="n">
        <v>1</v>
      </c>
      <c r="X215" s="318" t="n">
        <v>1</v>
      </c>
      <c r="Y215" s="318" t="n">
        <v>1</v>
      </c>
      <c r="Z215" s="318" t="n">
        <v>1.02</v>
      </c>
      <c r="AA215" s="318" t="n">
        <v>1</v>
      </c>
      <c r="AB215" s="318" t="n">
        <v>1</v>
      </c>
      <c r="AC215" s="318" t="n">
        <v>1</v>
      </c>
      <c r="AD215" s="318" t="n">
        <v>1</v>
      </c>
      <c r="AE215" s="318" t="n">
        <v>0.98</v>
      </c>
      <c r="AF215" s="318" t="n">
        <v>0.98</v>
      </c>
      <c r="AG215" s="318" t="n">
        <v>0.98</v>
      </c>
      <c r="AH215" s="318" t="n">
        <v>1</v>
      </c>
      <c r="AI215" s="318" t="n">
        <v>1.05</v>
      </c>
      <c r="AJ215" s="318" t="n">
        <v>1</v>
      </c>
      <c r="AK215" s="318" t="n">
        <v>1</v>
      </c>
      <c r="AL215" s="318" t="n">
        <v>1.02</v>
      </c>
      <c r="AM215" s="318" t="n">
        <v>1</v>
      </c>
      <c r="AN215" s="318" t="n">
        <v>1</v>
      </c>
      <c r="AO215" s="318" t="n">
        <v>1</v>
      </c>
    </row>
    <row r="216" customFormat="false" ht="12.75" hidden="false" customHeight="false" outlineLevel="0" collapsed="false">
      <c r="B216" s="318" t="n">
        <v>1</v>
      </c>
      <c r="C216" s="318" t="n">
        <v>1</v>
      </c>
      <c r="D216" s="318" t="n">
        <v>1</v>
      </c>
      <c r="E216" s="318" t="n">
        <v>1</v>
      </c>
      <c r="F216" s="318" t="n">
        <v>1</v>
      </c>
      <c r="G216" s="318" t="n">
        <v>1</v>
      </c>
      <c r="H216" s="318" t="n">
        <v>1</v>
      </c>
      <c r="I216" s="318" t="n">
        <v>1</v>
      </c>
      <c r="J216" s="318" t="n">
        <v>1</v>
      </c>
      <c r="K216" s="318" t="n">
        <v>1</v>
      </c>
      <c r="L216" s="318" t="n">
        <v>1</v>
      </c>
      <c r="M216" s="318" t="n">
        <v>1</v>
      </c>
      <c r="N216" s="318" t="n">
        <v>1</v>
      </c>
      <c r="O216" s="318" t="n">
        <v>1</v>
      </c>
      <c r="P216" s="318" t="n">
        <v>1.03</v>
      </c>
      <c r="Q216" s="318" t="n">
        <v>1.03</v>
      </c>
      <c r="R216" s="318" t="n">
        <v>1</v>
      </c>
      <c r="S216" s="318" t="n">
        <v>1</v>
      </c>
      <c r="T216" s="318" t="n">
        <v>1.02</v>
      </c>
      <c r="U216" s="318" t="n">
        <v>1</v>
      </c>
      <c r="V216" s="318" t="n">
        <v>1</v>
      </c>
      <c r="W216" s="318" t="n">
        <v>1</v>
      </c>
      <c r="X216" s="318" t="n">
        <v>1</v>
      </c>
      <c r="Y216" s="318" t="n">
        <v>1</v>
      </c>
      <c r="Z216" s="318" t="n">
        <v>1.02</v>
      </c>
      <c r="AA216" s="318" t="n">
        <v>1</v>
      </c>
      <c r="AB216" s="318" t="n">
        <v>1</v>
      </c>
      <c r="AC216" s="318" t="n">
        <v>1</v>
      </c>
      <c r="AD216" s="318" t="n">
        <v>1</v>
      </c>
      <c r="AE216" s="318" t="n">
        <v>0.98</v>
      </c>
      <c r="AF216" s="318" t="n">
        <v>0.98</v>
      </c>
      <c r="AG216" s="318" t="n">
        <v>0.98</v>
      </c>
      <c r="AH216" s="318" t="n">
        <v>1</v>
      </c>
      <c r="AI216" s="318" t="n">
        <v>1.05</v>
      </c>
      <c r="AJ216" s="318" t="n">
        <v>1</v>
      </c>
      <c r="AK216" s="318" t="n">
        <v>1</v>
      </c>
      <c r="AL216" s="318" t="n">
        <v>1.02</v>
      </c>
      <c r="AM216" s="318" t="n">
        <v>1</v>
      </c>
      <c r="AN216" s="318" t="n">
        <v>1</v>
      </c>
      <c r="AO216" s="318" t="n">
        <v>1</v>
      </c>
    </row>
    <row r="217" customFormat="false" ht="12.75" hidden="false" customHeight="false" outlineLevel="0" collapsed="false">
      <c r="B217" s="318" t="n">
        <v>1</v>
      </c>
      <c r="C217" s="318" t="n">
        <v>1</v>
      </c>
      <c r="D217" s="318" t="n">
        <v>1</v>
      </c>
      <c r="E217" s="318" t="n">
        <v>1</v>
      </c>
      <c r="F217" s="318" t="n">
        <v>1</v>
      </c>
      <c r="G217" s="318" t="n">
        <v>1</v>
      </c>
      <c r="H217" s="318" t="n">
        <v>1</v>
      </c>
      <c r="I217" s="318" t="n">
        <v>1</v>
      </c>
      <c r="J217" s="318" t="n">
        <v>1</v>
      </c>
      <c r="K217" s="318" t="n">
        <v>1</v>
      </c>
      <c r="L217" s="318" t="n">
        <v>1</v>
      </c>
      <c r="M217" s="318" t="n">
        <v>1</v>
      </c>
      <c r="N217" s="318" t="n">
        <v>1</v>
      </c>
      <c r="O217" s="318" t="n">
        <v>1</v>
      </c>
      <c r="P217" s="318" t="n">
        <v>1.03</v>
      </c>
      <c r="Q217" s="318" t="n">
        <v>1.03</v>
      </c>
      <c r="R217" s="318" t="n">
        <v>1</v>
      </c>
      <c r="S217" s="318" t="n">
        <v>1</v>
      </c>
      <c r="T217" s="318" t="n">
        <v>1.02</v>
      </c>
      <c r="U217" s="318" t="n">
        <v>1</v>
      </c>
      <c r="V217" s="318" t="n">
        <v>1</v>
      </c>
      <c r="W217" s="318" t="n">
        <v>1</v>
      </c>
      <c r="X217" s="318" t="n">
        <v>1</v>
      </c>
      <c r="Y217" s="318" t="n">
        <v>1</v>
      </c>
      <c r="Z217" s="318" t="n">
        <v>1.02</v>
      </c>
      <c r="AA217" s="318" t="n">
        <v>1</v>
      </c>
      <c r="AB217" s="318" t="n">
        <v>1</v>
      </c>
      <c r="AC217" s="318" t="n">
        <v>1</v>
      </c>
      <c r="AD217" s="318" t="n">
        <v>1</v>
      </c>
      <c r="AE217" s="318" t="n">
        <v>0.98</v>
      </c>
      <c r="AF217" s="318" t="n">
        <v>0.98</v>
      </c>
      <c r="AG217" s="318" t="n">
        <v>0.98</v>
      </c>
      <c r="AH217" s="318" t="n">
        <v>1</v>
      </c>
      <c r="AI217" s="318" t="n">
        <v>1.05</v>
      </c>
      <c r="AJ217" s="318" t="n">
        <v>1</v>
      </c>
      <c r="AK217" s="318" t="n">
        <v>1</v>
      </c>
      <c r="AL217" s="318" t="n">
        <v>1.02</v>
      </c>
      <c r="AM217" s="318" t="n">
        <v>1</v>
      </c>
      <c r="AN217" s="318" t="n">
        <v>1</v>
      </c>
      <c r="AO217" s="318" t="n">
        <v>1</v>
      </c>
    </row>
    <row r="218" customFormat="false" ht="12.75" hidden="false" customHeight="false" outlineLevel="0" collapsed="false">
      <c r="B218" s="318" t="n">
        <v>1</v>
      </c>
      <c r="C218" s="318" t="n">
        <v>1</v>
      </c>
      <c r="D218" s="318" t="n">
        <v>1</v>
      </c>
      <c r="E218" s="318" t="n">
        <v>1</v>
      </c>
      <c r="F218" s="318" t="n">
        <v>1</v>
      </c>
      <c r="G218" s="318" t="n">
        <v>1</v>
      </c>
      <c r="H218" s="318" t="n">
        <v>1</v>
      </c>
      <c r="I218" s="318" t="n">
        <v>1</v>
      </c>
      <c r="J218" s="318" t="n">
        <v>1</v>
      </c>
      <c r="K218" s="318" t="n">
        <v>1</v>
      </c>
      <c r="L218" s="318" t="n">
        <v>1</v>
      </c>
      <c r="M218" s="318" t="n">
        <v>1</v>
      </c>
      <c r="N218" s="318" t="n">
        <v>1</v>
      </c>
      <c r="O218" s="318" t="n">
        <v>1</v>
      </c>
      <c r="P218" s="318" t="n">
        <v>1.03</v>
      </c>
      <c r="Q218" s="318" t="n">
        <v>1.03</v>
      </c>
      <c r="R218" s="318" t="n">
        <v>1</v>
      </c>
      <c r="S218" s="318" t="n">
        <v>1</v>
      </c>
      <c r="T218" s="318" t="n">
        <v>1.02</v>
      </c>
      <c r="U218" s="318" t="n">
        <v>1</v>
      </c>
      <c r="V218" s="318" t="n">
        <v>1</v>
      </c>
      <c r="W218" s="318" t="n">
        <v>1</v>
      </c>
      <c r="X218" s="318" t="n">
        <v>1</v>
      </c>
      <c r="Y218" s="318" t="n">
        <v>1</v>
      </c>
      <c r="Z218" s="318" t="n">
        <v>1.02</v>
      </c>
      <c r="AA218" s="318" t="n">
        <v>1</v>
      </c>
      <c r="AB218" s="318" t="n">
        <v>1</v>
      </c>
      <c r="AC218" s="318" t="n">
        <v>1</v>
      </c>
      <c r="AD218" s="318" t="n">
        <v>1</v>
      </c>
      <c r="AE218" s="318" t="n">
        <v>0.98</v>
      </c>
      <c r="AF218" s="318" t="n">
        <v>0.98</v>
      </c>
      <c r="AG218" s="318" t="n">
        <v>0.98</v>
      </c>
      <c r="AH218" s="318" t="n">
        <v>1</v>
      </c>
      <c r="AI218" s="318" t="n">
        <v>1.05</v>
      </c>
      <c r="AJ218" s="318" t="n">
        <v>1</v>
      </c>
      <c r="AK218" s="318" t="n">
        <v>1</v>
      </c>
      <c r="AL218" s="318" t="n">
        <v>1.02</v>
      </c>
      <c r="AM218" s="318" t="n">
        <v>1</v>
      </c>
      <c r="AN218" s="318" t="n">
        <v>1</v>
      </c>
      <c r="AO218" s="318" t="n">
        <v>1</v>
      </c>
    </row>
    <row r="219" customFormat="false" ht="12.75" hidden="false" customHeight="false" outlineLevel="0" collapsed="false">
      <c r="B219" s="318" t="n">
        <v>1</v>
      </c>
      <c r="C219" s="318" t="n">
        <v>1</v>
      </c>
      <c r="D219" s="318" t="n">
        <v>1</v>
      </c>
      <c r="E219" s="318" t="n">
        <v>1</v>
      </c>
      <c r="F219" s="318" t="n">
        <v>1</v>
      </c>
      <c r="G219" s="318" t="n">
        <v>1</v>
      </c>
      <c r="H219" s="318" t="n">
        <v>1</v>
      </c>
      <c r="I219" s="318" t="n">
        <v>1</v>
      </c>
      <c r="J219" s="318" t="n">
        <v>1</v>
      </c>
      <c r="K219" s="318" t="n">
        <v>1</v>
      </c>
      <c r="L219" s="318" t="n">
        <v>1</v>
      </c>
      <c r="M219" s="318" t="n">
        <v>1</v>
      </c>
      <c r="N219" s="318" t="n">
        <v>1</v>
      </c>
      <c r="O219" s="318" t="n">
        <v>1</v>
      </c>
      <c r="P219" s="318" t="n">
        <v>1.03</v>
      </c>
      <c r="Q219" s="318" t="n">
        <v>1.03</v>
      </c>
      <c r="R219" s="318" t="n">
        <v>1</v>
      </c>
      <c r="S219" s="318" t="n">
        <v>1</v>
      </c>
      <c r="T219" s="318" t="n">
        <v>1.02</v>
      </c>
      <c r="U219" s="318" t="n">
        <v>1</v>
      </c>
      <c r="V219" s="318" t="n">
        <v>1</v>
      </c>
      <c r="W219" s="318" t="n">
        <v>1</v>
      </c>
      <c r="X219" s="318" t="n">
        <v>1</v>
      </c>
      <c r="Y219" s="318" t="n">
        <v>1</v>
      </c>
      <c r="Z219" s="318" t="n">
        <v>1.02</v>
      </c>
      <c r="AA219" s="318" t="n">
        <v>1</v>
      </c>
      <c r="AB219" s="318" t="n">
        <v>1</v>
      </c>
      <c r="AC219" s="318" t="n">
        <v>1</v>
      </c>
      <c r="AD219" s="318" t="n">
        <v>1</v>
      </c>
      <c r="AE219" s="318" t="n">
        <v>0.98</v>
      </c>
      <c r="AF219" s="318" t="n">
        <v>0.98</v>
      </c>
      <c r="AG219" s="318" t="n">
        <v>0.98</v>
      </c>
      <c r="AH219" s="318" t="n">
        <v>1</v>
      </c>
      <c r="AI219" s="318" t="n">
        <v>1.05</v>
      </c>
      <c r="AJ219" s="318" t="n">
        <v>1</v>
      </c>
      <c r="AK219" s="318" t="n">
        <v>1</v>
      </c>
      <c r="AL219" s="318" t="n">
        <v>1.02</v>
      </c>
      <c r="AM219" s="318" t="n">
        <v>1</v>
      </c>
      <c r="AN219" s="318" t="n">
        <v>1</v>
      </c>
      <c r="AO219" s="318" t="n">
        <v>1</v>
      </c>
    </row>
    <row r="220" customFormat="false" ht="12.75" hidden="false" customHeight="false" outlineLevel="0" collapsed="false">
      <c r="B220" s="318" t="n">
        <v>1</v>
      </c>
      <c r="C220" s="318" t="n">
        <v>1</v>
      </c>
      <c r="D220" s="318" t="n">
        <v>1</v>
      </c>
      <c r="E220" s="318" t="n">
        <v>1</v>
      </c>
      <c r="F220" s="318" t="n">
        <v>1</v>
      </c>
      <c r="G220" s="318" t="n">
        <v>1</v>
      </c>
      <c r="H220" s="318" t="n">
        <v>1</v>
      </c>
      <c r="I220" s="318" t="n">
        <v>1</v>
      </c>
      <c r="J220" s="318" t="n">
        <v>1</v>
      </c>
      <c r="K220" s="318" t="n">
        <v>1</v>
      </c>
      <c r="L220" s="318" t="n">
        <v>1</v>
      </c>
      <c r="M220" s="318" t="n">
        <v>1</v>
      </c>
      <c r="N220" s="318" t="n">
        <v>1</v>
      </c>
      <c r="O220" s="318" t="n">
        <v>1</v>
      </c>
      <c r="P220" s="318" t="n">
        <v>1.03</v>
      </c>
      <c r="Q220" s="318" t="n">
        <v>1.03</v>
      </c>
      <c r="R220" s="318" t="n">
        <v>1</v>
      </c>
      <c r="S220" s="318" t="n">
        <v>1</v>
      </c>
      <c r="T220" s="318" t="n">
        <v>1.02</v>
      </c>
      <c r="U220" s="318" t="n">
        <v>1</v>
      </c>
      <c r="V220" s="318" t="n">
        <v>1</v>
      </c>
      <c r="W220" s="318" t="n">
        <v>1</v>
      </c>
      <c r="X220" s="318" t="n">
        <v>1</v>
      </c>
      <c r="Y220" s="318" t="n">
        <v>1</v>
      </c>
      <c r="Z220" s="318" t="n">
        <v>1.02</v>
      </c>
      <c r="AA220" s="318" t="n">
        <v>1</v>
      </c>
      <c r="AB220" s="318" t="n">
        <v>1</v>
      </c>
      <c r="AC220" s="318" t="n">
        <v>1</v>
      </c>
      <c r="AD220" s="318" t="n">
        <v>1</v>
      </c>
      <c r="AE220" s="318" t="n">
        <v>0.98</v>
      </c>
      <c r="AF220" s="318" t="n">
        <v>0.98</v>
      </c>
      <c r="AG220" s="318" t="n">
        <v>0.98</v>
      </c>
      <c r="AH220" s="318" t="n">
        <v>1</v>
      </c>
      <c r="AI220" s="318" t="n">
        <v>1.05</v>
      </c>
      <c r="AJ220" s="318" t="n">
        <v>1</v>
      </c>
      <c r="AK220" s="318" t="n">
        <v>1</v>
      </c>
      <c r="AL220" s="318" t="n">
        <v>1.02</v>
      </c>
      <c r="AM220" s="318" t="n">
        <v>1</v>
      </c>
      <c r="AN220" s="318" t="n">
        <v>1</v>
      </c>
      <c r="AO220" s="318" t="n">
        <v>1</v>
      </c>
    </row>
    <row r="221" customFormat="false" ht="12.75" hidden="false" customHeight="false" outlineLevel="0" collapsed="false">
      <c r="B221" s="318" t="n">
        <v>1</v>
      </c>
      <c r="C221" s="318" t="n">
        <v>1</v>
      </c>
      <c r="D221" s="318" t="n">
        <v>1</v>
      </c>
      <c r="E221" s="318" t="n">
        <v>1</v>
      </c>
      <c r="F221" s="318" t="n">
        <v>1</v>
      </c>
      <c r="G221" s="318" t="n">
        <v>1</v>
      </c>
      <c r="H221" s="318" t="n">
        <v>1</v>
      </c>
      <c r="I221" s="318" t="n">
        <v>1</v>
      </c>
      <c r="J221" s="318" t="n">
        <v>1</v>
      </c>
      <c r="K221" s="318" t="n">
        <v>1</v>
      </c>
      <c r="L221" s="318" t="n">
        <v>1</v>
      </c>
      <c r="M221" s="318" t="n">
        <v>1</v>
      </c>
      <c r="N221" s="318" t="n">
        <v>1</v>
      </c>
      <c r="O221" s="318" t="n">
        <v>1</v>
      </c>
      <c r="P221" s="318" t="n">
        <v>1.03</v>
      </c>
      <c r="Q221" s="318" t="n">
        <v>1.03</v>
      </c>
      <c r="R221" s="318" t="n">
        <v>1</v>
      </c>
      <c r="S221" s="318" t="n">
        <v>1</v>
      </c>
      <c r="T221" s="318" t="n">
        <v>1.02</v>
      </c>
      <c r="U221" s="318" t="n">
        <v>1</v>
      </c>
      <c r="V221" s="318" t="n">
        <v>1</v>
      </c>
      <c r="W221" s="318" t="n">
        <v>1</v>
      </c>
      <c r="X221" s="318" t="n">
        <v>1</v>
      </c>
      <c r="Y221" s="318" t="n">
        <v>1</v>
      </c>
      <c r="Z221" s="318" t="n">
        <v>1</v>
      </c>
      <c r="AA221" s="318" t="n">
        <v>1</v>
      </c>
      <c r="AB221" s="318" t="n">
        <v>1</v>
      </c>
      <c r="AC221" s="318" t="n">
        <v>1</v>
      </c>
      <c r="AD221" s="318" t="n">
        <v>1</v>
      </c>
      <c r="AE221" s="318" t="n">
        <v>1</v>
      </c>
      <c r="AF221" s="318" t="n">
        <v>1</v>
      </c>
      <c r="AG221" s="318" t="n">
        <v>1.1</v>
      </c>
      <c r="AH221" s="318" t="n">
        <v>1.1</v>
      </c>
      <c r="AI221" s="318" t="n">
        <v>1.05</v>
      </c>
      <c r="AJ221" s="318" t="n">
        <v>1</v>
      </c>
      <c r="AK221" s="318" t="n">
        <v>1</v>
      </c>
      <c r="AL221" s="318" t="n">
        <v>1.02</v>
      </c>
      <c r="AM221" s="318" t="n">
        <v>1</v>
      </c>
      <c r="AN221" s="318" t="n">
        <v>1</v>
      </c>
      <c r="AO221" s="318" t="n">
        <v>1</v>
      </c>
    </row>
    <row r="222" customFormat="false" ht="12.75" hidden="false" customHeight="false" outlineLevel="0" collapsed="false">
      <c r="B222" s="318" t="n">
        <v>1</v>
      </c>
      <c r="C222" s="318" t="n">
        <v>1</v>
      </c>
      <c r="D222" s="318" t="n">
        <v>1</v>
      </c>
      <c r="E222" s="318" t="n">
        <v>1</v>
      </c>
      <c r="F222" s="318" t="n">
        <v>1</v>
      </c>
      <c r="G222" s="318" t="n">
        <v>1</v>
      </c>
      <c r="H222" s="318" t="n">
        <v>1</v>
      </c>
      <c r="I222" s="318" t="n">
        <v>1</v>
      </c>
      <c r="J222" s="318" t="n">
        <v>1</v>
      </c>
      <c r="K222" s="318" t="n">
        <v>1</v>
      </c>
      <c r="L222" s="318" t="n">
        <v>1</v>
      </c>
      <c r="M222" s="318" t="n">
        <v>1</v>
      </c>
      <c r="N222" s="318" t="n">
        <v>1</v>
      </c>
      <c r="O222" s="318" t="n">
        <v>1</v>
      </c>
      <c r="P222" s="318" t="n">
        <v>1.03</v>
      </c>
      <c r="Q222" s="318" t="n">
        <v>1.03</v>
      </c>
      <c r="R222" s="318" t="n">
        <v>1</v>
      </c>
      <c r="S222" s="318" t="n">
        <v>1</v>
      </c>
      <c r="T222" s="318" t="n">
        <v>1.02</v>
      </c>
      <c r="U222" s="318" t="n">
        <v>1</v>
      </c>
      <c r="V222" s="318" t="n">
        <v>1</v>
      </c>
      <c r="W222" s="318" t="n">
        <v>1</v>
      </c>
      <c r="X222" s="318" t="n">
        <v>1</v>
      </c>
      <c r="Y222" s="318" t="n">
        <v>1</v>
      </c>
      <c r="Z222" s="318" t="n">
        <v>1</v>
      </c>
      <c r="AA222" s="318" t="n">
        <v>1</v>
      </c>
      <c r="AB222" s="318" t="n">
        <v>1</v>
      </c>
      <c r="AC222" s="318" t="n">
        <v>1</v>
      </c>
      <c r="AD222" s="318" t="n">
        <v>1</v>
      </c>
      <c r="AE222" s="318" t="n">
        <v>1</v>
      </c>
      <c r="AF222" s="318" t="n">
        <v>1</v>
      </c>
      <c r="AG222" s="318" t="n">
        <v>1.1</v>
      </c>
      <c r="AH222" s="318" t="n">
        <v>1.02</v>
      </c>
      <c r="AI222" s="318" t="n">
        <v>1.05</v>
      </c>
      <c r="AJ222" s="318" t="n">
        <v>1</v>
      </c>
      <c r="AK222" s="318" t="n">
        <v>1</v>
      </c>
      <c r="AL222" s="318" t="n">
        <v>1.02</v>
      </c>
      <c r="AM222" s="318" t="n">
        <v>1</v>
      </c>
      <c r="AN222" s="318" t="n">
        <v>1</v>
      </c>
      <c r="AO222" s="318" t="n">
        <v>1</v>
      </c>
    </row>
    <row r="223" customFormat="false" ht="12.75" hidden="false" customHeight="false" outlineLevel="0" collapsed="false">
      <c r="B223" s="318" t="n">
        <v>1</v>
      </c>
      <c r="C223" s="318" t="n">
        <v>1</v>
      </c>
      <c r="D223" s="318" t="n">
        <v>1</v>
      </c>
      <c r="E223" s="318" t="n">
        <v>1</v>
      </c>
      <c r="F223" s="318" t="n">
        <v>1</v>
      </c>
      <c r="G223" s="318" t="n">
        <v>1</v>
      </c>
      <c r="H223" s="318" t="n">
        <v>1</v>
      </c>
      <c r="I223" s="318" t="n">
        <v>1</v>
      </c>
      <c r="J223" s="318" t="n">
        <v>1</v>
      </c>
      <c r="K223" s="318" t="n">
        <v>1</v>
      </c>
      <c r="L223" s="318" t="n">
        <v>1</v>
      </c>
      <c r="M223" s="318" t="n">
        <v>1</v>
      </c>
      <c r="N223" s="318" t="n">
        <v>1</v>
      </c>
      <c r="O223" s="318" t="n">
        <v>1</v>
      </c>
      <c r="P223" s="318" t="n">
        <v>1.03</v>
      </c>
      <c r="Q223" s="318" t="n">
        <v>1.03</v>
      </c>
      <c r="R223" s="318" t="n">
        <v>1</v>
      </c>
      <c r="S223" s="318" t="n">
        <v>1</v>
      </c>
      <c r="T223" s="318" t="n">
        <v>1.02</v>
      </c>
      <c r="U223" s="318" t="n">
        <v>1</v>
      </c>
      <c r="V223" s="318" t="n">
        <v>1</v>
      </c>
      <c r="W223" s="318" t="n">
        <v>1</v>
      </c>
      <c r="X223" s="318" t="n">
        <v>1</v>
      </c>
      <c r="Y223" s="318" t="n">
        <v>1</v>
      </c>
      <c r="Z223" s="318" t="n">
        <v>1</v>
      </c>
      <c r="AA223" s="318" t="n">
        <v>1</v>
      </c>
      <c r="AB223" s="318" t="n">
        <v>1</v>
      </c>
      <c r="AC223" s="318" t="n">
        <v>1</v>
      </c>
      <c r="AD223" s="318" t="n">
        <v>1</v>
      </c>
      <c r="AE223" s="318" t="n">
        <v>1</v>
      </c>
      <c r="AF223" s="318" t="n">
        <v>1</v>
      </c>
      <c r="AG223" s="318" t="n">
        <v>1.1</v>
      </c>
      <c r="AH223" s="318" t="n">
        <v>1.04</v>
      </c>
      <c r="AI223" s="318" t="n">
        <v>1.05</v>
      </c>
      <c r="AJ223" s="318" t="n">
        <v>1</v>
      </c>
      <c r="AK223" s="318" t="n">
        <v>1</v>
      </c>
      <c r="AL223" s="318" t="n">
        <v>1.02</v>
      </c>
      <c r="AM223" s="318" t="n">
        <v>1</v>
      </c>
      <c r="AN223" s="318" t="n">
        <v>1</v>
      </c>
      <c r="AO223" s="318" t="n">
        <v>1</v>
      </c>
    </row>
    <row r="224" customFormat="false" ht="12.75" hidden="false" customHeight="false" outlineLevel="0" collapsed="false">
      <c r="B224" s="318" t="n">
        <v>1</v>
      </c>
      <c r="C224" s="318" t="n">
        <v>1</v>
      </c>
      <c r="D224" s="318" t="n">
        <v>1</v>
      </c>
      <c r="E224" s="318" t="n">
        <v>1</v>
      </c>
      <c r="F224" s="318" t="n">
        <v>1</v>
      </c>
      <c r="G224" s="318" t="n">
        <v>1</v>
      </c>
      <c r="H224" s="318" t="n">
        <v>1</v>
      </c>
      <c r="I224" s="318" t="n">
        <v>1</v>
      </c>
      <c r="J224" s="318" t="n">
        <v>1</v>
      </c>
      <c r="K224" s="318" t="n">
        <v>1</v>
      </c>
      <c r="L224" s="318" t="n">
        <v>1</v>
      </c>
      <c r="M224" s="318" t="n">
        <v>1</v>
      </c>
      <c r="N224" s="318" t="n">
        <v>1</v>
      </c>
      <c r="O224" s="318" t="n">
        <v>1</v>
      </c>
      <c r="P224" s="318" t="n">
        <v>1.03</v>
      </c>
      <c r="Q224" s="318" t="n">
        <v>1.03</v>
      </c>
      <c r="R224" s="318" t="n">
        <v>1</v>
      </c>
      <c r="S224" s="318" t="n">
        <v>1</v>
      </c>
      <c r="T224" s="318" t="n">
        <v>1.02</v>
      </c>
      <c r="U224" s="318" t="n">
        <v>1</v>
      </c>
      <c r="V224" s="318" t="n">
        <v>1</v>
      </c>
      <c r="W224" s="318" t="n">
        <v>1</v>
      </c>
      <c r="X224" s="318" t="n">
        <v>1</v>
      </c>
      <c r="Y224" s="318" t="n">
        <v>1</v>
      </c>
      <c r="Z224" s="318" t="n">
        <v>1</v>
      </c>
      <c r="AA224" s="318" t="n">
        <v>1</v>
      </c>
      <c r="AB224" s="318" t="n">
        <v>1</v>
      </c>
      <c r="AC224" s="318" t="n">
        <v>1</v>
      </c>
      <c r="AD224" s="318" t="n">
        <v>1</v>
      </c>
      <c r="AE224" s="318" t="n">
        <v>1</v>
      </c>
      <c r="AF224" s="318" t="n">
        <v>1</v>
      </c>
      <c r="AG224" s="318" t="n">
        <v>1.1</v>
      </c>
      <c r="AH224" s="318" t="n">
        <v>1.04</v>
      </c>
      <c r="AI224" s="318" t="n">
        <v>1.05</v>
      </c>
      <c r="AJ224" s="318" t="n">
        <v>1</v>
      </c>
      <c r="AK224" s="318" t="n">
        <v>1</v>
      </c>
      <c r="AL224" s="318" t="n">
        <v>1.02</v>
      </c>
      <c r="AM224" s="318" t="n">
        <v>1</v>
      </c>
      <c r="AN224" s="318" t="n">
        <v>1</v>
      </c>
      <c r="AO224" s="318" t="n">
        <v>1</v>
      </c>
    </row>
    <row r="225" customFormat="false" ht="12.75" hidden="false" customHeight="false" outlineLevel="0" collapsed="false">
      <c r="B225" s="318" t="n">
        <v>1</v>
      </c>
      <c r="C225" s="318" t="n">
        <v>1</v>
      </c>
      <c r="D225" s="318" t="n">
        <v>1</v>
      </c>
      <c r="E225" s="318" t="n">
        <v>1</v>
      </c>
      <c r="F225" s="318" t="n">
        <v>1</v>
      </c>
      <c r="G225" s="318" t="n">
        <v>1</v>
      </c>
      <c r="H225" s="318" t="n">
        <v>1</v>
      </c>
      <c r="I225" s="318" t="n">
        <v>1</v>
      </c>
      <c r="J225" s="318" t="n">
        <v>1</v>
      </c>
      <c r="K225" s="318" t="n">
        <v>1</v>
      </c>
      <c r="L225" s="318" t="n">
        <v>1</v>
      </c>
      <c r="M225" s="318" t="n">
        <v>1</v>
      </c>
      <c r="N225" s="318" t="n">
        <v>1</v>
      </c>
      <c r="O225" s="318" t="n">
        <v>1</v>
      </c>
      <c r="P225" s="318" t="n">
        <v>1.03</v>
      </c>
      <c r="Q225" s="318" t="n">
        <v>1.03</v>
      </c>
      <c r="R225" s="318" t="n">
        <v>1</v>
      </c>
      <c r="S225" s="318" t="n">
        <v>1</v>
      </c>
      <c r="T225" s="318" t="n">
        <v>1.02</v>
      </c>
      <c r="U225" s="318" t="n">
        <v>1</v>
      </c>
      <c r="V225" s="318" t="n">
        <v>1</v>
      </c>
      <c r="W225" s="318" t="n">
        <v>1</v>
      </c>
      <c r="X225" s="318" t="n">
        <v>1</v>
      </c>
      <c r="Y225" s="318" t="n">
        <v>1</v>
      </c>
      <c r="Z225" s="318" t="n">
        <v>1</v>
      </c>
      <c r="AA225" s="318" t="n">
        <v>1</v>
      </c>
      <c r="AB225" s="318" t="n">
        <v>1</v>
      </c>
      <c r="AC225" s="318" t="n">
        <v>1</v>
      </c>
      <c r="AD225" s="318" t="n">
        <v>1</v>
      </c>
      <c r="AE225" s="318" t="n">
        <v>1</v>
      </c>
      <c r="AF225" s="318" t="n">
        <v>1</v>
      </c>
      <c r="AG225" s="318" t="n">
        <v>1.1</v>
      </c>
      <c r="AH225" s="318" t="n">
        <v>1.04</v>
      </c>
      <c r="AI225" s="318" t="n">
        <v>1.05</v>
      </c>
      <c r="AJ225" s="318" t="n">
        <v>1</v>
      </c>
      <c r="AK225" s="318" t="n">
        <v>1</v>
      </c>
      <c r="AL225" s="318" t="n">
        <v>1.02</v>
      </c>
      <c r="AM225" s="318" t="n">
        <v>1</v>
      </c>
      <c r="AN225" s="318" t="n">
        <v>1</v>
      </c>
      <c r="AO225" s="318" t="n">
        <v>1</v>
      </c>
    </row>
    <row r="226" customFormat="false" ht="12.75" hidden="false" customHeight="false" outlineLevel="0" collapsed="false">
      <c r="B226" s="318" t="n">
        <v>1</v>
      </c>
      <c r="C226" s="318" t="n">
        <v>1</v>
      </c>
      <c r="D226" s="318" t="n">
        <v>1</v>
      </c>
      <c r="E226" s="318" t="n">
        <v>1</v>
      </c>
      <c r="F226" s="318" t="n">
        <v>1</v>
      </c>
      <c r="G226" s="318" t="n">
        <v>1</v>
      </c>
      <c r="H226" s="318" t="n">
        <v>1</v>
      </c>
      <c r="I226" s="318" t="n">
        <v>1</v>
      </c>
      <c r="J226" s="318" t="n">
        <v>1</v>
      </c>
      <c r="K226" s="318" t="n">
        <v>1</v>
      </c>
      <c r="L226" s="318" t="n">
        <v>1</v>
      </c>
      <c r="M226" s="318" t="n">
        <v>1</v>
      </c>
      <c r="N226" s="318" t="n">
        <v>1</v>
      </c>
      <c r="O226" s="318" t="n">
        <v>1</v>
      </c>
      <c r="P226" s="318" t="n">
        <v>1.03</v>
      </c>
      <c r="Q226" s="318" t="n">
        <v>1.03</v>
      </c>
      <c r="R226" s="318" t="n">
        <v>1</v>
      </c>
      <c r="S226" s="318" t="n">
        <v>1</v>
      </c>
      <c r="T226" s="318" t="n">
        <v>1.02</v>
      </c>
      <c r="U226" s="318" t="n">
        <v>1</v>
      </c>
      <c r="V226" s="318" t="n">
        <v>1</v>
      </c>
      <c r="W226" s="318" t="n">
        <v>1</v>
      </c>
      <c r="X226" s="318" t="n">
        <v>1</v>
      </c>
      <c r="Y226" s="318" t="n">
        <v>1</v>
      </c>
      <c r="Z226" s="318" t="n">
        <v>1.02</v>
      </c>
      <c r="AA226" s="318" t="n">
        <v>1</v>
      </c>
      <c r="AB226" s="318" t="n">
        <v>1</v>
      </c>
      <c r="AC226" s="318" t="n">
        <v>1</v>
      </c>
      <c r="AD226" s="318" t="n">
        <v>1</v>
      </c>
      <c r="AE226" s="318" t="n">
        <v>0.98</v>
      </c>
      <c r="AF226" s="318" t="n">
        <v>0.98</v>
      </c>
      <c r="AG226" s="318" t="n">
        <v>0.98</v>
      </c>
      <c r="AH226" s="318" t="n">
        <v>1</v>
      </c>
      <c r="AI226" s="318" t="n">
        <v>1.05</v>
      </c>
      <c r="AJ226" s="318" t="n">
        <v>1</v>
      </c>
      <c r="AK226" s="318" t="n">
        <v>1</v>
      </c>
      <c r="AL226" s="318" t="n">
        <v>1.02</v>
      </c>
      <c r="AM226" s="318" t="n">
        <v>1</v>
      </c>
      <c r="AN226" s="318" t="n">
        <v>1</v>
      </c>
      <c r="AO226" s="318" t="n">
        <v>1</v>
      </c>
    </row>
    <row r="227" customFormat="false" ht="12.75" hidden="false" customHeight="false" outlineLevel="0" collapsed="false">
      <c r="B227" s="318" t="n">
        <v>1</v>
      </c>
      <c r="C227" s="318" t="n">
        <v>1</v>
      </c>
      <c r="D227" s="318" t="n">
        <v>1</v>
      </c>
      <c r="E227" s="318" t="n">
        <v>1</v>
      </c>
      <c r="F227" s="318" t="n">
        <v>1</v>
      </c>
      <c r="G227" s="318" t="n">
        <v>1</v>
      </c>
      <c r="H227" s="318" t="n">
        <v>1</v>
      </c>
      <c r="I227" s="318" t="n">
        <v>1</v>
      </c>
      <c r="J227" s="318" t="n">
        <v>1</v>
      </c>
      <c r="K227" s="318" t="n">
        <v>1</v>
      </c>
      <c r="L227" s="318" t="n">
        <v>1</v>
      </c>
      <c r="M227" s="318" t="n">
        <v>1</v>
      </c>
      <c r="N227" s="318" t="n">
        <v>1</v>
      </c>
      <c r="O227" s="318" t="n">
        <v>1</v>
      </c>
      <c r="P227" s="318" t="n">
        <v>1.03</v>
      </c>
      <c r="Q227" s="318" t="n">
        <v>1.03</v>
      </c>
      <c r="R227" s="318" t="n">
        <v>1</v>
      </c>
      <c r="S227" s="318" t="n">
        <v>1</v>
      </c>
      <c r="T227" s="318" t="n">
        <v>1.02</v>
      </c>
      <c r="U227" s="318" t="n">
        <v>1</v>
      </c>
      <c r="V227" s="318" t="n">
        <v>1</v>
      </c>
      <c r="W227" s="318" t="n">
        <v>1</v>
      </c>
      <c r="X227" s="318" t="n">
        <v>1</v>
      </c>
      <c r="Y227" s="318" t="n">
        <v>1</v>
      </c>
      <c r="Z227" s="318" t="n">
        <v>1.02</v>
      </c>
      <c r="AA227" s="318" t="n">
        <v>1</v>
      </c>
      <c r="AB227" s="318" t="n">
        <v>1</v>
      </c>
      <c r="AC227" s="318" t="n">
        <v>1</v>
      </c>
      <c r="AD227" s="318" t="n">
        <v>1</v>
      </c>
      <c r="AE227" s="318" t="n">
        <v>0.98</v>
      </c>
      <c r="AF227" s="318" t="n">
        <v>0.98</v>
      </c>
      <c r="AG227" s="318" t="n">
        <v>0.98</v>
      </c>
      <c r="AH227" s="318" t="n">
        <v>1</v>
      </c>
      <c r="AI227" s="318" t="n">
        <v>1.05</v>
      </c>
      <c r="AJ227" s="318" t="n">
        <v>1</v>
      </c>
      <c r="AK227" s="318" t="n">
        <v>1</v>
      </c>
      <c r="AL227" s="318" t="n">
        <v>1.02</v>
      </c>
      <c r="AM227" s="318" t="n">
        <v>1</v>
      </c>
      <c r="AN227" s="318" t="n">
        <v>1</v>
      </c>
      <c r="AO227" s="318" t="n">
        <v>1</v>
      </c>
    </row>
    <row r="228" customFormat="false" ht="12.75" hidden="false" customHeight="false" outlineLevel="0" collapsed="false">
      <c r="B228" s="318" t="n">
        <v>1</v>
      </c>
      <c r="C228" s="318" t="n">
        <v>1</v>
      </c>
      <c r="D228" s="318" t="n">
        <v>1</v>
      </c>
      <c r="E228" s="318" t="n">
        <v>1</v>
      </c>
      <c r="F228" s="318" t="n">
        <v>1</v>
      </c>
      <c r="G228" s="318" t="n">
        <v>1</v>
      </c>
      <c r="H228" s="318" t="n">
        <v>1</v>
      </c>
      <c r="I228" s="318" t="n">
        <v>1</v>
      </c>
      <c r="J228" s="318" t="n">
        <v>1</v>
      </c>
      <c r="K228" s="318" t="n">
        <v>1</v>
      </c>
      <c r="L228" s="318" t="n">
        <v>1</v>
      </c>
      <c r="M228" s="318" t="n">
        <v>1</v>
      </c>
      <c r="N228" s="318" t="n">
        <v>1</v>
      </c>
      <c r="O228" s="318" t="n">
        <v>1</v>
      </c>
      <c r="P228" s="318" t="n">
        <v>1.03</v>
      </c>
      <c r="Q228" s="318" t="n">
        <v>1.03</v>
      </c>
      <c r="R228" s="318" t="n">
        <v>1</v>
      </c>
      <c r="S228" s="318" t="n">
        <v>1</v>
      </c>
      <c r="T228" s="318" t="n">
        <v>1.02</v>
      </c>
      <c r="U228" s="318" t="n">
        <v>1</v>
      </c>
      <c r="V228" s="318" t="n">
        <v>1</v>
      </c>
      <c r="W228" s="318" t="n">
        <v>1</v>
      </c>
      <c r="X228" s="318" t="n">
        <v>1</v>
      </c>
      <c r="Y228" s="318" t="n">
        <v>1</v>
      </c>
      <c r="Z228" s="318" t="n">
        <v>1.02</v>
      </c>
      <c r="AA228" s="318" t="n">
        <v>1</v>
      </c>
      <c r="AB228" s="318" t="n">
        <v>1</v>
      </c>
      <c r="AC228" s="318" t="n">
        <v>1</v>
      </c>
      <c r="AD228" s="318" t="n">
        <v>1</v>
      </c>
      <c r="AE228" s="318" t="n">
        <v>0.98</v>
      </c>
      <c r="AF228" s="318" t="n">
        <v>0.98</v>
      </c>
      <c r="AG228" s="318" t="n">
        <v>0.98</v>
      </c>
      <c r="AH228" s="318" t="n">
        <v>1</v>
      </c>
      <c r="AI228" s="318" t="n">
        <v>1.05</v>
      </c>
      <c r="AJ228" s="318" t="n">
        <v>1</v>
      </c>
      <c r="AK228" s="318" t="n">
        <v>1</v>
      </c>
      <c r="AL228" s="318" t="n">
        <v>1.02</v>
      </c>
      <c r="AM228" s="318" t="n">
        <v>1</v>
      </c>
      <c r="AN228" s="318" t="n">
        <v>1</v>
      </c>
      <c r="AO228" s="318" t="n">
        <v>1</v>
      </c>
    </row>
    <row r="229" customFormat="false" ht="12.75" hidden="false" customHeight="false" outlineLevel="0" collapsed="false">
      <c r="B229" s="318" t="n">
        <v>1</v>
      </c>
      <c r="C229" s="318" t="n">
        <v>1</v>
      </c>
      <c r="D229" s="318" t="n">
        <v>1</v>
      </c>
      <c r="E229" s="318" t="n">
        <v>1</v>
      </c>
      <c r="F229" s="318" t="n">
        <v>1</v>
      </c>
      <c r="G229" s="318" t="n">
        <v>1</v>
      </c>
      <c r="H229" s="318" t="n">
        <v>1</v>
      </c>
      <c r="I229" s="318" t="n">
        <v>1</v>
      </c>
      <c r="J229" s="318" t="n">
        <v>1</v>
      </c>
      <c r="K229" s="318" t="n">
        <v>1</v>
      </c>
      <c r="L229" s="318" t="n">
        <v>1</v>
      </c>
      <c r="M229" s="318" t="n">
        <v>1</v>
      </c>
      <c r="N229" s="318" t="n">
        <v>1</v>
      </c>
      <c r="O229" s="318" t="n">
        <v>1</v>
      </c>
      <c r="P229" s="318" t="n">
        <v>1.03</v>
      </c>
      <c r="Q229" s="318" t="n">
        <v>1.03</v>
      </c>
      <c r="R229" s="318" t="n">
        <v>1</v>
      </c>
      <c r="S229" s="318" t="n">
        <v>1</v>
      </c>
      <c r="T229" s="318" t="n">
        <v>1.02</v>
      </c>
      <c r="U229" s="318" t="n">
        <v>1</v>
      </c>
      <c r="V229" s="318" t="n">
        <v>1</v>
      </c>
      <c r="W229" s="318" t="n">
        <v>1</v>
      </c>
      <c r="X229" s="318" t="n">
        <v>1</v>
      </c>
      <c r="Y229" s="318" t="n">
        <v>1</v>
      </c>
      <c r="Z229" s="318" t="n">
        <v>1.02</v>
      </c>
      <c r="AA229" s="318" t="n">
        <v>1</v>
      </c>
      <c r="AB229" s="318" t="n">
        <v>1</v>
      </c>
      <c r="AC229" s="318" t="n">
        <v>1</v>
      </c>
      <c r="AD229" s="318" t="n">
        <v>1</v>
      </c>
      <c r="AE229" s="318" t="n">
        <v>0.98</v>
      </c>
      <c r="AF229" s="318" t="n">
        <v>0.98</v>
      </c>
      <c r="AG229" s="318" t="n">
        <v>0.98</v>
      </c>
      <c r="AH229" s="318" t="n">
        <v>1</v>
      </c>
      <c r="AI229" s="318" t="n">
        <v>1.05</v>
      </c>
      <c r="AJ229" s="318" t="n">
        <v>1</v>
      </c>
      <c r="AK229" s="318" t="n">
        <v>1</v>
      </c>
      <c r="AL229" s="318" t="n">
        <v>1.02</v>
      </c>
      <c r="AM229" s="318" t="n">
        <v>1</v>
      </c>
      <c r="AN229" s="318" t="n">
        <v>1</v>
      </c>
      <c r="AO229" s="318" t="n">
        <v>1</v>
      </c>
    </row>
    <row r="230" customFormat="false" ht="12.75" hidden="false" customHeight="false" outlineLevel="0" collapsed="false">
      <c r="B230" s="318" t="n">
        <v>1</v>
      </c>
      <c r="C230" s="318" t="n">
        <v>1</v>
      </c>
      <c r="D230" s="318" t="n">
        <v>1</v>
      </c>
      <c r="E230" s="318" t="n">
        <v>1</v>
      </c>
      <c r="F230" s="318" t="n">
        <v>1</v>
      </c>
      <c r="G230" s="318" t="n">
        <v>1</v>
      </c>
      <c r="H230" s="318" t="n">
        <v>1</v>
      </c>
      <c r="I230" s="318" t="n">
        <v>1</v>
      </c>
      <c r="J230" s="318" t="n">
        <v>1</v>
      </c>
      <c r="K230" s="318" t="n">
        <v>1</v>
      </c>
      <c r="L230" s="318" t="n">
        <v>1</v>
      </c>
      <c r="M230" s="318" t="n">
        <v>1</v>
      </c>
      <c r="N230" s="318" t="n">
        <v>1</v>
      </c>
      <c r="O230" s="318" t="n">
        <v>1</v>
      </c>
      <c r="P230" s="318" t="n">
        <v>1.03</v>
      </c>
      <c r="Q230" s="318" t="n">
        <v>1.03</v>
      </c>
      <c r="R230" s="318" t="n">
        <v>1</v>
      </c>
      <c r="S230" s="318" t="n">
        <v>1</v>
      </c>
      <c r="T230" s="318" t="n">
        <v>1.02</v>
      </c>
      <c r="U230" s="318" t="n">
        <v>1</v>
      </c>
      <c r="V230" s="318" t="n">
        <v>1</v>
      </c>
      <c r="W230" s="318" t="n">
        <v>1</v>
      </c>
      <c r="X230" s="318" t="n">
        <v>1</v>
      </c>
      <c r="Y230" s="318" t="n">
        <v>1</v>
      </c>
      <c r="Z230" s="318" t="n">
        <v>1.02</v>
      </c>
      <c r="AA230" s="318" t="n">
        <v>1</v>
      </c>
      <c r="AB230" s="318" t="n">
        <v>1</v>
      </c>
      <c r="AC230" s="318" t="n">
        <v>1</v>
      </c>
      <c r="AD230" s="318" t="n">
        <v>1</v>
      </c>
      <c r="AE230" s="318" t="n">
        <v>0.98</v>
      </c>
      <c r="AF230" s="318" t="n">
        <v>0.98</v>
      </c>
      <c r="AG230" s="318" t="n">
        <v>0.98</v>
      </c>
      <c r="AH230" s="318" t="n">
        <v>1</v>
      </c>
      <c r="AI230" s="318" t="n">
        <v>1.05</v>
      </c>
      <c r="AJ230" s="318" t="n">
        <v>1</v>
      </c>
      <c r="AK230" s="318" t="n">
        <v>1</v>
      </c>
      <c r="AL230" s="318" t="n">
        <v>1.02</v>
      </c>
      <c r="AM230" s="318" t="n">
        <v>1</v>
      </c>
      <c r="AN230" s="318" t="n">
        <v>1</v>
      </c>
      <c r="AO230" s="318" t="n">
        <v>1</v>
      </c>
    </row>
    <row r="231" customFormat="false" ht="12.75" hidden="false" customHeight="false" outlineLevel="0" collapsed="false">
      <c r="B231" s="318" t="n">
        <v>1</v>
      </c>
      <c r="C231" s="318" t="n">
        <v>1</v>
      </c>
      <c r="D231" s="318" t="n">
        <v>1</v>
      </c>
      <c r="E231" s="318" t="n">
        <v>1</v>
      </c>
      <c r="F231" s="318" t="n">
        <v>1</v>
      </c>
      <c r="G231" s="318" t="n">
        <v>1</v>
      </c>
      <c r="H231" s="318" t="n">
        <v>1</v>
      </c>
      <c r="I231" s="318" t="n">
        <v>1</v>
      </c>
      <c r="J231" s="318" t="n">
        <v>1</v>
      </c>
      <c r="K231" s="318" t="n">
        <v>1</v>
      </c>
      <c r="L231" s="318" t="n">
        <v>1</v>
      </c>
      <c r="M231" s="318" t="n">
        <v>1</v>
      </c>
      <c r="N231" s="318" t="n">
        <v>1</v>
      </c>
      <c r="O231" s="318" t="n">
        <v>1</v>
      </c>
      <c r="P231" s="318" t="n">
        <v>1.03</v>
      </c>
      <c r="Q231" s="318" t="n">
        <v>1.03</v>
      </c>
      <c r="R231" s="318" t="n">
        <v>1</v>
      </c>
      <c r="S231" s="318" t="n">
        <v>1</v>
      </c>
      <c r="T231" s="318" t="n">
        <v>1.02</v>
      </c>
      <c r="U231" s="318" t="n">
        <v>1</v>
      </c>
      <c r="V231" s="318" t="n">
        <v>1</v>
      </c>
      <c r="W231" s="318" t="n">
        <v>1</v>
      </c>
      <c r="X231" s="318" t="n">
        <v>1</v>
      </c>
      <c r="Y231" s="318" t="n">
        <v>1</v>
      </c>
      <c r="Z231" s="318" t="n">
        <v>1.02</v>
      </c>
      <c r="AA231" s="318" t="n">
        <v>1</v>
      </c>
      <c r="AB231" s="318" t="n">
        <v>1</v>
      </c>
      <c r="AC231" s="318" t="n">
        <v>1</v>
      </c>
      <c r="AD231" s="318" t="n">
        <v>1</v>
      </c>
      <c r="AE231" s="318" t="n">
        <v>0.98</v>
      </c>
      <c r="AF231" s="318" t="n">
        <v>0.98</v>
      </c>
      <c r="AG231" s="318" t="n">
        <v>0.98</v>
      </c>
      <c r="AH231" s="318" t="n">
        <v>1</v>
      </c>
      <c r="AI231" s="318" t="n">
        <v>1.05</v>
      </c>
      <c r="AJ231" s="318" t="n">
        <v>1</v>
      </c>
      <c r="AK231" s="318" t="n">
        <v>1</v>
      </c>
      <c r="AL231" s="318" t="n">
        <v>1.02</v>
      </c>
      <c r="AM231" s="318" t="n">
        <v>1</v>
      </c>
      <c r="AN231" s="318" t="n">
        <v>1</v>
      </c>
      <c r="AO231" s="318" t="n">
        <v>1</v>
      </c>
    </row>
    <row r="232" customFormat="false" ht="12.75" hidden="false" customHeight="false" outlineLevel="0" collapsed="false">
      <c r="B232" s="318" t="n">
        <v>1</v>
      </c>
      <c r="C232" s="318" t="n">
        <v>1</v>
      </c>
      <c r="D232" s="318" t="n">
        <v>1</v>
      </c>
      <c r="E232" s="318" t="n">
        <v>1</v>
      </c>
      <c r="F232" s="318" t="n">
        <v>1</v>
      </c>
      <c r="G232" s="318" t="n">
        <v>1</v>
      </c>
      <c r="H232" s="318" t="n">
        <v>1</v>
      </c>
      <c r="I232" s="318" t="n">
        <v>1</v>
      </c>
      <c r="J232" s="318" t="n">
        <v>1</v>
      </c>
      <c r="K232" s="318" t="n">
        <v>1</v>
      </c>
      <c r="L232" s="318" t="n">
        <v>1</v>
      </c>
      <c r="M232" s="318" t="n">
        <v>1</v>
      </c>
      <c r="N232" s="318" t="n">
        <v>1</v>
      </c>
      <c r="O232" s="318" t="n">
        <v>1</v>
      </c>
      <c r="P232" s="318" t="n">
        <v>1.03</v>
      </c>
      <c r="Q232" s="318" t="n">
        <v>1.03</v>
      </c>
      <c r="R232" s="318" t="n">
        <v>1</v>
      </c>
      <c r="S232" s="318" t="n">
        <v>1</v>
      </c>
      <c r="T232" s="318" t="n">
        <v>1.02</v>
      </c>
      <c r="U232" s="318" t="n">
        <v>1</v>
      </c>
      <c r="V232" s="318" t="n">
        <v>1</v>
      </c>
      <c r="W232" s="318" t="n">
        <v>1</v>
      </c>
      <c r="X232" s="318" t="n">
        <v>1</v>
      </c>
      <c r="Y232" s="318" t="n">
        <v>1</v>
      </c>
      <c r="Z232" s="318" t="n">
        <v>1.02</v>
      </c>
      <c r="AA232" s="318" t="n">
        <v>1</v>
      </c>
      <c r="AB232" s="318" t="n">
        <v>1</v>
      </c>
      <c r="AC232" s="318" t="n">
        <v>1</v>
      </c>
      <c r="AD232" s="318" t="n">
        <v>1</v>
      </c>
      <c r="AE232" s="318" t="n">
        <v>0.98</v>
      </c>
      <c r="AF232" s="318" t="n">
        <v>0.98</v>
      </c>
      <c r="AG232" s="318" t="n">
        <v>0.98</v>
      </c>
      <c r="AH232" s="318" t="n">
        <v>1</v>
      </c>
      <c r="AI232" s="318" t="n">
        <v>1.05</v>
      </c>
      <c r="AJ232" s="318" t="n">
        <v>1</v>
      </c>
      <c r="AK232" s="318" t="n">
        <v>1</v>
      </c>
      <c r="AL232" s="318" t="n">
        <v>1.02</v>
      </c>
      <c r="AM232" s="318" t="n">
        <v>1</v>
      </c>
      <c r="AN232" s="318" t="n">
        <v>1</v>
      </c>
      <c r="AO232" s="318" t="n">
        <v>1</v>
      </c>
    </row>
    <row r="233" customFormat="false" ht="12.75" hidden="false" customHeight="false" outlineLevel="0" collapsed="false">
      <c r="B233" s="318" t="n">
        <v>1</v>
      </c>
      <c r="C233" s="318" t="n">
        <v>1</v>
      </c>
      <c r="D233" s="318" t="n">
        <v>1</v>
      </c>
      <c r="E233" s="318" t="n">
        <v>1</v>
      </c>
      <c r="F233" s="318" t="n">
        <v>1</v>
      </c>
      <c r="G233" s="318" t="n">
        <v>1</v>
      </c>
      <c r="H233" s="318" t="n">
        <v>1</v>
      </c>
      <c r="I233" s="318" t="n">
        <v>1</v>
      </c>
      <c r="J233" s="318" t="n">
        <v>1</v>
      </c>
      <c r="K233" s="318" t="n">
        <v>1</v>
      </c>
      <c r="L233" s="318" t="n">
        <v>1</v>
      </c>
      <c r="M233" s="318" t="n">
        <v>1</v>
      </c>
      <c r="N233" s="318" t="n">
        <v>1</v>
      </c>
      <c r="O233" s="318" t="n">
        <v>1</v>
      </c>
      <c r="P233" s="318" t="n">
        <v>1.03</v>
      </c>
      <c r="Q233" s="318" t="n">
        <v>1.03</v>
      </c>
      <c r="R233" s="318" t="n">
        <v>1</v>
      </c>
      <c r="S233" s="318" t="n">
        <v>1</v>
      </c>
      <c r="T233" s="318" t="n">
        <v>1.02</v>
      </c>
      <c r="U233" s="318" t="n">
        <v>1</v>
      </c>
      <c r="V233" s="318" t="n">
        <v>1</v>
      </c>
      <c r="W233" s="318" t="n">
        <v>1</v>
      </c>
      <c r="X233" s="318" t="n">
        <v>1</v>
      </c>
      <c r="Y233" s="318" t="n">
        <v>1</v>
      </c>
      <c r="Z233" s="318" t="n">
        <v>1</v>
      </c>
      <c r="AA233" s="318" t="n">
        <v>1</v>
      </c>
      <c r="AB233" s="318" t="n">
        <v>1</v>
      </c>
      <c r="AC233" s="318" t="n">
        <v>1</v>
      </c>
      <c r="AD233" s="318" t="n">
        <v>1</v>
      </c>
      <c r="AE233" s="318" t="n">
        <v>1</v>
      </c>
      <c r="AF233" s="318" t="n">
        <v>1</v>
      </c>
      <c r="AG233" s="318" t="n">
        <v>1.1</v>
      </c>
      <c r="AH233" s="318" t="n">
        <v>1.1</v>
      </c>
      <c r="AI233" s="318" t="n">
        <v>1.05</v>
      </c>
      <c r="AJ233" s="318" t="n">
        <v>1</v>
      </c>
      <c r="AK233" s="318" t="n">
        <v>1</v>
      </c>
      <c r="AL233" s="318" t="n">
        <v>1.02</v>
      </c>
      <c r="AM233" s="318" t="n">
        <v>1</v>
      </c>
      <c r="AN233" s="318" t="n">
        <v>1</v>
      </c>
      <c r="AO233" s="318" t="n">
        <v>1</v>
      </c>
    </row>
    <row r="234" customFormat="false" ht="12.75" hidden="false" customHeight="false" outlineLevel="0" collapsed="false">
      <c r="B234" s="318" t="n">
        <v>1</v>
      </c>
      <c r="C234" s="318" t="n">
        <v>1</v>
      </c>
      <c r="D234" s="318" t="n">
        <v>1</v>
      </c>
      <c r="E234" s="318" t="n">
        <v>1</v>
      </c>
      <c r="F234" s="318" t="n">
        <v>1</v>
      </c>
      <c r="G234" s="318" t="n">
        <v>1</v>
      </c>
      <c r="H234" s="318" t="n">
        <v>1</v>
      </c>
      <c r="I234" s="318" t="n">
        <v>1</v>
      </c>
      <c r="J234" s="318" t="n">
        <v>1</v>
      </c>
      <c r="K234" s="318" t="n">
        <v>1</v>
      </c>
      <c r="L234" s="318" t="n">
        <v>1</v>
      </c>
      <c r="M234" s="318" t="n">
        <v>1</v>
      </c>
      <c r="N234" s="318" t="n">
        <v>1</v>
      </c>
      <c r="O234" s="318" t="n">
        <v>1</v>
      </c>
      <c r="P234" s="318" t="n">
        <v>1.03</v>
      </c>
      <c r="Q234" s="318" t="n">
        <v>1.03</v>
      </c>
      <c r="R234" s="318" t="n">
        <v>1</v>
      </c>
      <c r="S234" s="318" t="n">
        <v>1</v>
      </c>
      <c r="T234" s="318" t="n">
        <v>1.02</v>
      </c>
      <c r="U234" s="318" t="n">
        <v>1</v>
      </c>
      <c r="V234" s="318" t="n">
        <v>1</v>
      </c>
      <c r="W234" s="318" t="n">
        <v>1</v>
      </c>
      <c r="X234" s="318" t="n">
        <v>1</v>
      </c>
      <c r="Y234" s="318" t="n">
        <v>1</v>
      </c>
      <c r="Z234" s="318" t="n">
        <v>1</v>
      </c>
      <c r="AA234" s="318" t="n">
        <v>1</v>
      </c>
      <c r="AB234" s="318" t="n">
        <v>1</v>
      </c>
      <c r="AC234" s="318" t="n">
        <v>1</v>
      </c>
      <c r="AD234" s="318" t="n">
        <v>1</v>
      </c>
      <c r="AE234" s="318" t="n">
        <v>1</v>
      </c>
      <c r="AF234" s="318" t="n">
        <v>1</v>
      </c>
      <c r="AG234" s="318" t="n">
        <v>1.1</v>
      </c>
      <c r="AH234" s="318" t="n">
        <v>1.02</v>
      </c>
      <c r="AI234" s="318" t="n">
        <v>1.05</v>
      </c>
      <c r="AJ234" s="318" t="n">
        <v>1</v>
      </c>
      <c r="AK234" s="318" t="n">
        <v>1</v>
      </c>
      <c r="AL234" s="318" t="n">
        <v>1.02</v>
      </c>
      <c r="AM234" s="318" t="n">
        <v>1</v>
      </c>
      <c r="AN234" s="318" t="n">
        <v>1</v>
      </c>
      <c r="AO234" s="318" t="n">
        <v>1</v>
      </c>
    </row>
    <row r="235" customFormat="false" ht="12.75" hidden="false" customHeight="false" outlineLevel="0" collapsed="false">
      <c r="B235" s="318" t="n">
        <v>1</v>
      </c>
      <c r="C235" s="318" t="n">
        <v>1</v>
      </c>
      <c r="D235" s="318" t="n">
        <v>1</v>
      </c>
      <c r="E235" s="318" t="n">
        <v>1</v>
      </c>
      <c r="F235" s="318" t="n">
        <v>1</v>
      </c>
      <c r="G235" s="318" t="n">
        <v>1</v>
      </c>
      <c r="H235" s="318" t="n">
        <v>1</v>
      </c>
      <c r="I235" s="318" t="n">
        <v>1</v>
      </c>
      <c r="J235" s="318" t="n">
        <v>1</v>
      </c>
      <c r="K235" s="318" t="n">
        <v>1</v>
      </c>
      <c r="L235" s="318" t="n">
        <v>1</v>
      </c>
      <c r="M235" s="318" t="n">
        <v>1</v>
      </c>
      <c r="N235" s="318" t="n">
        <v>1</v>
      </c>
      <c r="O235" s="318" t="n">
        <v>1</v>
      </c>
      <c r="P235" s="318" t="n">
        <v>1.03</v>
      </c>
      <c r="Q235" s="318" t="n">
        <v>1.03</v>
      </c>
      <c r="R235" s="318" t="n">
        <v>1</v>
      </c>
      <c r="S235" s="318" t="n">
        <v>1</v>
      </c>
      <c r="T235" s="318" t="n">
        <v>1.02</v>
      </c>
      <c r="U235" s="318" t="n">
        <v>1</v>
      </c>
      <c r="V235" s="318" t="n">
        <v>1</v>
      </c>
      <c r="W235" s="318" t="n">
        <v>1</v>
      </c>
      <c r="X235" s="318" t="n">
        <v>1</v>
      </c>
      <c r="Y235" s="318" t="n">
        <v>1</v>
      </c>
      <c r="Z235" s="318" t="n">
        <v>1</v>
      </c>
      <c r="AA235" s="318" t="n">
        <v>1</v>
      </c>
      <c r="AB235" s="318" t="n">
        <v>1</v>
      </c>
      <c r="AC235" s="318" t="n">
        <v>1</v>
      </c>
      <c r="AD235" s="318" t="n">
        <v>1</v>
      </c>
      <c r="AE235" s="318" t="n">
        <v>1</v>
      </c>
      <c r="AF235" s="318" t="n">
        <v>1</v>
      </c>
      <c r="AG235" s="318" t="n">
        <v>1.1</v>
      </c>
      <c r="AH235" s="318" t="n">
        <v>1.04</v>
      </c>
      <c r="AI235" s="318" t="n">
        <v>1.05</v>
      </c>
      <c r="AJ235" s="318" t="n">
        <v>1</v>
      </c>
      <c r="AK235" s="318" t="n">
        <v>1</v>
      </c>
      <c r="AL235" s="318" t="n">
        <v>1.02</v>
      </c>
      <c r="AM235" s="318" t="n">
        <v>1</v>
      </c>
      <c r="AN235" s="318" t="n">
        <v>1</v>
      </c>
      <c r="AO235" s="318" t="n">
        <v>1</v>
      </c>
    </row>
    <row r="236" customFormat="false" ht="12.75" hidden="false" customHeight="false" outlineLevel="0" collapsed="false">
      <c r="B236" s="318" t="n">
        <v>1</v>
      </c>
      <c r="C236" s="318" t="n">
        <v>1</v>
      </c>
      <c r="D236" s="318" t="n">
        <v>1</v>
      </c>
      <c r="E236" s="318" t="n">
        <v>1</v>
      </c>
      <c r="F236" s="318" t="n">
        <v>1</v>
      </c>
      <c r="G236" s="318" t="n">
        <v>1</v>
      </c>
      <c r="H236" s="318" t="n">
        <v>1</v>
      </c>
      <c r="I236" s="318" t="n">
        <v>1</v>
      </c>
      <c r="J236" s="318" t="n">
        <v>1</v>
      </c>
      <c r="K236" s="318" t="n">
        <v>1</v>
      </c>
      <c r="L236" s="318" t="n">
        <v>1</v>
      </c>
      <c r="M236" s="318" t="n">
        <v>1</v>
      </c>
      <c r="N236" s="318" t="n">
        <v>1</v>
      </c>
      <c r="O236" s="318" t="n">
        <v>1</v>
      </c>
      <c r="P236" s="318" t="n">
        <v>1.03</v>
      </c>
      <c r="Q236" s="318" t="n">
        <v>1.03</v>
      </c>
      <c r="R236" s="318" t="n">
        <v>1</v>
      </c>
      <c r="S236" s="318" t="n">
        <v>1</v>
      </c>
      <c r="T236" s="318" t="n">
        <v>1.02</v>
      </c>
      <c r="U236" s="318" t="n">
        <v>1</v>
      </c>
      <c r="V236" s="318" t="n">
        <v>1</v>
      </c>
      <c r="W236" s="318" t="n">
        <v>1</v>
      </c>
      <c r="X236" s="318" t="n">
        <v>1</v>
      </c>
      <c r="Y236" s="318" t="n">
        <v>1</v>
      </c>
      <c r="Z236" s="318" t="n">
        <v>1</v>
      </c>
      <c r="AA236" s="318" t="n">
        <v>1</v>
      </c>
      <c r="AB236" s="318" t="n">
        <v>1</v>
      </c>
      <c r="AC236" s="318" t="n">
        <v>1</v>
      </c>
      <c r="AD236" s="318" t="n">
        <v>1</v>
      </c>
      <c r="AE236" s="318" t="n">
        <v>1</v>
      </c>
      <c r="AF236" s="318" t="n">
        <v>1</v>
      </c>
      <c r="AG236" s="318" t="n">
        <v>1.1</v>
      </c>
      <c r="AH236" s="318" t="n">
        <v>1.04</v>
      </c>
      <c r="AI236" s="318" t="n">
        <v>1.05</v>
      </c>
      <c r="AJ236" s="318" t="n">
        <v>1</v>
      </c>
      <c r="AK236" s="318" t="n">
        <v>1</v>
      </c>
      <c r="AL236" s="318" t="n">
        <v>1.02</v>
      </c>
      <c r="AM236" s="318" t="n">
        <v>1</v>
      </c>
      <c r="AN236" s="318" t="n">
        <v>1</v>
      </c>
      <c r="AO236" s="318" t="n">
        <v>1</v>
      </c>
    </row>
    <row r="237" customFormat="false" ht="12.75" hidden="false" customHeight="false" outlineLevel="0" collapsed="false">
      <c r="B237" s="318" t="n">
        <v>1</v>
      </c>
      <c r="C237" s="318" t="n">
        <v>1</v>
      </c>
      <c r="D237" s="318" t="n">
        <v>1</v>
      </c>
      <c r="E237" s="318" t="n">
        <v>1</v>
      </c>
      <c r="F237" s="318" t="n">
        <v>1</v>
      </c>
      <c r="G237" s="318" t="n">
        <v>1</v>
      </c>
      <c r="H237" s="318" t="n">
        <v>1</v>
      </c>
      <c r="I237" s="318" t="n">
        <v>1</v>
      </c>
      <c r="J237" s="318" t="n">
        <v>1</v>
      </c>
      <c r="K237" s="318" t="n">
        <v>1</v>
      </c>
      <c r="L237" s="318" t="n">
        <v>1</v>
      </c>
      <c r="M237" s="318" t="n">
        <v>1</v>
      </c>
      <c r="N237" s="318" t="n">
        <v>1</v>
      </c>
      <c r="O237" s="318" t="n">
        <v>1</v>
      </c>
      <c r="P237" s="318" t="n">
        <v>1.03</v>
      </c>
      <c r="Q237" s="318" t="n">
        <v>1.03</v>
      </c>
      <c r="R237" s="318" t="n">
        <v>1</v>
      </c>
      <c r="S237" s="318" t="n">
        <v>1</v>
      </c>
      <c r="T237" s="318" t="n">
        <v>1.02</v>
      </c>
      <c r="U237" s="318" t="n">
        <v>1</v>
      </c>
      <c r="V237" s="318" t="n">
        <v>1</v>
      </c>
      <c r="W237" s="318" t="n">
        <v>1</v>
      </c>
      <c r="X237" s="318" t="n">
        <v>1</v>
      </c>
      <c r="Y237" s="318" t="n">
        <v>1</v>
      </c>
      <c r="Z237" s="318" t="n">
        <v>1</v>
      </c>
      <c r="AA237" s="318" t="n">
        <v>1</v>
      </c>
      <c r="AB237" s="318" t="n">
        <v>1</v>
      </c>
      <c r="AC237" s="318" t="n">
        <v>1</v>
      </c>
      <c r="AD237" s="318" t="n">
        <v>1</v>
      </c>
      <c r="AE237" s="318" t="n">
        <v>1</v>
      </c>
      <c r="AF237" s="318" t="n">
        <v>1</v>
      </c>
      <c r="AG237" s="318" t="n">
        <v>1.1</v>
      </c>
      <c r="AH237" s="318" t="n">
        <v>1.04</v>
      </c>
      <c r="AI237" s="318" t="n">
        <v>1.05</v>
      </c>
      <c r="AJ237" s="318" t="n">
        <v>1</v>
      </c>
      <c r="AK237" s="318" t="n">
        <v>1</v>
      </c>
      <c r="AL237" s="318" t="n">
        <v>1.02</v>
      </c>
      <c r="AM237" s="318" t="n">
        <v>1</v>
      </c>
      <c r="AN237" s="318" t="n">
        <v>1</v>
      </c>
      <c r="AO237" s="318" t="n">
        <v>1</v>
      </c>
    </row>
    <row r="238" customFormat="false" ht="12.75" hidden="false" customHeight="false" outlineLevel="0" collapsed="false">
      <c r="B238" s="318" t="n">
        <v>1</v>
      </c>
      <c r="C238" s="318" t="n">
        <v>1</v>
      </c>
      <c r="D238" s="318" t="n">
        <v>1</v>
      </c>
      <c r="E238" s="318" t="n">
        <v>1</v>
      </c>
      <c r="F238" s="318" t="n">
        <v>1</v>
      </c>
      <c r="G238" s="318" t="n">
        <v>1</v>
      </c>
      <c r="H238" s="318" t="n">
        <v>1</v>
      </c>
      <c r="I238" s="318" t="n">
        <v>1</v>
      </c>
      <c r="J238" s="318" t="n">
        <v>1</v>
      </c>
      <c r="K238" s="318" t="n">
        <v>1</v>
      </c>
      <c r="L238" s="318" t="n">
        <v>1</v>
      </c>
      <c r="M238" s="318" t="n">
        <v>1</v>
      </c>
      <c r="N238" s="318" t="n">
        <v>1</v>
      </c>
      <c r="O238" s="318" t="n">
        <v>1</v>
      </c>
      <c r="P238" s="318" t="n">
        <v>1.03</v>
      </c>
      <c r="Q238" s="318" t="n">
        <v>1.03</v>
      </c>
      <c r="R238" s="318" t="n">
        <v>1</v>
      </c>
      <c r="S238" s="318" t="n">
        <v>1</v>
      </c>
      <c r="T238" s="318" t="n">
        <v>1.02</v>
      </c>
      <c r="U238" s="318" t="n">
        <v>1</v>
      </c>
      <c r="V238" s="318" t="n">
        <v>1</v>
      </c>
      <c r="W238" s="318" t="n">
        <v>1</v>
      </c>
      <c r="X238" s="318" t="n">
        <v>1</v>
      </c>
      <c r="Y238" s="318" t="n">
        <v>1</v>
      </c>
      <c r="Z238" s="318" t="n">
        <v>1.02</v>
      </c>
      <c r="AA238" s="318" t="n">
        <v>1</v>
      </c>
      <c r="AB238" s="318" t="n">
        <v>1</v>
      </c>
      <c r="AC238" s="318" t="n">
        <v>1</v>
      </c>
      <c r="AD238" s="318" t="n">
        <v>1</v>
      </c>
      <c r="AE238" s="318" t="n">
        <v>0.98</v>
      </c>
      <c r="AF238" s="318" t="n">
        <v>0.98</v>
      </c>
      <c r="AG238" s="318" t="n">
        <v>0.98</v>
      </c>
      <c r="AH238" s="318" t="n">
        <v>1</v>
      </c>
      <c r="AI238" s="318" t="n">
        <v>1.05</v>
      </c>
      <c r="AJ238" s="318" t="n">
        <v>1</v>
      </c>
      <c r="AK238" s="318" t="n">
        <v>1</v>
      </c>
      <c r="AL238" s="318" t="n">
        <v>1.02</v>
      </c>
      <c r="AM238" s="318" t="n">
        <v>1</v>
      </c>
      <c r="AN238" s="318" t="n">
        <v>1</v>
      </c>
      <c r="AO238" s="318" t="n">
        <v>1</v>
      </c>
    </row>
    <row r="239" customFormat="false" ht="12.75" hidden="false" customHeight="false" outlineLevel="0" collapsed="false">
      <c r="B239" s="318" t="n">
        <v>1</v>
      </c>
      <c r="C239" s="318" t="n">
        <v>1</v>
      </c>
      <c r="D239" s="318" t="n">
        <v>1</v>
      </c>
      <c r="E239" s="318" t="n">
        <v>1</v>
      </c>
      <c r="F239" s="318" t="n">
        <v>1</v>
      </c>
      <c r="G239" s="318" t="n">
        <v>1</v>
      </c>
      <c r="H239" s="318" t="n">
        <v>1</v>
      </c>
      <c r="I239" s="318" t="n">
        <v>1</v>
      </c>
      <c r="J239" s="318" t="n">
        <v>1</v>
      </c>
      <c r="K239" s="318" t="n">
        <v>1</v>
      </c>
      <c r="L239" s="318" t="n">
        <v>1</v>
      </c>
      <c r="M239" s="318" t="n">
        <v>1</v>
      </c>
      <c r="N239" s="318" t="n">
        <v>1</v>
      </c>
      <c r="O239" s="318" t="n">
        <v>1</v>
      </c>
      <c r="P239" s="318" t="n">
        <v>1.03</v>
      </c>
      <c r="Q239" s="318" t="n">
        <v>1.03</v>
      </c>
      <c r="R239" s="318" t="n">
        <v>1</v>
      </c>
      <c r="S239" s="318" t="n">
        <v>1</v>
      </c>
      <c r="T239" s="318" t="n">
        <v>1.02</v>
      </c>
      <c r="U239" s="318" t="n">
        <v>1</v>
      </c>
      <c r="V239" s="318" t="n">
        <v>1</v>
      </c>
      <c r="W239" s="318" t="n">
        <v>1</v>
      </c>
      <c r="X239" s="318" t="n">
        <v>1</v>
      </c>
      <c r="Y239" s="318" t="n">
        <v>1</v>
      </c>
      <c r="Z239" s="318" t="n">
        <v>1.02</v>
      </c>
      <c r="AA239" s="318" t="n">
        <v>1</v>
      </c>
      <c r="AB239" s="318" t="n">
        <v>1</v>
      </c>
      <c r="AC239" s="318" t="n">
        <v>1</v>
      </c>
      <c r="AD239" s="318" t="n">
        <v>1</v>
      </c>
      <c r="AE239" s="318" t="n">
        <v>0.98</v>
      </c>
      <c r="AF239" s="318" t="n">
        <v>0.98</v>
      </c>
      <c r="AG239" s="318" t="n">
        <v>0.98</v>
      </c>
      <c r="AH239" s="318" t="n">
        <v>1</v>
      </c>
      <c r="AI239" s="318" t="n">
        <v>1.05</v>
      </c>
      <c r="AJ239" s="318" t="n">
        <v>1</v>
      </c>
      <c r="AK239" s="318" t="n">
        <v>1</v>
      </c>
      <c r="AL239" s="318" t="n">
        <v>1.02</v>
      </c>
      <c r="AM239" s="318" t="n">
        <v>1</v>
      </c>
      <c r="AN239" s="318" t="n">
        <v>1</v>
      </c>
      <c r="AO239" s="318" t="n">
        <v>1</v>
      </c>
    </row>
    <row r="240" customFormat="false" ht="12.75" hidden="false" customHeight="false" outlineLevel="0" collapsed="false">
      <c r="B240" s="318" t="n">
        <v>1</v>
      </c>
      <c r="C240" s="318" t="n">
        <v>1</v>
      </c>
      <c r="D240" s="318" t="n">
        <v>1</v>
      </c>
      <c r="E240" s="318" t="n">
        <v>1</v>
      </c>
      <c r="F240" s="318" t="n">
        <v>1</v>
      </c>
      <c r="G240" s="318" t="n">
        <v>1</v>
      </c>
      <c r="H240" s="318" t="n">
        <v>1</v>
      </c>
      <c r="I240" s="318" t="n">
        <v>1</v>
      </c>
      <c r="J240" s="318" t="n">
        <v>1</v>
      </c>
      <c r="K240" s="318" t="n">
        <v>1</v>
      </c>
      <c r="L240" s="318" t="n">
        <v>1</v>
      </c>
      <c r="M240" s="318" t="n">
        <v>1</v>
      </c>
      <c r="N240" s="318" t="n">
        <v>1</v>
      </c>
      <c r="O240" s="318" t="n">
        <v>1</v>
      </c>
      <c r="P240" s="318" t="n">
        <v>1.03</v>
      </c>
      <c r="Q240" s="318" t="n">
        <v>1.03</v>
      </c>
      <c r="R240" s="318" t="n">
        <v>1</v>
      </c>
      <c r="S240" s="318" t="n">
        <v>1</v>
      </c>
      <c r="T240" s="318" t="n">
        <v>1.02</v>
      </c>
      <c r="U240" s="318" t="n">
        <v>1</v>
      </c>
      <c r="V240" s="318" t="n">
        <v>1</v>
      </c>
      <c r="W240" s="318" t="n">
        <v>1</v>
      </c>
      <c r="X240" s="318" t="n">
        <v>1</v>
      </c>
      <c r="Y240" s="318" t="n">
        <v>1</v>
      </c>
      <c r="Z240" s="318" t="n">
        <v>1.02</v>
      </c>
      <c r="AA240" s="318" t="n">
        <v>1</v>
      </c>
      <c r="AB240" s="318" t="n">
        <v>1</v>
      </c>
      <c r="AC240" s="318" t="n">
        <v>1</v>
      </c>
      <c r="AD240" s="318" t="n">
        <v>1</v>
      </c>
      <c r="AE240" s="318" t="n">
        <v>0.98</v>
      </c>
      <c r="AF240" s="318" t="n">
        <v>0.98</v>
      </c>
      <c r="AG240" s="318" t="n">
        <v>0.98</v>
      </c>
      <c r="AH240" s="318" t="n">
        <v>1</v>
      </c>
      <c r="AI240" s="318" t="n">
        <v>1.05</v>
      </c>
      <c r="AJ240" s="318" t="n">
        <v>1</v>
      </c>
      <c r="AK240" s="318" t="n">
        <v>1</v>
      </c>
      <c r="AL240" s="318" t="n">
        <v>1.02</v>
      </c>
      <c r="AM240" s="318" t="n">
        <v>1</v>
      </c>
      <c r="AN240" s="318" t="n">
        <v>1</v>
      </c>
      <c r="AO240" s="318" t="n">
        <v>1</v>
      </c>
    </row>
    <row r="241" customFormat="false" ht="12.75" hidden="false" customHeight="false" outlineLevel="0" collapsed="false">
      <c r="B241" s="318" t="n">
        <v>1</v>
      </c>
      <c r="C241" s="318" t="n">
        <v>1</v>
      </c>
      <c r="D241" s="318" t="n">
        <v>1</v>
      </c>
      <c r="E241" s="318" t="n">
        <v>1</v>
      </c>
      <c r="F241" s="318" t="n">
        <v>1</v>
      </c>
      <c r="G241" s="318" t="n">
        <v>1</v>
      </c>
      <c r="H241" s="318" t="n">
        <v>1</v>
      </c>
      <c r="I241" s="318" t="n">
        <v>1</v>
      </c>
      <c r="J241" s="318" t="n">
        <v>1</v>
      </c>
      <c r="K241" s="318" t="n">
        <v>1</v>
      </c>
      <c r="L241" s="318" t="n">
        <v>1</v>
      </c>
      <c r="M241" s="318" t="n">
        <v>1</v>
      </c>
      <c r="N241" s="318" t="n">
        <v>1</v>
      </c>
      <c r="O241" s="318" t="n">
        <v>1</v>
      </c>
      <c r="P241" s="318" t="n">
        <v>1.03</v>
      </c>
      <c r="Q241" s="318" t="n">
        <v>1.03</v>
      </c>
      <c r="R241" s="318" t="n">
        <v>1</v>
      </c>
      <c r="S241" s="318" t="n">
        <v>1</v>
      </c>
      <c r="T241" s="318" t="n">
        <v>1.02</v>
      </c>
      <c r="U241" s="318" t="n">
        <v>1</v>
      </c>
      <c r="V241" s="318" t="n">
        <v>1</v>
      </c>
      <c r="W241" s="318" t="n">
        <v>1</v>
      </c>
      <c r="X241" s="318" t="n">
        <v>1</v>
      </c>
      <c r="Y241" s="318" t="n">
        <v>1</v>
      </c>
      <c r="Z241" s="318" t="n">
        <v>1.02</v>
      </c>
      <c r="AA241" s="318" t="n">
        <v>1</v>
      </c>
      <c r="AB241" s="318" t="n">
        <v>1</v>
      </c>
      <c r="AC241" s="318" t="n">
        <v>1</v>
      </c>
      <c r="AD241" s="318" t="n">
        <v>1</v>
      </c>
      <c r="AE241" s="318" t="n">
        <v>0.98</v>
      </c>
      <c r="AF241" s="318" t="n">
        <v>0.98</v>
      </c>
      <c r="AG241" s="318" t="n">
        <v>0.98</v>
      </c>
      <c r="AH241" s="318" t="n">
        <v>1</v>
      </c>
      <c r="AI241" s="318" t="n">
        <v>1.05</v>
      </c>
      <c r="AJ241" s="318" t="n">
        <v>1</v>
      </c>
      <c r="AK241" s="318" t="n">
        <v>1</v>
      </c>
      <c r="AL241" s="318" t="n">
        <v>1.02</v>
      </c>
      <c r="AM241" s="318" t="n">
        <v>1</v>
      </c>
      <c r="AN241" s="318" t="n">
        <v>1</v>
      </c>
      <c r="AO241" s="318" t="n">
        <v>1</v>
      </c>
    </row>
    <row r="242" customFormat="false" ht="12.75" hidden="false" customHeight="false" outlineLevel="0" collapsed="false">
      <c r="B242" s="318" t="n">
        <v>1</v>
      </c>
      <c r="C242" s="318" t="n">
        <v>1</v>
      </c>
      <c r="D242" s="318" t="n">
        <v>1</v>
      </c>
      <c r="E242" s="318" t="n">
        <v>1</v>
      </c>
      <c r="F242" s="318" t="n">
        <v>1</v>
      </c>
      <c r="G242" s="318" t="n">
        <v>1</v>
      </c>
      <c r="H242" s="318" t="n">
        <v>1</v>
      </c>
      <c r="I242" s="318" t="n">
        <v>1</v>
      </c>
      <c r="J242" s="318" t="n">
        <v>1</v>
      </c>
      <c r="K242" s="318" t="n">
        <v>1</v>
      </c>
      <c r="L242" s="318" t="n">
        <v>1</v>
      </c>
      <c r="M242" s="318" t="n">
        <v>1</v>
      </c>
      <c r="N242" s="318" t="n">
        <v>1</v>
      </c>
      <c r="O242" s="318" t="n">
        <v>1</v>
      </c>
      <c r="P242" s="318" t="n">
        <v>1.03</v>
      </c>
      <c r="Q242" s="318" t="n">
        <v>1.03</v>
      </c>
      <c r="R242" s="318" t="n">
        <v>1</v>
      </c>
      <c r="S242" s="318" t="n">
        <v>1</v>
      </c>
      <c r="T242" s="318" t="n">
        <v>1.02</v>
      </c>
      <c r="U242" s="318" t="n">
        <v>1</v>
      </c>
      <c r="V242" s="318" t="n">
        <v>1</v>
      </c>
      <c r="W242" s="318" t="n">
        <v>1</v>
      </c>
      <c r="X242" s="318" t="n">
        <v>1</v>
      </c>
      <c r="Y242" s="318" t="n">
        <v>1</v>
      </c>
      <c r="Z242" s="318" t="n">
        <v>1.02</v>
      </c>
      <c r="AA242" s="318" t="n">
        <v>1</v>
      </c>
      <c r="AB242" s="318" t="n">
        <v>1</v>
      </c>
      <c r="AC242" s="318" t="n">
        <v>1</v>
      </c>
      <c r="AD242" s="318" t="n">
        <v>1</v>
      </c>
      <c r="AE242" s="318" t="n">
        <v>0.98</v>
      </c>
      <c r="AF242" s="318" t="n">
        <v>0.98</v>
      </c>
      <c r="AG242" s="318" t="n">
        <v>0.98</v>
      </c>
      <c r="AH242" s="318" t="n">
        <v>1</v>
      </c>
      <c r="AI242" s="318" t="n">
        <v>1.05</v>
      </c>
      <c r="AJ242" s="318" t="n">
        <v>1</v>
      </c>
      <c r="AK242" s="318" t="n">
        <v>1</v>
      </c>
      <c r="AL242" s="318" t="n">
        <v>1.02</v>
      </c>
      <c r="AM242" s="318" t="n">
        <v>1</v>
      </c>
      <c r="AN242" s="318" t="n">
        <v>1</v>
      </c>
      <c r="AO242" s="318" t="n">
        <v>1</v>
      </c>
    </row>
    <row r="243" customFormat="false" ht="12.75" hidden="false" customHeight="false" outlineLevel="0" collapsed="false">
      <c r="B243" s="318" t="n">
        <v>1</v>
      </c>
      <c r="C243" s="318" t="n">
        <v>1</v>
      </c>
      <c r="D243" s="318" t="n">
        <v>1</v>
      </c>
      <c r="E243" s="318" t="n">
        <v>1</v>
      </c>
      <c r="F243" s="318" t="n">
        <v>1</v>
      </c>
      <c r="G243" s="318" t="n">
        <v>1</v>
      </c>
      <c r="H243" s="318" t="n">
        <v>1</v>
      </c>
      <c r="I243" s="318" t="n">
        <v>1</v>
      </c>
      <c r="J243" s="318" t="n">
        <v>1</v>
      </c>
      <c r="K243" s="318" t="n">
        <v>1</v>
      </c>
      <c r="L243" s="318" t="n">
        <v>1</v>
      </c>
      <c r="M243" s="318" t="n">
        <v>1</v>
      </c>
      <c r="N243" s="318" t="n">
        <v>1</v>
      </c>
      <c r="O243" s="318" t="n">
        <v>1</v>
      </c>
      <c r="P243" s="318" t="n">
        <v>1.03</v>
      </c>
      <c r="Q243" s="318" t="n">
        <v>1.03</v>
      </c>
      <c r="R243" s="318" t="n">
        <v>1</v>
      </c>
      <c r="S243" s="318" t="n">
        <v>1</v>
      </c>
      <c r="T243" s="318" t="n">
        <v>1.02</v>
      </c>
      <c r="U243" s="318" t="n">
        <v>1</v>
      </c>
      <c r="V243" s="318" t="n">
        <v>1</v>
      </c>
      <c r="W243" s="318" t="n">
        <v>1</v>
      </c>
      <c r="X243" s="318" t="n">
        <v>1</v>
      </c>
      <c r="Y243" s="318" t="n">
        <v>1</v>
      </c>
      <c r="Z243" s="318" t="n">
        <v>1.02</v>
      </c>
      <c r="AA243" s="318" t="n">
        <v>1</v>
      </c>
      <c r="AB243" s="318" t="n">
        <v>1</v>
      </c>
      <c r="AC243" s="318" t="n">
        <v>1</v>
      </c>
      <c r="AD243" s="318" t="n">
        <v>1</v>
      </c>
      <c r="AE243" s="318" t="n">
        <v>0.98</v>
      </c>
      <c r="AF243" s="318" t="n">
        <v>0.98</v>
      </c>
      <c r="AG243" s="318" t="n">
        <v>0.98</v>
      </c>
      <c r="AH243" s="318" t="n">
        <v>1</v>
      </c>
      <c r="AI243" s="318" t="n">
        <v>1.05</v>
      </c>
      <c r="AJ243" s="318" t="n">
        <v>1</v>
      </c>
      <c r="AK243" s="318" t="n">
        <v>1</v>
      </c>
      <c r="AL243" s="318" t="n">
        <v>1.02</v>
      </c>
      <c r="AM243" s="318" t="n">
        <v>1</v>
      </c>
      <c r="AN243" s="318" t="n">
        <v>1</v>
      </c>
      <c r="AO243" s="318" t="n">
        <v>1</v>
      </c>
    </row>
    <row r="244" customFormat="false" ht="12.75" hidden="false" customHeight="false" outlineLevel="0" collapsed="false">
      <c r="B244" s="318" t="n">
        <v>1</v>
      </c>
      <c r="C244" s="318" t="n">
        <v>1</v>
      </c>
      <c r="D244" s="318" t="n">
        <v>1</v>
      </c>
      <c r="E244" s="318" t="n">
        <v>1</v>
      </c>
      <c r="F244" s="318" t="n">
        <v>1</v>
      </c>
      <c r="G244" s="318" t="n">
        <v>1</v>
      </c>
      <c r="H244" s="318" t="n">
        <v>1</v>
      </c>
      <c r="I244" s="318" t="n">
        <v>1</v>
      </c>
      <c r="J244" s="318" t="n">
        <v>1</v>
      </c>
      <c r="K244" s="318" t="n">
        <v>1</v>
      </c>
      <c r="L244" s="318" t="n">
        <v>1</v>
      </c>
      <c r="M244" s="318" t="n">
        <v>1</v>
      </c>
      <c r="N244" s="318" t="n">
        <v>1</v>
      </c>
      <c r="O244" s="318" t="n">
        <v>1</v>
      </c>
      <c r="P244" s="318" t="n">
        <v>1.03</v>
      </c>
      <c r="Q244" s="318" t="n">
        <v>1.03</v>
      </c>
      <c r="R244" s="318" t="n">
        <v>1</v>
      </c>
      <c r="S244" s="318" t="n">
        <v>1</v>
      </c>
      <c r="T244" s="318" t="n">
        <v>1.02</v>
      </c>
      <c r="U244" s="318" t="n">
        <v>1</v>
      </c>
      <c r="V244" s="318" t="n">
        <v>1</v>
      </c>
      <c r="W244" s="318" t="n">
        <v>1</v>
      </c>
      <c r="X244" s="318" t="n">
        <v>1</v>
      </c>
      <c r="Y244" s="318" t="n">
        <v>1</v>
      </c>
      <c r="Z244" s="318" t="n">
        <v>1.02</v>
      </c>
      <c r="AA244" s="318" t="n">
        <v>1</v>
      </c>
      <c r="AB244" s="318" t="n">
        <v>1</v>
      </c>
      <c r="AC244" s="318" t="n">
        <v>1</v>
      </c>
      <c r="AD244" s="318" t="n">
        <v>1</v>
      </c>
      <c r="AE244" s="318" t="n">
        <v>0.98</v>
      </c>
      <c r="AF244" s="318" t="n">
        <v>0.98</v>
      </c>
      <c r="AG244" s="318" t="n">
        <v>0.98</v>
      </c>
      <c r="AH244" s="318" t="n">
        <v>1</v>
      </c>
      <c r="AI244" s="318" t="n">
        <v>1.05</v>
      </c>
      <c r="AJ244" s="318" t="n">
        <v>1</v>
      </c>
      <c r="AK244" s="318" t="n">
        <v>1</v>
      </c>
      <c r="AL244" s="318" t="n">
        <v>1.02</v>
      </c>
      <c r="AM244" s="318" t="n">
        <v>1</v>
      </c>
      <c r="AN244" s="318" t="n">
        <v>1</v>
      </c>
      <c r="AO244" s="318" t="n">
        <v>1</v>
      </c>
    </row>
    <row r="245" customFormat="false" ht="12.75" hidden="false" customHeight="false" outlineLevel="0" collapsed="false">
      <c r="B245" s="318" t="n">
        <v>1</v>
      </c>
      <c r="C245" s="318" t="n">
        <v>1</v>
      </c>
      <c r="D245" s="318" t="n">
        <v>1</v>
      </c>
      <c r="E245" s="318" t="n">
        <v>1</v>
      </c>
      <c r="F245" s="318" t="n">
        <v>1</v>
      </c>
      <c r="G245" s="318" t="n">
        <v>1</v>
      </c>
      <c r="H245" s="318" t="n">
        <v>1</v>
      </c>
      <c r="I245" s="318" t="n">
        <v>1</v>
      </c>
      <c r="J245" s="318" t="n">
        <v>1</v>
      </c>
      <c r="K245" s="318" t="n">
        <v>1</v>
      </c>
      <c r="L245" s="318" t="n">
        <v>1</v>
      </c>
      <c r="M245" s="318" t="n">
        <v>1</v>
      </c>
      <c r="N245" s="318" t="n">
        <v>1</v>
      </c>
      <c r="O245" s="318" t="n">
        <v>1</v>
      </c>
      <c r="P245" s="318" t="n">
        <v>1.03</v>
      </c>
      <c r="Q245" s="318" t="n">
        <v>1.03</v>
      </c>
      <c r="R245" s="318" t="n">
        <v>1</v>
      </c>
      <c r="S245" s="318" t="n">
        <v>1</v>
      </c>
      <c r="T245" s="318" t="n">
        <v>1.02</v>
      </c>
      <c r="U245" s="318" t="n">
        <v>1</v>
      </c>
      <c r="V245" s="318" t="n">
        <v>1</v>
      </c>
      <c r="W245" s="318" t="n">
        <v>1</v>
      </c>
      <c r="X245" s="318" t="n">
        <v>1</v>
      </c>
      <c r="Y245" s="318" t="n">
        <v>1</v>
      </c>
      <c r="Z245" s="318" t="n">
        <v>1</v>
      </c>
      <c r="AA245" s="318" t="n">
        <v>1</v>
      </c>
      <c r="AB245" s="318" t="n">
        <v>1</v>
      </c>
      <c r="AC245" s="318" t="n">
        <v>1</v>
      </c>
      <c r="AD245" s="318" t="n">
        <v>1</v>
      </c>
      <c r="AE245" s="318" t="n">
        <v>1</v>
      </c>
      <c r="AF245" s="318" t="n">
        <v>1</v>
      </c>
      <c r="AG245" s="318" t="n">
        <v>1.1</v>
      </c>
      <c r="AH245" s="318" t="n">
        <v>1.1</v>
      </c>
      <c r="AI245" s="318" t="n">
        <v>1.05</v>
      </c>
      <c r="AJ245" s="318" t="n">
        <v>1</v>
      </c>
      <c r="AK245" s="318" t="n">
        <v>1</v>
      </c>
      <c r="AL245" s="318" t="n">
        <v>1.02</v>
      </c>
      <c r="AM245" s="318" t="n">
        <v>1</v>
      </c>
      <c r="AN245" s="318" t="n">
        <v>1</v>
      </c>
      <c r="AO245" s="318" t="n">
        <v>1</v>
      </c>
    </row>
    <row r="246" customFormat="false" ht="12.75" hidden="false" customHeight="false" outlineLevel="0" collapsed="false">
      <c r="B246" s="318" t="n">
        <v>1</v>
      </c>
      <c r="C246" s="318" t="n">
        <v>1</v>
      </c>
      <c r="D246" s="318" t="n">
        <v>1</v>
      </c>
      <c r="E246" s="318" t="n">
        <v>1</v>
      </c>
      <c r="F246" s="318" t="n">
        <v>1</v>
      </c>
      <c r="G246" s="318" t="n">
        <v>1</v>
      </c>
      <c r="H246" s="318" t="n">
        <v>1</v>
      </c>
      <c r="I246" s="318" t="n">
        <v>1</v>
      </c>
      <c r="J246" s="318" t="n">
        <v>1</v>
      </c>
      <c r="K246" s="318" t="n">
        <v>1</v>
      </c>
      <c r="L246" s="318" t="n">
        <v>1</v>
      </c>
      <c r="M246" s="318" t="n">
        <v>1</v>
      </c>
      <c r="N246" s="318" t="n">
        <v>1</v>
      </c>
      <c r="O246" s="318" t="n">
        <v>1</v>
      </c>
      <c r="P246" s="318" t="n">
        <v>1.03</v>
      </c>
      <c r="Q246" s="318" t="n">
        <v>1.03</v>
      </c>
      <c r="R246" s="318" t="n">
        <v>1</v>
      </c>
      <c r="S246" s="318" t="n">
        <v>1</v>
      </c>
      <c r="T246" s="318" t="n">
        <v>1.02</v>
      </c>
      <c r="U246" s="318" t="n">
        <v>1</v>
      </c>
      <c r="V246" s="318" t="n">
        <v>1</v>
      </c>
      <c r="W246" s="318" t="n">
        <v>1</v>
      </c>
      <c r="X246" s="318" t="n">
        <v>1</v>
      </c>
      <c r="Y246" s="318" t="n">
        <v>1</v>
      </c>
      <c r="Z246" s="318" t="n">
        <v>1</v>
      </c>
      <c r="AA246" s="318" t="n">
        <v>1</v>
      </c>
      <c r="AB246" s="318" t="n">
        <v>1</v>
      </c>
      <c r="AC246" s="318" t="n">
        <v>1</v>
      </c>
      <c r="AD246" s="318" t="n">
        <v>1</v>
      </c>
      <c r="AE246" s="318" t="n">
        <v>1</v>
      </c>
      <c r="AF246" s="318" t="n">
        <v>1</v>
      </c>
      <c r="AG246" s="318" t="n">
        <v>1.1</v>
      </c>
      <c r="AH246" s="318" t="n">
        <v>1.02</v>
      </c>
      <c r="AI246" s="318" t="n">
        <v>1.05</v>
      </c>
      <c r="AJ246" s="318" t="n">
        <v>1</v>
      </c>
      <c r="AK246" s="318" t="n">
        <v>1</v>
      </c>
      <c r="AL246" s="318" t="n">
        <v>1.02</v>
      </c>
      <c r="AM246" s="318" t="n">
        <v>1</v>
      </c>
      <c r="AN246" s="318" t="n">
        <v>1</v>
      </c>
      <c r="AO246" s="318" t="n">
        <v>1</v>
      </c>
    </row>
    <row r="247" customFormat="false" ht="12.75" hidden="false" customHeight="false" outlineLevel="0" collapsed="false">
      <c r="B247" s="318" t="n">
        <v>1</v>
      </c>
      <c r="C247" s="318" t="n">
        <v>1</v>
      </c>
      <c r="D247" s="318" t="n">
        <v>1</v>
      </c>
      <c r="E247" s="318" t="n">
        <v>1</v>
      </c>
      <c r="F247" s="318" t="n">
        <v>1</v>
      </c>
      <c r="G247" s="318" t="n">
        <v>1</v>
      </c>
      <c r="H247" s="318" t="n">
        <v>1</v>
      </c>
      <c r="I247" s="318" t="n">
        <v>1</v>
      </c>
      <c r="J247" s="318" t="n">
        <v>1</v>
      </c>
      <c r="K247" s="318" t="n">
        <v>1</v>
      </c>
      <c r="L247" s="318" t="n">
        <v>1</v>
      </c>
      <c r="M247" s="318" t="n">
        <v>1</v>
      </c>
      <c r="N247" s="318" t="n">
        <v>1</v>
      </c>
      <c r="O247" s="318" t="n">
        <v>1</v>
      </c>
      <c r="P247" s="318" t="n">
        <v>1.03</v>
      </c>
      <c r="Q247" s="318" t="n">
        <v>1.03</v>
      </c>
      <c r="R247" s="318" t="n">
        <v>1</v>
      </c>
      <c r="S247" s="318" t="n">
        <v>1</v>
      </c>
      <c r="T247" s="318" t="n">
        <v>1.02</v>
      </c>
      <c r="U247" s="318" t="n">
        <v>1</v>
      </c>
      <c r="V247" s="318" t="n">
        <v>1</v>
      </c>
      <c r="W247" s="318" t="n">
        <v>1</v>
      </c>
      <c r="X247" s="318" t="n">
        <v>1</v>
      </c>
      <c r="Y247" s="318" t="n">
        <v>1</v>
      </c>
      <c r="Z247" s="318" t="n">
        <v>1</v>
      </c>
      <c r="AA247" s="318" t="n">
        <v>1</v>
      </c>
      <c r="AB247" s="318" t="n">
        <v>1</v>
      </c>
      <c r="AC247" s="318" t="n">
        <v>1</v>
      </c>
      <c r="AD247" s="318" t="n">
        <v>1</v>
      </c>
      <c r="AE247" s="318" t="n">
        <v>1</v>
      </c>
      <c r="AF247" s="318" t="n">
        <v>1</v>
      </c>
      <c r="AG247" s="318" t="n">
        <v>1.1</v>
      </c>
      <c r="AH247" s="318" t="n">
        <v>1.04</v>
      </c>
      <c r="AI247" s="318" t="n">
        <v>1.05</v>
      </c>
      <c r="AJ247" s="318" t="n">
        <v>1</v>
      </c>
      <c r="AK247" s="318" t="n">
        <v>1</v>
      </c>
      <c r="AL247" s="318" t="n">
        <v>1.02</v>
      </c>
      <c r="AM247" s="318" t="n">
        <v>1</v>
      </c>
      <c r="AN247" s="318" t="n">
        <v>1</v>
      </c>
      <c r="AO247" s="318" t="n">
        <v>1</v>
      </c>
    </row>
    <row r="248" customFormat="false" ht="12.75" hidden="false" customHeight="false" outlineLevel="0" collapsed="false">
      <c r="B248" s="318" t="n">
        <v>1</v>
      </c>
      <c r="C248" s="318" t="n">
        <v>1</v>
      </c>
      <c r="D248" s="318" t="n">
        <v>1</v>
      </c>
      <c r="E248" s="318" t="n">
        <v>1</v>
      </c>
      <c r="F248" s="318" t="n">
        <v>1</v>
      </c>
      <c r="G248" s="318" t="n">
        <v>1</v>
      </c>
      <c r="H248" s="318" t="n">
        <v>1</v>
      </c>
      <c r="I248" s="318" t="n">
        <v>1</v>
      </c>
      <c r="J248" s="318" t="n">
        <v>1</v>
      </c>
      <c r="K248" s="318" t="n">
        <v>1</v>
      </c>
      <c r="L248" s="318" t="n">
        <v>1</v>
      </c>
      <c r="M248" s="318" t="n">
        <v>1</v>
      </c>
      <c r="N248" s="318" t="n">
        <v>1</v>
      </c>
      <c r="O248" s="318" t="n">
        <v>1</v>
      </c>
      <c r="P248" s="318" t="n">
        <v>1.03</v>
      </c>
      <c r="Q248" s="318" t="n">
        <v>1.03</v>
      </c>
      <c r="R248" s="318" t="n">
        <v>1</v>
      </c>
      <c r="S248" s="318" t="n">
        <v>1</v>
      </c>
      <c r="T248" s="318" t="n">
        <v>1.02</v>
      </c>
      <c r="U248" s="318" t="n">
        <v>1</v>
      </c>
      <c r="V248" s="318" t="n">
        <v>1</v>
      </c>
      <c r="W248" s="318" t="n">
        <v>1</v>
      </c>
      <c r="X248" s="318" t="n">
        <v>1</v>
      </c>
      <c r="Y248" s="318" t="n">
        <v>1</v>
      </c>
      <c r="Z248" s="318" t="n">
        <v>1</v>
      </c>
      <c r="AA248" s="318" t="n">
        <v>1</v>
      </c>
      <c r="AB248" s="318" t="n">
        <v>1</v>
      </c>
      <c r="AC248" s="318" t="n">
        <v>1</v>
      </c>
      <c r="AD248" s="318" t="n">
        <v>1</v>
      </c>
      <c r="AE248" s="318" t="n">
        <v>1</v>
      </c>
      <c r="AF248" s="318" t="n">
        <v>1</v>
      </c>
      <c r="AG248" s="318" t="n">
        <v>1.1</v>
      </c>
      <c r="AH248" s="318" t="n">
        <v>1.04</v>
      </c>
      <c r="AI248" s="318" t="n">
        <v>1.05</v>
      </c>
      <c r="AJ248" s="318" t="n">
        <v>1</v>
      </c>
      <c r="AK248" s="318" t="n">
        <v>1</v>
      </c>
      <c r="AL248" s="318" t="n">
        <v>1.02</v>
      </c>
      <c r="AM248" s="318" t="n">
        <v>1</v>
      </c>
      <c r="AN248" s="318" t="n">
        <v>1</v>
      </c>
      <c r="AO248" s="318" t="n">
        <v>1</v>
      </c>
    </row>
    <row r="249" customFormat="false" ht="12.75" hidden="false" customHeight="false" outlineLevel="0" collapsed="false">
      <c r="B249" s="318" t="n">
        <v>1</v>
      </c>
      <c r="C249" s="318" t="n">
        <v>1</v>
      </c>
      <c r="D249" s="318" t="n">
        <v>1</v>
      </c>
      <c r="E249" s="318" t="n">
        <v>1</v>
      </c>
      <c r="F249" s="318" t="n">
        <v>1</v>
      </c>
      <c r="G249" s="318" t="n">
        <v>1</v>
      </c>
      <c r="H249" s="318" t="n">
        <v>1</v>
      </c>
      <c r="I249" s="318" t="n">
        <v>1</v>
      </c>
      <c r="J249" s="318" t="n">
        <v>1</v>
      </c>
      <c r="K249" s="318" t="n">
        <v>1</v>
      </c>
      <c r="L249" s="318" t="n">
        <v>1</v>
      </c>
      <c r="M249" s="318" t="n">
        <v>1</v>
      </c>
      <c r="N249" s="318" t="n">
        <v>1</v>
      </c>
      <c r="O249" s="318" t="n">
        <v>1</v>
      </c>
      <c r="P249" s="318" t="n">
        <v>1.03</v>
      </c>
      <c r="Q249" s="318" t="n">
        <v>1.03</v>
      </c>
      <c r="R249" s="318" t="n">
        <v>1</v>
      </c>
      <c r="S249" s="318" t="n">
        <v>1</v>
      </c>
      <c r="T249" s="318" t="n">
        <v>1.02</v>
      </c>
      <c r="U249" s="318" t="n">
        <v>1</v>
      </c>
      <c r="V249" s="318" t="n">
        <v>1</v>
      </c>
      <c r="W249" s="318" t="n">
        <v>1</v>
      </c>
      <c r="X249" s="318" t="n">
        <v>1</v>
      </c>
      <c r="Y249" s="318" t="n">
        <v>1</v>
      </c>
      <c r="Z249" s="318" t="n">
        <v>1</v>
      </c>
      <c r="AA249" s="318" t="n">
        <v>1</v>
      </c>
      <c r="AB249" s="318" t="n">
        <v>1</v>
      </c>
      <c r="AC249" s="318" t="n">
        <v>1</v>
      </c>
      <c r="AD249" s="318" t="n">
        <v>1</v>
      </c>
      <c r="AE249" s="318" t="n">
        <v>1</v>
      </c>
      <c r="AF249" s="318" t="n">
        <v>1</v>
      </c>
      <c r="AG249" s="318" t="n">
        <v>1.1</v>
      </c>
      <c r="AH249" s="318" t="n">
        <v>1.04</v>
      </c>
      <c r="AI249" s="318" t="n">
        <v>1.05</v>
      </c>
      <c r="AJ249" s="318" t="n">
        <v>1</v>
      </c>
      <c r="AK249" s="318" t="n">
        <v>1</v>
      </c>
      <c r="AL249" s="318" t="n">
        <v>1.02</v>
      </c>
      <c r="AM249" s="318" t="n">
        <v>1</v>
      </c>
      <c r="AN249" s="318" t="n">
        <v>1</v>
      </c>
      <c r="AO249" s="318" t="n">
        <v>1</v>
      </c>
    </row>
    <row r="250" customFormat="false" ht="12.75" hidden="false" customHeight="false" outlineLevel="0" collapsed="false">
      <c r="B250" s="318" t="n">
        <v>1</v>
      </c>
      <c r="C250" s="318" t="n">
        <v>1</v>
      </c>
      <c r="D250" s="318" t="n">
        <v>1</v>
      </c>
      <c r="E250" s="318" t="n">
        <v>1</v>
      </c>
      <c r="F250" s="318" t="n">
        <v>1</v>
      </c>
      <c r="G250" s="318" t="n">
        <v>1</v>
      </c>
      <c r="H250" s="318" t="n">
        <v>1</v>
      </c>
      <c r="I250" s="318" t="n">
        <v>1</v>
      </c>
      <c r="J250" s="318" t="n">
        <v>1</v>
      </c>
      <c r="K250" s="318" t="n">
        <v>1</v>
      </c>
      <c r="L250" s="318" t="n">
        <v>1</v>
      </c>
      <c r="M250" s="318" t="n">
        <v>1</v>
      </c>
      <c r="N250" s="318" t="n">
        <v>1</v>
      </c>
      <c r="O250" s="318" t="n">
        <v>1</v>
      </c>
      <c r="P250" s="318" t="n">
        <v>1.03</v>
      </c>
      <c r="Q250" s="318" t="n">
        <v>1.03</v>
      </c>
      <c r="R250" s="318" t="n">
        <v>1</v>
      </c>
      <c r="S250" s="318" t="n">
        <v>1</v>
      </c>
      <c r="T250" s="318" t="n">
        <v>1.02</v>
      </c>
      <c r="U250" s="318" t="n">
        <v>1</v>
      </c>
      <c r="V250" s="318" t="n">
        <v>1</v>
      </c>
      <c r="W250" s="318" t="n">
        <v>1</v>
      </c>
      <c r="X250" s="318" t="n">
        <v>1</v>
      </c>
      <c r="Y250" s="318" t="n">
        <v>1</v>
      </c>
      <c r="Z250" s="318" t="n">
        <v>1.02</v>
      </c>
      <c r="AA250" s="318" t="n">
        <v>1</v>
      </c>
      <c r="AB250" s="318" t="n">
        <v>1</v>
      </c>
      <c r="AC250" s="318" t="n">
        <v>1</v>
      </c>
      <c r="AD250" s="318" t="n">
        <v>1</v>
      </c>
      <c r="AE250" s="318" t="n">
        <v>0.98</v>
      </c>
      <c r="AF250" s="318" t="n">
        <v>0.98</v>
      </c>
      <c r="AG250" s="318" t="n">
        <v>0.98</v>
      </c>
      <c r="AH250" s="318" t="n">
        <v>1</v>
      </c>
      <c r="AI250" s="318" t="n">
        <v>1.05</v>
      </c>
      <c r="AJ250" s="318" t="n">
        <v>1</v>
      </c>
      <c r="AK250" s="318" t="n">
        <v>1</v>
      </c>
      <c r="AL250" s="318" t="n">
        <v>1.02</v>
      </c>
      <c r="AM250" s="318" t="n">
        <v>1</v>
      </c>
      <c r="AN250" s="318" t="n">
        <v>1</v>
      </c>
      <c r="AO250" s="318" t="n">
        <v>1</v>
      </c>
    </row>
    <row r="251" customFormat="false" ht="12.75" hidden="false" customHeight="false" outlineLevel="0" collapsed="false">
      <c r="B251" s="318" t="n">
        <v>1</v>
      </c>
      <c r="C251" s="318" t="n">
        <v>1</v>
      </c>
      <c r="D251" s="318" t="n">
        <v>1</v>
      </c>
      <c r="E251" s="318" t="n">
        <v>1</v>
      </c>
      <c r="F251" s="318" t="n">
        <v>1</v>
      </c>
      <c r="G251" s="318" t="n">
        <v>1</v>
      </c>
      <c r="H251" s="318" t="n">
        <v>1</v>
      </c>
      <c r="I251" s="318" t="n">
        <v>1</v>
      </c>
      <c r="J251" s="318" t="n">
        <v>1</v>
      </c>
      <c r="K251" s="318" t="n">
        <v>1</v>
      </c>
      <c r="L251" s="318" t="n">
        <v>1</v>
      </c>
      <c r="M251" s="318" t="n">
        <v>1</v>
      </c>
      <c r="N251" s="318" t="n">
        <v>1</v>
      </c>
      <c r="O251" s="318" t="n">
        <v>1</v>
      </c>
      <c r="P251" s="318" t="n">
        <v>1.03</v>
      </c>
      <c r="Q251" s="318" t="n">
        <v>1.03</v>
      </c>
      <c r="R251" s="318" t="n">
        <v>1</v>
      </c>
      <c r="S251" s="318" t="n">
        <v>1</v>
      </c>
      <c r="T251" s="318" t="n">
        <v>1.02</v>
      </c>
      <c r="U251" s="318" t="n">
        <v>1</v>
      </c>
      <c r="V251" s="318" t="n">
        <v>1</v>
      </c>
      <c r="W251" s="318" t="n">
        <v>1</v>
      </c>
      <c r="X251" s="318" t="n">
        <v>1</v>
      </c>
      <c r="Y251" s="318" t="n">
        <v>1</v>
      </c>
      <c r="Z251" s="318" t="n">
        <v>1.02</v>
      </c>
      <c r="AA251" s="318" t="n">
        <v>1</v>
      </c>
      <c r="AB251" s="318" t="n">
        <v>1</v>
      </c>
      <c r="AC251" s="318" t="n">
        <v>1</v>
      </c>
      <c r="AD251" s="318" t="n">
        <v>1</v>
      </c>
      <c r="AE251" s="318" t="n">
        <v>0.98</v>
      </c>
      <c r="AF251" s="318" t="n">
        <v>0.98</v>
      </c>
      <c r="AG251" s="318" t="n">
        <v>0.98</v>
      </c>
      <c r="AH251" s="318" t="n">
        <v>1</v>
      </c>
      <c r="AI251" s="318" t="n">
        <v>1.05</v>
      </c>
      <c r="AJ251" s="318" t="n">
        <v>1</v>
      </c>
      <c r="AK251" s="318" t="n">
        <v>1</v>
      </c>
      <c r="AL251" s="318" t="n">
        <v>1.02</v>
      </c>
      <c r="AM251" s="318" t="n">
        <v>1</v>
      </c>
      <c r="AN251" s="318" t="n">
        <v>1</v>
      </c>
      <c r="AO251" s="318" t="n">
        <v>1</v>
      </c>
    </row>
    <row r="252" customFormat="false" ht="12.75" hidden="false" customHeight="false" outlineLevel="0" collapsed="false">
      <c r="B252" s="318" t="n">
        <v>1</v>
      </c>
      <c r="C252" s="318" t="n">
        <v>1</v>
      </c>
      <c r="D252" s="318" t="n">
        <v>1</v>
      </c>
      <c r="E252" s="318" t="n">
        <v>1</v>
      </c>
      <c r="F252" s="318" t="n">
        <v>1</v>
      </c>
      <c r="G252" s="318" t="n">
        <v>1</v>
      </c>
      <c r="H252" s="318" t="n">
        <v>1</v>
      </c>
      <c r="I252" s="318" t="n">
        <v>1</v>
      </c>
      <c r="J252" s="318" t="n">
        <v>1</v>
      </c>
      <c r="K252" s="318" t="n">
        <v>1</v>
      </c>
      <c r="L252" s="318" t="n">
        <v>1</v>
      </c>
      <c r="M252" s="318" t="n">
        <v>1</v>
      </c>
      <c r="N252" s="318" t="n">
        <v>1</v>
      </c>
      <c r="O252" s="318" t="n">
        <v>1</v>
      </c>
      <c r="P252" s="318" t="n">
        <v>1.03</v>
      </c>
      <c r="Q252" s="318" t="n">
        <v>1.03</v>
      </c>
      <c r="R252" s="318" t="n">
        <v>1</v>
      </c>
      <c r="S252" s="318" t="n">
        <v>1</v>
      </c>
      <c r="T252" s="318" t="n">
        <v>1.02</v>
      </c>
      <c r="U252" s="318" t="n">
        <v>1</v>
      </c>
      <c r="V252" s="318" t="n">
        <v>1</v>
      </c>
      <c r="W252" s="318" t="n">
        <v>1</v>
      </c>
      <c r="X252" s="318" t="n">
        <v>1</v>
      </c>
      <c r="Y252" s="318" t="n">
        <v>1</v>
      </c>
      <c r="Z252" s="318" t="n">
        <v>1.02</v>
      </c>
      <c r="AA252" s="318" t="n">
        <v>1</v>
      </c>
      <c r="AB252" s="318" t="n">
        <v>1</v>
      </c>
      <c r="AC252" s="318" t="n">
        <v>1</v>
      </c>
      <c r="AD252" s="318" t="n">
        <v>1</v>
      </c>
      <c r="AE252" s="318" t="n">
        <v>0.98</v>
      </c>
      <c r="AF252" s="318" t="n">
        <v>0.98</v>
      </c>
      <c r="AG252" s="318" t="n">
        <v>0.98</v>
      </c>
      <c r="AH252" s="318" t="n">
        <v>1</v>
      </c>
      <c r="AI252" s="318" t="n">
        <v>1.05</v>
      </c>
      <c r="AJ252" s="318" t="n">
        <v>1</v>
      </c>
      <c r="AK252" s="318" t="n">
        <v>1</v>
      </c>
      <c r="AL252" s="318" t="n">
        <v>1.02</v>
      </c>
      <c r="AM252" s="318" t="n">
        <v>1</v>
      </c>
      <c r="AN252" s="318" t="n">
        <v>1</v>
      </c>
      <c r="AO252" s="318" t="n">
        <v>1</v>
      </c>
    </row>
    <row r="253" customFormat="false" ht="12.75" hidden="false" customHeight="false" outlineLevel="0" collapsed="false">
      <c r="B253" s="318" t="n">
        <v>1</v>
      </c>
      <c r="C253" s="318" t="n">
        <v>1</v>
      </c>
      <c r="D253" s="318" t="n">
        <v>1</v>
      </c>
      <c r="E253" s="318" t="n">
        <v>1</v>
      </c>
      <c r="F253" s="318" t="n">
        <v>1</v>
      </c>
      <c r="G253" s="318" t="n">
        <v>1</v>
      </c>
      <c r="H253" s="318" t="n">
        <v>1</v>
      </c>
      <c r="I253" s="318" t="n">
        <v>1</v>
      </c>
      <c r="J253" s="318" t="n">
        <v>1</v>
      </c>
      <c r="K253" s="318" t="n">
        <v>1</v>
      </c>
      <c r="L253" s="318" t="n">
        <v>1</v>
      </c>
      <c r="M253" s="318" t="n">
        <v>1</v>
      </c>
      <c r="N253" s="318" t="n">
        <v>1</v>
      </c>
      <c r="O253" s="318" t="n">
        <v>1</v>
      </c>
      <c r="P253" s="318" t="n">
        <v>1.03</v>
      </c>
      <c r="Q253" s="318" t="n">
        <v>1.03</v>
      </c>
      <c r="R253" s="318" t="n">
        <v>1</v>
      </c>
      <c r="S253" s="318" t="n">
        <v>1</v>
      </c>
      <c r="T253" s="318" t="n">
        <v>1.02</v>
      </c>
      <c r="U253" s="318" t="n">
        <v>1</v>
      </c>
      <c r="V253" s="318" t="n">
        <v>1</v>
      </c>
      <c r="W253" s="318" t="n">
        <v>1</v>
      </c>
      <c r="X253" s="318" t="n">
        <v>1</v>
      </c>
      <c r="Y253" s="318" t="n">
        <v>1</v>
      </c>
      <c r="Z253" s="318" t="n">
        <v>1.02</v>
      </c>
      <c r="AA253" s="318" t="n">
        <v>1</v>
      </c>
      <c r="AB253" s="318" t="n">
        <v>1</v>
      </c>
      <c r="AC253" s="318" t="n">
        <v>1</v>
      </c>
      <c r="AD253" s="318" t="n">
        <v>1</v>
      </c>
      <c r="AE253" s="318" t="n">
        <v>0.98</v>
      </c>
      <c r="AF253" s="318" t="n">
        <v>0.98</v>
      </c>
      <c r="AG253" s="318" t="n">
        <v>0.98</v>
      </c>
      <c r="AH253" s="318" t="n">
        <v>1</v>
      </c>
      <c r="AI253" s="318" t="n">
        <v>1.05</v>
      </c>
      <c r="AJ253" s="318" t="n">
        <v>1</v>
      </c>
      <c r="AK253" s="318" t="n">
        <v>1</v>
      </c>
      <c r="AL253" s="318" t="n">
        <v>1.02</v>
      </c>
      <c r="AM253" s="318" t="n">
        <v>1</v>
      </c>
      <c r="AN253" s="318" t="n">
        <v>1</v>
      </c>
      <c r="AO253" s="318" t="n">
        <v>1</v>
      </c>
    </row>
    <row r="254" customFormat="false" ht="12.75" hidden="false" customHeight="false" outlineLevel="0" collapsed="false">
      <c r="B254" s="318" t="n">
        <v>1</v>
      </c>
      <c r="C254" s="318" t="n">
        <v>1</v>
      </c>
      <c r="D254" s="318" t="n">
        <v>1</v>
      </c>
      <c r="E254" s="318" t="n">
        <v>1</v>
      </c>
      <c r="F254" s="318" t="n">
        <v>1</v>
      </c>
      <c r="G254" s="318" t="n">
        <v>1</v>
      </c>
      <c r="H254" s="318" t="n">
        <v>1</v>
      </c>
      <c r="I254" s="318" t="n">
        <v>1</v>
      </c>
      <c r="J254" s="318" t="n">
        <v>1</v>
      </c>
      <c r="K254" s="318" t="n">
        <v>1</v>
      </c>
      <c r="L254" s="318" t="n">
        <v>1</v>
      </c>
      <c r="M254" s="318" t="n">
        <v>1</v>
      </c>
      <c r="N254" s="318" t="n">
        <v>1</v>
      </c>
      <c r="O254" s="318" t="n">
        <v>1</v>
      </c>
      <c r="P254" s="318" t="n">
        <v>1.03</v>
      </c>
      <c r="Q254" s="318" t="n">
        <v>1.03</v>
      </c>
      <c r="R254" s="318" t="n">
        <v>1</v>
      </c>
      <c r="S254" s="318" t="n">
        <v>1</v>
      </c>
      <c r="T254" s="318" t="n">
        <v>1.02</v>
      </c>
      <c r="U254" s="318" t="n">
        <v>1</v>
      </c>
      <c r="V254" s="318" t="n">
        <v>1</v>
      </c>
      <c r="W254" s="318" t="n">
        <v>1</v>
      </c>
      <c r="X254" s="318" t="n">
        <v>1</v>
      </c>
      <c r="Y254" s="318" t="n">
        <v>1</v>
      </c>
      <c r="Z254" s="318" t="n">
        <v>1.02</v>
      </c>
      <c r="AA254" s="318" t="n">
        <v>1</v>
      </c>
      <c r="AB254" s="318" t="n">
        <v>1</v>
      </c>
      <c r="AC254" s="318" t="n">
        <v>1</v>
      </c>
      <c r="AD254" s="318" t="n">
        <v>1</v>
      </c>
      <c r="AE254" s="318" t="n">
        <v>0.98</v>
      </c>
      <c r="AF254" s="318" t="n">
        <v>0.98</v>
      </c>
      <c r="AG254" s="318" t="n">
        <v>0.98</v>
      </c>
      <c r="AH254" s="318" t="n">
        <v>1</v>
      </c>
      <c r="AI254" s="318" t="n">
        <v>1.05</v>
      </c>
      <c r="AJ254" s="318" t="n">
        <v>1</v>
      </c>
      <c r="AK254" s="318" t="n">
        <v>1</v>
      </c>
      <c r="AL254" s="318" t="n">
        <v>1.02</v>
      </c>
      <c r="AM254" s="318" t="n">
        <v>1</v>
      </c>
      <c r="AN254" s="318" t="n">
        <v>1</v>
      </c>
      <c r="AO254" s="318" t="n">
        <v>1</v>
      </c>
    </row>
    <row r="255" customFormat="false" ht="12.75" hidden="false" customHeight="false" outlineLevel="0" collapsed="false">
      <c r="B255" s="318" t="n">
        <v>1</v>
      </c>
      <c r="C255" s="318" t="n">
        <v>1</v>
      </c>
      <c r="D255" s="318" t="n">
        <v>1</v>
      </c>
      <c r="E255" s="318" t="n">
        <v>1</v>
      </c>
      <c r="F255" s="318" t="n">
        <v>1</v>
      </c>
      <c r="G255" s="318" t="n">
        <v>1</v>
      </c>
      <c r="H255" s="318" t="n">
        <v>1</v>
      </c>
      <c r="I255" s="318" t="n">
        <v>1</v>
      </c>
      <c r="J255" s="318" t="n">
        <v>1</v>
      </c>
      <c r="K255" s="318" t="n">
        <v>1</v>
      </c>
      <c r="L255" s="318" t="n">
        <v>1</v>
      </c>
      <c r="M255" s="318" t="n">
        <v>1</v>
      </c>
      <c r="N255" s="318" t="n">
        <v>1</v>
      </c>
      <c r="O255" s="318" t="n">
        <v>1</v>
      </c>
      <c r="P255" s="318" t="n">
        <v>1.03</v>
      </c>
      <c r="Q255" s="318" t="n">
        <v>1.03</v>
      </c>
      <c r="R255" s="318" t="n">
        <v>1</v>
      </c>
      <c r="S255" s="318" t="n">
        <v>1</v>
      </c>
      <c r="T255" s="318" t="n">
        <v>1.02</v>
      </c>
      <c r="U255" s="318" t="n">
        <v>1</v>
      </c>
      <c r="V255" s="318" t="n">
        <v>1</v>
      </c>
      <c r="W255" s="318" t="n">
        <v>1</v>
      </c>
      <c r="X255" s="318" t="n">
        <v>1</v>
      </c>
      <c r="Y255" s="318" t="n">
        <v>1</v>
      </c>
      <c r="Z255" s="318" t="n">
        <v>1.02</v>
      </c>
      <c r="AA255" s="318" t="n">
        <v>1</v>
      </c>
      <c r="AB255" s="318" t="n">
        <v>1</v>
      </c>
      <c r="AC255" s="318" t="n">
        <v>1</v>
      </c>
      <c r="AD255" s="318" t="n">
        <v>1</v>
      </c>
      <c r="AE255" s="318" t="n">
        <v>0.98</v>
      </c>
      <c r="AF255" s="318" t="n">
        <v>0.98</v>
      </c>
      <c r="AG255" s="318" t="n">
        <v>0.98</v>
      </c>
      <c r="AH255" s="318" t="n">
        <v>1</v>
      </c>
      <c r="AI255" s="318" t="n">
        <v>1.05</v>
      </c>
      <c r="AJ255" s="318" t="n">
        <v>1</v>
      </c>
      <c r="AK255" s="318" t="n">
        <v>1</v>
      </c>
      <c r="AL255" s="318" t="n">
        <v>1.02</v>
      </c>
      <c r="AM255" s="318" t="n">
        <v>1</v>
      </c>
      <c r="AN255" s="318" t="n">
        <v>1</v>
      </c>
      <c r="AO255" s="318" t="n">
        <v>1</v>
      </c>
    </row>
    <row r="256" customFormat="false" ht="12.75" hidden="false" customHeight="false" outlineLevel="0" collapsed="false">
      <c r="B256" s="318" t="n">
        <v>1</v>
      </c>
      <c r="C256" s="318" t="n">
        <v>1</v>
      </c>
      <c r="D256" s="318" t="n">
        <v>1</v>
      </c>
      <c r="E256" s="318" t="n">
        <v>1</v>
      </c>
      <c r="F256" s="318" t="n">
        <v>1</v>
      </c>
      <c r="G256" s="318" t="n">
        <v>1</v>
      </c>
      <c r="H256" s="318" t="n">
        <v>1</v>
      </c>
      <c r="I256" s="318" t="n">
        <v>1</v>
      </c>
      <c r="J256" s="318" t="n">
        <v>1</v>
      </c>
      <c r="K256" s="318" t="n">
        <v>1</v>
      </c>
      <c r="L256" s="318" t="n">
        <v>1</v>
      </c>
      <c r="M256" s="318" t="n">
        <v>1</v>
      </c>
      <c r="N256" s="318" t="n">
        <v>1</v>
      </c>
      <c r="O256" s="318" t="n">
        <v>1</v>
      </c>
      <c r="P256" s="318" t="n">
        <v>1.03</v>
      </c>
      <c r="Q256" s="318" t="n">
        <v>1.03</v>
      </c>
      <c r="R256" s="318" t="n">
        <v>1</v>
      </c>
      <c r="S256" s="318" t="n">
        <v>1</v>
      </c>
      <c r="T256" s="318" t="n">
        <v>1.02</v>
      </c>
      <c r="U256" s="318" t="n">
        <v>1</v>
      </c>
      <c r="V256" s="318" t="n">
        <v>1</v>
      </c>
      <c r="W256" s="318" t="n">
        <v>1</v>
      </c>
      <c r="X256" s="318" t="n">
        <v>1</v>
      </c>
      <c r="Y256" s="318" t="n">
        <v>1</v>
      </c>
      <c r="Z256" s="318" t="n">
        <v>1.02</v>
      </c>
      <c r="AA256" s="318" t="n">
        <v>1</v>
      </c>
      <c r="AB256" s="318" t="n">
        <v>1</v>
      </c>
      <c r="AC256" s="318" t="n">
        <v>1</v>
      </c>
      <c r="AD256" s="318" t="n">
        <v>1</v>
      </c>
      <c r="AE256" s="318" t="n">
        <v>0.98</v>
      </c>
      <c r="AF256" s="318" t="n">
        <v>0.98</v>
      </c>
      <c r="AG256" s="318" t="n">
        <v>0.98</v>
      </c>
      <c r="AH256" s="318" t="n">
        <v>1</v>
      </c>
      <c r="AI256" s="318" t="n">
        <v>1.05</v>
      </c>
      <c r="AJ256" s="318" t="n">
        <v>1</v>
      </c>
      <c r="AK256" s="318" t="n">
        <v>1</v>
      </c>
      <c r="AL256" s="318" t="n">
        <v>1.02</v>
      </c>
      <c r="AM256" s="318" t="n">
        <v>1</v>
      </c>
      <c r="AN256" s="318" t="n">
        <v>1</v>
      </c>
      <c r="AO256" s="318" t="n">
        <v>1</v>
      </c>
    </row>
    <row r="257" customFormat="false" ht="12.75" hidden="false" customHeight="false" outlineLevel="0" collapsed="false">
      <c r="B257" s="318" t="n">
        <v>1</v>
      </c>
      <c r="C257" s="318" t="n">
        <v>1</v>
      </c>
      <c r="D257" s="318" t="n">
        <v>1</v>
      </c>
      <c r="E257" s="318" t="n">
        <v>1</v>
      </c>
      <c r="F257" s="318" t="n">
        <v>1</v>
      </c>
      <c r="G257" s="318" t="n">
        <v>1</v>
      </c>
      <c r="H257" s="318" t="n">
        <v>1</v>
      </c>
      <c r="I257" s="318" t="n">
        <v>1</v>
      </c>
      <c r="J257" s="318" t="n">
        <v>1</v>
      </c>
      <c r="K257" s="318" t="n">
        <v>1</v>
      </c>
      <c r="L257" s="318" t="n">
        <v>1</v>
      </c>
      <c r="M257" s="318" t="n">
        <v>1</v>
      </c>
      <c r="N257" s="318" t="n">
        <v>1</v>
      </c>
      <c r="O257" s="318" t="n">
        <v>1</v>
      </c>
      <c r="P257" s="318" t="n">
        <v>1.03</v>
      </c>
      <c r="Q257" s="318" t="n">
        <v>1.03</v>
      </c>
      <c r="R257" s="318" t="n">
        <v>1</v>
      </c>
      <c r="S257" s="318" t="n">
        <v>1</v>
      </c>
      <c r="T257" s="318" t="n">
        <v>1.02</v>
      </c>
      <c r="U257" s="318" t="n">
        <v>1</v>
      </c>
      <c r="V257" s="318" t="n">
        <v>1</v>
      </c>
      <c r="W257" s="318" t="n">
        <v>1</v>
      </c>
      <c r="X257" s="318" t="n">
        <v>1</v>
      </c>
      <c r="Y257" s="318" t="n">
        <v>1</v>
      </c>
      <c r="Z257" s="318" t="n">
        <v>1</v>
      </c>
      <c r="AA257" s="318" t="n">
        <v>1</v>
      </c>
      <c r="AB257" s="318" t="n">
        <v>1</v>
      </c>
      <c r="AC257" s="318" t="n">
        <v>1</v>
      </c>
      <c r="AD257" s="318" t="n">
        <v>1</v>
      </c>
      <c r="AE257" s="318" t="n">
        <v>1</v>
      </c>
      <c r="AF257" s="318" t="n">
        <v>1</v>
      </c>
      <c r="AG257" s="318" t="n">
        <v>1.1</v>
      </c>
      <c r="AH257" s="318" t="n">
        <v>1.1</v>
      </c>
      <c r="AI257" s="318" t="n">
        <v>1.05</v>
      </c>
      <c r="AJ257" s="318" t="n">
        <v>1</v>
      </c>
      <c r="AK257" s="318" t="n">
        <v>1</v>
      </c>
      <c r="AL257" s="318" t="n">
        <v>1.02</v>
      </c>
      <c r="AM257" s="318" t="n">
        <v>1</v>
      </c>
      <c r="AN257" s="318" t="n">
        <v>1</v>
      </c>
      <c r="AO257" s="318" t="n">
        <v>1</v>
      </c>
    </row>
    <row r="258" customFormat="false" ht="12.75" hidden="false" customHeight="false" outlineLevel="0" collapsed="false">
      <c r="B258" s="318" t="n">
        <v>1</v>
      </c>
      <c r="C258" s="318" t="n">
        <v>1</v>
      </c>
      <c r="D258" s="318" t="n">
        <v>1</v>
      </c>
      <c r="E258" s="318" t="n">
        <v>1</v>
      </c>
      <c r="F258" s="318" t="n">
        <v>1</v>
      </c>
      <c r="G258" s="318" t="n">
        <v>1</v>
      </c>
      <c r="H258" s="318" t="n">
        <v>1</v>
      </c>
      <c r="I258" s="318" t="n">
        <v>1</v>
      </c>
      <c r="J258" s="318" t="n">
        <v>1</v>
      </c>
      <c r="K258" s="318" t="n">
        <v>1</v>
      </c>
      <c r="L258" s="318" t="n">
        <v>1</v>
      </c>
      <c r="M258" s="318" t="n">
        <v>1</v>
      </c>
      <c r="N258" s="318" t="n">
        <v>1</v>
      </c>
      <c r="O258" s="318" t="n">
        <v>1</v>
      </c>
      <c r="P258" s="318" t="n">
        <v>1.03</v>
      </c>
      <c r="Q258" s="318" t="n">
        <v>1.03</v>
      </c>
      <c r="R258" s="318" t="n">
        <v>1</v>
      </c>
      <c r="S258" s="318" t="n">
        <v>1</v>
      </c>
      <c r="T258" s="318" t="n">
        <v>1.02</v>
      </c>
      <c r="U258" s="318" t="n">
        <v>1</v>
      </c>
      <c r="V258" s="318" t="n">
        <v>1</v>
      </c>
      <c r="W258" s="318" t="n">
        <v>1</v>
      </c>
      <c r="X258" s="318" t="n">
        <v>1</v>
      </c>
      <c r="Y258" s="318" t="n">
        <v>1</v>
      </c>
      <c r="Z258" s="318" t="n">
        <v>1</v>
      </c>
      <c r="AA258" s="318" t="n">
        <v>1</v>
      </c>
      <c r="AB258" s="318" t="n">
        <v>1</v>
      </c>
      <c r="AC258" s="318" t="n">
        <v>1</v>
      </c>
      <c r="AD258" s="318" t="n">
        <v>1</v>
      </c>
      <c r="AE258" s="318" t="n">
        <v>1</v>
      </c>
      <c r="AF258" s="318" t="n">
        <v>1</v>
      </c>
      <c r="AG258" s="318" t="n">
        <v>1.1</v>
      </c>
      <c r="AH258" s="318" t="n">
        <v>1.02</v>
      </c>
      <c r="AI258" s="318" t="n">
        <v>1.05</v>
      </c>
      <c r="AJ258" s="318" t="n">
        <v>1</v>
      </c>
      <c r="AK258" s="318" t="n">
        <v>1</v>
      </c>
      <c r="AL258" s="318" t="n">
        <v>1.02</v>
      </c>
      <c r="AM258" s="318" t="n">
        <v>1</v>
      </c>
      <c r="AN258" s="318" t="n">
        <v>1</v>
      </c>
      <c r="AO258" s="318" t="n">
        <v>1</v>
      </c>
    </row>
    <row r="259" customFormat="false" ht="12.75" hidden="false" customHeight="false" outlineLevel="0" collapsed="false">
      <c r="B259" s="318" t="n">
        <v>1</v>
      </c>
      <c r="C259" s="318" t="n">
        <v>1</v>
      </c>
      <c r="D259" s="318" t="n">
        <v>1</v>
      </c>
      <c r="E259" s="318" t="n">
        <v>1</v>
      </c>
      <c r="F259" s="318" t="n">
        <v>1</v>
      </c>
      <c r="G259" s="318" t="n">
        <v>1</v>
      </c>
      <c r="H259" s="318" t="n">
        <v>1</v>
      </c>
      <c r="I259" s="318" t="n">
        <v>1</v>
      </c>
      <c r="J259" s="318" t="n">
        <v>1</v>
      </c>
      <c r="K259" s="318" t="n">
        <v>1</v>
      </c>
      <c r="L259" s="318" t="n">
        <v>1</v>
      </c>
      <c r="M259" s="318" t="n">
        <v>1</v>
      </c>
      <c r="N259" s="318" t="n">
        <v>1</v>
      </c>
      <c r="O259" s="318" t="n">
        <v>1</v>
      </c>
      <c r="P259" s="318" t="n">
        <v>1.03</v>
      </c>
      <c r="Q259" s="318" t="n">
        <v>1.03</v>
      </c>
      <c r="R259" s="318" t="n">
        <v>1</v>
      </c>
      <c r="S259" s="318" t="n">
        <v>1</v>
      </c>
      <c r="T259" s="318" t="n">
        <v>1.02</v>
      </c>
      <c r="U259" s="318" t="n">
        <v>1</v>
      </c>
      <c r="V259" s="318" t="n">
        <v>1</v>
      </c>
      <c r="W259" s="318" t="n">
        <v>1</v>
      </c>
      <c r="X259" s="318" t="n">
        <v>1</v>
      </c>
      <c r="Y259" s="318" t="n">
        <v>1</v>
      </c>
      <c r="Z259" s="318" t="n">
        <v>1</v>
      </c>
      <c r="AA259" s="318" t="n">
        <v>1</v>
      </c>
      <c r="AB259" s="318" t="n">
        <v>1</v>
      </c>
      <c r="AC259" s="318" t="n">
        <v>1</v>
      </c>
      <c r="AD259" s="318" t="n">
        <v>1</v>
      </c>
      <c r="AE259" s="318" t="n">
        <v>1</v>
      </c>
      <c r="AF259" s="318" t="n">
        <v>1</v>
      </c>
      <c r="AG259" s="318" t="n">
        <v>1.1</v>
      </c>
      <c r="AH259" s="318" t="n">
        <v>1.04</v>
      </c>
      <c r="AI259" s="318" t="n">
        <v>1.05</v>
      </c>
      <c r="AJ259" s="318" t="n">
        <v>1</v>
      </c>
      <c r="AK259" s="318" t="n">
        <v>1</v>
      </c>
      <c r="AL259" s="318" t="n">
        <v>1.02</v>
      </c>
      <c r="AM259" s="318" t="n">
        <v>1</v>
      </c>
      <c r="AN259" s="318" t="n">
        <v>1</v>
      </c>
      <c r="AO259" s="318" t="n">
        <v>1</v>
      </c>
    </row>
    <row r="260" customFormat="false" ht="12.75" hidden="false" customHeight="false" outlineLevel="0" collapsed="false">
      <c r="B260" s="318" t="n">
        <v>1</v>
      </c>
      <c r="C260" s="318" t="n">
        <v>1</v>
      </c>
      <c r="D260" s="318" t="n">
        <v>1</v>
      </c>
      <c r="E260" s="318" t="n">
        <v>1</v>
      </c>
      <c r="F260" s="318" t="n">
        <v>1</v>
      </c>
      <c r="G260" s="318" t="n">
        <v>1</v>
      </c>
      <c r="H260" s="318" t="n">
        <v>1</v>
      </c>
      <c r="I260" s="318" t="n">
        <v>1</v>
      </c>
      <c r="J260" s="318" t="n">
        <v>1</v>
      </c>
      <c r="K260" s="318" t="n">
        <v>1</v>
      </c>
      <c r="L260" s="318" t="n">
        <v>1</v>
      </c>
      <c r="M260" s="318" t="n">
        <v>1</v>
      </c>
      <c r="N260" s="318" t="n">
        <v>1</v>
      </c>
      <c r="O260" s="318" t="n">
        <v>1</v>
      </c>
      <c r="P260" s="318" t="n">
        <v>1.03</v>
      </c>
      <c r="Q260" s="318" t="n">
        <v>1.03</v>
      </c>
      <c r="R260" s="318" t="n">
        <v>1</v>
      </c>
      <c r="S260" s="318" t="n">
        <v>1</v>
      </c>
      <c r="T260" s="318" t="n">
        <v>1.02</v>
      </c>
      <c r="U260" s="318" t="n">
        <v>1</v>
      </c>
      <c r="V260" s="318" t="n">
        <v>1</v>
      </c>
      <c r="W260" s="318" t="n">
        <v>1</v>
      </c>
      <c r="X260" s="318" t="n">
        <v>1</v>
      </c>
      <c r="Y260" s="318" t="n">
        <v>1</v>
      </c>
      <c r="Z260" s="318" t="n">
        <v>1</v>
      </c>
      <c r="AA260" s="318" t="n">
        <v>1</v>
      </c>
      <c r="AB260" s="318" t="n">
        <v>1</v>
      </c>
      <c r="AC260" s="318" t="n">
        <v>1</v>
      </c>
      <c r="AD260" s="318" t="n">
        <v>1</v>
      </c>
      <c r="AE260" s="318" t="n">
        <v>1</v>
      </c>
      <c r="AF260" s="318" t="n">
        <v>1</v>
      </c>
      <c r="AG260" s="318" t="n">
        <v>1.1</v>
      </c>
      <c r="AH260" s="318" t="n">
        <v>1.04</v>
      </c>
      <c r="AI260" s="318" t="n">
        <v>1.05</v>
      </c>
      <c r="AJ260" s="318" t="n">
        <v>1</v>
      </c>
      <c r="AK260" s="318" t="n">
        <v>1</v>
      </c>
      <c r="AL260" s="318" t="n">
        <v>1.02</v>
      </c>
      <c r="AM260" s="318" t="n">
        <v>1</v>
      </c>
      <c r="AN260" s="318" t="n">
        <v>1</v>
      </c>
      <c r="AO260" s="318" t="n">
        <v>1</v>
      </c>
    </row>
    <row r="261" customFormat="false" ht="12.75" hidden="false" customHeight="false" outlineLevel="0" collapsed="false">
      <c r="B261" s="318" t="n">
        <v>1</v>
      </c>
      <c r="C261" s="318" t="n">
        <v>1</v>
      </c>
      <c r="D261" s="318" t="n">
        <v>1</v>
      </c>
      <c r="E261" s="318" t="n">
        <v>1</v>
      </c>
      <c r="F261" s="318" t="n">
        <v>1</v>
      </c>
      <c r="G261" s="318" t="n">
        <v>1</v>
      </c>
      <c r="H261" s="318" t="n">
        <v>1</v>
      </c>
      <c r="I261" s="318" t="n">
        <v>1</v>
      </c>
      <c r="J261" s="318" t="n">
        <v>1</v>
      </c>
      <c r="K261" s="318" t="n">
        <v>1</v>
      </c>
      <c r="L261" s="318" t="n">
        <v>1</v>
      </c>
      <c r="M261" s="318" t="n">
        <v>1</v>
      </c>
      <c r="N261" s="318" t="n">
        <v>1</v>
      </c>
      <c r="O261" s="318" t="n">
        <v>1</v>
      </c>
      <c r="P261" s="318" t="n">
        <v>1.03</v>
      </c>
      <c r="Q261" s="318" t="n">
        <v>1.03</v>
      </c>
      <c r="R261" s="318" t="n">
        <v>1</v>
      </c>
      <c r="S261" s="318" t="n">
        <v>1</v>
      </c>
      <c r="T261" s="318" t="n">
        <v>1.02</v>
      </c>
      <c r="U261" s="318" t="n">
        <v>1</v>
      </c>
      <c r="V261" s="318" t="n">
        <v>1</v>
      </c>
      <c r="W261" s="318" t="n">
        <v>1</v>
      </c>
      <c r="X261" s="318" t="n">
        <v>1</v>
      </c>
      <c r="Y261" s="318" t="n">
        <v>1</v>
      </c>
      <c r="Z261" s="318" t="n">
        <v>1</v>
      </c>
      <c r="AA261" s="318" t="n">
        <v>1</v>
      </c>
      <c r="AB261" s="318" t="n">
        <v>1</v>
      </c>
      <c r="AC261" s="318" t="n">
        <v>1</v>
      </c>
      <c r="AD261" s="318" t="n">
        <v>1</v>
      </c>
      <c r="AE261" s="318" t="n">
        <v>1</v>
      </c>
      <c r="AF261" s="318" t="n">
        <v>1</v>
      </c>
      <c r="AG261" s="318" t="n">
        <v>1.1</v>
      </c>
      <c r="AH261" s="318" t="n">
        <v>1.04</v>
      </c>
      <c r="AI261" s="318" t="n">
        <v>1.05</v>
      </c>
      <c r="AJ261" s="318" t="n">
        <v>1</v>
      </c>
      <c r="AK261" s="318" t="n">
        <v>1</v>
      </c>
      <c r="AL261" s="318" t="n">
        <v>1.02</v>
      </c>
      <c r="AM261" s="318" t="n">
        <v>1</v>
      </c>
      <c r="AN261" s="318" t="n">
        <v>1</v>
      </c>
      <c r="AO261" s="318" t="n">
        <v>1</v>
      </c>
    </row>
    <row r="262" customFormat="false" ht="12.75" hidden="false" customHeight="false" outlineLevel="0" collapsed="false">
      <c r="B262" s="318" t="n">
        <v>1</v>
      </c>
      <c r="C262" s="318" t="n">
        <v>1</v>
      </c>
      <c r="D262" s="318" t="n">
        <v>1</v>
      </c>
      <c r="E262" s="318" t="n">
        <v>1</v>
      </c>
      <c r="F262" s="318" t="n">
        <v>1</v>
      </c>
      <c r="G262" s="318" t="n">
        <v>1</v>
      </c>
      <c r="H262" s="318" t="n">
        <v>1</v>
      </c>
      <c r="I262" s="318" t="n">
        <v>1</v>
      </c>
      <c r="J262" s="318" t="n">
        <v>1</v>
      </c>
      <c r="K262" s="318" t="n">
        <v>1</v>
      </c>
      <c r="L262" s="318" t="n">
        <v>1</v>
      </c>
      <c r="M262" s="318" t="n">
        <v>1</v>
      </c>
      <c r="N262" s="318" t="n">
        <v>1</v>
      </c>
      <c r="O262" s="318" t="n">
        <v>1</v>
      </c>
      <c r="P262" s="318" t="n">
        <v>1.03</v>
      </c>
      <c r="Q262" s="318" t="n">
        <v>1.03</v>
      </c>
      <c r="R262" s="318" t="n">
        <v>1</v>
      </c>
      <c r="S262" s="318" t="n">
        <v>1</v>
      </c>
      <c r="T262" s="318" t="n">
        <v>1.02</v>
      </c>
      <c r="U262" s="318" t="n">
        <v>1</v>
      </c>
      <c r="V262" s="318" t="n">
        <v>1</v>
      </c>
      <c r="W262" s="318" t="n">
        <v>1</v>
      </c>
      <c r="X262" s="318" t="n">
        <v>1</v>
      </c>
      <c r="Y262" s="318" t="n">
        <v>1</v>
      </c>
      <c r="Z262" s="318" t="n">
        <v>1.02</v>
      </c>
      <c r="AA262" s="318" t="n">
        <v>1</v>
      </c>
      <c r="AB262" s="318" t="n">
        <v>1</v>
      </c>
      <c r="AC262" s="318" t="n">
        <v>1</v>
      </c>
      <c r="AD262" s="318" t="n">
        <v>1</v>
      </c>
      <c r="AE262" s="318" t="n">
        <v>0.98</v>
      </c>
      <c r="AF262" s="318" t="n">
        <v>0.98</v>
      </c>
      <c r="AG262" s="318" t="n">
        <v>0.98</v>
      </c>
      <c r="AH262" s="318" t="n">
        <v>1</v>
      </c>
      <c r="AI262" s="318" t="n">
        <v>1.05</v>
      </c>
      <c r="AJ262" s="318" t="n">
        <v>1</v>
      </c>
      <c r="AK262" s="318" t="n">
        <v>1</v>
      </c>
      <c r="AL262" s="318" t="n">
        <v>1.02</v>
      </c>
      <c r="AM262" s="318" t="n">
        <v>1</v>
      </c>
      <c r="AN262" s="318" t="n">
        <v>1</v>
      </c>
      <c r="AO262" s="318" t="n">
        <v>1</v>
      </c>
    </row>
    <row r="263" customFormat="false" ht="12.75" hidden="false" customHeight="false" outlineLevel="0" collapsed="false">
      <c r="B263" s="318" t="n">
        <v>1</v>
      </c>
      <c r="C263" s="318" t="n">
        <v>1</v>
      </c>
      <c r="D263" s="318" t="n">
        <v>1</v>
      </c>
      <c r="E263" s="318" t="n">
        <v>1</v>
      </c>
      <c r="F263" s="318" t="n">
        <v>1</v>
      </c>
      <c r="G263" s="318" t="n">
        <v>1</v>
      </c>
      <c r="H263" s="318" t="n">
        <v>1</v>
      </c>
      <c r="I263" s="318" t="n">
        <v>1</v>
      </c>
      <c r="J263" s="318" t="n">
        <v>1</v>
      </c>
      <c r="K263" s="318" t="n">
        <v>1</v>
      </c>
      <c r="L263" s="318" t="n">
        <v>1</v>
      </c>
      <c r="M263" s="318" t="n">
        <v>1</v>
      </c>
      <c r="N263" s="318" t="n">
        <v>1</v>
      </c>
      <c r="O263" s="318" t="n">
        <v>1</v>
      </c>
      <c r="P263" s="318" t="n">
        <v>1.03</v>
      </c>
      <c r="Q263" s="318" t="n">
        <v>1.03</v>
      </c>
      <c r="R263" s="318" t="n">
        <v>1</v>
      </c>
      <c r="S263" s="318" t="n">
        <v>1</v>
      </c>
      <c r="T263" s="318" t="n">
        <v>1.02</v>
      </c>
      <c r="U263" s="318" t="n">
        <v>1</v>
      </c>
      <c r="V263" s="318" t="n">
        <v>1</v>
      </c>
      <c r="W263" s="318" t="n">
        <v>1</v>
      </c>
      <c r="X263" s="318" t="n">
        <v>1</v>
      </c>
      <c r="Y263" s="318" t="n">
        <v>1</v>
      </c>
      <c r="Z263" s="318" t="n">
        <v>1.02</v>
      </c>
      <c r="AA263" s="318" t="n">
        <v>1</v>
      </c>
      <c r="AB263" s="318" t="n">
        <v>1</v>
      </c>
      <c r="AC263" s="318" t="n">
        <v>1</v>
      </c>
      <c r="AD263" s="318" t="n">
        <v>1</v>
      </c>
      <c r="AE263" s="318" t="n">
        <v>0.98</v>
      </c>
      <c r="AF263" s="318" t="n">
        <v>0.98</v>
      </c>
      <c r="AG263" s="318" t="n">
        <v>0.98</v>
      </c>
      <c r="AH263" s="318" t="n">
        <v>1</v>
      </c>
      <c r="AI263" s="318" t="n">
        <v>1.05</v>
      </c>
      <c r="AJ263" s="318" t="n">
        <v>1</v>
      </c>
      <c r="AK263" s="318" t="n">
        <v>1</v>
      </c>
      <c r="AL263" s="318" t="n">
        <v>1.02</v>
      </c>
      <c r="AM263" s="318" t="n">
        <v>1</v>
      </c>
      <c r="AN263" s="318" t="n">
        <v>1</v>
      </c>
      <c r="AO263" s="318" t="n">
        <v>1</v>
      </c>
    </row>
    <row r="264" customFormat="false" ht="12.75" hidden="false" customHeight="false" outlineLevel="0" collapsed="false">
      <c r="B264" s="318" t="n">
        <v>1</v>
      </c>
      <c r="C264" s="318" t="n">
        <v>1</v>
      </c>
      <c r="D264" s="318" t="n">
        <v>1</v>
      </c>
      <c r="E264" s="318" t="n">
        <v>1</v>
      </c>
      <c r="F264" s="318" t="n">
        <v>1</v>
      </c>
      <c r="G264" s="318" t="n">
        <v>1</v>
      </c>
      <c r="H264" s="318" t="n">
        <v>1</v>
      </c>
      <c r="I264" s="318" t="n">
        <v>1</v>
      </c>
      <c r="J264" s="318" t="n">
        <v>1</v>
      </c>
      <c r="K264" s="318" t="n">
        <v>1</v>
      </c>
      <c r="L264" s="318" t="n">
        <v>1</v>
      </c>
      <c r="M264" s="318" t="n">
        <v>1</v>
      </c>
      <c r="N264" s="318" t="n">
        <v>1</v>
      </c>
      <c r="O264" s="318" t="n">
        <v>1</v>
      </c>
      <c r="P264" s="318" t="n">
        <v>1.03</v>
      </c>
      <c r="Q264" s="318" t="n">
        <v>1.03</v>
      </c>
      <c r="R264" s="318" t="n">
        <v>1</v>
      </c>
      <c r="S264" s="318" t="n">
        <v>1</v>
      </c>
      <c r="T264" s="318" t="n">
        <v>1.02</v>
      </c>
      <c r="U264" s="318" t="n">
        <v>1</v>
      </c>
      <c r="V264" s="318" t="n">
        <v>1</v>
      </c>
      <c r="W264" s="318" t="n">
        <v>1</v>
      </c>
      <c r="X264" s="318" t="n">
        <v>1</v>
      </c>
      <c r="Y264" s="318" t="n">
        <v>1</v>
      </c>
      <c r="Z264" s="318" t="n">
        <v>1.02</v>
      </c>
      <c r="AA264" s="318" t="n">
        <v>1</v>
      </c>
      <c r="AB264" s="318" t="n">
        <v>1</v>
      </c>
      <c r="AC264" s="318" t="n">
        <v>1</v>
      </c>
      <c r="AD264" s="318" t="n">
        <v>1</v>
      </c>
      <c r="AE264" s="318" t="n">
        <v>0.98</v>
      </c>
      <c r="AF264" s="318" t="n">
        <v>0.98</v>
      </c>
      <c r="AG264" s="318" t="n">
        <v>0.98</v>
      </c>
      <c r="AH264" s="318" t="n">
        <v>1</v>
      </c>
      <c r="AI264" s="318" t="n">
        <v>1.05</v>
      </c>
      <c r="AJ264" s="318" t="n">
        <v>1</v>
      </c>
      <c r="AK264" s="318" t="n">
        <v>1</v>
      </c>
      <c r="AL264" s="318" t="n">
        <v>1.02</v>
      </c>
      <c r="AM264" s="318" t="n">
        <v>1</v>
      </c>
      <c r="AN264" s="318" t="n">
        <v>1</v>
      </c>
      <c r="AO264" s="318" t="n">
        <v>1</v>
      </c>
    </row>
    <row r="265" customFormat="false" ht="12.75" hidden="false" customHeight="false" outlineLevel="0" collapsed="false">
      <c r="B265" s="318" t="n">
        <v>1</v>
      </c>
      <c r="C265" s="318" t="n">
        <v>1</v>
      </c>
      <c r="D265" s="318" t="n">
        <v>1</v>
      </c>
      <c r="E265" s="318" t="n">
        <v>1</v>
      </c>
      <c r="F265" s="318" t="n">
        <v>1</v>
      </c>
      <c r="G265" s="318" t="n">
        <v>1</v>
      </c>
      <c r="H265" s="318" t="n">
        <v>1</v>
      </c>
      <c r="I265" s="318" t="n">
        <v>1</v>
      </c>
      <c r="J265" s="318" t="n">
        <v>1</v>
      </c>
      <c r="K265" s="318" t="n">
        <v>1</v>
      </c>
      <c r="L265" s="318" t="n">
        <v>1</v>
      </c>
      <c r="M265" s="318" t="n">
        <v>1</v>
      </c>
      <c r="N265" s="318" t="n">
        <v>1</v>
      </c>
      <c r="O265" s="318" t="n">
        <v>1</v>
      </c>
      <c r="P265" s="318" t="n">
        <v>1.03</v>
      </c>
      <c r="Q265" s="318" t="n">
        <v>1.03</v>
      </c>
      <c r="R265" s="318" t="n">
        <v>1</v>
      </c>
      <c r="S265" s="318" t="n">
        <v>1</v>
      </c>
      <c r="T265" s="318" t="n">
        <v>1.02</v>
      </c>
      <c r="U265" s="318" t="n">
        <v>1</v>
      </c>
      <c r="V265" s="318" t="n">
        <v>1</v>
      </c>
      <c r="W265" s="318" t="n">
        <v>1</v>
      </c>
      <c r="X265" s="318" t="n">
        <v>1</v>
      </c>
      <c r="Y265" s="318" t="n">
        <v>1</v>
      </c>
      <c r="Z265" s="318" t="n">
        <v>1.02</v>
      </c>
      <c r="AA265" s="318" t="n">
        <v>1</v>
      </c>
      <c r="AB265" s="318" t="n">
        <v>1</v>
      </c>
      <c r="AC265" s="318" t="n">
        <v>1</v>
      </c>
      <c r="AD265" s="318" t="n">
        <v>1</v>
      </c>
      <c r="AE265" s="318" t="n">
        <v>0.98</v>
      </c>
      <c r="AF265" s="318" t="n">
        <v>0.98</v>
      </c>
      <c r="AG265" s="318" t="n">
        <v>0.98</v>
      </c>
      <c r="AH265" s="318" t="n">
        <v>1</v>
      </c>
      <c r="AI265" s="318" t="n">
        <v>1.05</v>
      </c>
      <c r="AJ265" s="318" t="n">
        <v>1</v>
      </c>
      <c r="AK265" s="318" t="n">
        <v>1</v>
      </c>
      <c r="AL265" s="318" t="n">
        <v>1.02</v>
      </c>
      <c r="AM265" s="318" t="n">
        <v>1</v>
      </c>
      <c r="AN265" s="318" t="n">
        <v>1</v>
      </c>
      <c r="AO265" s="318" t="n">
        <v>1</v>
      </c>
    </row>
    <row r="266" customFormat="false" ht="12.75" hidden="false" customHeight="false" outlineLevel="0" collapsed="false">
      <c r="B266" s="318" t="n">
        <v>1</v>
      </c>
      <c r="C266" s="318" t="n">
        <v>1</v>
      </c>
      <c r="D266" s="318" t="n">
        <v>1</v>
      </c>
      <c r="E266" s="318" t="n">
        <v>1</v>
      </c>
      <c r="F266" s="318" t="n">
        <v>1</v>
      </c>
      <c r="G266" s="318" t="n">
        <v>1</v>
      </c>
      <c r="H266" s="318" t="n">
        <v>1</v>
      </c>
      <c r="I266" s="318" t="n">
        <v>1</v>
      </c>
      <c r="J266" s="318" t="n">
        <v>1</v>
      </c>
      <c r="K266" s="318" t="n">
        <v>1</v>
      </c>
      <c r="L266" s="318" t="n">
        <v>1</v>
      </c>
      <c r="M266" s="318" t="n">
        <v>1</v>
      </c>
      <c r="N266" s="318" t="n">
        <v>1</v>
      </c>
      <c r="O266" s="318" t="n">
        <v>1</v>
      </c>
      <c r="P266" s="318" t="n">
        <v>1.03</v>
      </c>
      <c r="Q266" s="318" t="n">
        <v>1.03</v>
      </c>
      <c r="R266" s="318" t="n">
        <v>1</v>
      </c>
      <c r="S266" s="318" t="n">
        <v>1</v>
      </c>
      <c r="T266" s="318" t="n">
        <v>1.02</v>
      </c>
      <c r="U266" s="318" t="n">
        <v>1</v>
      </c>
      <c r="V266" s="318" t="n">
        <v>1</v>
      </c>
      <c r="W266" s="318" t="n">
        <v>1</v>
      </c>
      <c r="X266" s="318" t="n">
        <v>1</v>
      </c>
      <c r="Y266" s="318" t="n">
        <v>1</v>
      </c>
      <c r="Z266" s="318" t="n">
        <v>1.02</v>
      </c>
      <c r="AA266" s="318" t="n">
        <v>1</v>
      </c>
      <c r="AB266" s="318" t="n">
        <v>1</v>
      </c>
      <c r="AC266" s="318" t="n">
        <v>1</v>
      </c>
      <c r="AD266" s="318" t="n">
        <v>1</v>
      </c>
      <c r="AE266" s="318" t="n">
        <v>0.98</v>
      </c>
      <c r="AF266" s="318" t="n">
        <v>0.98</v>
      </c>
      <c r="AG266" s="318" t="n">
        <v>0.98</v>
      </c>
      <c r="AH266" s="318" t="n">
        <v>1</v>
      </c>
      <c r="AI266" s="318" t="n">
        <v>1.05</v>
      </c>
      <c r="AJ266" s="318" t="n">
        <v>1</v>
      </c>
      <c r="AK266" s="318" t="n">
        <v>1</v>
      </c>
      <c r="AL266" s="318" t="n">
        <v>1.02</v>
      </c>
      <c r="AM266" s="318" t="n">
        <v>1</v>
      </c>
      <c r="AN266" s="318" t="n">
        <v>1</v>
      </c>
      <c r="AO266" s="318" t="n">
        <v>1</v>
      </c>
    </row>
    <row r="267" customFormat="false" ht="12.75" hidden="false" customHeight="false" outlineLevel="0" collapsed="false">
      <c r="B267" s="318" t="n">
        <v>1</v>
      </c>
      <c r="C267" s="318" t="n">
        <v>1</v>
      </c>
      <c r="D267" s="318" t="n">
        <v>1</v>
      </c>
      <c r="E267" s="318" t="n">
        <v>1</v>
      </c>
      <c r="F267" s="318" t="n">
        <v>1</v>
      </c>
      <c r="G267" s="318" t="n">
        <v>1</v>
      </c>
      <c r="H267" s="318" t="n">
        <v>1</v>
      </c>
      <c r="I267" s="318" t="n">
        <v>1</v>
      </c>
      <c r="J267" s="318" t="n">
        <v>1</v>
      </c>
      <c r="K267" s="318" t="n">
        <v>1</v>
      </c>
      <c r="L267" s="318" t="n">
        <v>1</v>
      </c>
      <c r="M267" s="318" t="n">
        <v>1</v>
      </c>
      <c r="N267" s="318" t="n">
        <v>1</v>
      </c>
      <c r="O267" s="318" t="n">
        <v>1</v>
      </c>
      <c r="P267" s="318" t="n">
        <v>1.03</v>
      </c>
      <c r="Q267" s="318" t="n">
        <v>1.03</v>
      </c>
      <c r="R267" s="318" t="n">
        <v>1</v>
      </c>
      <c r="S267" s="318" t="n">
        <v>1</v>
      </c>
      <c r="T267" s="318" t="n">
        <v>1.02</v>
      </c>
      <c r="U267" s="318" t="n">
        <v>1</v>
      </c>
      <c r="V267" s="318" t="n">
        <v>1</v>
      </c>
      <c r="W267" s="318" t="n">
        <v>1</v>
      </c>
      <c r="X267" s="318" t="n">
        <v>1</v>
      </c>
      <c r="Y267" s="318" t="n">
        <v>1</v>
      </c>
      <c r="Z267" s="318" t="n">
        <v>1.02</v>
      </c>
      <c r="AA267" s="318" t="n">
        <v>1</v>
      </c>
      <c r="AB267" s="318" t="n">
        <v>1</v>
      </c>
      <c r="AC267" s="318" t="n">
        <v>1</v>
      </c>
      <c r="AD267" s="318" t="n">
        <v>1</v>
      </c>
      <c r="AE267" s="318" t="n">
        <v>0.98</v>
      </c>
      <c r="AF267" s="318" t="n">
        <v>0.98</v>
      </c>
      <c r="AG267" s="318" t="n">
        <v>0.98</v>
      </c>
      <c r="AH267" s="318" t="n">
        <v>1</v>
      </c>
      <c r="AI267" s="318" t="n">
        <v>1.05</v>
      </c>
      <c r="AJ267" s="318" t="n">
        <v>1</v>
      </c>
      <c r="AK267" s="318" t="n">
        <v>1</v>
      </c>
      <c r="AL267" s="318" t="n">
        <v>1.02</v>
      </c>
      <c r="AM267" s="318" t="n">
        <v>1</v>
      </c>
      <c r="AN267" s="318" t="n">
        <v>1</v>
      </c>
      <c r="AO267" s="318" t="n">
        <v>1</v>
      </c>
    </row>
    <row r="268" customFormat="false" ht="12.75" hidden="false" customHeight="false" outlineLevel="0" collapsed="false">
      <c r="B268" s="318" t="n">
        <v>1</v>
      </c>
      <c r="C268" s="318" t="n">
        <v>1</v>
      </c>
      <c r="D268" s="318" t="n">
        <v>1</v>
      </c>
      <c r="E268" s="318" t="n">
        <v>1</v>
      </c>
      <c r="F268" s="318" t="n">
        <v>1</v>
      </c>
      <c r="G268" s="318" t="n">
        <v>1</v>
      </c>
      <c r="H268" s="318" t="n">
        <v>1</v>
      </c>
      <c r="I268" s="318" t="n">
        <v>1</v>
      </c>
      <c r="J268" s="318" t="n">
        <v>1</v>
      </c>
      <c r="K268" s="318" t="n">
        <v>1</v>
      </c>
      <c r="L268" s="318" t="n">
        <v>1</v>
      </c>
      <c r="M268" s="318" t="n">
        <v>1</v>
      </c>
      <c r="N268" s="318" t="n">
        <v>1</v>
      </c>
      <c r="O268" s="318" t="n">
        <v>1</v>
      </c>
      <c r="P268" s="318" t="n">
        <v>1.03</v>
      </c>
      <c r="Q268" s="318" t="n">
        <v>1.03</v>
      </c>
      <c r="R268" s="318" t="n">
        <v>1</v>
      </c>
      <c r="S268" s="318" t="n">
        <v>1</v>
      </c>
      <c r="T268" s="318" t="n">
        <v>1.02</v>
      </c>
      <c r="U268" s="318" t="n">
        <v>1</v>
      </c>
      <c r="V268" s="318" t="n">
        <v>1</v>
      </c>
      <c r="W268" s="318" t="n">
        <v>1</v>
      </c>
      <c r="X268" s="318" t="n">
        <v>1</v>
      </c>
      <c r="Y268" s="318" t="n">
        <v>1</v>
      </c>
      <c r="Z268" s="318" t="n">
        <v>1.02</v>
      </c>
      <c r="AA268" s="318" t="n">
        <v>1</v>
      </c>
      <c r="AB268" s="318" t="n">
        <v>1</v>
      </c>
      <c r="AC268" s="318" t="n">
        <v>1</v>
      </c>
      <c r="AD268" s="318" t="n">
        <v>1</v>
      </c>
      <c r="AE268" s="318" t="n">
        <v>0.98</v>
      </c>
      <c r="AF268" s="318" t="n">
        <v>0.98</v>
      </c>
      <c r="AG268" s="318" t="n">
        <v>0.98</v>
      </c>
      <c r="AH268" s="318" t="n">
        <v>1</v>
      </c>
      <c r="AI268" s="318" t="n">
        <v>1.05</v>
      </c>
      <c r="AJ268" s="318" t="n">
        <v>1</v>
      </c>
      <c r="AK268" s="318" t="n">
        <v>1</v>
      </c>
      <c r="AL268" s="318" t="n">
        <v>1.02</v>
      </c>
      <c r="AM268" s="318" t="n">
        <v>1</v>
      </c>
      <c r="AN268" s="318" t="n">
        <v>1</v>
      </c>
      <c r="AO268" s="318" t="n">
        <v>1</v>
      </c>
    </row>
    <row r="269" customFormat="false" ht="12.75" hidden="false" customHeight="false" outlineLevel="0" collapsed="false">
      <c r="B269" s="318" t="n">
        <v>1</v>
      </c>
      <c r="C269" s="318" t="n">
        <v>1</v>
      </c>
      <c r="D269" s="318" t="n">
        <v>1</v>
      </c>
      <c r="E269" s="318" t="n">
        <v>1</v>
      </c>
      <c r="F269" s="318" t="n">
        <v>1</v>
      </c>
      <c r="G269" s="318" t="n">
        <v>1</v>
      </c>
      <c r="H269" s="318" t="n">
        <v>1</v>
      </c>
      <c r="I269" s="318" t="n">
        <v>1</v>
      </c>
      <c r="J269" s="318" t="n">
        <v>1</v>
      </c>
      <c r="K269" s="318" t="n">
        <v>1</v>
      </c>
      <c r="L269" s="318" t="n">
        <v>1</v>
      </c>
      <c r="M269" s="318" t="n">
        <v>1</v>
      </c>
      <c r="N269" s="318" t="n">
        <v>1</v>
      </c>
      <c r="O269" s="318" t="n">
        <v>1</v>
      </c>
      <c r="P269" s="318" t="n">
        <v>1.03</v>
      </c>
      <c r="Q269" s="318" t="n">
        <v>1.03</v>
      </c>
      <c r="R269" s="318" t="n">
        <v>1</v>
      </c>
      <c r="S269" s="318" t="n">
        <v>1</v>
      </c>
      <c r="T269" s="318" t="n">
        <v>1.02</v>
      </c>
      <c r="U269" s="318" t="n">
        <v>1</v>
      </c>
      <c r="V269" s="318" t="n">
        <v>1</v>
      </c>
      <c r="W269" s="318" t="n">
        <v>1</v>
      </c>
      <c r="X269" s="318" t="n">
        <v>1</v>
      </c>
      <c r="Y269" s="318" t="n">
        <v>1</v>
      </c>
      <c r="Z269" s="318" t="n">
        <v>1</v>
      </c>
      <c r="AA269" s="318" t="n">
        <v>1</v>
      </c>
      <c r="AB269" s="318" t="n">
        <v>1</v>
      </c>
      <c r="AC269" s="318" t="n">
        <v>1</v>
      </c>
      <c r="AD269" s="318" t="n">
        <v>1</v>
      </c>
      <c r="AE269" s="318" t="n">
        <v>1</v>
      </c>
      <c r="AF269" s="318" t="n">
        <v>1</v>
      </c>
      <c r="AG269" s="318" t="n">
        <v>1.1</v>
      </c>
      <c r="AH269" s="318" t="n">
        <v>1.1</v>
      </c>
      <c r="AI269" s="318" t="n">
        <v>1.05</v>
      </c>
      <c r="AJ269" s="318" t="n">
        <v>1</v>
      </c>
      <c r="AK269" s="318" t="n">
        <v>1</v>
      </c>
      <c r="AL269" s="318" t="n">
        <v>1.02</v>
      </c>
      <c r="AM269" s="318" t="n">
        <v>1</v>
      </c>
      <c r="AN269" s="318" t="n">
        <v>1</v>
      </c>
      <c r="AO269" s="318" t="n">
        <v>1</v>
      </c>
    </row>
    <row r="270" customFormat="false" ht="12.75" hidden="false" customHeight="false" outlineLevel="0" collapsed="false">
      <c r="B270" s="318" t="n">
        <v>1</v>
      </c>
      <c r="C270" s="318" t="n">
        <v>1</v>
      </c>
      <c r="D270" s="318" t="n">
        <v>1</v>
      </c>
      <c r="E270" s="318" t="n">
        <v>1</v>
      </c>
      <c r="F270" s="318" t="n">
        <v>1</v>
      </c>
      <c r="G270" s="318" t="n">
        <v>1</v>
      </c>
      <c r="H270" s="318" t="n">
        <v>1</v>
      </c>
      <c r="I270" s="318" t="n">
        <v>1</v>
      </c>
      <c r="J270" s="318" t="n">
        <v>1</v>
      </c>
      <c r="K270" s="318" t="n">
        <v>1</v>
      </c>
      <c r="L270" s="318" t="n">
        <v>1</v>
      </c>
      <c r="M270" s="318" t="n">
        <v>1</v>
      </c>
      <c r="N270" s="318" t="n">
        <v>1</v>
      </c>
      <c r="O270" s="318" t="n">
        <v>1</v>
      </c>
      <c r="P270" s="318" t="n">
        <v>1.03</v>
      </c>
      <c r="Q270" s="318" t="n">
        <v>1.03</v>
      </c>
      <c r="R270" s="318" t="n">
        <v>1</v>
      </c>
      <c r="S270" s="318" t="n">
        <v>1</v>
      </c>
      <c r="T270" s="318" t="n">
        <v>1.02</v>
      </c>
      <c r="U270" s="318" t="n">
        <v>1</v>
      </c>
      <c r="V270" s="318" t="n">
        <v>1</v>
      </c>
      <c r="W270" s="318" t="n">
        <v>1</v>
      </c>
      <c r="X270" s="318" t="n">
        <v>1</v>
      </c>
      <c r="Y270" s="318" t="n">
        <v>1</v>
      </c>
      <c r="Z270" s="318" t="n">
        <v>1</v>
      </c>
      <c r="AA270" s="318" t="n">
        <v>1</v>
      </c>
      <c r="AB270" s="318" t="n">
        <v>1</v>
      </c>
      <c r="AC270" s="318" t="n">
        <v>1</v>
      </c>
      <c r="AD270" s="318" t="n">
        <v>1</v>
      </c>
      <c r="AE270" s="318" t="n">
        <v>1</v>
      </c>
      <c r="AF270" s="318" t="n">
        <v>1</v>
      </c>
      <c r="AG270" s="318" t="n">
        <v>1.1</v>
      </c>
      <c r="AH270" s="318" t="n">
        <v>1.02</v>
      </c>
      <c r="AI270" s="318" t="n">
        <v>1.05</v>
      </c>
      <c r="AJ270" s="318" t="n">
        <v>1</v>
      </c>
      <c r="AK270" s="318" t="n">
        <v>1</v>
      </c>
      <c r="AL270" s="318" t="n">
        <v>1.02</v>
      </c>
      <c r="AM270" s="318" t="n">
        <v>1</v>
      </c>
      <c r="AN270" s="318" t="n">
        <v>1</v>
      </c>
      <c r="AO270" s="318" t="n">
        <v>1</v>
      </c>
    </row>
    <row r="271" customFormat="false" ht="12.75" hidden="false" customHeight="false" outlineLevel="0" collapsed="false">
      <c r="B271" s="318" t="n">
        <v>1</v>
      </c>
      <c r="C271" s="318" t="n">
        <v>1</v>
      </c>
      <c r="D271" s="318" t="n">
        <v>1</v>
      </c>
      <c r="E271" s="318" t="n">
        <v>1</v>
      </c>
      <c r="F271" s="318" t="n">
        <v>1</v>
      </c>
      <c r="G271" s="318" t="n">
        <v>1</v>
      </c>
      <c r="H271" s="318" t="n">
        <v>1</v>
      </c>
      <c r="I271" s="318" t="n">
        <v>1</v>
      </c>
      <c r="J271" s="318" t="n">
        <v>1</v>
      </c>
      <c r="K271" s="318" t="n">
        <v>1</v>
      </c>
      <c r="L271" s="318" t="n">
        <v>1</v>
      </c>
      <c r="M271" s="318" t="n">
        <v>1</v>
      </c>
      <c r="N271" s="318" t="n">
        <v>1</v>
      </c>
      <c r="O271" s="318" t="n">
        <v>1</v>
      </c>
      <c r="P271" s="318" t="n">
        <v>1.03</v>
      </c>
      <c r="Q271" s="318" t="n">
        <v>1.03</v>
      </c>
      <c r="R271" s="318" t="n">
        <v>1</v>
      </c>
      <c r="S271" s="318" t="n">
        <v>1</v>
      </c>
      <c r="T271" s="318" t="n">
        <v>1.02</v>
      </c>
      <c r="U271" s="318" t="n">
        <v>1</v>
      </c>
      <c r="V271" s="318" t="n">
        <v>1</v>
      </c>
      <c r="W271" s="318" t="n">
        <v>1</v>
      </c>
      <c r="X271" s="318" t="n">
        <v>1</v>
      </c>
      <c r="Y271" s="318" t="n">
        <v>1</v>
      </c>
      <c r="Z271" s="318" t="n">
        <v>1</v>
      </c>
      <c r="AA271" s="318" t="n">
        <v>1</v>
      </c>
      <c r="AB271" s="318" t="n">
        <v>1</v>
      </c>
      <c r="AC271" s="318" t="n">
        <v>1</v>
      </c>
      <c r="AD271" s="318" t="n">
        <v>1</v>
      </c>
      <c r="AE271" s="318" t="n">
        <v>1</v>
      </c>
      <c r="AF271" s="318" t="n">
        <v>1</v>
      </c>
      <c r="AG271" s="318" t="n">
        <v>1.1</v>
      </c>
      <c r="AH271" s="318" t="n">
        <v>1.04</v>
      </c>
      <c r="AI271" s="318" t="n">
        <v>1.05</v>
      </c>
      <c r="AJ271" s="318" t="n">
        <v>1</v>
      </c>
      <c r="AK271" s="318" t="n">
        <v>1</v>
      </c>
      <c r="AL271" s="318" t="n">
        <v>1.02</v>
      </c>
      <c r="AM271" s="318" t="n">
        <v>1</v>
      </c>
      <c r="AN271" s="318" t="n">
        <v>1</v>
      </c>
      <c r="AO271" s="318" t="n">
        <v>1</v>
      </c>
    </row>
    <row r="272" customFormat="false" ht="12.75" hidden="false" customHeight="false" outlineLevel="0" collapsed="false">
      <c r="B272" s="318" t="n">
        <v>1</v>
      </c>
      <c r="C272" s="318" t="n">
        <v>1</v>
      </c>
      <c r="D272" s="318" t="n">
        <v>1</v>
      </c>
      <c r="E272" s="318" t="n">
        <v>1</v>
      </c>
      <c r="F272" s="318" t="n">
        <v>1</v>
      </c>
      <c r="G272" s="318" t="n">
        <v>1</v>
      </c>
      <c r="H272" s="318" t="n">
        <v>1</v>
      </c>
      <c r="I272" s="318" t="n">
        <v>1</v>
      </c>
      <c r="J272" s="318" t="n">
        <v>1</v>
      </c>
      <c r="K272" s="318" t="n">
        <v>1</v>
      </c>
      <c r="L272" s="318" t="n">
        <v>1</v>
      </c>
      <c r="M272" s="318" t="n">
        <v>1</v>
      </c>
      <c r="N272" s="318" t="n">
        <v>1</v>
      </c>
      <c r="O272" s="318" t="n">
        <v>1</v>
      </c>
      <c r="P272" s="318" t="n">
        <v>1.03</v>
      </c>
      <c r="Q272" s="318" t="n">
        <v>1.03</v>
      </c>
      <c r="R272" s="318" t="n">
        <v>1</v>
      </c>
      <c r="S272" s="318" t="n">
        <v>1</v>
      </c>
      <c r="T272" s="318" t="n">
        <v>1.02</v>
      </c>
      <c r="U272" s="318" t="n">
        <v>1</v>
      </c>
      <c r="V272" s="318" t="n">
        <v>1</v>
      </c>
      <c r="W272" s="318" t="n">
        <v>1</v>
      </c>
      <c r="X272" s="318" t="n">
        <v>1</v>
      </c>
      <c r="Y272" s="318" t="n">
        <v>1</v>
      </c>
      <c r="Z272" s="318" t="n">
        <v>1</v>
      </c>
      <c r="AA272" s="318" t="n">
        <v>1</v>
      </c>
      <c r="AB272" s="318" t="n">
        <v>1</v>
      </c>
      <c r="AC272" s="318" t="n">
        <v>1</v>
      </c>
      <c r="AD272" s="318" t="n">
        <v>1</v>
      </c>
      <c r="AE272" s="318" t="n">
        <v>1</v>
      </c>
      <c r="AF272" s="318" t="n">
        <v>1</v>
      </c>
      <c r="AG272" s="318" t="n">
        <v>1.1</v>
      </c>
      <c r="AH272" s="318" t="n">
        <v>1.04</v>
      </c>
      <c r="AI272" s="318" t="n">
        <v>1.05</v>
      </c>
      <c r="AJ272" s="318" t="n">
        <v>1</v>
      </c>
      <c r="AK272" s="318" t="n">
        <v>1</v>
      </c>
      <c r="AL272" s="318" t="n">
        <v>1.02</v>
      </c>
      <c r="AM272" s="318" t="n">
        <v>1</v>
      </c>
      <c r="AN272" s="318" t="n">
        <v>1</v>
      </c>
      <c r="AO272" s="318" t="n">
        <v>1</v>
      </c>
    </row>
    <row r="273" customFormat="false" ht="12.75" hidden="false" customHeight="false" outlineLevel="0" collapsed="false">
      <c r="B273" s="318" t="n">
        <v>1</v>
      </c>
      <c r="C273" s="318" t="n">
        <v>1</v>
      </c>
      <c r="D273" s="318" t="n">
        <v>1</v>
      </c>
      <c r="E273" s="318" t="n">
        <v>1</v>
      </c>
      <c r="F273" s="318" t="n">
        <v>1</v>
      </c>
      <c r="G273" s="318" t="n">
        <v>1</v>
      </c>
      <c r="H273" s="318" t="n">
        <v>1</v>
      </c>
      <c r="I273" s="318" t="n">
        <v>1</v>
      </c>
      <c r="J273" s="318" t="n">
        <v>1</v>
      </c>
      <c r="K273" s="318" t="n">
        <v>1</v>
      </c>
      <c r="L273" s="318" t="n">
        <v>1</v>
      </c>
      <c r="M273" s="318" t="n">
        <v>1</v>
      </c>
      <c r="N273" s="318" t="n">
        <v>1</v>
      </c>
      <c r="O273" s="318" t="n">
        <v>1</v>
      </c>
      <c r="P273" s="318" t="n">
        <v>1.03</v>
      </c>
      <c r="Q273" s="318" t="n">
        <v>1.03</v>
      </c>
      <c r="R273" s="318" t="n">
        <v>1</v>
      </c>
      <c r="S273" s="318" t="n">
        <v>1</v>
      </c>
      <c r="T273" s="318" t="n">
        <v>1.02</v>
      </c>
      <c r="U273" s="318" t="n">
        <v>1</v>
      </c>
      <c r="V273" s="318" t="n">
        <v>1</v>
      </c>
      <c r="W273" s="318" t="n">
        <v>1</v>
      </c>
      <c r="X273" s="318" t="n">
        <v>1</v>
      </c>
      <c r="Y273" s="318" t="n">
        <v>1</v>
      </c>
      <c r="Z273" s="318" t="n">
        <v>1</v>
      </c>
      <c r="AA273" s="318" t="n">
        <v>1</v>
      </c>
      <c r="AB273" s="318" t="n">
        <v>1</v>
      </c>
      <c r="AC273" s="318" t="n">
        <v>1</v>
      </c>
      <c r="AD273" s="318" t="n">
        <v>1</v>
      </c>
      <c r="AE273" s="318" t="n">
        <v>1</v>
      </c>
      <c r="AF273" s="318" t="n">
        <v>1</v>
      </c>
      <c r="AG273" s="318" t="n">
        <v>1.1</v>
      </c>
      <c r="AH273" s="318" t="n">
        <v>1.04</v>
      </c>
      <c r="AI273" s="318" t="n">
        <v>1.05</v>
      </c>
      <c r="AJ273" s="318" t="n">
        <v>1</v>
      </c>
      <c r="AK273" s="318" t="n">
        <v>1</v>
      </c>
      <c r="AL273" s="318" t="n">
        <v>1.02</v>
      </c>
      <c r="AM273" s="318" t="n">
        <v>1</v>
      </c>
      <c r="AN273" s="318" t="n">
        <v>1</v>
      </c>
      <c r="AO273" s="318" t="n">
        <v>1</v>
      </c>
    </row>
    <row r="274" customFormat="false" ht="12.75" hidden="false" customHeight="false" outlineLevel="0" collapsed="false">
      <c r="B274" s="318" t="n">
        <v>1</v>
      </c>
      <c r="C274" s="318" t="n">
        <v>1</v>
      </c>
      <c r="D274" s="318" t="n">
        <v>1</v>
      </c>
      <c r="E274" s="318" t="n">
        <v>1</v>
      </c>
      <c r="F274" s="318" t="n">
        <v>1</v>
      </c>
      <c r="G274" s="318" t="n">
        <v>1</v>
      </c>
      <c r="H274" s="318" t="n">
        <v>1</v>
      </c>
      <c r="I274" s="318" t="n">
        <v>1</v>
      </c>
      <c r="J274" s="318" t="n">
        <v>1</v>
      </c>
      <c r="K274" s="318" t="n">
        <v>1</v>
      </c>
      <c r="L274" s="318" t="n">
        <v>1</v>
      </c>
      <c r="M274" s="318" t="n">
        <v>1</v>
      </c>
      <c r="N274" s="318" t="n">
        <v>1</v>
      </c>
      <c r="O274" s="318" t="n">
        <v>1</v>
      </c>
      <c r="P274" s="318" t="n">
        <v>1.03</v>
      </c>
      <c r="Q274" s="318" t="n">
        <v>1.03</v>
      </c>
      <c r="R274" s="318" t="n">
        <v>1</v>
      </c>
      <c r="S274" s="318" t="n">
        <v>1</v>
      </c>
      <c r="T274" s="318" t="n">
        <v>1.02</v>
      </c>
      <c r="U274" s="318" t="n">
        <v>1</v>
      </c>
      <c r="V274" s="318" t="n">
        <v>1</v>
      </c>
      <c r="W274" s="318" t="n">
        <v>1</v>
      </c>
      <c r="X274" s="318" t="n">
        <v>1</v>
      </c>
      <c r="Y274" s="318" t="n">
        <v>1</v>
      </c>
      <c r="Z274" s="318" t="n">
        <v>1.02</v>
      </c>
      <c r="AA274" s="318" t="n">
        <v>1</v>
      </c>
      <c r="AB274" s="318" t="n">
        <v>1</v>
      </c>
      <c r="AC274" s="318" t="n">
        <v>1</v>
      </c>
      <c r="AD274" s="318" t="n">
        <v>1</v>
      </c>
      <c r="AE274" s="318" t="n">
        <v>0.98</v>
      </c>
      <c r="AF274" s="318" t="n">
        <v>0.98</v>
      </c>
      <c r="AG274" s="318" t="n">
        <v>0.98</v>
      </c>
      <c r="AH274" s="318" t="n">
        <v>1</v>
      </c>
      <c r="AI274" s="318" t="n">
        <v>1.05</v>
      </c>
      <c r="AJ274" s="318" t="n">
        <v>1</v>
      </c>
      <c r="AK274" s="318" t="n">
        <v>1</v>
      </c>
      <c r="AL274" s="318" t="n">
        <v>1.02</v>
      </c>
      <c r="AM274" s="318" t="n">
        <v>1</v>
      </c>
      <c r="AN274" s="318" t="n">
        <v>1</v>
      </c>
      <c r="AO274" s="318" t="n">
        <v>1</v>
      </c>
    </row>
    <row r="275" customFormat="false" ht="12.75" hidden="false" customHeight="false" outlineLevel="0" collapsed="false">
      <c r="B275" s="318" t="n">
        <v>1</v>
      </c>
      <c r="C275" s="318" t="n">
        <v>1</v>
      </c>
      <c r="D275" s="318" t="n">
        <v>1</v>
      </c>
      <c r="E275" s="318" t="n">
        <v>1</v>
      </c>
      <c r="F275" s="318" t="n">
        <v>1</v>
      </c>
      <c r="G275" s="318" t="n">
        <v>1</v>
      </c>
      <c r="H275" s="318" t="n">
        <v>1</v>
      </c>
      <c r="I275" s="318" t="n">
        <v>1</v>
      </c>
      <c r="J275" s="318" t="n">
        <v>1</v>
      </c>
      <c r="K275" s="318" t="n">
        <v>1</v>
      </c>
      <c r="L275" s="318" t="n">
        <v>1</v>
      </c>
      <c r="M275" s="318" t="n">
        <v>1</v>
      </c>
      <c r="N275" s="318" t="n">
        <v>1</v>
      </c>
      <c r="O275" s="318" t="n">
        <v>1</v>
      </c>
      <c r="P275" s="318" t="n">
        <v>1.03</v>
      </c>
      <c r="Q275" s="318" t="n">
        <v>1.03</v>
      </c>
      <c r="R275" s="318" t="n">
        <v>1</v>
      </c>
      <c r="S275" s="318" t="n">
        <v>1</v>
      </c>
      <c r="T275" s="318" t="n">
        <v>1.02</v>
      </c>
      <c r="U275" s="318" t="n">
        <v>1</v>
      </c>
      <c r="V275" s="318" t="n">
        <v>1</v>
      </c>
      <c r="W275" s="318" t="n">
        <v>1</v>
      </c>
      <c r="X275" s="318" t="n">
        <v>1</v>
      </c>
      <c r="Y275" s="318" t="n">
        <v>1</v>
      </c>
      <c r="Z275" s="318" t="n">
        <v>1.02</v>
      </c>
      <c r="AA275" s="318" t="n">
        <v>1</v>
      </c>
      <c r="AB275" s="318" t="n">
        <v>1</v>
      </c>
      <c r="AC275" s="318" t="n">
        <v>1</v>
      </c>
      <c r="AD275" s="318" t="n">
        <v>1</v>
      </c>
      <c r="AE275" s="318" t="n">
        <v>0.98</v>
      </c>
      <c r="AF275" s="318" t="n">
        <v>0.98</v>
      </c>
      <c r="AG275" s="318" t="n">
        <v>0.98</v>
      </c>
      <c r="AH275" s="318" t="n">
        <v>1</v>
      </c>
      <c r="AI275" s="318" t="n">
        <v>1.05</v>
      </c>
      <c r="AJ275" s="318" t="n">
        <v>1</v>
      </c>
      <c r="AK275" s="318" t="n">
        <v>1</v>
      </c>
      <c r="AL275" s="318" t="n">
        <v>1.02</v>
      </c>
      <c r="AM275" s="318" t="n">
        <v>1</v>
      </c>
      <c r="AN275" s="318" t="n">
        <v>1</v>
      </c>
      <c r="AO275" s="318" t="n">
        <v>1</v>
      </c>
    </row>
    <row r="276" customFormat="false" ht="12.75" hidden="false" customHeight="false" outlineLevel="0" collapsed="false">
      <c r="B276" s="318" t="n">
        <v>1</v>
      </c>
      <c r="C276" s="318" t="n">
        <v>1</v>
      </c>
      <c r="D276" s="318" t="n">
        <v>1</v>
      </c>
      <c r="E276" s="318" t="n">
        <v>1</v>
      </c>
      <c r="F276" s="318" t="n">
        <v>1</v>
      </c>
      <c r="G276" s="318" t="n">
        <v>1</v>
      </c>
      <c r="H276" s="318" t="n">
        <v>1</v>
      </c>
      <c r="I276" s="318" t="n">
        <v>1</v>
      </c>
      <c r="J276" s="318" t="n">
        <v>1</v>
      </c>
      <c r="K276" s="318" t="n">
        <v>1</v>
      </c>
      <c r="L276" s="318" t="n">
        <v>1</v>
      </c>
      <c r="M276" s="318" t="n">
        <v>1</v>
      </c>
      <c r="N276" s="318" t="n">
        <v>1</v>
      </c>
      <c r="O276" s="318" t="n">
        <v>1</v>
      </c>
      <c r="P276" s="318" t="n">
        <v>1.03</v>
      </c>
      <c r="Q276" s="318" t="n">
        <v>1.03</v>
      </c>
      <c r="R276" s="318" t="n">
        <v>1</v>
      </c>
      <c r="S276" s="318" t="n">
        <v>1</v>
      </c>
      <c r="T276" s="318" t="n">
        <v>1.02</v>
      </c>
      <c r="U276" s="318" t="n">
        <v>1</v>
      </c>
      <c r="V276" s="318" t="n">
        <v>1</v>
      </c>
      <c r="W276" s="318" t="n">
        <v>1</v>
      </c>
      <c r="X276" s="318" t="n">
        <v>1</v>
      </c>
      <c r="Y276" s="318" t="n">
        <v>1</v>
      </c>
      <c r="Z276" s="318" t="n">
        <v>1.02</v>
      </c>
      <c r="AA276" s="318" t="n">
        <v>1</v>
      </c>
      <c r="AB276" s="318" t="n">
        <v>1</v>
      </c>
      <c r="AC276" s="318" t="n">
        <v>1</v>
      </c>
      <c r="AD276" s="318" t="n">
        <v>1</v>
      </c>
      <c r="AE276" s="318" t="n">
        <v>0.98</v>
      </c>
      <c r="AF276" s="318" t="n">
        <v>0.98</v>
      </c>
      <c r="AG276" s="318" t="n">
        <v>0.98</v>
      </c>
      <c r="AH276" s="318" t="n">
        <v>1</v>
      </c>
      <c r="AI276" s="318" t="n">
        <v>1.05</v>
      </c>
      <c r="AJ276" s="318" t="n">
        <v>1</v>
      </c>
      <c r="AK276" s="318" t="n">
        <v>1</v>
      </c>
      <c r="AL276" s="318" t="n">
        <v>1.02</v>
      </c>
      <c r="AM276" s="318" t="n">
        <v>1</v>
      </c>
      <c r="AN276" s="318" t="n">
        <v>1</v>
      </c>
      <c r="AO276" s="318" t="n">
        <v>1</v>
      </c>
    </row>
    <row r="277" customFormat="false" ht="12.75" hidden="false" customHeight="false" outlineLevel="0" collapsed="false">
      <c r="B277" s="318" t="n">
        <v>1</v>
      </c>
      <c r="C277" s="318" t="n">
        <v>1</v>
      </c>
      <c r="D277" s="318" t="n">
        <v>1</v>
      </c>
      <c r="E277" s="318" t="n">
        <v>1</v>
      </c>
      <c r="F277" s="318" t="n">
        <v>1</v>
      </c>
      <c r="G277" s="318" t="n">
        <v>1</v>
      </c>
      <c r="H277" s="318" t="n">
        <v>1</v>
      </c>
      <c r="I277" s="318" t="n">
        <v>1</v>
      </c>
      <c r="J277" s="318" t="n">
        <v>1</v>
      </c>
      <c r="K277" s="318" t="n">
        <v>1</v>
      </c>
      <c r="L277" s="318" t="n">
        <v>1</v>
      </c>
      <c r="M277" s="318" t="n">
        <v>1</v>
      </c>
      <c r="N277" s="318" t="n">
        <v>1</v>
      </c>
      <c r="O277" s="318" t="n">
        <v>1</v>
      </c>
      <c r="P277" s="318" t="n">
        <v>1.03</v>
      </c>
      <c r="Q277" s="318" t="n">
        <v>1.03</v>
      </c>
      <c r="R277" s="318" t="n">
        <v>1</v>
      </c>
      <c r="S277" s="318" t="n">
        <v>1</v>
      </c>
      <c r="T277" s="318" t="n">
        <v>1.02</v>
      </c>
      <c r="U277" s="318" t="n">
        <v>1</v>
      </c>
      <c r="V277" s="318" t="n">
        <v>1</v>
      </c>
      <c r="W277" s="318" t="n">
        <v>1</v>
      </c>
      <c r="X277" s="318" t="n">
        <v>1</v>
      </c>
      <c r="Y277" s="318" t="n">
        <v>1</v>
      </c>
      <c r="Z277" s="318" t="n">
        <v>1.02</v>
      </c>
      <c r="AA277" s="318" t="n">
        <v>1</v>
      </c>
      <c r="AB277" s="318" t="n">
        <v>1</v>
      </c>
      <c r="AC277" s="318" t="n">
        <v>1</v>
      </c>
      <c r="AD277" s="318" t="n">
        <v>1</v>
      </c>
      <c r="AE277" s="318" t="n">
        <v>0.98</v>
      </c>
      <c r="AF277" s="318" t="n">
        <v>0.98</v>
      </c>
      <c r="AG277" s="318" t="n">
        <v>0.98</v>
      </c>
      <c r="AH277" s="318" t="n">
        <v>1</v>
      </c>
      <c r="AI277" s="318" t="n">
        <v>1.05</v>
      </c>
      <c r="AJ277" s="318" t="n">
        <v>1</v>
      </c>
      <c r="AK277" s="318" t="n">
        <v>1</v>
      </c>
      <c r="AL277" s="318" t="n">
        <v>1.02</v>
      </c>
      <c r="AM277" s="318" t="n">
        <v>1</v>
      </c>
      <c r="AN277" s="318" t="n">
        <v>1</v>
      </c>
      <c r="AO277" s="318" t="n">
        <v>1</v>
      </c>
    </row>
    <row r="278" customFormat="false" ht="12.75" hidden="false" customHeight="false" outlineLevel="0" collapsed="false">
      <c r="B278" s="318" t="n">
        <v>1</v>
      </c>
      <c r="C278" s="318" t="n">
        <v>1</v>
      </c>
      <c r="D278" s="318" t="n">
        <v>1</v>
      </c>
      <c r="E278" s="318" t="n">
        <v>1</v>
      </c>
      <c r="F278" s="318" t="n">
        <v>1</v>
      </c>
      <c r="G278" s="318" t="n">
        <v>1</v>
      </c>
      <c r="H278" s="318" t="n">
        <v>1</v>
      </c>
      <c r="I278" s="318" t="n">
        <v>1</v>
      </c>
      <c r="J278" s="318" t="n">
        <v>1</v>
      </c>
      <c r="K278" s="318" t="n">
        <v>1</v>
      </c>
      <c r="L278" s="318" t="n">
        <v>1</v>
      </c>
      <c r="M278" s="318" t="n">
        <v>1</v>
      </c>
      <c r="N278" s="318" t="n">
        <v>1</v>
      </c>
      <c r="O278" s="318" t="n">
        <v>1</v>
      </c>
      <c r="P278" s="318" t="n">
        <v>1.03</v>
      </c>
      <c r="Q278" s="318" t="n">
        <v>1.03</v>
      </c>
      <c r="R278" s="318" t="n">
        <v>1</v>
      </c>
      <c r="S278" s="318" t="n">
        <v>1</v>
      </c>
      <c r="T278" s="318" t="n">
        <v>1.02</v>
      </c>
      <c r="U278" s="318" t="n">
        <v>1</v>
      </c>
      <c r="V278" s="318" t="n">
        <v>1</v>
      </c>
      <c r="W278" s="318" t="n">
        <v>1</v>
      </c>
      <c r="X278" s="318" t="n">
        <v>1</v>
      </c>
      <c r="Y278" s="318" t="n">
        <v>1</v>
      </c>
      <c r="Z278" s="318" t="n">
        <v>1.02</v>
      </c>
      <c r="AA278" s="318" t="n">
        <v>1</v>
      </c>
      <c r="AB278" s="318" t="n">
        <v>1</v>
      </c>
      <c r="AC278" s="318" t="n">
        <v>1</v>
      </c>
      <c r="AD278" s="318" t="n">
        <v>1</v>
      </c>
      <c r="AE278" s="318" t="n">
        <v>0.98</v>
      </c>
      <c r="AF278" s="318" t="n">
        <v>0.98</v>
      </c>
      <c r="AG278" s="318" t="n">
        <v>0.98</v>
      </c>
      <c r="AH278" s="318" t="n">
        <v>1</v>
      </c>
      <c r="AI278" s="318" t="n">
        <v>1.05</v>
      </c>
      <c r="AJ278" s="318" t="n">
        <v>1</v>
      </c>
      <c r="AK278" s="318" t="n">
        <v>1</v>
      </c>
      <c r="AL278" s="318" t="n">
        <v>1.02</v>
      </c>
      <c r="AM278" s="318" t="n">
        <v>1</v>
      </c>
      <c r="AN278" s="318" t="n">
        <v>1</v>
      </c>
      <c r="AO278" s="318" t="n"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E10" activeCellId="0" sqref="E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0" width="14.85"/>
    <col collapsed="false" customWidth="true" hidden="false" outlineLevel="0" max="3" min="3" style="0" width="14.7"/>
    <col collapsed="false" customWidth="true" hidden="false" outlineLevel="0" max="4" min="4" style="0" width="15.99"/>
    <col collapsed="false" customWidth="true" hidden="false" outlineLevel="0" max="5" min="5" style="0" width="17.14"/>
    <col collapsed="false" customWidth="true" hidden="false" outlineLevel="0" max="6" min="6" style="0" width="13.56"/>
    <col collapsed="false" customWidth="true" hidden="false" outlineLevel="0" max="8" min="7" style="0" width="13.7"/>
    <col collapsed="false" customWidth="true" hidden="false" outlineLevel="0" max="9" min="9" style="0" width="15.41"/>
    <col collapsed="false" customWidth="true" hidden="false" outlineLevel="0" max="10" min="10" style="0" width="15.56"/>
    <col collapsed="false" customWidth="true" hidden="false" outlineLevel="0" max="11" min="11" style="0" width="16.7"/>
    <col collapsed="false" customWidth="true" hidden="false" outlineLevel="0" max="12" min="12" style="0" width="19.56"/>
    <col collapsed="false" customWidth="true" hidden="false" outlineLevel="0" max="13" min="13" style="0" width="18.99"/>
  </cols>
  <sheetData>
    <row r="1" customFormat="false" ht="12.75" hidden="false" customHeight="false" outlineLevel="0" collapsed="false">
      <c r="A1" s="307"/>
      <c r="B1" s="307"/>
      <c r="C1" s="307"/>
      <c r="D1" s="307"/>
      <c r="E1" s="307"/>
      <c r="F1" s="307"/>
      <c r="G1" s="307"/>
      <c r="H1" s="307"/>
    </row>
    <row r="4" customFormat="false" ht="12.75" hidden="false" customHeight="false" outlineLevel="0" collapsed="false">
      <c r="B4" s="9" t="s">
        <v>84</v>
      </c>
      <c r="C4" s="9" t="s">
        <v>16</v>
      </c>
      <c r="D4" s="9" t="s">
        <v>26</v>
      </c>
      <c r="E4" s="9" t="s">
        <v>116</v>
      </c>
      <c r="F4" s="9" t="s">
        <v>41</v>
      </c>
      <c r="G4" s="9" t="s">
        <v>81</v>
      </c>
      <c r="H4" s="9" t="s">
        <v>21</v>
      </c>
      <c r="I4" s="9" t="s">
        <v>28</v>
      </c>
      <c r="J4" s="9"/>
      <c r="K4" s="9"/>
      <c r="L4" s="9" t="s">
        <v>30</v>
      </c>
      <c r="M4" s="9"/>
      <c r="N4" s="9" t="s">
        <v>35</v>
      </c>
      <c r="O4" s="9" t="s">
        <v>33</v>
      </c>
      <c r="P4" s="0" t="s">
        <v>193</v>
      </c>
      <c r="Q4" s="9" t="s">
        <v>39</v>
      </c>
    </row>
    <row r="5" customFormat="false" ht="12.75" hidden="false" customHeight="false" outlineLevel="0" collapsed="false">
      <c r="B5" s="0" t="n">
        <v>2</v>
      </c>
      <c r="C5" s="0" t="n">
        <f aca="false">B5+1</f>
        <v>3</v>
      </c>
      <c r="D5" s="0" t="n">
        <f aca="false">C5+1</f>
        <v>4</v>
      </c>
      <c r="E5" s="0" t="n">
        <f aca="false">D5+1</f>
        <v>5</v>
      </c>
      <c r="F5" s="0" t="n">
        <f aca="false">E5+1</f>
        <v>6</v>
      </c>
      <c r="G5" s="0" t="n">
        <f aca="false">F5+1</f>
        <v>7</v>
      </c>
      <c r="H5" s="0" t="n">
        <f aca="false">G5+1</f>
        <v>8</v>
      </c>
      <c r="I5" s="0" t="n">
        <f aca="false">H5+1</f>
        <v>9</v>
      </c>
      <c r="J5" s="0" t="n">
        <f aca="false">I5+1</f>
        <v>10</v>
      </c>
      <c r="K5" s="0" t="n">
        <f aca="false">J5+1</f>
        <v>11</v>
      </c>
      <c r="L5" s="0" t="n">
        <f aca="false">K5+1</f>
        <v>12</v>
      </c>
      <c r="M5" s="0" t="n">
        <f aca="false">L5+1</f>
        <v>13</v>
      </c>
      <c r="N5" s="0" t="n">
        <f aca="false">M5+1</f>
        <v>14</v>
      </c>
      <c r="O5" s="0" t="n">
        <v>15</v>
      </c>
      <c r="P5" s="0" t="n">
        <v>16</v>
      </c>
    </row>
    <row r="6" customFormat="false" ht="13.5" hidden="false" customHeight="false" outlineLevel="0" collapsed="false">
      <c r="B6" s="0" t="s">
        <v>275</v>
      </c>
      <c r="C6" s="0" t="s">
        <v>276</v>
      </c>
      <c r="D6" s="0" t="s">
        <v>277</v>
      </c>
      <c r="E6" s="0" t="s">
        <v>278</v>
      </c>
      <c r="F6" s="0" t="s">
        <v>279</v>
      </c>
      <c r="G6" s="0" t="s">
        <v>280</v>
      </c>
      <c r="H6" s="0" t="s">
        <v>281</v>
      </c>
      <c r="I6" s="0" t="s">
        <v>282</v>
      </c>
      <c r="J6" s="0" t="s">
        <v>283</v>
      </c>
      <c r="K6" s="0" t="s">
        <v>284</v>
      </c>
      <c r="L6" s="0" t="s">
        <v>285</v>
      </c>
      <c r="M6" s="0" t="s">
        <v>286</v>
      </c>
      <c r="N6" s="0" t="s">
        <v>287</v>
      </c>
    </row>
    <row r="7" customFormat="false" ht="12.75" hidden="false" customHeight="false" outlineLevel="0" collapsed="false">
      <c r="A7" s="319"/>
      <c r="B7" s="320"/>
      <c r="C7" s="321"/>
      <c r="D7" s="321"/>
      <c r="E7" s="321"/>
      <c r="F7" s="321"/>
      <c r="G7" s="321"/>
      <c r="H7" s="321"/>
      <c r="I7" s="321"/>
      <c r="J7" s="321"/>
      <c r="K7" s="321"/>
      <c r="L7" s="321"/>
      <c r="M7" s="321"/>
    </row>
    <row r="8" customFormat="false" ht="12.75" hidden="false" customHeight="false" outlineLevel="0" collapsed="false">
      <c r="A8" s="322"/>
      <c r="B8" s="323"/>
      <c r="C8" s="323"/>
      <c r="D8" s="323"/>
      <c r="E8" s="323"/>
      <c r="F8" s="323"/>
      <c r="G8" s="323"/>
      <c r="H8" s="323"/>
      <c r="I8" s="323"/>
      <c r="J8" s="323"/>
      <c r="K8" s="323"/>
      <c r="L8" s="323"/>
      <c r="M8" s="323"/>
    </row>
    <row r="9" customFormat="false" ht="12.75" hidden="false" customHeight="false" outlineLevel="0" collapsed="false">
      <c r="A9" s="324" t="n">
        <v>37226</v>
      </c>
      <c r="B9" s="292" t="n">
        <v>0.94</v>
      </c>
      <c r="C9" s="292" t="n">
        <v>0.965</v>
      </c>
      <c r="D9" s="292" t="n">
        <v>0.94</v>
      </c>
      <c r="E9" s="292" t="n">
        <v>0.94</v>
      </c>
      <c r="F9" s="292" t="n">
        <v>1.09</v>
      </c>
      <c r="G9" s="292" t="n">
        <v>1.19</v>
      </c>
      <c r="H9" s="292" t="n">
        <v>0.99</v>
      </c>
      <c r="I9" s="292" t="n">
        <v>0.94</v>
      </c>
      <c r="J9" s="292" t="n">
        <v>1.29</v>
      </c>
      <c r="K9" s="292" t="n">
        <v>0.94</v>
      </c>
      <c r="L9" s="292" t="n">
        <v>1.04</v>
      </c>
      <c r="M9" s="292" t="n">
        <v>0.94</v>
      </c>
      <c r="N9" s="292" t="n">
        <v>1.865</v>
      </c>
      <c r="O9" s="0" t="n">
        <v>1.09</v>
      </c>
      <c r="P9" s="0" t="n">
        <v>1.32</v>
      </c>
      <c r="Q9" s="0" t="n">
        <v>1.94</v>
      </c>
      <c r="R9" s="0" t="n">
        <v>0.94</v>
      </c>
      <c r="S9" s="0" t="n">
        <v>1.94</v>
      </c>
      <c r="T9" s="0" t="n">
        <v>1.94</v>
      </c>
    </row>
    <row r="10" customFormat="false" ht="12.75" hidden="false" customHeight="false" outlineLevel="0" collapsed="false">
      <c r="A10" s="324" t="n">
        <v>37257</v>
      </c>
      <c r="B10" s="292" t="n">
        <v>0.99</v>
      </c>
      <c r="C10" s="292" t="n">
        <v>1.015</v>
      </c>
      <c r="D10" s="292" t="n">
        <v>0.99</v>
      </c>
      <c r="E10" s="292" t="n">
        <v>0.99</v>
      </c>
      <c r="F10" s="292" t="n">
        <v>1.14</v>
      </c>
      <c r="G10" s="292" t="n">
        <v>1.44</v>
      </c>
      <c r="H10" s="292" t="n">
        <v>1.04</v>
      </c>
      <c r="I10" s="292" t="n">
        <v>0.99</v>
      </c>
      <c r="J10" s="292" t="n">
        <v>1.34</v>
      </c>
      <c r="K10" s="292" t="n">
        <v>0.99</v>
      </c>
      <c r="L10" s="292" t="n">
        <v>1.09</v>
      </c>
      <c r="M10" s="292" t="n">
        <v>0.99</v>
      </c>
      <c r="N10" s="292" t="n">
        <v>2.865</v>
      </c>
      <c r="O10" s="0" t="n">
        <v>1.14</v>
      </c>
      <c r="P10" s="0" t="n">
        <v>1.12</v>
      </c>
      <c r="Q10" s="0" t="n">
        <v>1.99</v>
      </c>
      <c r="R10" s="0" t="n">
        <v>0.99</v>
      </c>
      <c r="S10" s="0" t="n">
        <v>1.99</v>
      </c>
      <c r="T10" s="0" t="n">
        <v>1.99</v>
      </c>
    </row>
    <row r="11" customFormat="false" ht="12.75" hidden="false" customHeight="false" outlineLevel="0" collapsed="false">
      <c r="A11" s="324" t="n">
        <v>37288</v>
      </c>
      <c r="B11" s="292" t="n">
        <v>0.99</v>
      </c>
      <c r="C11" s="292" t="n">
        <v>1.015</v>
      </c>
      <c r="D11" s="292" t="n">
        <v>0.99</v>
      </c>
      <c r="E11" s="292" t="n">
        <v>0.99</v>
      </c>
      <c r="F11" s="292" t="n">
        <v>1.14</v>
      </c>
      <c r="G11" s="292" t="n">
        <v>1.44</v>
      </c>
      <c r="H11" s="292" t="n">
        <v>1.04</v>
      </c>
      <c r="I11" s="292" t="n">
        <v>0.99</v>
      </c>
      <c r="J11" s="292" t="n">
        <v>1.34</v>
      </c>
      <c r="K11" s="292" t="n">
        <v>0.99</v>
      </c>
      <c r="L11" s="292" t="n">
        <v>1.09</v>
      </c>
      <c r="M11" s="292" t="n">
        <v>0.99</v>
      </c>
      <c r="N11" s="292" t="n">
        <v>2.865</v>
      </c>
      <c r="O11" s="0" t="n">
        <v>1.14</v>
      </c>
      <c r="P11" s="0" t="n">
        <v>1.12</v>
      </c>
      <c r="Q11" s="0" t="n">
        <v>1.99</v>
      </c>
      <c r="R11" s="0" t="n">
        <v>0.99</v>
      </c>
      <c r="S11" s="0" t="n">
        <v>1.99</v>
      </c>
      <c r="T11" s="0" t="n">
        <v>1.99</v>
      </c>
    </row>
    <row r="12" customFormat="false" ht="12.75" hidden="false" customHeight="false" outlineLevel="0" collapsed="false">
      <c r="A12" s="324" t="n">
        <v>37316</v>
      </c>
      <c r="B12" s="292" t="n">
        <v>0.74</v>
      </c>
      <c r="C12" s="292" t="n">
        <v>0.765</v>
      </c>
      <c r="D12" s="292" t="n">
        <v>0.74</v>
      </c>
      <c r="E12" s="292" t="n">
        <v>0.74</v>
      </c>
      <c r="F12" s="292" t="n">
        <v>0.84</v>
      </c>
      <c r="G12" s="292" t="n">
        <v>0.99</v>
      </c>
      <c r="H12" s="292" t="n">
        <v>0.74</v>
      </c>
      <c r="I12" s="292" t="n">
        <v>0.74</v>
      </c>
      <c r="J12" s="292" t="n">
        <v>0.94</v>
      </c>
      <c r="K12" s="292" t="n">
        <v>0.74</v>
      </c>
      <c r="L12" s="292" t="n">
        <v>0.74</v>
      </c>
      <c r="M12" s="292" t="n">
        <v>0.74</v>
      </c>
      <c r="N12" s="292" t="n">
        <v>1.465</v>
      </c>
      <c r="O12" s="0" t="n">
        <v>0.89</v>
      </c>
      <c r="P12" s="0" t="n">
        <v>0.87</v>
      </c>
      <c r="Q12" s="0" t="n">
        <v>1.74</v>
      </c>
      <c r="R12" s="0" t="n">
        <v>0.74</v>
      </c>
      <c r="S12" s="0" t="n">
        <v>1.74</v>
      </c>
      <c r="T12" s="0" t="n">
        <v>1.74</v>
      </c>
    </row>
    <row r="13" customFormat="false" ht="12.75" hidden="false" customHeight="false" outlineLevel="0" collapsed="false">
      <c r="A13" s="324" t="n">
        <v>37347</v>
      </c>
      <c r="B13" s="292" t="n">
        <v>0.53</v>
      </c>
      <c r="C13" s="292" t="n">
        <v>0.58</v>
      </c>
      <c r="D13" s="292" t="n">
        <v>0.53</v>
      </c>
      <c r="E13" s="292" t="n">
        <v>0.58</v>
      </c>
      <c r="F13" s="292" t="n">
        <v>0.58</v>
      </c>
      <c r="G13" s="292" t="n">
        <v>0.58</v>
      </c>
      <c r="H13" s="292" t="n">
        <v>0.58</v>
      </c>
      <c r="I13" s="292" t="n">
        <v>0.58</v>
      </c>
      <c r="J13" s="292" t="n">
        <v>0.63</v>
      </c>
      <c r="K13" s="292" t="n">
        <v>0.53</v>
      </c>
      <c r="L13" s="292" t="n">
        <v>0.58</v>
      </c>
      <c r="M13" s="292" t="n">
        <v>0.53</v>
      </c>
      <c r="N13" s="292" t="n">
        <v>0.58</v>
      </c>
      <c r="O13" s="0" t="n">
        <v>0.68</v>
      </c>
      <c r="P13" s="0" t="n">
        <v>0.73</v>
      </c>
      <c r="Q13" s="0" t="n">
        <v>0.53</v>
      </c>
      <c r="R13" s="0" t="n">
        <v>0.53</v>
      </c>
      <c r="S13" s="0" t="n">
        <v>0.58</v>
      </c>
      <c r="T13" s="0" t="n">
        <v>0.53</v>
      </c>
    </row>
    <row r="14" customFormat="false" ht="12.75" hidden="false" customHeight="false" outlineLevel="0" collapsed="false">
      <c r="A14" s="324" t="n">
        <v>37377</v>
      </c>
      <c r="B14" s="292" t="n">
        <v>0.58</v>
      </c>
      <c r="C14" s="292" t="n">
        <v>0.63</v>
      </c>
      <c r="D14" s="292" t="n">
        <v>0.53</v>
      </c>
      <c r="E14" s="292" t="n">
        <v>0.53</v>
      </c>
      <c r="F14" s="292" t="n">
        <v>0.58</v>
      </c>
      <c r="G14" s="292" t="n">
        <v>0.63</v>
      </c>
      <c r="H14" s="292" t="n">
        <v>0.58</v>
      </c>
      <c r="I14" s="292" t="n">
        <v>0.53</v>
      </c>
      <c r="J14" s="292" t="n">
        <v>0.58</v>
      </c>
      <c r="K14" s="292" t="n">
        <v>0.58</v>
      </c>
      <c r="L14" s="292" t="n">
        <v>0.63</v>
      </c>
      <c r="M14" s="292" t="n">
        <v>0.58</v>
      </c>
      <c r="N14" s="292" t="n">
        <v>0.63</v>
      </c>
      <c r="O14" s="0" t="n">
        <v>0.73</v>
      </c>
      <c r="P14" s="0" t="n">
        <v>0.68</v>
      </c>
      <c r="Q14" s="0" t="n">
        <v>0.58</v>
      </c>
      <c r="R14" s="0" t="n">
        <v>0.53</v>
      </c>
      <c r="S14" s="0" t="n">
        <v>0.53</v>
      </c>
      <c r="T14" s="0" t="n">
        <v>0.58</v>
      </c>
    </row>
    <row r="15" customFormat="false" ht="12.75" hidden="false" customHeight="false" outlineLevel="0" collapsed="false">
      <c r="A15" s="324" t="n">
        <v>37408</v>
      </c>
      <c r="B15" s="292" t="n">
        <v>0.58</v>
      </c>
      <c r="C15" s="292" t="n">
        <v>0.63</v>
      </c>
      <c r="D15" s="292" t="n">
        <v>0.53</v>
      </c>
      <c r="E15" s="292" t="n">
        <v>0.63</v>
      </c>
      <c r="F15" s="292" t="n">
        <v>0.58</v>
      </c>
      <c r="G15" s="292" t="n">
        <v>0.63</v>
      </c>
      <c r="H15" s="292" t="n">
        <v>0.63</v>
      </c>
      <c r="I15" s="292" t="n">
        <v>0.63</v>
      </c>
      <c r="J15" s="292" t="n">
        <v>0.63</v>
      </c>
      <c r="K15" s="292" t="n">
        <v>0.58</v>
      </c>
      <c r="L15" s="292" t="n">
        <v>0.63</v>
      </c>
      <c r="M15" s="292" t="n">
        <v>0.58</v>
      </c>
      <c r="N15" s="292" t="n">
        <v>0.63</v>
      </c>
      <c r="O15" s="0" t="n">
        <v>0.73</v>
      </c>
      <c r="P15" s="0" t="n">
        <v>0.78</v>
      </c>
      <c r="Q15" s="0" t="n">
        <v>0.58</v>
      </c>
      <c r="R15" s="0" t="n">
        <v>0.53</v>
      </c>
      <c r="S15" s="0" t="n">
        <v>0.63</v>
      </c>
      <c r="T15" s="0" t="n">
        <v>0.58</v>
      </c>
    </row>
    <row r="16" customFormat="false" ht="12.75" hidden="false" customHeight="false" outlineLevel="0" collapsed="false">
      <c r="A16" s="324" t="n">
        <v>37438</v>
      </c>
      <c r="B16" s="292" t="n">
        <v>0.63</v>
      </c>
      <c r="C16" s="292" t="n">
        <v>0.63</v>
      </c>
      <c r="D16" s="292" t="n">
        <v>0.53</v>
      </c>
      <c r="E16" s="292" t="n">
        <v>0.63</v>
      </c>
      <c r="F16" s="292" t="n">
        <v>0.63</v>
      </c>
      <c r="G16" s="292" t="n">
        <v>0.63</v>
      </c>
      <c r="H16" s="292" t="n">
        <v>0.63</v>
      </c>
      <c r="I16" s="292" t="n">
        <v>0.63</v>
      </c>
      <c r="J16" s="292" t="n">
        <v>0.63</v>
      </c>
      <c r="K16" s="292" t="n">
        <v>0.63</v>
      </c>
      <c r="L16" s="292" t="n">
        <v>0.68</v>
      </c>
      <c r="M16" s="292" t="n">
        <v>0.63</v>
      </c>
      <c r="N16" s="292" t="n">
        <v>0.63</v>
      </c>
      <c r="O16" s="0" t="n">
        <v>0.78</v>
      </c>
      <c r="P16" s="0" t="n">
        <v>0.78</v>
      </c>
      <c r="Q16" s="0" t="n">
        <v>0.63</v>
      </c>
      <c r="R16" s="0" t="n">
        <v>0.53</v>
      </c>
      <c r="S16" s="0" t="n">
        <v>0.63</v>
      </c>
      <c r="T16" s="0" t="n">
        <v>0.63</v>
      </c>
    </row>
    <row r="17" customFormat="false" ht="12.75" hidden="false" customHeight="false" outlineLevel="0" collapsed="false">
      <c r="A17" s="324" t="n">
        <v>37469</v>
      </c>
      <c r="B17" s="292" t="n">
        <v>0.68</v>
      </c>
      <c r="C17" s="292" t="n">
        <v>0.68</v>
      </c>
      <c r="D17" s="292" t="n">
        <v>0.63</v>
      </c>
      <c r="E17" s="292" t="n">
        <v>0.73</v>
      </c>
      <c r="F17" s="292" t="n">
        <v>0.68</v>
      </c>
      <c r="G17" s="292" t="n">
        <v>0.73</v>
      </c>
      <c r="H17" s="292" t="n">
        <v>0.68</v>
      </c>
      <c r="I17" s="292" t="n">
        <v>0.73</v>
      </c>
      <c r="J17" s="292" t="n">
        <v>0.58</v>
      </c>
      <c r="K17" s="292" t="n">
        <v>0.68</v>
      </c>
      <c r="L17" s="292" t="n">
        <v>0.73</v>
      </c>
      <c r="M17" s="292" t="n">
        <v>0.68</v>
      </c>
      <c r="N17" s="292" t="n">
        <v>0.73</v>
      </c>
      <c r="O17" s="0" t="n">
        <v>0.83</v>
      </c>
      <c r="P17" s="0" t="n">
        <v>0.88</v>
      </c>
      <c r="Q17" s="0" t="n">
        <v>0.68</v>
      </c>
      <c r="R17" s="0" t="n">
        <v>0.63</v>
      </c>
      <c r="S17" s="0" t="n">
        <v>0.73</v>
      </c>
      <c r="T17" s="0" t="n">
        <v>0.68</v>
      </c>
    </row>
    <row r="18" customFormat="false" ht="12.75" hidden="false" customHeight="false" outlineLevel="0" collapsed="false">
      <c r="A18" s="324" t="n">
        <v>37500</v>
      </c>
      <c r="B18" s="292" t="n">
        <v>0.68</v>
      </c>
      <c r="C18" s="292" t="n">
        <v>0.68</v>
      </c>
      <c r="D18" s="292" t="n">
        <v>0.68</v>
      </c>
      <c r="E18" s="292" t="n">
        <v>0.68</v>
      </c>
      <c r="F18" s="292" t="n">
        <v>0.68</v>
      </c>
      <c r="G18" s="292" t="n">
        <v>0.73</v>
      </c>
      <c r="H18" s="292" t="n">
        <v>0.73</v>
      </c>
      <c r="I18" s="292" t="n">
        <v>0.68</v>
      </c>
      <c r="J18" s="292" t="n">
        <v>0.63</v>
      </c>
      <c r="K18" s="292" t="n">
        <v>0.68</v>
      </c>
      <c r="L18" s="292" t="n">
        <v>0.73</v>
      </c>
      <c r="M18" s="292" t="n">
        <v>0.68</v>
      </c>
      <c r="N18" s="292" t="n">
        <v>0.73</v>
      </c>
      <c r="O18" s="0" t="n">
        <v>0.83</v>
      </c>
      <c r="P18" s="0" t="n">
        <v>0.83</v>
      </c>
      <c r="Q18" s="0" t="n">
        <v>0.68</v>
      </c>
      <c r="R18" s="0" t="n">
        <v>0.68</v>
      </c>
      <c r="S18" s="0" t="n">
        <v>0.68</v>
      </c>
      <c r="T18" s="0" t="n">
        <v>0.68</v>
      </c>
    </row>
    <row r="19" customFormat="false" ht="12.75" hidden="false" customHeight="false" outlineLevel="0" collapsed="false">
      <c r="A19" s="324" t="n">
        <v>37530</v>
      </c>
      <c r="B19" s="292" t="n">
        <v>0.73</v>
      </c>
      <c r="C19" s="292" t="n">
        <v>0.73</v>
      </c>
      <c r="D19" s="292" t="n">
        <v>0.68</v>
      </c>
      <c r="E19" s="292" t="n">
        <v>0.73</v>
      </c>
      <c r="F19" s="292" t="n">
        <v>0.73</v>
      </c>
      <c r="G19" s="292" t="n">
        <v>0.78</v>
      </c>
      <c r="H19" s="292" t="n">
        <v>0.78</v>
      </c>
      <c r="I19" s="292" t="n">
        <v>0.73</v>
      </c>
      <c r="J19" s="292" t="n">
        <v>0.63</v>
      </c>
      <c r="K19" s="292" t="n">
        <v>0.73</v>
      </c>
      <c r="L19" s="292" t="n">
        <v>0.78</v>
      </c>
      <c r="M19" s="292" t="n">
        <v>0.73</v>
      </c>
      <c r="N19" s="292" t="n">
        <v>0.78</v>
      </c>
      <c r="O19" s="0" t="n">
        <v>0.88</v>
      </c>
      <c r="P19" s="0" t="n">
        <v>0.88</v>
      </c>
      <c r="Q19" s="0" t="n">
        <v>0.73</v>
      </c>
      <c r="R19" s="0" t="n">
        <v>0.68</v>
      </c>
      <c r="S19" s="0" t="n">
        <v>0.73</v>
      </c>
      <c r="T19" s="0" t="n">
        <v>0.73</v>
      </c>
    </row>
    <row r="20" customFormat="false" ht="12.75" hidden="false" customHeight="false" outlineLevel="0" collapsed="false">
      <c r="A20" s="324" t="n">
        <v>37561</v>
      </c>
      <c r="B20" s="292" t="n">
        <v>0.85</v>
      </c>
      <c r="C20" s="292" t="n">
        <v>0.9</v>
      </c>
      <c r="D20" s="292" t="n">
        <v>0.85</v>
      </c>
      <c r="E20" s="292" t="n">
        <v>0.85</v>
      </c>
      <c r="F20" s="292" t="n">
        <v>0.95</v>
      </c>
      <c r="G20" s="292" t="n">
        <v>1</v>
      </c>
      <c r="H20" s="292" t="n">
        <v>0.9</v>
      </c>
      <c r="I20" s="292" t="n">
        <v>0.85</v>
      </c>
      <c r="J20" s="292" t="n">
        <v>1</v>
      </c>
      <c r="K20" s="292" t="n">
        <v>0.85</v>
      </c>
      <c r="L20" s="292" t="n">
        <v>0.85</v>
      </c>
      <c r="M20" s="292" t="n">
        <v>0.85</v>
      </c>
      <c r="N20" s="292" t="n">
        <v>1.8</v>
      </c>
      <c r="O20" s="0" t="n">
        <v>1</v>
      </c>
      <c r="P20" s="0" t="n">
        <v>0.95</v>
      </c>
      <c r="Q20" s="0" t="n">
        <v>0.85</v>
      </c>
      <c r="R20" s="0" t="n">
        <v>0.85</v>
      </c>
      <c r="S20" s="0" t="n">
        <v>0.85</v>
      </c>
      <c r="T20" s="0" t="n">
        <v>0.85</v>
      </c>
    </row>
    <row r="21" customFormat="false" ht="12.75" hidden="false" customHeight="false" outlineLevel="0" collapsed="false">
      <c r="A21" s="324" t="n">
        <v>37591</v>
      </c>
      <c r="B21" s="292" t="n">
        <v>1.05</v>
      </c>
      <c r="C21" s="292" t="n">
        <v>1.1</v>
      </c>
      <c r="D21" s="292" t="n">
        <v>1.05</v>
      </c>
      <c r="E21" s="292" t="n">
        <v>1.05</v>
      </c>
      <c r="F21" s="292" t="n">
        <v>1.2</v>
      </c>
      <c r="G21" s="292" t="n">
        <v>1.3</v>
      </c>
      <c r="H21" s="292" t="n">
        <v>1.1</v>
      </c>
      <c r="I21" s="292" t="n">
        <v>1.05</v>
      </c>
      <c r="J21" s="292" t="n">
        <v>1.4</v>
      </c>
      <c r="K21" s="292" t="n">
        <v>1.05</v>
      </c>
      <c r="L21" s="292" t="n">
        <v>1.15</v>
      </c>
      <c r="M21" s="292" t="n">
        <v>1.05</v>
      </c>
      <c r="N21" s="292" t="n">
        <v>2.1</v>
      </c>
      <c r="O21" s="0" t="n">
        <v>1.2</v>
      </c>
      <c r="P21" s="0" t="n">
        <v>1.15</v>
      </c>
      <c r="Q21" s="0" t="n">
        <v>1.05</v>
      </c>
      <c r="R21" s="0" t="n">
        <v>1.05</v>
      </c>
      <c r="S21" s="0" t="n">
        <v>1.05</v>
      </c>
      <c r="T21" s="0" t="n">
        <v>1.05</v>
      </c>
    </row>
    <row r="22" customFormat="false" ht="12.75" hidden="false" customHeight="false" outlineLevel="0" collapsed="false">
      <c r="A22" s="324" t="n">
        <v>37622</v>
      </c>
      <c r="B22" s="292" t="n">
        <v>1.08</v>
      </c>
      <c r="C22" s="292" t="n">
        <v>1.13</v>
      </c>
      <c r="D22" s="292" t="n">
        <v>1.08</v>
      </c>
      <c r="E22" s="292" t="n">
        <v>1.08</v>
      </c>
      <c r="F22" s="292" t="n">
        <v>1.23</v>
      </c>
      <c r="G22" s="292" t="n">
        <v>1.53</v>
      </c>
      <c r="H22" s="292" t="n">
        <v>1.13</v>
      </c>
      <c r="I22" s="292" t="n">
        <v>1.08</v>
      </c>
      <c r="J22" s="292" t="n">
        <v>1.43</v>
      </c>
      <c r="K22" s="292" t="n">
        <v>1.08</v>
      </c>
      <c r="L22" s="292" t="n">
        <v>1.18</v>
      </c>
      <c r="M22" s="292" t="n">
        <v>1.08</v>
      </c>
      <c r="N22" s="292" t="n">
        <v>2.33</v>
      </c>
      <c r="O22" s="0" t="n">
        <v>1.23</v>
      </c>
      <c r="P22" s="0" t="n">
        <v>1.18</v>
      </c>
      <c r="Q22" s="0" t="n">
        <v>1.08</v>
      </c>
      <c r="R22" s="0" t="n">
        <v>1.08</v>
      </c>
      <c r="S22" s="0" t="n">
        <v>1.08</v>
      </c>
      <c r="T22" s="0" t="n">
        <v>1.08</v>
      </c>
    </row>
    <row r="23" customFormat="false" ht="12.75" hidden="false" customHeight="false" outlineLevel="0" collapsed="false">
      <c r="A23" s="324" t="n">
        <v>37653</v>
      </c>
      <c r="B23" s="292" t="n">
        <v>1.08</v>
      </c>
      <c r="C23" s="292" t="n">
        <v>1.13</v>
      </c>
      <c r="D23" s="292" t="n">
        <v>1.08</v>
      </c>
      <c r="E23" s="292" t="n">
        <v>1.08</v>
      </c>
      <c r="F23" s="292" t="n">
        <v>1.23</v>
      </c>
      <c r="G23" s="292" t="n">
        <v>1.53</v>
      </c>
      <c r="H23" s="292" t="n">
        <v>1.13</v>
      </c>
      <c r="I23" s="292" t="n">
        <v>1.08</v>
      </c>
      <c r="J23" s="292" t="n">
        <v>1.43</v>
      </c>
      <c r="K23" s="292" t="n">
        <v>1.08</v>
      </c>
      <c r="L23" s="292" t="n">
        <v>1.18</v>
      </c>
      <c r="M23" s="292" t="n">
        <v>1.08</v>
      </c>
      <c r="N23" s="292" t="n">
        <v>2.33</v>
      </c>
      <c r="O23" s="0" t="n">
        <v>1.23</v>
      </c>
      <c r="P23" s="0" t="n">
        <v>1.18</v>
      </c>
      <c r="Q23" s="0" t="n">
        <v>1.08</v>
      </c>
      <c r="R23" s="0" t="n">
        <v>1.08</v>
      </c>
      <c r="S23" s="0" t="n">
        <v>1.08</v>
      </c>
      <c r="T23" s="0" t="n">
        <v>1.08</v>
      </c>
    </row>
    <row r="24" customFormat="false" ht="12.75" hidden="false" customHeight="false" outlineLevel="0" collapsed="false">
      <c r="A24" s="317" t="n">
        <v>37681</v>
      </c>
      <c r="B24" s="292" t="n">
        <v>0.83</v>
      </c>
      <c r="C24" s="141" t="n">
        <v>0.88</v>
      </c>
      <c r="D24" s="0" t="n">
        <v>0.83</v>
      </c>
      <c r="E24" s="141" t="n">
        <v>0.83</v>
      </c>
      <c r="F24" s="141" t="n">
        <v>0.93</v>
      </c>
      <c r="G24" s="141" t="n">
        <v>1.08</v>
      </c>
      <c r="H24" s="141" t="n">
        <v>0.83</v>
      </c>
      <c r="I24" s="141" t="n">
        <v>0.83</v>
      </c>
      <c r="J24" s="141" t="n">
        <v>1.03</v>
      </c>
      <c r="K24" s="141" t="n">
        <v>0.83</v>
      </c>
      <c r="L24" s="141" t="n">
        <v>0.83</v>
      </c>
      <c r="M24" s="141" t="n">
        <v>0.83</v>
      </c>
      <c r="N24" s="141" t="n">
        <v>1.88</v>
      </c>
      <c r="O24" s="0" t="n">
        <v>0.98</v>
      </c>
      <c r="P24" s="0" t="n">
        <v>0.93</v>
      </c>
      <c r="Q24" s="0" t="n">
        <v>0.83</v>
      </c>
      <c r="R24" s="0" t="n">
        <v>0.83</v>
      </c>
      <c r="S24" s="0" t="n">
        <v>0.83</v>
      </c>
      <c r="T24" s="0" t="n">
        <v>0.83</v>
      </c>
    </row>
    <row r="25" customFormat="false" ht="12.75" hidden="false" customHeight="false" outlineLevel="0" collapsed="false">
      <c r="A25" s="317" t="n">
        <v>37712</v>
      </c>
      <c r="B25" s="292" t="n">
        <v>0.43</v>
      </c>
      <c r="C25" s="141" t="n">
        <v>0.48</v>
      </c>
      <c r="D25" s="0" t="n">
        <v>0.43</v>
      </c>
      <c r="E25" s="141" t="n">
        <v>0.48</v>
      </c>
      <c r="F25" s="141" t="n">
        <v>0.48</v>
      </c>
      <c r="G25" s="141" t="n">
        <v>0.48</v>
      </c>
      <c r="H25" s="141" t="n">
        <v>0.48</v>
      </c>
      <c r="I25" s="141" t="n">
        <v>0.48</v>
      </c>
      <c r="J25" s="141" t="n">
        <v>0.53</v>
      </c>
      <c r="K25" s="141" t="n">
        <v>0.43</v>
      </c>
      <c r="L25" s="141" t="n">
        <v>0.48</v>
      </c>
      <c r="M25" s="141" t="n">
        <v>0.43</v>
      </c>
      <c r="N25" s="141" t="n">
        <v>0.48</v>
      </c>
      <c r="O25" s="0" t="n">
        <v>0.58</v>
      </c>
      <c r="P25" s="0" t="n">
        <v>0.58</v>
      </c>
      <c r="Q25" s="0" t="n">
        <v>0.43</v>
      </c>
      <c r="R25" s="0" t="n">
        <v>0.43</v>
      </c>
      <c r="S25" s="0" t="n">
        <v>0.48</v>
      </c>
      <c r="T25" s="0" t="n">
        <v>0.43</v>
      </c>
    </row>
    <row r="26" customFormat="false" ht="12.75" hidden="false" customHeight="false" outlineLevel="0" collapsed="false">
      <c r="A26" s="317" t="n">
        <v>37742</v>
      </c>
      <c r="B26" s="292" t="n">
        <v>0.48</v>
      </c>
      <c r="C26" s="141" t="n">
        <v>0.53</v>
      </c>
      <c r="D26" s="0" t="n">
        <v>0.43</v>
      </c>
      <c r="E26" s="141" t="n">
        <v>0.43</v>
      </c>
      <c r="F26" s="141" t="n">
        <v>0.48</v>
      </c>
      <c r="G26" s="141" t="n">
        <v>0.53</v>
      </c>
      <c r="H26" s="141" t="n">
        <v>0.48</v>
      </c>
      <c r="I26" s="141" t="n">
        <v>0.43</v>
      </c>
      <c r="J26" s="141" t="n">
        <v>0.48</v>
      </c>
      <c r="K26" s="141" t="n">
        <v>0.48</v>
      </c>
      <c r="L26" s="141" t="n">
        <v>0.53</v>
      </c>
      <c r="M26" s="141" t="n">
        <v>0.48</v>
      </c>
      <c r="N26" s="141" t="n">
        <v>0.53</v>
      </c>
      <c r="O26" s="0" t="n">
        <v>0.63</v>
      </c>
      <c r="P26" s="0" t="n">
        <v>0.53</v>
      </c>
      <c r="Q26" s="0" t="n">
        <v>0.48</v>
      </c>
      <c r="R26" s="0" t="n">
        <v>0.43</v>
      </c>
      <c r="S26" s="0" t="n">
        <v>0.43</v>
      </c>
      <c r="T26" s="0" t="n">
        <v>0.48</v>
      </c>
    </row>
    <row r="27" customFormat="false" ht="12.75" hidden="false" customHeight="false" outlineLevel="0" collapsed="false">
      <c r="A27" s="317" t="n">
        <v>37773</v>
      </c>
      <c r="B27" s="292" t="n">
        <v>0.48</v>
      </c>
      <c r="C27" s="141" t="n">
        <v>0.53</v>
      </c>
      <c r="D27" s="0" t="n">
        <v>0.43</v>
      </c>
      <c r="E27" s="141" t="n">
        <v>0.53</v>
      </c>
      <c r="F27" s="141" t="n">
        <v>0.48</v>
      </c>
      <c r="G27" s="141" t="n">
        <v>0.53</v>
      </c>
      <c r="H27" s="141" t="n">
        <v>0.53</v>
      </c>
      <c r="I27" s="141" t="n">
        <v>0.53</v>
      </c>
      <c r="J27" s="141" t="n">
        <v>0.53</v>
      </c>
      <c r="K27" s="141" t="n">
        <v>0.48</v>
      </c>
      <c r="L27" s="141" t="n">
        <v>0.53</v>
      </c>
      <c r="M27" s="141" t="n">
        <v>0.48</v>
      </c>
      <c r="N27" s="141" t="n">
        <v>0.53</v>
      </c>
      <c r="O27" s="0" t="n">
        <v>0.63</v>
      </c>
      <c r="P27" s="0" t="n">
        <v>0.63</v>
      </c>
      <c r="Q27" s="0" t="n">
        <v>0.48</v>
      </c>
      <c r="R27" s="0" t="n">
        <v>0.43</v>
      </c>
      <c r="S27" s="0" t="n">
        <v>0.53</v>
      </c>
      <c r="T27" s="0" t="n">
        <v>0.48</v>
      </c>
    </row>
    <row r="28" customFormat="false" ht="12.75" hidden="false" customHeight="false" outlineLevel="0" collapsed="false">
      <c r="A28" s="317" t="n">
        <v>37803</v>
      </c>
      <c r="B28" s="292" t="n">
        <v>0.53</v>
      </c>
      <c r="C28" s="141" t="n">
        <v>0.53</v>
      </c>
      <c r="D28" s="0" t="n">
        <v>0.43</v>
      </c>
      <c r="E28" s="141" t="n">
        <v>0.53</v>
      </c>
      <c r="F28" s="141" t="n">
        <v>0.53</v>
      </c>
      <c r="G28" s="141" t="n">
        <v>0.53</v>
      </c>
      <c r="H28" s="141" t="n">
        <v>0.53</v>
      </c>
      <c r="I28" s="141" t="n">
        <v>0.53</v>
      </c>
      <c r="J28" s="141" t="n">
        <v>0.53</v>
      </c>
      <c r="K28" s="141" t="n">
        <v>0.53</v>
      </c>
      <c r="L28" s="141" t="n">
        <v>0.58</v>
      </c>
      <c r="M28" s="141" t="n">
        <v>0.53</v>
      </c>
      <c r="N28" s="141" t="n">
        <v>0.53</v>
      </c>
      <c r="O28" s="0" t="n">
        <v>0.68</v>
      </c>
      <c r="P28" s="0" t="n">
        <v>0.63</v>
      </c>
      <c r="Q28" s="0" t="n">
        <v>0.53</v>
      </c>
      <c r="R28" s="0" t="n">
        <v>0.43</v>
      </c>
      <c r="S28" s="0" t="n">
        <v>0.53</v>
      </c>
      <c r="T28" s="0" t="n">
        <v>0.53</v>
      </c>
    </row>
    <row r="29" customFormat="false" ht="12.75" hidden="false" customHeight="false" outlineLevel="0" collapsed="false">
      <c r="A29" s="317" t="n">
        <v>37834</v>
      </c>
      <c r="B29" s="292" t="n">
        <v>0.58</v>
      </c>
      <c r="C29" s="141" t="n">
        <v>0.58</v>
      </c>
      <c r="D29" s="0" t="n">
        <v>0.53</v>
      </c>
      <c r="E29" s="141" t="n">
        <v>0.63</v>
      </c>
      <c r="F29" s="141" t="n">
        <v>0.58</v>
      </c>
      <c r="G29" s="141" t="n">
        <v>0.63</v>
      </c>
      <c r="H29" s="141" t="n">
        <v>0.58</v>
      </c>
      <c r="I29" s="141" t="n">
        <v>0.63</v>
      </c>
      <c r="J29" s="141" t="n">
        <v>0.48</v>
      </c>
      <c r="K29" s="141" t="n">
        <v>0.58</v>
      </c>
      <c r="L29" s="141" t="n">
        <v>0.63</v>
      </c>
      <c r="M29" s="141" t="n">
        <v>0.58</v>
      </c>
      <c r="N29" s="141" t="n">
        <v>0.63</v>
      </c>
      <c r="O29" s="0" t="n">
        <v>0.73</v>
      </c>
      <c r="P29" s="0" t="n">
        <v>0.73</v>
      </c>
      <c r="Q29" s="0" t="n">
        <v>0.58</v>
      </c>
      <c r="R29" s="0" t="n">
        <v>0.53</v>
      </c>
      <c r="S29" s="0" t="n">
        <v>0.63</v>
      </c>
      <c r="T29" s="0" t="n">
        <v>0.58</v>
      </c>
    </row>
    <row r="30" customFormat="false" ht="12.75" hidden="false" customHeight="false" outlineLevel="0" collapsed="false">
      <c r="A30" s="317" t="n">
        <v>37865</v>
      </c>
      <c r="B30" s="292" t="n">
        <v>0.58</v>
      </c>
      <c r="C30" s="141" t="n">
        <v>0.58</v>
      </c>
      <c r="D30" s="0" t="n">
        <v>0.58</v>
      </c>
      <c r="E30" s="0" t="n">
        <v>0.58</v>
      </c>
      <c r="F30" s="0" t="n">
        <v>0.58</v>
      </c>
      <c r="G30" s="0" t="n">
        <v>0.63</v>
      </c>
      <c r="H30" s="0" t="n">
        <v>0.63</v>
      </c>
      <c r="I30" s="0" t="n">
        <v>0.58</v>
      </c>
      <c r="J30" s="0" t="n">
        <v>0.53</v>
      </c>
      <c r="K30" s="0" t="n">
        <v>0.58</v>
      </c>
      <c r="L30" s="0" t="n">
        <v>0.63</v>
      </c>
      <c r="M30" s="0" t="n">
        <v>0.58</v>
      </c>
      <c r="N30" s="0" t="n">
        <v>0.63</v>
      </c>
      <c r="O30" s="0" t="n">
        <v>0.73</v>
      </c>
      <c r="P30" s="0" t="n">
        <v>0.68</v>
      </c>
      <c r="Q30" s="0" t="n">
        <v>0.58</v>
      </c>
      <c r="R30" s="0" t="n">
        <v>0.58</v>
      </c>
      <c r="S30" s="0" t="n">
        <v>0.58</v>
      </c>
      <c r="T30" s="0" t="n">
        <v>0.58</v>
      </c>
    </row>
    <row r="31" customFormat="false" ht="12.75" hidden="false" customHeight="false" outlineLevel="0" collapsed="false">
      <c r="A31" s="317" t="n">
        <v>37895</v>
      </c>
      <c r="B31" s="292" t="n">
        <v>0.63</v>
      </c>
      <c r="C31" s="141" t="n">
        <v>0.63</v>
      </c>
      <c r="D31" s="0" t="n">
        <v>0.58</v>
      </c>
      <c r="E31" s="0" t="n">
        <v>0.63</v>
      </c>
      <c r="F31" s="0" t="n">
        <v>0.63</v>
      </c>
      <c r="G31" s="0" t="n">
        <v>0.68</v>
      </c>
      <c r="H31" s="0" t="n">
        <v>0.68</v>
      </c>
      <c r="I31" s="0" t="n">
        <v>0.63</v>
      </c>
      <c r="J31" s="0" t="n">
        <v>0.53</v>
      </c>
      <c r="K31" s="0" t="n">
        <v>0.63</v>
      </c>
      <c r="L31" s="0" t="n">
        <v>0.68</v>
      </c>
      <c r="M31" s="0" t="n">
        <v>0.63</v>
      </c>
      <c r="N31" s="0" t="n">
        <v>0.68</v>
      </c>
      <c r="O31" s="0" t="n">
        <v>0.78</v>
      </c>
      <c r="P31" s="0" t="n">
        <v>0.73</v>
      </c>
      <c r="Q31" s="0" t="n">
        <v>0.63</v>
      </c>
      <c r="R31" s="0" t="n">
        <v>0.58</v>
      </c>
      <c r="S31" s="0" t="n">
        <v>0.63</v>
      </c>
      <c r="T31" s="0" t="n">
        <v>0.63</v>
      </c>
    </row>
    <row r="32" customFormat="false" ht="12.75" hidden="false" customHeight="false" outlineLevel="0" collapsed="false">
      <c r="A32" s="317" t="n">
        <v>37926</v>
      </c>
      <c r="B32" s="292" t="n">
        <v>0.83</v>
      </c>
      <c r="C32" s="141" t="n">
        <v>0.88</v>
      </c>
      <c r="D32" s="0" t="n">
        <v>0.83</v>
      </c>
      <c r="E32" s="0" t="n">
        <v>0.83</v>
      </c>
      <c r="F32" s="0" t="n">
        <v>0.93</v>
      </c>
      <c r="G32" s="0" t="n">
        <v>0.98</v>
      </c>
      <c r="H32" s="0" t="n">
        <v>0.88</v>
      </c>
      <c r="I32" s="0" t="n">
        <v>0.83</v>
      </c>
      <c r="J32" s="0" t="n">
        <v>0.98</v>
      </c>
      <c r="K32" s="0" t="n">
        <v>0.83</v>
      </c>
      <c r="L32" s="0" t="n">
        <v>0.83</v>
      </c>
      <c r="M32" s="0" t="n">
        <v>0.83</v>
      </c>
      <c r="N32" s="0" t="n">
        <v>0.98</v>
      </c>
      <c r="O32" s="0" t="n">
        <v>0.98</v>
      </c>
      <c r="P32" s="0" t="n">
        <v>0.93</v>
      </c>
      <c r="Q32" s="0" t="n">
        <v>0.83</v>
      </c>
      <c r="R32" s="0" t="n">
        <v>0.83</v>
      </c>
      <c r="S32" s="0" t="n">
        <v>0.83</v>
      </c>
      <c r="T32" s="0" t="n">
        <v>0.83</v>
      </c>
    </row>
    <row r="33" customFormat="false" ht="12.75" hidden="false" customHeight="false" outlineLevel="0" collapsed="false">
      <c r="A33" s="317" t="n">
        <v>37956</v>
      </c>
      <c r="B33" s="292" t="n">
        <v>1.03</v>
      </c>
      <c r="C33" s="141" t="n">
        <v>1.08</v>
      </c>
      <c r="D33" s="0" t="n">
        <v>1.03</v>
      </c>
      <c r="E33" s="0" t="n">
        <v>1.03</v>
      </c>
      <c r="F33" s="0" t="n">
        <v>1.18</v>
      </c>
      <c r="G33" s="0" t="n">
        <v>1.28</v>
      </c>
      <c r="H33" s="0" t="n">
        <v>1.08</v>
      </c>
      <c r="I33" s="0" t="n">
        <v>1.03</v>
      </c>
      <c r="J33" s="0" t="n">
        <v>1.38</v>
      </c>
      <c r="K33" s="0" t="n">
        <v>1.03</v>
      </c>
      <c r="L33" s="0" t="n">
        <v>1.13</v>
      </c>
      <c r="M33" s="0" t="n">
        <v>1.03</v>
      </c>
      <c r="N33" s="0" t="n">
        <v>1.28</v>
      </c>
      <c r="O33" s="0" t="n">
        <v>1.18</v>
      </c>
      <c r="P33" s="0" t="n">
        <v>1.13</v>
      </c>
      <c r="Q33" s="0" t="n">
        <v>1.03</v>
      </c>
      <c r="R33" s="0" t="n">
        <v>1.03</v>
      </c>
      <c r="S33" s="0" t="n">
        <v>1.03</v>
      </c>
      <c r="T33" s="0" t="n">
        <v>1.03</v>
      </c>
    </row>
    <row r="34" customFormat="false" ht="12.75" hidden="false" customHeight="false" outlineLevel="0" collapsed="false">
      <c r="A34" s="317" t="n">
        <v>37987</v>
      </c>
      <c r="B34" s="292" t="n">
        <v>1</v>
      </c>
      <c r="C34" s="141" t="n">
        <v>1.05</v>
      </c>
      <c r="D34" s="0" t="n">
        <v>1</v>
      </c>
      <c r="E34" s="0" t="n">
        <v>1</v>
      </c>
      <c r="F34" s="0" t="n">
        <v>1.15</v>
      </c>
      <c r="G34" s="0" t="n">
        <v>1.45</v>
      </c>
      <c r="H34" s="0" t="n">
        <v>1.05</v>
      </c>
      <c r="I34" s="0" t="n">
        <v>1</v>
      </c>
      <c r="J34" s="0" t="n">
        <v>1.35</v>
      </c>
      <c r="K34" s="0" t="n">
        <v>1</v>
      </c>
      <c r="L34" s="0" t="n">
        <v>1.1</v>
      </c>
      <c r="M34" s="0" t="n">
        <v>1</v>
      </c>
      <c r="N34" s="0" t="n">
        <v>1.45</v>
      </c>
      <c r="O34" s="0" t="n">
        <v>1.15</v>
      </c>
      <c r="P34" s="0" t="n">
        <v>1.1</v>
      </c>
      <c r="Q34" s="0" t="n">
        <v>1</v>
      </c>
      <c r="R34" s="0" t="n">
        <v>1</v>
      </c>
      <c r="S34" s="0" t="n">
        <v>1</v>
      </c>
      <c r="T34" s="0" t="n">
        <v>1</v>
      </c>
    </row>
    <row r="35" customFormat="false" ht="12.75" hidden="false" customHeight="false" outlineLevel="0" collapsed="false">
      <c r="A35" s="317" t="n">
        <v>38018</v>
      </c>
      <c r="B35" s="292" t="n">
        <v>1</v>
      </c>
      <c r="C35" s="141" t="n">
        <v>1.05</v>
      </c>
      <c r="D35" s="0" t="n">
        <v>1</v>
      </c>
      <c r="E35" s="0" t="n">
        <v>1</v>
      </c>
      <c r="F35" s="0" t="n">
        <v>1.15</v>
      </c>
      <c r="G35" s="0" t="n">
        <v>1.45</v>
      </c>
      <c r="H35" s="0" t="n">
        <v>1.05</v>
      </c>
      <c r="I35" s="0" t="n">
        <v>1</v>
      </c>
      <c r="J35" s="0" t="n">
        <v>1.35</v>
      </c>
      <c r="K35" s="0" t="n">
        <v>1</v>
      </c>
      <c r="L35" s="0" t="n">
        <v>1.1</v>
      </c>
      <c r="M35" s="0" t="n">
        <v>1</v>
      </c>
      <c r="N35" s="0" t="n">
        <v>1.45</v>
      </c>
      <c r="O35" s="0" t="n">
        <v>1.15</v>
      </c>
      <c r="P35" s="0" t="n">
        <v>1.1</v>
      </c>
      <c r="Q35" s="0" t="n">
        <v>1</v>
      </c>
      <c r="R35" s="0" t="n">
        <v>1</v>
      </c>
      <c r="S35" s="0" t="n">
        <v>1</v>
      </c>
      <c r="T35" s="0" t="n">
        <v>1</v>
      </c>
    </row>
    <row r="36" customFormat="false" ht="12.75" hidden="false" customHeight="false" outlineLevel="0" collapsed="false">
      <c r="A36" s="317" t="n">
        <v>38047</v>
      </c>
      <c r="B36" s="292" t="n">
        <v>0.75</v>
      </c>
      <c r="C36" s="141" t="n">
        <v>0.8</v>
      </c>
      <c r="D36" s="0" t="n">
        <v>0.75</v>
      </c>
      <c r="E36" s="0" t="n">
        <v>0.75</v>
      </c>
      <c r="F36" s="0" t="n">
        <v>0.85</v>
      </c>
      <c r="G36" s="0" t="n">
        <v>1</v>
      </c>
      <c r="H36" s="0" t="n">
        <v>0.75</v>
      </c>
      <c r="I36" s="0" t="n">
        <v>0.75</v>
      </c>
      <c r="J36" s="0" t="n">
        <v>0.95</v>
      </c>
      <c r="K36" s="0" t="n">
        <v>0.75</v>
      </c>
      <c r="L36" s="0" t="n">
        <v>0.75</v>
      </c>
      <c r="M36" s="0" t="n">
        <v>0.75</v>
      </c>
      <c r="N36" s="0" t="n">
        <v>1</v>
      </c>
      <c r="O36" s="0" t="n">
        <v>0.9</v>
      </c>
      <c r="P36" s="0" t="n">
        <v>0.85</v>
      </c>
      <c r="Q36" s="0" t="n">
        <v>0.75</v>
      </c>
      <c r="R36" s="0" t="n">
        <v>0.75</v>
      </c>
      <c r="S36" s="0" t="n">
        <v>0.75</v>
      </c>
      <c r="T36" s="0" t="n">
        <v>0.75</v>
      </c>
    </row>
    <row r="37" customFormat="false" ht="12.75" hidden="false" customHeight="false" outlineLevel="0" collapsed="false">
      <c r="A37" s="317" t="n">
        <v>38078</v>
      </c>
      <c r="B37" s="292" t="n">
        <v>0.4</v>
      </c>
      <c r="C37" s="141" t="n">
        <v>0.45</v>
      </c>
      <c r="D37" s="0" t="n">
        <v>0.4</v>
      </c>
      <c r="E37" s="0" t="n">
        <v>0.45</v>
      </c>
      <c r="F37" s="0" t="n">
        <v>0.45</v>
      </c>
      <c r="G37" s="0" t="n">
        <v>0.45</v>
      </c>
      <c r="H37" s="0" t="n">
        <v>0.45</v>
      </c>
      <c r="I37" s="0" t="n">
        <v>0.45</v>
      </c>
      <c r="J37" s="0" t="n">
        <v>0.5</v>
      </c>
      <c r="K37" s="0" t="n">
        <v>0.4</v>
      </c>
      <c r="L37" s="0" t="n">
        <v>0.45</v>
      </c>
      <c r="M37" s="0" t="n">
        <v>0.4</v>
      </c>
      <c r="N37" s="0" t="n">
        <v>0.45</v>
      </c>
      <c r="O37" s="0" t="n">
        <v>0.55</v>
      </c>
      <c r="P37" s="0" t="n">
        <v>0.55</v>
      </c>
      <c r="Q37" s="0" t="n">
        <v>0.4</v>
      </c>
      <c r="R37" s="0" t="n">
        <v>0.4</v>
      </c>
      <c r="S37" s="0" t="n">
        <v>0.45</v>
      </c>
      <c r="T37" s="0" t="n">
        <v>0.4</v>
      </c>
    </row>
    <row r="38" customFormat="false" ht="12.75" hidden="false" customHeight="false" outlineLevel="0" collapsed="false">
      <c r="A38" s="317" t="n">
        <v>38108</v>
      </c>
      <c r="B38" s="292" t="n">
        <v>0.45</v>
      </c>
      <c r="C38" s="141" t="n">
        <v>0.5</v>
      </c>
      <c r="D38" s="0" t="n">
        <v>0.4</v>
      </c>
      <c r="E38" s="0" t="n">
        <v>0.4</v>
      </c>
      <c r="F38" s="0" t="n">
        <v>0.45</v>
      </c>
      <c r="G38" s="0" t="n">
        <v>0.5</v>
      </c>
      <c r="H38" s="0" t="n">
        <v>0.45</v>
      </c>
      <c r="I38" s="0" t="n">
        <v>0.4</v>
      </c>
      <c r="J38" s="0" t="n">
        <v>0.45</v>
      </c>
      <c r="K38" s="0" t="n">
        <v>0.45</v>
      </c>
      <c r="L38" s="0" t="n">
        <v>0.5</v>
      </c>
      <c r="M38" s="0" t="n">
        <v>0.45</v>
      </c>
      <c r="N38" s="0" t="n">
        <v>0.5</v>
      </c>
      <c r="O38" s="0" t="n">
        <v>0.6</v>
      </c>
      <c r="P38" s="0" t="n">
        <v>0.5</v>
      </c>
      <c r="Q38" s="0" t="n">
        <v>0.45</v>
      </c>
      <c r="R38" s="0" t="n">
        <v>0.4</v>
      </c>
      <c r="S38" s="0" t="n">
        <v>0.4</v>
      </c>
      <c r="T38" s="0" t="n">
        <v>0.45</v>
      </c>
    </row>
    <row r="39" customFormat="false" ht="12.75" hidden="false" customHeight="false" outlineLevel="0" collapsed="false">
      <c r="A39" s="317" t="n">
        <v>38139</v>
      </c>
      <c r="B39" s="292" t="n">
        <v>0.45</v>
      </c>
      <c r="C39" s="141" t="n">
        <v>0.5</v>
      </c>
      <c r="D39" s="0" t="n">
        <v>0.4</v>
      </c>
      <c r="E39" s="0" t="n">
        <v>0.5</v>
      </c>
      <c r="F39" s="0" t="n">
        <v>0.45</v>
      </c>
      <c r="G39" s="0" t="n">
        <v>0.5</v>
      </c>
      <c r="H39" s="0" t="n">
        <v>0.5</v>
      </c>
      <c r="I39" s="0" t="n">
        <v>0.5</v>
      </c>
      <c r="J39" s="0" t="n">
        <v>0.5</v>
      </c>
      <c r="K39" s="0" t="n">
        <v>0.45</v>
      </c>
      <c r="L39" s="0" t="n">
        <v>0.5</v>
      </c>
      <c r="M39" s="0" t="n">
        <v>0.45</v>
      </c>
      <c r="N39" s="0" t="n">
        <v>0.5</v>
      </c>
      <c r="O39" s="0" t="n">
        <v>0.6</v>
      </c>
      <c r="P39" s="0" t="n">
        <v>0.6</v>
      </c>
      <c r="Q39" s="0" t="n">
        <v>0.45</v>
      </c>
      <c r="R39" s="0" t="n">
        <v>0.4</v>
      </c>
      <c r="S39" s="0" t="n">
        <v>0.5</v>
      </c>
      <c r="T39" s="0" t="n">
        <v>0.45</v>
      </c>
    </row>
    <row r="40" customFormat="false" ht="12.75" hidden="false" customHeight="false" outlineLevel="0" collapsed="false">
      <c r="A40" s="317" t="n">
        <v>38169</v>
      </c>
      <c r="B40" s="292" t="n">
        <v>0.5</v>
      </c>
      <c r="C40" s="141" t="n">
        <v>0.5</v>
      </c>
      <c r="D40" s="0" t="n">
        <v>0.4</v>
      </c>
      <c r="E40" s="0" t="n">
        <v>0.5</v>
      </c>
      <c r="F40" s="0" t="n">
        <v>0.5</v>
      </c>
      <c r="G40" s="0" t="n">
        <v>0.5</v>
      </c>
      <c r="H40" s="0" t="n">
        <v>0.5</v>
      </c>
      <c r="I40" s="0" t="n">
        <v>0.5</v>
      </c>
      <c r="J40" s="0" t="n">
        <v>0.5</v>
      </c>
      <c r="K40" s="0" t="n">
        <v>0.5</v>
      </c>
      <c r="L40" s="0" t="n">
        <v>0.55</v>
      </c>
      <c r="M40" s="0" t="n">
        <v>0.5</v>
      </c>
      <c r="N40" s="0" t="n">
        <v>0.5</v>
      </c>
      <c r="O40" s="0" t="n">
        <v>0.65</v>
      </c>
      <c r="P40" s="0" t="n">
        <v>0.6</v>
      </c>
      <c r="Q40" s="0" t="n">
        <v>0.5</v>
      </c>
      <c r="R40" s="0" t="n">
        <v>0.4</v>
      </c>
      <c r="S40" s="0" t="n">
        <v>0.5</v>
      </c>
      <c r="T40" s="0" t="n">
        <v>0.5</v>
      </c>
    </row>
    <row r="41" customFormat="false" ht="12.75" hidden="false" customHeight="false" outlineLevel="0" collapsed="false">
      <c r="A41" s="317" t="n">
        <v>38200</v>
      </c>
      <c r="B41" s="292" t="n">
        <v>0.55</v>
      </c>
      <c r="C41" s="141" t="n">
        <v>0.55</v>
      </c>
      <c r="D41" s="0" t="n">
        <v>0.5</v>
      </c>
      <c r="E41" s="0" t="n">
        <v>0.6</v>
      </c>
      <c r="F41" s="0" t="n">
        <v>0.55</v>
      </c>
      <c r="G41" s="0" t="n">
        <v>0.6</v>
      </c>
      <c r="H41" s="0" t="n">
        <v>0.55</v>
      </c>
      <c r="I41" s="0" t="n">
        <v>0.6</v>
      </c>
      <c r="J41" s="0" t="n">
        <v>0.45</v>
      </c>
      <c r="K41" s="0" t="n">
        <v>0.55</v>
      </c>
      <c r="L41" s="0" t="n">
        <v>0.6</v>
      </c>
      <c r="M41" s="0" t="n">
        <v>0.55</v>
      </c>
      <c r="N41" s="0" t="n">
        <v>0.6</v>
      </c>
      <c r="O41" s="0" t="n">
        <v>0.7</v>
      </c>
      <c r="P41" s="0" t="n">
        <v>0.7</v>
      </c>
      <c r="Q41" s="0" t="n">
        <v>0.55</v>
      </c>
      <c r="R41" s="0" t="n">
        <v>0.5</v>
      </c>
      <c r="S41" s="0" t="n">
        <v>0.6</v>
      </c>
      <c r="T41" s="0" t="n">
        <v>0.55</v>
      </c>
    </row>
    <row r="42" customFormat="false" ht="12.75" hidden="false" customHeight="false" outlineLevel="0" collapsed="false">
      <c r="A42" s="317" t="n">
        <v>38231</v>
      </c>
      <c r="B42" s="292" t="n">
        <v>0.55</v>
      </c>
      <c r="C42" s="141" t="n">
        <v>0.55</v>
      </c>
      <c r="D42" s="0" t="n">
        <v>0.55</v>
      </c>
      <c r="E42" s="0" t="n">
        <v>0.55</v>
      </c>
      <c r="F42" s="0" t="n">
        <v>0.55</v>
      </c>
      <c r="G42" s="0" t="n">
        <v>0.6</v>
      </c>
      <c r="H42" s="0" t="n">
        <v>0.6</v>
      </c>
      <c r="I42" s="0" t="n">
        <v>0.55</v>
      </c>
      <c r="J42" s="0" t="n">
        <v>0.5</v>
      </c>
      <c r="K42" s="0" t="n">
        <v>0.55</v>
      </c>
      <c r="L42" s="0" t="n">
        <v>0.6</v>
      </c>
      <c r="M42" s="0" t="n">
        <v>0.55</v>
      </c>
      <c r="N42" s="0" t="n">
        <v>0.6</v>
      </c>
      <c r="O42" s="0" t="n">
        <v>0.7</v>
      </c>
      <c r="P42" s="0" t="n">
        <v>0.65</v>
      </c>
      <c r="Q42" s="0" t="n">
        <v>0.55</v>
      </c>
      <c r="R42" s="0" t="n">
        <v>0.55</v>
      </c>
      <c r="S42" s="0" t="n">
        <v>0.55</v>
      </c>
      <c r="T42" s="0" t="n">
        <v>0.55</v>
      </c>
    </row>
    <row r="43" customFormat="false" ht="12.75" hidden="false" customHeight="false" outlineLevel="0" collapsed="false">
      <c r="A43" s="317" t="n">
        <v>38261</v>
      </c>
      <c r="B43" s="292" t="n">
        <v>0.6</v>
      </c>
      <c r="C43" s="141" t="n">
        <v>0.6</v>
      </c>
      <c r="D43" s="0" t="n">
        <v>0.55</v>
      </c>
      <c r="E43" s="0" t="n">
        <v>0.6</v>
      </c>
      <c r="F43" s="0" t="n">
        <v>0.6</v>
      </c>
      <c r="G43" s="0" t="n">
        <v>0.65</v>
      </c>
      <c r="H43" s="0" t="n">
        <v>0.65</v>
      </c>
      <c r="I43" s="0" t="n">
        <v>0.6</v>
      </c>
      <c r="J43" s="0" t="n">
        <v>0.5</v>
      </c>
      <c r="K43" s="0" t="n">
        <v>0.6</v>
      </c>
      <c r="L43" s="0" t="n">
        <v>0.65</v>
      </c>
      <c r="M43" s="0" t="n">
        <v>0.6</v>
      </c>
      <c r="N43" s="0" t="n">
        <v>0.65</v>
      </c>
      <c r="O43" s="0" t="n">
        <v>0.75</v>
      </c>
      <c r="P43" s="0" t="n">
        <v>0.7</v>
      </c>
      <c r="Q43" s="0" t="n">
        <v>0.6</v>
      </c>
      <c r="R43" s="0" t="n">
        <v>0.55</v>
      </c>
      <c r="S43" s="0" t="n">
        <v>0.6</v>
      </c>
      <c r="T43" s="0" t="n">
        <v>0.6</v>
      </c>
    </row>
    <row r="44" customFormat="false" ht="12.75" hidden="false" customHeight="false" outlineLevel="0" collapsed="false">
      <c r="A44" s="317" t="n">
        <v>38292</v>
      </c>
      <c r="B44" s="292" t="n">
        <v>0.8</v>
      </c>
      <c r="C44" s="141" t="n">
        <v>0.85</v>
      </c>
      <c r="D44" s="0" t="n">
        <v>0.8</v>
      </c>
      <c r="E44" s="0" t="n">
        <v>0.8</v>
      </c>
      <c r="F44" s="0" t="n">
        <v>0.9</v>
      </c>
      <c r="G44" s="0" t="n">
        <v>0.95</v>
      </c>
      <c r="H44" s="0" t="n">
        <v>0.85</v>
      </c>
      <c r="I44" s="0" t="n">
        <v>0.8</v>
      </c>
      <c r="J44" s="0" t="n">
        <v>0.95</v>
      </c>
      <c r="K44" s="0" t="n">
        <v>0.8</v>
      </c>
      <c r="L44" s="0" t="n">
        <v>0.8</v>
      </c>
      <c r="M44" s="0" t="n">
        <v>0.8</v>
      </c>
      <c r="N44" s="0" t="n">
        <v>0.95</v>
      </c>
      <c r="O44" s="0" t="n">
        <v>0.95</v>
      </c>
      <c r="P44" s="0" t="n">
        <v>0.9</v>
      </c>
      <c r="Q44" s="0" t="n">
        <v>0.8</v>
      </c>
      <c r="R44" s="0" t="n">
        <v>0.8</v>
      </c>
      <c r="S44" s="0" t="n">
        <v>0.8</v>
      </c>
      <c r="T44" s="0" t="n">
        <v>0.8</v>
      </c>
    </row>
    <row r="45" customFormat="false" ht="12.75" hidden="false" customHeight="false" outlineLevel="0" collapsed="false">
      <c r="A45" s="317" t="n">
        <v>38322</v>
      </c>
      <c r="B45" s="292" t="n">
        <v>1</v>
      </c>
      <c r="C45" s="141" t="n">
        <v>1.05</v>
      </c>
      <c r="D45" s="0" t="n">
        <v>1</v>
      </c>
      <c r="E45" s="0" t="n">
        <v>1</v>
      </c>
      <c r="F45" s="0" t="n">
        <v>1.15</v>
      </c>
      <c r="G45" s="0" t="n">
        <v>1.25</v>
      </c>
      <c r="H45" s="0" t="n">
        <v>1.05</v>
      </c>
      <c r="I45" s="0" t="n">
        <v>1</v>
      </c>
      <c r="J45" s="0" t="n">
        <v>1.35</v>
      </c>
      <c r="K45" s="0" t="n">
        <v>1</v>
      </c>
      <c r="L45" s="0" t="n">
        <v>1.1</v>
      </c>
      <c r="M45" s="0" t="n">
        <v>1</v>
      </c>
      <c r="N45" s="0" t="n">
        <v>1.25</v>
      </c>
      <c r="O45" s="0" t="n">
        <v>1.15</v>
      </c>
      <c r="P45" s="0" t="n">
        <v>1.1</v>
      </c>
      <c r="Q45" s="0" t="n">
        <v>1</v>
      </c>
      <c r="R45" s="0" t="n">
        <v>1</v>
      </c>
      <c r="S45" s="0" t="n">
        <v>1</v>
      </c>
      <c r="T45" s="0" t="n">
        <v>1</v>
      </c>
    </row>
    <row r="46" customFormat="false" ht="12.75" hidden="false" customHeight="false" outlineLevel="0" collapsed="false">
      <c r="A46" s="317" t="n">
        <v>38353</v>
      </c>
      <c r="B46" s="292" t="n">
        <v>1</v>
      </c>
      <c r="C46" s="141" t="n">
        <v>1.05</v>
      </c>
      <c r="D46" s="0" t="n">
        <v>1</v>
      </c>
      <c r="E46" s="0" t="n">
        <v>1</v>
      </c>
      <c r="F46" s="0" t="n">
        <v>1.15</v>
      </c>
      <c r="G46" s="0" t="n">
        <v>1.45</v>
      </c>
      <c r="H46" s="0" t="n">
        <v>1.05</v>
      </c>
      <c r="I46" s="0" t="n">
        <v>1</v>
      </c>
      <c r="J46" s="0" t="n">
        <v>1.35</v>
      </c>
      <c r="K46" s="0" t="n">
        <v>1</v>
      </c>
      <c r="L46" s="0" t="n">
        <v>1.1</v>
      </c>
      <c r="M46" s="0" t="n">
        <v>1</v>
      </c>
      <c r="N46" s="0" t="n">
        <v>1.45</v>
      </c>
      <c r="O46" s="0" t="n">
        <v>1.15</v>
      </c>
      <c r="P46" s="0" t="n">
        <v>1.1</v>
      </c>
      <c r="Q46" s="0" t="n">
        <v>1</v>
      </c>
      <c r="R46" s="0" t="n">
        <v>1</v>
      </c>
      <c r="S46" s="0" t="n">
        <v>1</v>
      </c>
      <c r="T46" s="0" t="n">
        <v>1</v>
      </c>
    </row>
    <row r="47" customFormat="false" ht="12.75" hidden="false" customHeight="false" outlineLevel="0" collapsed="false">
      <c r="A47" s="317" t="n">
        <v>38384</v>
      </c>
      <c r="B47" s="292" t="n">
        <v>1</v>
      </c>
      <c r="C47" s="141" t="n">
        <v>1.05</v>
      </c>
      <c r="D47" s="0" t="n">
        <v>1</v>
      </c>
      <c r="E47" s="0" t="n">
        <v>1</v>
      </c>
      <c r="F47" s="0" t="n">
        <v>1.15</v>
      </c>
      <c r="G47" s="0" t="n">
        <v>1.45</v>
      </c>
      <c r="H47" s="0" t="n">
        <v>1.05</v>
      </c>
      <c r="I47" s="0" t="n">
        <v>1</v>
      </c>
      <c r="J47" s="0" t="n">
        <v>1.35</v>
      </c>
      <c r="K47" s="0" t="n">
        <v>1</v>
      </c>
      <c r="L47" s="0" t="n">
        <v>1.1</v>
      </c>
      <c r="M47" s="0" t="n">
        <v>1</v>
      </c>
      <c r="N47" s="0" t="n">
        <v>1.45</v>
      </c>
      <c r="O47" s="0" t="n">
        <v>1.15</v>
      </c>
      <c r="P47" s="0" t="n">
        <v>1.1</v>
      </c>
      <c r="Q47" s="0" t="n">
        <v>1</v>
      </c>
      <c r="R47" s="0" t="n">
        <v>1</v>
      </c>
      <c r="S47" s="0" t="n">
        <v>1</v>
      </c>
      <c r="T47" s="0" t="n">
        <v>1</v>
      </c>
    </row>
    <row r="48" customFormat="false" ht="12.75" hidden="false" customHeight="false" outlineLevel="0" collapsed="false">
      <c r="A48" s="317" t="n">
        <v>38412</v>
      </c>
      <c r="B48" s="292" t="n">
        <v>0.75</v>
      </c>
      <c r="C48" s="141" t="n">
        <v>0.8</v>
      </c>
      <c r="D48" s="0" t="n">
        <v>0.75</v>
      </c>
      <c r="E48" s="0" t="n">
        <v>0.75</v>
      </c>
      <c r="F48" s="0" t="n">
        <v>0.85</v>
      </c>
      <c r="G48" s="0" t="n">
        <v>1</v>
      </c>
      <c r="H48" s="0" t="n">
        <v>0.75</v>
      </c>
      <c r="I48" s="0" t="n">
        <v>0.75</v>
      </c>
      <c r="J48" s="0" t="n">
        <v>0.95</v>
      </c>
      <c r="K48" s="0" t="n">
        <v>0.75</v>
      </c>
      <c r="L48" s="0" t="n">
        <v>0.75</v>
      </c>
      <c r="M48" s="0" t="n">
        <v>0.75</v>
      </c>
      <c r="N48" s="0" t="n">
        <v>1</v>
      </c>
      <c r="O48" s="0" t="n">
        <v>0.9</v>
      </c>
      <c r="P48" s="0" t="n">
        <v>0.85</v>
      </c>
      <c r="Q48" s="0" t="n">
        <v>0.75</v>
      </c>
      <c r="R48" s="0" t="n">
        <v>0.75</v>
      </c>
      <c r="S48" s="0" t="n">
        <v>0.75</v>
      </c>
      <c r="T48" s="0" t="n">
        <v>0.75</v>
      </c>
    </row>
    <row r="49" customFormat="false" ht="12.75" hidden="false" customHeight="false" outlineLevel="0" collapsed="false">
      <c r="A49" s="317" t="n">
        <v>38443</v>
      </c>
      <c r="B49" s="292" t="n">
        <v>0.4</v>
      </c>
      <c r="C49" s="141" t="n">
        <v>0.45</v>
      </c>
      <c r="D49" s="0" t="n">
        <v>0.4</v>
      </c>
      <c r="E49" s="0" t="n">
        <v>0.45</v>
      </c>
      <c r="F49" s="0" t="n">
        <v>0.45</v>
      </c>
      <c r="G49" s="0" t="n">
        <v>0.45</v>
      </c>
      <c r="H49" s="0" t="n">
        <v>0.45</v>
      </c>
      <c r="I49" s="0" t="n">
        <v>0.45</v>
      </c>
      <c r="J49" s="0" t="n">
        <v>0.5</v>
      </c>
      <c r="K49" s="0" t="n">
        <v>0.4</v>
      </c>
      <c r="L49" s="0" t="n">
        <v>0.45</v>
      </c>
      <c r="M49" s="0" t="n">
        <v>0.4</v>
      </c>
      <c r="N49" s="0" t="n">
        <v>0.45</v>
      </c>
      <c r="O49" s="0" t="n">
        <v>0.55</v>
      </c>
      <c r="P49" s="0" t="n">
        <v>0.55</v>
      </c>
      <c r="Q49" s="0" t="n">
        <v>0.4</v>
      </c>
      <c r="R49" s="0" t="n">
        <v>0.4</v>
      </c>
      <c r="S49" s="0" t="n">
        <v>0.45</v>
      </c>
      <c r="T49" s="0" t="n">
        <v>0.4</v>
      </c>
    </row>
    <row r="50" customFormat="false" ht="12.75" hidden="false" customHeight="false" outlineLevel="0" collapsed="false">
      <c r="A50" s="317" t="n">
        <v>38473</v>
      </c>
      <c r="B50" s="292" t="n">
        <v>0.45</v>
      </c>
      <c r="C50" s="141" t="n">
        <v>0.5</v>
      </c>
      <c r="D50" s="0" t="n">
        <v>0.4</v>
      </c>
      <c r="E50" s="0" t="n">
        <v>0.4</v>
      </c>
      <c r="F50" s="0" t="n">
        <v>0.45</v>
      </c>
      <c r="G50" s="0" t="n">
        <v>0.5</v>
      </c>
      <c r="H50" s="0" t="n">
        <v>0.45</v>
      </c>
      <c r="I50" s="0" t="n">
        <v>0.4</v>
      </c>
      <c r="J50" s="0" t="n">
        <v>0.45</v>
      </c>
      <c r="K50" s="0" t="n">
        <v>0.45</v>
      </c>
      <c r="L50" s="0" t="n">
        <v>0.5</v>
      </c>
      <c r="M50" s="0" t="n">
        <v>0.45</v>
      </c>
      <c r="N50" s="0" t="n">
        <v>0.5</v>
      </c>
      <c r="O50" s="0" t="n">
        <v>0.6</v>
      </c>
      <c r="P50" s="0" t="n">
        <v>0.5</v>
      </c>
      <c r="Q50" s="0" t="n">
        <v>0.45</v>
      </c>
      <c r="R50" s="0" t="n">
        <v>0.4</v>
      </c>
      <c r="S50" s="0" t="n">
        <v>0.4</v>
      </c>
      <c r="T50" s="0" t="n">
        <v>0.45</v>
      </c>
    </row>
    <row r="51" customFormat="false" ht="12.75" hidden="false" customHeight="false" outlineLevel="0" collapsed="false">
      <c r="A51" s="317" t="n">
        <v>38504</v>
      </c>
      <c r="B51" s="292" t="n">
        <v>0.45</v>
      </c>
      <c r="C51" s="141" t="n">
        <v>0.5</v>
      </c>
      <c r="D51" s="0" t="n">
        <v>0.4</v>
      </c>
      <c r="E51" s="0" t="n">
        <v>0.5</v>
      </c>
      <c r="F51" s="0" t="n">
        <v>0.45</v>
      </c>
      <c r="G51" s="0" t="n">
        <v>0.5</v>
      </c>
      <c r="H51" s="0" t="n">
        <v>0.5</v>
      </c>
      <c r="I51" s="0" t="n">
        <v>0.5</v>
      </c>
      <c r="J51" s="0" t="n">
        <v>0.5</v>
      </c>
      <c r="K51" s="0" t="n">
        <v>0.45</v>
      </c>
      <c r="L51" s="0" t="n">
        <v>0.5</v>
      </c>
      <c r="M51" s="0" t="n">
        <v>0.45</v>
      </c>
      <c r="N51" s="0" t="n">
        <v>0.5</v>
      </c>
      <c r="O51" s="0" t="n">
        <v>0.6</v>
      </c>
      <c r="P51" s="0" t="n">
        <v>0.6</v>
      </c>
      <c r="Q51" s="0" t="n">
        <v>0.45</v>
      </c>
      <c r="R51" s="0" t="n">
        <v>0.4</v>
      </c>
      <c r="S51" s="0" t="n">
        <v>0.5</v>
      </c>
      <c r="T51" s="0" t="n">
        <v>0.45</v>
      </c>
    </row>
    <row r="52" customFormat="false" ht="12.75" hidden="false" customHeight="false" outlineLevel="0" collapsed="false">
      <c r="A52" s="317" t="n">
        <v>38534</v>
      </c>
      <c r="B52" s="292" t="n">
        <v>0.5</v>
      </c>
      <c r="C52" s="141" t="n">
        <v>0.5</v>
      </c>
      <c r="D52" s="0" t="n">
        <v>0.4</v>
      </c>
      <c r="E52" s="0" t="n">
        <v>0.5</v>
      </c>
      <c r="F52" s="0" t="n">
        <v>0.5</v>
      </c>
      <c r="G52" s="0" t="n">
        <v>0.5</v>
      </c>
      <c r="H52" s="0" t="n">
        <v>0.5</v>
      </c>
      <c r="I52" s="0" t="n">
        <v>0.5</v>
      </c>
      <c r="J52" s="0" t="n">
        <v>0.5</v>
      </c>
      <c r="K52" s="0" t="n">
        <v>0.5</v>
      </c>
      <c r="L52" s="0" t="n">
        <v>0.55</v>
      </c>
      <c r="M52" s="0" t="n">
        <v>0.5</v>
      </c>
      <c r="N52" s="0" t="n">
        <v>0.5</v>
      </c>
      <c r="O52" s="0" t="n">
        <v>0.65</v>
      </c>
      <c r="P52" s="0" t="n">
        <v>0.6</v>
      </c>
      <c r="Q52" s="0" t="n">
        <v>0.5</v>
      </c>
      <c r="R52" s="0" t="n">
        <v>0.4</v>
      </c>
      <c r="S52" s="0" t="n">
        <v>0.5</v>
      </c>
      <c r="T52" s="0" t="n">
        <v>0.5</v>
      </c>
    </row>
    <row r="53" customFormat="false" ht="12.75" hidden="false" customHeight="false" outlineLevel="0" collapsed="false">
      <c r="A53" s="317" t="n">
        <v>38565</v>
      </c>
      <c r="B53" s="292" t="n">
        <v>0.55</v>
      </c>
      <c r="C53" s="141" t="n">
        <v>0.55</v>
      </c>
      <c r="D53" s="0" t="n">
        <v>0.5</v>
      </c>
      <c r="E53" s="0" t="n">
        <v>0.6</v>
      </c>
      <c r="F53" s="0" t="n">
        <v>0.55</v>
      </c>
      <c r="G53" s="0" t="n">
        <v>0.6</v>
      </c>
      <c r="H53" s="0" t="n">
        <v>0.55</v>
      </c>
      <c r="I53" s="0" t="n">
        <v>0.6</v>
      </c>
      <c r="J53" s="0" t="n">
        <v>0.45</v>
      </c>
      <c r="K53" s="0" t="n">
        <v>0.55</v>
      </c>
      <c r="L53" s="0" t="n">
        <v>0.6</v>
      </c>
      <c r="M53" s="0" t="n">
        <v>0.55</v>
      </c>
      <c r="N53" s="0" t="n">
        <v>0.6</v>
      </c>
      <c r="O53" s="0" t="n">
        <v>0.7</v>
      </c>
      <c r="P53" s="0" t="n">
        <v>0.7</v>
      </c>
      <c r="Q53" s="0" t="n">
        <v>0.55</v>
      </c>
      <c r="R53" s="0" t="n">
        <v>0.5</v>
      </c>
      <c r="S53" s="0" t="n">
        <v>0.6</v>
      </c>
      <c r="T53" s="0" t="n">
        <v>0.55</v>
      </c>
    </row>
    <row r="54" customFormat="false" ht="12.75" hidden="false" customHeight="false" outlineLevel="0" collapsed="false">
      <c r="A54" s="317" t="n">
        <v>38596</v>
      </c>
      <c r="B54" s="292" t="n">
        <v>0.55</v>
      </c>
      <c r="C54" s="141" t="n">
        <v>0.55</v>
      </c>
      <c r="D54" s="0" t="n">
        <v>0.55</v>
      </c>
      <c r="E54" s="0" t="n">
        <v>0.55</v>
      </c>
      <c r="F54" s="0" t="n">
        <v>0.55</v>
      </c>
      <c r="G54" s="0" t="n">
        <v>0.6</v>
      </c>
      <c r="H54" s="0" t="n">
        <v>0.6</v>
      </c>
      <c r="I54" s="0" t="n">
        <v>0.55</v>
      </c>
      <c r="J54" s="0" t="n">
        <v>0.5</v>
      </c>
      <c r="K54" s="0" t="n">
        <v>0.55</v>
      </c>
      <c r="L54" s="0" t="n">
        <v>0.6</v>
      </c>
      <c r="M54" s="0" t="n">
        <v>0.55</v>
      </c>
      <c r="N54" s="0" t="n">
        <v>0.6</v>
      </c>
      <c r="O54" s="0" t="n">
        <v>0.7</v>
      </c>
      <c r="P54" s="0" t="n">
        <v>0.65</v>
      </c>
      <c r="Q54" s="0" t="n">
        <v>0.55</v>
      </c>
      <c r="R54" s="0" t="n">
        <v>0.55</v>
      </c>
      <c r="S54" s="0" t="n">
        <v>0.55</v>
      </c>
      <c r="T54" s="0" t="n">
        <v>0.55</v>
      </c>
    </row>
    <row r="55" customFormat="false" ht="12.75" hidden="false" customHeight="false" outlineLevel="0" collapsed="false">
      <c r="A55" s="317" t="n">
        <v>38626</v>
      </c>
      <c r="B55" s="292" t="n">
        <v>0.6</v>
      </c>
      <c r="C55" s="141" t="n">
        <v>0.6</v>
      </c>
      <c r="D55" s="0" t="n">
        <v>0.55</v>
      </c>
      <c r="E55" s="0" t="n">
        <v>0.6</v>
      </c>
      <c r="F55" s="0" t="n">
        <v>0.6</v>
      </c>
      <c r="G55" s="0" t="n">
        <v>0.65</v>
      </c>
      <c r="H55" s="0" t="n">
        <v>0.65</v>
      </c>
      <c r="I55" s="0" t="n">
        <v>0.6</v>
      </c>
      <c r="J55" s="0" t="n">
        <v>0.5</v>
      </c>
      <c r="K55" s="0" t="n">
        <v>0.6</v>
      </c>
      <c r="L55" s="0" t="n">
        <v>0.65</v>
      </c>
      <c r="M55" s="0" t="n">
        <v>0.6</v>
      </c>
      <c r="N55" s="0" t="n">
        <v>0.65</v>
      </c>
      <c r="O55" s="0" t="n">
        <v>0.75</v>
      </c>
      <c r="P55" s="0" t="n">
        <v>0.7</v>
      </c>
      <c r="Q55" s="0" t="n">
        <v>0.6</v>
      </c>
      <c r="R55" s="0" t="n">
        <v>0.55</v>
      </c>
      <c r="S55" s="0" t="n">
        <v>0.6</v>
      </c>
      <c r="T55" s="0" t="n">
        <v>0.6</v>
      </c>
    </row>
    <row r="56" customFormat="false" ht="12.75" hidden="false" customHeight="false" outlineLevel="0" collapsed="false">
      <c r="A56" s="317" t="n">
        <v>38657</v>
      </c>
      <c r="B56" s="292" t="n">
        <v>0.8</v>
      </c>
      <c r="C56" s="141" t="n">
        <v>0.85</v>
      </c>
      <c r="D56" s="0" t="n">
        <v>0.8</v>
      </c>
      <c r="E56" s="0" t="n">
        <v>0.8</v>
      </c>
      <c r="F56" s="0" t="n">
        <v>0.9</v>
      </c>
      <c r="G56" s="0" t="n">
        <v>0.95</v>
      </c>
      <c r="H56" s="0" t="n">
        <v>0.85</v>
      </c>
      <c r="I56" s="0" t="n">
        <v>0.8</v>
      </c>
      <c r="J56" s="0" t="n">
        <v>0.95</v>
      </c>
      <c r="K56" s="0" t="n">
        <v>0.8</v>
      </c>
      <c r="L56" s="0" t="n">
        <v>0.8</v>
      </c>
      <c r="M56" s="0" t="n">
        <v>0.8</v>
      </c>
      <c r="N56" s="0" t="n">
        <v>0.95</v>
      </c>
      <c r="O56" s="0" t="n">
        <v>0.95</v>
      </c>
      <c r="P56" s="0" t="n">
        <v>0.9</v>
      </c>
      <c r="Q56" s="0" t="n">
        <v>0.8</v>
      </c>
      <c r="R56" s="0" t="n">
        <v>0.8</v>
      </c>
      <c r="S56" s="0" t="n">
        <v>0.8</v>
      </c>
      <c r="T56" s="0" t="n">
        <v>0.8</v>
      </c>
    </row>
    <row r="57" customFormat="false" ht="12.75" hidden="false" customHeight="false" outlineLevel="0" collapsed="false">
      <c r="A57" s="317" t="n">
        <v>38687</v>
      </c>
      <c r="B57" s="292" t="n">
        <v>1</v>
      </c>
      <c r="C57" s="141" t="n">
        <v>1.05</v>
      </c>
      <c r="D57" s="0" t="n">
        <v>1</v>
      </c>
      <c r="E57" s="0" t="n">
        <v>1</v>
      </c>
      <c r="F57" s="0" t="n">
        <v>1.15</v>
      </c>
      <c r="G57" s="0" t="n">
        <v>1.25</v>
      </c>
      <c r="H57" s="0" t="n">
        <v>1.05</v>
      </c>
      <c r="I57" s="0" t="n">
        <v>1</v>
      </c>
      <c r="J57" s="0" t="n">
        <v>1.35</v>
      </c>
      <c r="K57" s="0" t="n">
        <v>1</v>
      </c>
      <c r="L57" s="0" t="n">
        <v>1.1</v>
      </c>
      <c r="M57" s="0" t="n">
        <v>1</v>
      </c>
      <c r="N57" s="0" t="n">
        <v>1.25</v>
      </c>
      <c r="O57" s="0" t="n">
        <v>1.15</v>
      </c>
      <c r="P57" s="0" t="n">
        <v>1.1</v>
      </c>
      <c r="Q57" s="0" t="n">
        <v>1</v>
      </c>
      <c r="R57" s="0" t="n">
        <v>1</v>
      </c>
      <c r="S57" s="0" t="n">
        <v>1</v>
      </c>
      <c r="T57" s="0" t="n">
        <v>1</v>
      </c>
    </row>
    <row r="58" customFormat="false" ht="12.75" hidden="false" customHeight="false" outlineLevel="0" collapsed="false">
      <c r="A58" s="317" t="n">
        <v>38718</v>
      </c>
      <c r="B58" s="292" t="n">
        <v>1</v>
      </c>
      <c r="C58" s="141" t="n">
        <v>1.05</v>
      </c>
      <c r="D58" s="0" t="n">
        <v>1</v>
      </c>
      <c r="E58" s="0" t="n">
        <v>1</v>
      </c>
      <c r="F58" s="0" t="n">
        <v>1.15</v>
      </c>
      <c r="G58" s="0" t="n">
        <v>1.45</v>
      </c>
      <c r="H58" s="0" t="n">
        <v>1.05</v>
      </c>
      <c r="I58" s="0" t="n">
        <v>1</v>
      </c>
      <c r="J58" s="0" t="n">
        <v>1.35</v>
      </c>
      <c r="K58" s="0" t="n">
        <v>1</v>
      </c>
      <c r="L58" s="0" t="n">
        <v>1.1</v>
      </c>
      <c r="M58" s="0" t="n">
        <v>1</v>
      </c>
      <c r="N58" s="0" t="n">
        <v>1.45</v>
      </c>
      <c r="O58" s="0" t="n">
        <v>1.15</v>
      </c>
      <c r="P58" s="0" t="n">
        <v>1.1</v>
      </c>
      <c r="Q58" s="0" t="n">
        <v>1</v>
      </c>
      <c r="R58" s="0" t="n">
        <v>1</v>
      </c>
      <c r="S58" s="0" t="n">
        <v>1</v>
      </c>
      <c r="T58" s="0" t="n">
        <v>1</v>
      </c>
    </row>
    <row r="59" customFormat="false" ht="12.75" hidden="false" customHeight="false" outlineLevel="0" collapsed="false">
      <c r="A59" s="317" t="n">
        <v>38749</v>
      </c>
      <c r="B59" s="292" t="n">
        <v>1</v>
      </c>
      <c r="C59" s="141" t="n">
        <v>1.05</v>
      </c>
      <c r="D59" s="0" t="n">
        <v>1</v>
      </c>
      <c r="E59" s="0" t="n">
        <v>1</v>
      </c>
      <c r="F59" s="0" t="n">
        <v>1.15</v>
      </c>
      <c r="G59" s="0" t="n">
        <v>1.45</v>
      </c>
      <c r="H59" s="0" t="n">
        <v>1.05</v>
      </c>
      <c r="I59" s="0" t="n">
        <v>1</v>
      </c>
      <c r="J59" s="0" t="n">
        <v>1.35</v>
      </c>
      <c r="K59" s="0" t="n">
        <v>1</v>
      </c>
      <c r="L59" s="0" t="n">
        <v>1.1</v>
      </c>
      <c r="M59" s="0" t="n">
        <v>1</v>
      </c>
      <c r="N59" s="0" t="n">
        <v>1.45</v>
      </c>
      <c r="O59" s="0" t="n">
        <v>1.15</v>
      </c>
      <c r="P59" s="0" t="n">
        <v>1.1</v>
      </c>
      <c r="Q59" s="0" t="n">
        <v>1</v>
      </c>
      <c r="R59" s="0" t="n">
        <v>1</v>
      </c>
      <c r="S59" s="0" t="n">
        <v>1</v>
      </c>
      <c r="T59" s="0" t="n">
        <v>1</v>
      </c>
    </row>
    <row r="60" customFormat="false" ht="12.75" hidden="false" customHeight="false" outlineLevel="0" collapsed="false">
      <c r="A60" s="317" t="n">
        <v>38777</v>
      </c>
      <c r="B60" s="292" t="n">
        <v>0.75</v>
      </c>
      <c r="C60" s="141" t="n">
        <v>0.8</v>
      </c>
      <c r="D60" s="0" t="n">
        <v>0.75</v>
      </c>
      <c r="E60" s="0" t="n">
        <v>0.75</v>
      </c>
      <c r="F60" s="0" t="n">
        <v>0.85</v>
      </c>
      <c r="G60" s="0" t="n">
        <v>1</v>
      </c>
      <c r="H60" s="0" t="n">
        <v>0.75</v>
      </c>
      <c r="I60" s="0" t="n">
        <v>0.75</v>
      </c>
      <c r="J60" s="0" t="n">
        <v>0.95</v>
      </c>
      <c r="K60" s="0" t="n">
        <v>0.75</v>
      </c>
      <c r="L60" s="0" t="n">
        <v>0.75</v>
      </c>
      <c r="M60" s="0" t="n">
        <v>0.75</v>
      </c>
      <c r="N60" s="0" t="n">
        <v>1</v>
      </c>
      <c r="O60" s="0" t="n">
        <v>0.9</v>
      </c>
      <c r="P60" s="0" t="n">
        <v>0.85</v>
      </c>
      <c r="Q60" s="0" t="n">
        <v>0.75</v>
      </c>
      <c r="R60" s="0" t="n">
        <v>0.75</v>
      </c>
      <c r="S60" s="0" t="n">
        <v>0.75</v>
      </c>
      <c r="T60" s="0" t="n">
        <v>0.75</v>
      </c>
    </row>
    <row r="61" customFormat="false" ht="12.75" hidden="false" customHeight="false" outlineLevel="0" collapsed="false">
      <c r="A61" s="317" t="n">
        <v>38808</v>
      </c>
      <c r="B61" s="292" t="n">
        <v>0.4</v>
      </c>
      <c r="C61" s="141" t="n">
        <v>0.45</v>
      </c>
      <c r="D61" s="0" t="n">
        <v>0.4</v>
      </c>
      <c r="E61" s="0" t="n">
        <v>0.45</v>
      </c>
      <c r="F61" s="0" t="n">
        <v>0.45</v>
      </c>
      <c r="G61" s="0" t="n">
        <v>0.45</v>
      </c>
      <c r="H61" s="0" t="n">
        <v>0.45</v>
      </c>
      <c r="I61" s="0" t="n">
        <v>0.45</v>
      </c>
      <c r="J61" s="0" t="n">
        <v>0.5</v>
      </c>
      <c r="K61" s="0" t="n">
        <v>0.4</v>
      </c>
      <c r="L61" s="0" t="n">
        <v>0.45</v>
      </c>
      <c r="M61" s="0" t="n">
        <v>0.4</v>
      </c>
      <c r="N61" s="0" t="n">
        <v>0.45</v>
      </c>
      <c r="O61" s="0" t="n">
        <v>0.55</v>
      </c>
      <c r="P61" s="0" t="n">
        <v>0.55</v>
      </c>
      <c r="Q61" s="0" t="n">
        <v>0.4</v>
      </c>
      <c r="R61" s="0" t="n">
        <v>0.4</v>
      </c>
      <c r="S61" s="0" t="n">
        <v>0.45</v>
      </c>
      <c r="T61" s="0" t="n">
        <v>0.4</v>
      </c>
    </row>
    <row r="62" customFormat="false" ht="12.75" hidden="false" customHeight="false" outlineLevel="0" collapsed="false">
      <c r="A62" s="317" t="n">
        <v>38838</v>
      </c>
      <c r="B62" s="292" t="n">
        <v>0.45</v>
      </c>
      <c r="C62" s="141" t="n">
        <v>0.5</v>
      </c>
      <c r="D62" s="0" t="n">
        <v>0.4</v>
      </c>
      <c r="E62" s="0" t="n">
        <v>0.4</v>
      </c>
      <c r="F62" s="0" t="n">
        <v>0.45</v>
      </c>
      <c r="G62" s="0" t="n">
        <v>0.5</v>
      </c>
      <c r="H62" s="0" t="n">
        <v>0.45</v>
      </c>
      <c r="I62" s="0" t="n">
        <v>0.4</v>
      </c>
      <c r="J62" s="0" t="n">
        <v>0.45</v>
      </c>
      <c r="K62" s="0" t="n">
        <v>0.45</v>
      </c>
      <c r="L62" s="0" t="n">
        <v>0.5</v>
      </c>
      <c r="M62" s="0" t="n">
        <v>0.45</v>
      </c>
      <c r="N62" s="0" t="n">
        <v>0.5</v>
      </c>
      <c r="O62" s="0" t="n">
        <v>0.6</v>
      </c>
      <c r="P62" s="0" t="n">
        <v>0.5</v>
      </c>
      <c r="Q62" s="0" t="n">
        <v>0.45</v>
      </c>
      <c r="R62" s="0" t="n">
        <v>0.4</v>
      </c>
      <c r="S62" s="0" t="n">
        <v>0.4</v>
      </c>
      <c r="T62" s="0" t="n">
        <v>0.45</v>
      </c>
    </row>
    <row r="63" customFormat="false" ht="12.75" hidden="false" customHeight="false" outlineLevel="0" collapsed="false">
      <c r="A63" s="317" t="n">
        <v>38869</v>
      </c>
      <c r="B63" s="292" t="n">
        <v>0.45</v>
      </c>
      <c r="C63" s="141" t="n">
        <v>0.5</v>
      </c>
      <c r="D63" s="0" t="n">
        <v>0.4</v>
      </c>
      <c r="E63" s="0" t="n">
        <v>0.5</v>
      </c>
      <c r="F63" s="0" t="n">
        <v>0.45</v>
      </c>
      <c r="G63" s="0" t="n">
        <v>0.5</v>
      </c>
      <c r="H63" s="0" t="n">
        <v>0.5</v>
      </c>
      <c r="I63" s="0" t="n">
        <v>0.5</v>
      </c>
      <c r="J63" s="0" t="n">
        <v>0.5</v>
      </c>
      <c r="K63" s="0" t="n">
        <v>0.45</v>
      </c>
      <c r="L63" s="0" t="n">
        <v>0.5</v>
      </c>
      <c r="M63" s="0" t="n">
        <v>0.45</v>
      </c>
      <c r="N63" s="0" t="n">
        <v>0.5</v>
      </c>
      <c r="O63" s="0" t="n">
        <v>0.6</v>
      </c>
      <c r="P63" s="0" t="n">
        <v>0.6</v>
      </c>
      <c r="Q63" s="0" t="n">
        <v>0.45</v>
      </c>
      <c r="R63" s="0" t="n">
        <v>0.4</v>
      </c>
      <c r="S63" s="0" t="n">
        <v>0.5</v>
      </c>
      <c r="T63" s="0" t="n">
        <v>0.45</v>
      </c>
    </row>
    <row r="64" customFormat="false" ht="12.75" hidden="false" customHeight="false" outlineLevel="0" collapsed="false">
      <c r="A64" s="317" t="n">
        <v>38899</v>
      </c>
      <c r="B64" s="292" t="n">
        <v>0.5</v>
      </c>
      <c r="C64" s="141" t="n">
        <v>0.5</v>
      </c>
      <c r="D64" s="0" t="n">
        <v>0.4</v>
      </c>
      <c r="E64" s="0" t="n">
        <v>0.5</v>
      </c>
      <c r="F64" s="0" t="n">
        <v>0.5</v>
      </c>
      <c r="G64" s="0" t="n">
        <v>0.5</v>
      </c>
      <c r="H64" s="0" t="n">
        <v>0.5</v>
      </c>
      <c r="I64" s="0" t="n">
        <v>0.5</v>
      </c>
      <c r="J64" s="0" t="n">
        <v>0.5</v>
      </c>
      <c r="K64" s="0" t="n">
        <v>0.5</v>
      </c>
      <c r="L64" s="0" t="n">
        <v>0.55</v>
      </c>
      <c r="M64" s="0" t="n">
        <v>0.5</v>
      </c>
      <c r="N64" s="0" t="n">
        <v>0.5</v>
      </c>
      <c r="O64" s="0" t="n">
        <v>0.65</v>
      </c>
      <c r="P64" s="0" t="n">
        <v>0.6</v>
      </c>
      <c r="Q64" s="0" t="n">
        <v>0.5</v>
      </c>
      <c r="R64" s="0" t="n">
        <v>0.4</v>
      </c>
      <c r="S64" s="0" t="n">
        <v>0.5</v>
      </c>
      <c r="T64" s="0" t="n">
        <v>0.5</v>
      </c>
    </row>
    <row r="65" customFormat="false" ht="12.75" hidden="false" customHeight="false" outlineLevel="0" collapsed="false">
      <c r="A65" s="317" t="n">
        <v>38930</v>
      </c>
      <c r="B65" s="292" t="n">
        <v>0.55</v>
      </c>
      <c r="C65" s="141" t="n">
        <v>0.55</v>
      </c>
      <c r="D65" s="0" t="n">
        <v>0.5</v>
      </c>
      <c r="E65" s="0" t="n">
        <v>0.6</v>
      </c>
      <c r="F65" s="0" t="n">
        <v>0.55</v>
      </c>
      <c r="G65" s="0" t="n">
        <v>0.6</v>
      </c>
      <c r="H65" s="0" t="n">
        <v>0.55</v>
      </c>
      <c r="I65" s="0" t="n">
        <v>0.6</v>
      </c>
      <c r="J65" s="0" t="n">
        <v>0.45</v>
      </c>
      <c r="K65" s="0" t="n">
        <v>0.55</v>
      </c>
      <c r="L65" s="0" t="n">
        <v>0.6</v>
      </c>
      <c r="M65" s="0" t="n">
        <v>0.55</v>
      </c>
      <c r="N65" s="0" t="n">
        <v>0.6</v>
      </c>
      <c r="O65" s="0" t="n">
        <v>0.7</v>
      </c>
      <c r="P65" s="0" t="n">
        <v>0.7</v>
      </c>
      <c r="Q65" s="0" t="n">
        <v>0.55</v>
      </c>
      <c r="R65" s="0" t="n">
        <v>0.5</v>
      </c>
      <c r="S65" s="0" t="n">
        <v>0.6</v>
      </c>
      <c r="T65" s="0" t="n">
        <v>0.55</v>
      </c>
    </row>
    <row r="66" customFormat="false" ht="12.75" hidden="false" customHeight="false" outlineLevel="0" collapsed="false">
      <c r="A66" s="317" t="n">
        <v>38961</v>
      </c>
      <c r="B66" s="292" t="n">
        <v>0.55</v>
      </c>
      <c r="C66" s="141" t="n">
        <v>0.55</v>
      </c>
      <c r="D66" s="0" t="n">
        <v>0.55</v>
      </c>
      <c r="E66" s="0" t="n">
        <v>0.55</v>
      </c>
      <c r="F66" s="0" t="n">
        <v>0.55</v>
      </c>
      <c r="G66" s="0" t="n">
        <v>0.6</v>
      </c>
      <c r="H66" s="0" t="n">
        <v>0.6</v>
      </c>
      <c r="I66" s="0" t="n">
        <v>0.55</v>
      </c>
      <c r="J66" s="0" t="n">
        <v>0.5</v>
      </c>
      <c r="K66" s="0" t="n">
        <v>0.55</v>
      </c>
      <c r="L66" s="0" t="n">
        <v>0.6</v>
      </c>
      <c r="M66" s="0" t="n">
        <v>0.55</v>
      </c>
      <c r="N66" s="0" t="n">
        <v>0.6</v>
      </c>
      <c r="O66" s="0" t="n">
        <v>0.7</v>
      </c>
      <c r="P66" s="0" t="n">
        <v>0.65</v>
      </c>
      <c r="Q66" s="0" t="n">
        <v>0.55</v>
      </c>
      <c r="R66" s="0" t="n">
        <v>0.55</v>
      </c>
      <c r="S66" s="0" t="n">
        <v>0.55</v>
      </c>
      <c r="T66" s="0" t="n">
        <v>0.55</v>
      </c>
    </row>
    <row r="67" customFormat="false" ht="12.75" hidden="false" customHeight="false" outlineLevel="0" collapsed="false">
      <c r="A67" s="317" t="n">
        <v>38991</v>
      </c>
      <c r="B67" s="292" t="n">
        <v>0.6</v>
      </c>
      <c r="C67" s="141" t="n">
        <v>0.6</v>
      </c>
      <c r="D67" s="0" t="n">
        <v>0.55</v>
      </c>
      <c r="E67" s="0" t="n">
        <v>0.6</v>
      </c>
      <c r="F67" s="0" t="n">
        <v>0.6</v>
      </c>
      <c r="G67" s="0" t="n">
        <v>0.65</v>
      </c>
      <c r="H67" s="0" t="n">
        <v>0.65</v>
      </c>
      <c r="I67" s="0" t="n">
        <v>0.6</v>
      </c>
      <c r="J67" s="0" t="n">
        <v>0.5</v>
      </c>
      <c r="K67" s="0" t="n">
        <v>0.6</v>
      </c>
      <c r="L67" s="0" t="n">
        <v>0.65</v>
      </c>
      <c r="M67" s="0" t="n">
        <v>0.6</v>
      </c>
      <c r="N67" s="0" t="n">
        <v>0.65</v>
      </c>
      <c r="O67" s="0" t="n">
        <v>0.75</v>
      </c>
      <c r="P67" s="0" t="n">
        <v>0.7</v>
      </c>
      <c r="Q67" s="0" t="n">
        <v>0.6</v>
      </c>
      <c r="R67" s="0" t="n">
        <v>0.55</v>
      </c>
      <c r="S67" s="0" t="n">
        <v>0.6</v>
      </c>
      <c r="T67" s="0" t="n">
        <v>0.6</v>
      </c>
    </row>
    <row r="68" customFormat="false" ht="12.75" hidden="false" customHeight="false" outlineLevel="0" collapsed="false">
      <c r="A68" s="317" t="n">
        <v>39022</v>
      </c>
      <c r="B68" s="292" t="n">
        <v>0.8</v>
      </c>
      <c r="C68" s="141" t="n">
        <v>0.85</v>
      </c>
      <c r="D68" s="0" t="n">
        <v>0.8</v>
      </c>
      <c r="E68" s="0" t="n">
        <v>0.8</v>
      </c>
      <c r="F68" s="0" t="n">
        <v>0.9</v>
      </c>
      <c r="G68" s="0" t="n">
        <v>0.95</v>
      </c>
      <c r="H68" s="0" t="n">
        <v>0.85</v>
      </c>
      <c r="I68" s="0" t="n">
        <v>0.8</v>
      </c>
      <c r="J68" s="0" t="n">
        <v>0.95</v>
      </c>
      <c r="K68" s="0" t="n">
        <v>0.8</v>
      </c>
      <c r="L68" s="0" t="n">
        <v>0.8</v>
      </c>
      <c r="M68" s="0" t="n">
        <v>0.8</v>
      </c>
      <c r="N68" s="0" t="n">
        <v>0.95</v>
      </c>
      <c r="O68" s="0" t="n">
        <v>0.95</v>
      </c>
      <c r="P68" s="0" t="n">
        <v>0.9</v>
      </c>
      <c r="Q68" s="0" t="n">
        <v>0.8</v>
      </c>
      <c r="R68" s="0" t="n">
        <v>0.8</v>
      </c>
      <c r="S68" s="0" t="n">
        <v>0.8</v>
      </c>
      <c r="T68" s="0" t="n">
        <v>0.8</v>
      </c>
    </row>
    <row r="69" customFormat="false" ht="12.75" hidden="false" customHeight="false" outlineLevel="0" collapsed="false">
      <c r="A69" s="317" t="n">
        <v>39052</v>
      </c>
      <c r="B69" s="292" t="n">
        <v>1</v>
      </c>
      <c r="C69" s="141" t="n">
        <v>1.05</v>
      </c>
      <c r="D69" s="0" t="n">
        <v>1</v>
      </c>
      <c r="E69" s="0" t="n">
        <v>1</v>
      </c>
      <c r="F69" s="0" t="n">
        <v>1.15</v>
      </c>
      <c r="G69" s="0" t="n">
        <v>1.25</v>
      </c>
      <c r="H69" s="0" t="n">
        <v>1.05</v>
      </c>
      <c r="I69" s="0" t="n">
        <v>1</v>
      </c>
      <c r="J69" s="0" t="n">
        <v>1.35</v>
      </c>
      <c r="K69" s="0" t="n">
        <v>1</v>
      </c>
      <c r="L69" s="0" t="n">
        <v>1.1</v>
      </c>
      <c r="M69" s="0" t="n">
        <v>1</v>
      </c>
      <c r="N69" s="0" t="n">
        <v>1.25</v>
      </c>
      <c r="O69" s="0" t="n">
        <v>1.15</v>
      </c>
      <c r="P69" s="0" t="n">
        <v>1.1</v>
      </c>
      <c r="Q69" s="0" t="n">
        <v>1</v>
      </c>
      <c r="R69" s="0" t="n">
        <v>1</v>
      </c>
      <c r="S69" s="0" t="n">
        <v>1</v>
      </c>
      <c r="T69" s="0" t="n">
        <v>1</v>
      </c>
    </row>
    <row r="70" customFormat="false" ht="12.75" hidden="false" customHeight="false" outlineLevel="0" collapsed="false">
      <c r="A70" s="317" t="n">
        <v>39083</v>
      </c>
      <c r="B70" s="292" t="n">
        <v>1</v>
      </c>
      <c r="C70" s="141" t="n">
        <v>1.05</v>
      </c>
      <c r="D70" s="0" t="n">
        <v>1</v>
      </c>
      <c r="E70" s="0" t="n">
        <v>1</v>
      </c>
      <c r="F70" s="0" t="n">
        <v>1.15</v>
      </c>
      <c r="G70" s="0" t="n">
        <v>1.45</v>
      </c>
      <c r="H70" s="0" t="n">
        <v>1.05</v>
      </c>
      <c r="I70" s="0" t="n">
        <v>1</v>
      </c>
      <c r="J70" s="0" t="n">
        <v>1.35</v>
      </c>
      <c r="K70" s="0" t="n">
        <v>1</v>
      </c>
      <c r="L70" s="0" t="n">
        <v>1.1</v>
      </c>
      <c r="M70" s="0" t="n">
        <v>1</v>
      </c>
      <c r="N70" s="0" t="n">
        <v>1.45</v>
      </c>
      <c r="O70" s="0" t="n">
        <v>1.15</v>
      </c>
      <c r="P70" s="0" t="n">
        <v>1.1</v>
      </c>
      <c r="Q70" s="0" t="n">
        <v>1</v>
      </c>
      <c r="R70" s="0" t="n">
        <v>1</v>
      </c>
      <c r="S70" s="0" t="n">
        <v>1</v>
      </c>
      <c r="T70" s="0" t="n">
        <v>1</v>
      </c>
    </row>
    <row r="71" customFormat="false" ht="12.75" hidden="false" customHeight="false" outlineLevel="0" collapsed="false">
      <c r="A71" s="317" t="n">
        <v>39114</v>
      </c>
      <c r="B71" s="292" t="n">
        <v>1</v>
      </c>
      <c r="C71" s="141" t="n">
        <v>1.05</v>
      </c>
      <c r="D71" s="0" t="n">
        <v>1</v>
      </c>
      <c r="E71" s="0" t="n">
        <v>1</v>
      </c>
      <c r="F71" s="0" t="n">
        <v>1.15</v>
      </c>
      <c r="G71" s="0" t="n">
        <v>1.45</v>
      </c>
      <c r="H71" s="0" t="n">
        <v>1.05</v>
      </c>
      <c r="I71" s="0" t="n">
        <v>1</v>
      </c>
      <c r="J71" s="0" t="n">
        <v>1.35</v>
      </c>
      <c r="K71" s="0" t="n">
        <v>1</v>
      </c>
      <c r="L71" s="0" t="n">
        <v>1.1</v>
      </c>
      <c r="M71" s="0" t="n">
        <v>1</v>
      </c>
      <c r="N71" s="0" t="n">
        <v>1.45</v>
      </c>
      <c r="O71" s="0" t="n">
        <v>1.15</v>
      </c>
      <c r="P71" s="0" t="n">
        <v>1.1</v>
      </c>
      <c r="Q71" s="0" t="n">
        <v>1</v>
      </c>
      <c r="R71" s="0" t="n">
        <v>1</v>
      </c>
      <c r="S71" s="0" t="n">
        <v>1</v>
      </c>
      <c r="T71" s="0" t="n">
        <v>1</v>
      </c>
    </row>
    <row r="72" customFormat="false" ht="12.75" hidden="false" customHeight="false" outlineLevel="0" collapsed="false">
      <c r="A72" s="317" t="n">
        <v>39142</v>
      </c>
      <c r="B72" s="292" t="n">
        <v>0.75</v>
      </c>
      <c r="C72" s="141" t="n">
        <v>0.8</v>
      </c>
      <c r="D72" s="0" t="n">
        <v>0.75</v>
      </c>
      <c r="E72" s="0" t="n">
        <v>0.75</v>
      </c>
      <c r="F72" s="0" t="n">
        <v>0.85</v>
      </c>
      <c r="G72" s="0" t="n">
        <v>1</v>
      </c>
      <c r="H72" s="0" t="n">
        <v>0.75</v>
      </c>
      <c r="I72" s="0" t="n">
        <v>0.75</v>
      </c>
      <c r="J72" s="0" t="n">
        <v>0.95</v>
      </c>
      <c r="K72" s="0" t="n">
        <v>0.75</v>
      </c>
      <c r="L72" s="0" t="n">
        <v>0.75</v>
      </c>
      <c r="M72" s="0" t="n">
        <v>0.75</v>
      </c>
      <c r="N72" s="0" t="n">
        <v>1</v>
      </c>
      <c r="O72" s="0" t="n">
        <v>0.9</v>
      </c>
      <c r="P72" s="0" t="n">
        <v>0.85</v>
      </c>
      <c r="Q72" s="0" t="n">
        <v>0.75</v>
      </c>
      <c r="R72" s="0" t="n">
        <v>0.75</v>
      </c>
      <c r="S72" s="0" t="n">
        <v>0.75</v>
      </c>
      <c r="T72" s="0" t="n">
        <v>0.75</v>
      </c>
    </row>
    <row r="73" customFormat="false" ht="12.75" hidden="false" customHeight="false" outlineLevel="0" collapsed="false">
      <c r="A73" s="317" t="n">
        <v>39173</v>
      </c>
      <c r="B73" s="292" t="n">
        <v>0.4</v>
      </c>
      <c r="C73" s="141" t="n">
        <v>0.45</v>
      </c>
      <c r="D73" s="0" t="n">
        <v>0.4</v>
      </c>
      <c r="E73" s="0" t="n">
        <v>0.45</v>
      </c>
      <c r="F73" s="0" t="n">
        <v>0.45</v>
      </c>
      <c r="G73" s="0" t="n">
        <v>0.45</v>
      </c>
      <c r="H73" s="0" t="n">
        <v>0.45</v>
      </c>
      <c r="I73" s="0" t="n">
        <v>0.45</v>
      </c>
      <c r="J73" s="0" t="n">
        <v>0.5</v>
      </c>
      <c r="K73" s="0" t="n">
        <v>0.4</v>
      </c>
      <c r="L73" s="0" t="n">
        <v>0.45</v>
      </c>
      <c r="M73" s="0" t="n">
        <v>0.4</v>
      </c>
      <c r="N73" s="0" t="n">
        <v>0.45</v>
      </c>
      <c r="O73" s="0" t="n">
        <v>0.55</v>
      </c>
      <c r="P73" s="0" t="n">
        <v>0.55</v>
      </c>
      <c r="Q73" s="0" t="n">
        <v>0.4</v>
      </c>
      <c r="R73" s="0" t="n">
        <v>0.4</v>
      </c>
      <c r="S73" s="0" t="n">
        <v>0.45</v>
      </c>
      <c r="T73" s="0" t="n">
        <v>0.4</v>
      </c>
    </row>
    <row r="74" customFormat="false" ht="12.75" hidden="false" customHeight="false" outlineLevel="0" collapsed="false">
      <c r="A74" s="317" t="n">
        <v>39203</v>
      </c>
      <c r="B74" s="292" t="n">
        <v>0.45</v>
      </c>
      <c r="C74" s="141" t="n">
        <v>0.5</v>
      </c>
      <c r="D74" s="0" t="n">
        <v>0.4</v>
      </c>
      <c r="E74" s="0" t="n">
        <v>0.4</v>
      </c>
      <c r="F74" s="0" t="n">
        <v>0.45</v>
      </c>
      <c r="G74" s="0" t="n">
        <v>0.5</v>
      </c>
      <c r="H74" s="0" t="n">
        <v>0.45</v>
      </c>
      <c r="I74" s="0" t="n">
        <v>0.4</v>
      </c>
      <c r="J74" s="0" t="n">
        <v>0.45</v>
      </c>
      <c r="K74" s="0" t="n">
        <v>0.45</v>
      </c>
      <c r="L74" s="0" t="n">
        <v>0.5</v>
      </c>
      <c r="M74" s="0" t="n">
        <v>0.45</v>
      </c>
      <c r="N74" s="0" t="n">
        <v>0.5</v>
      </c>
      <c r="O74" s="0" t="n">
        <v>0.6</v>
      </c>
      <c r="P74" s="0" t="n">
        <v>0.5</v>
      </c>
      <c r="Q74" s="0" t="n">
        <v>0.45</v>
      </c>
      <c r="R74" s="0" t="n">
        <v>0.4</v>
      </c>
      <c r="S74" s="0" t="n">
        <v>0.4</v>
      </c>
      <c r="T74" s="0" t="n">
        <v>0.45</v>
      </c>
    </row>
    <row r="75" customFormat="false" ht="12.75" hidden="false" customHeight="false" outlineLevel="0" collapsed="false">
      <c r="A75" s="317" t="n">
        <v>39234</v>
      </c>
      <c r="B75" s="292" t="n">
        <v>0.45</v>
      </c>
      <c r="C75" s="141" t="n">
        <v>0.5</v>
      </c>
      <c r="D75" s="0" t="n">
        <v>0.4</v>
      </c>
      <c r="E75" s="0" t="n">
        <v>0.5</v>
      </c>
      <c r="F75" s="0" t="n">
        <v>0.45</v>
      </c>
      <c r="G75" s="0" t="n">
        <v>0.5</v>
      </c>
      <c r="H75" s="0" t="n">
        <v>0.5</v>
      </c>
      <c r="I75" s="0" t="n">
        <v>0.5</v>
      </c>
      <c r="J75" s="0" t="n">
        <v>0.5</v>
      </c>
      <c r="K75" s="0" t="n">
        <v>0.45</v>
      </c>
      <c r="L75" s="0" t="n">
        <v>0.5</v>
      </c>
      <c r="M75" s="0" t="n">
        <v>0.45</v>
      </c>
      <c r="N75" s="0" t="n">
        <v>0.5</v>
      </c>
      <c r="O75" s="0" t="n">
        <v>0.6</v>
      </c>
      <c r="P75" s="0" t="n">
        <v>0.6</v>
      </c>
      <c r="Q75" s="0" t="n">
        <v>0.45</v>
      </c>
      <c r="R75" s="0" t="n">
        <v>0.4</v>
      </c>
      <c r="S75" s="0" t="n">
        <v>0.5</v>
      </c>
      <c r="T75" s="0" t="n">
        <v>0.45</v>
      </c>
    </row>
    <row r="76" customFormat="false" ht="12.75" hidden="false" customHeight="false" outlineLevel="0" collapsed="false">
      <c r="A76" s="317" t="n">
        <v>39264</v>
      </c>
      <c r="B76" s="292" t="n">
        <v>0.5</v>
      </c>
      <c r="C76" s="141" t="n">
        <v>0.5</v>
      </c>
      <c r="D76" s="0" t="n">
        <v>0.4</v>
      </c>
      <c r="E76" s="0" t="n">
        <v>0.5</v>
      </c>
      <c r="F76" s="0" t="n">
        <v>0.5</v>
      </c>
      <c r="G76" s="0" t="n">
        <v>0.5</v>
      </c>
      <c r="H76" s="0" t="n">
        <v>0.5</v>
      </c>
      <c r="I76" s="0" t="n">
        <v>0.5</v>
      </c>
      <c r="J76" s="0" t="n">
        <v>0.5</v>
      </c>
      <c r="K76" s="0" t="n">
        <v>0.5</v>
      </c>
      <c r="L76" s="0" t="n">
        <v>0.55</v>
      </c>
      <c r="M76" s="0" t="n">
        <v>0.5</v>
      </c>
      <c r="N76" s="0" t="n">
        <v>0.5</v>
      </c>
      <c r="O76" s="0" t="n">
        <v>0.65</v>
      </c>
      <c r="P76" s="0" t="n">
        <v>0.6</v>
      </c>
      <c r="Q76" s="0" t="n">
        <v>0.5</v>
      </c>
      <c r="R76" s="0" t="n">
        <v>0.4</v>
      </c>
      <c r="S76" s="0" t="n">
        <v>0.5</v>
      </c>
      <c r="T76" s="0" t="n">
        <v>0.5</v>
      </c>
    </row>
    <row r="77" customFormat="false" ht="12.75" hidden="false" customHeight="false" outlineLevel="0" collapsed="false">
      <c r="A77" s="317" t="n">
        <v>39295</v>
      </c>
      <c r="B77" s="292" t="n">
        <v>0.55</v>
      </c>
      <c r="C77" s="141" t="n">
        <v>0.55</v>
      </c>
      <c r="D77" s="0" t="n">
        <v>0.5</v>
      </c>
      <c r="E77" s="0" t="n">
        <v>0.6</v>
      </c>
      <c r="F77" s="0" t="n">
        <v>0.55</v>
      </c>
      <c r="G77" s="0" t="n">
        <v>0.6</v>
      </c>
      <c r="H77" s="0" t="n">
        <v>0.55</v>
      </c>
      <c r="I77" s="0" t="n">
        <v>0.6</v>
      </c>
      <c r="J77" s="0" t="n">
        <v>0.45</v>
      </c>
      <c r="K77" s="0" t="n">
        <v>0.55</v>
      </c>
      <c r="L77" s="0" t="n">
        <v>0.6</v>
      </c>
      <c r="M77" s="0" t="n">
        <v>0.55</v>
      </c>
      <c r="N77" s="0" t="n">
        <v>0.6</v>
      </c>
      <c r="O77" s="0" t="n">
        <v>0.7</v>
      </c>
      <c r="P77" s="0" t="n">
        <v>0.7</v>
      </c>
      <c r="Q77" s="0" t="n">
        <v>0.55</v>
      </c>
      <c r="R77" s="0" t="n">
        <v>0.5</v>
      </c>
      <c r="S77" s="0" t="n">
        <v>0.6</v>
      </c>
      <c r="T77" s="0" t="n">
        <v>0.55</v>
      </c>
    </row>
    <row r="78" customFormat="false" ht="12.75" hidden="false" customHeight="false" outlineLevel="0" collapsed="false">
      <c r="A78" s="317" t="n">
        <v>39326</v>
      </c>
      <c r="B78" s="292" t="n">
        <v>0.55</v>
      </c>
      <c r="C78" s="141" t="n">
        <v>0.55</v>
      </c>
      <c r="D78" s="0" t="n">
        <v>0.55</v>
      </c>
      <c r="E78" s="0" t="n">
        <v>0.55</v>
      </c>
      <c r="F78" s="0" t="n">
        <v>0.55</v>
      </c>
      <c r="G78" s="0" t="n">
        <v>0.6</v>
      </c>
      <c r="H78" s="0" t="n">
        <v>0.6</v>
      </c>
      <c r="I78" s="0" t="n">
        <v>0.55</v>
      </c>
      <c r="J78" s="0" t="n">
        <v>0.5</v>
      </c>
      <c r="K78" s="0" t="n">
        <v>0.55</v>
      </c>
      <c r="L78" s="0" t="n">
        <v>0.6</v>
      </c>
      <c r="M78" s="0" t="n">
        <v>0.55</v>
      </c>
      <c r="N78" s="0" t="n">
        <v>0.6</v>
      </c>
      <c r="O78" s="0" t="n">
        <v>0.7</v>
      </c>
      <c r="P78" s="0" t="n">
        <v>0.65</v>
      </c>
      <c r="Q78" s="0" t="n">
        <v>0.55</v>
      </c>
      <c r="R78" s="0" t="n">
        <v>0.55</v>
      </c>
      <c r="S78" s="0" t="n">
        <v>0.55</v>
      </c>
      <c r="T78" s="0" t="n">
        <v>0.55</v>
      </c>
    </row>
    <row r="79" customFormat="false" ht="12.75" hidden="false" customHeight="false" outlineLevel="0" collapsed="false">
      <c r="A79" s="317" t="n">
        <v>39356</v>
      </c>
      <c r="B79" s="292" t="n">
        <v>0.6</v>
      </c>
      <c r="C79" s="141" t="n">
        <v>0.6</v>
      </c>
      <c r="D79" s="0" t="n">
        <v>0.55</v>
      </c>
      <c r="E79" s="0" t="n">
        <v>0.6</v>
      </c>
      <c r="F79" s="0" t="n">
        <v>0.6</v>
      </c>
      <c r="G79" s="0" t="n">
        <v>0.65</v>
      </c>
      <c r="H79" s="0" t="n">
        <v>0.65</v>
      </c>
      <c r="I79" s="0" t="n">
        <v>0.6</v>
      </c>
      <c r="J79" s="0" t="n">
        <v>0.5</v>
      </c>
      <c r="K79" s="0" t="n">
        <v>0.6</v>
      </c>
      <c r="L79" s="0" t="n">
        <v>0.65</v>
      </c>
      <c r="M79" s="0" t="n">
        <v>0.6</v>
      </c>
      <c r="N79" s="0" t="n">
        <v>0.65</v>
      </c>
      <c r="O79" s="0" t="n">
        <v>0.75</v>
      </c>
      <c r="P79" s="0" t="n">
        <v>0.7</v>
      </c>
      <c r="Q79" s="0" t="n">
        <v>0.6</v>
      </c>
      <c r="R79" s="0" t="n">
        <v>0.55</v>
      </c>
      <c r="S79" s="0" t="n">
        <v>0.6</v>
      </c>
      <c r="T79" s="0" t="n">
        <v>0.6</v>
      </c>
    </row>
    <row r="80" customFormat="false" ht="12.75" hidden="false" customHeight="false" outlineLevel="0" collapsed="false">
      <c r="A80" s="317" t="n">
        <v>39387</v>
      </c>
      <c r="B80" s="292" t="n">
        <v>0.8</v>
      </c>
      <c r="C80" s="141" t="n">
        <v>0.85</v>
      </c>
      <c r="D80" s="0" t="n">
        <v>0.8</v>
      </c>
      <c r="E80" s="0" t="n">
        <v>0.8</v>
      </c>
      <c r="F80" s="0" t="n">
        <v>0.9</v>
      </c>
      <c r="G80" s="0" t="n">
        <v>0.95</v>
      </c>
      <c r="H80" s="0" t="n">
        <v>0.85</v>
      </c>
      <c r="I80" s="0" t="n">
        <v>0.8</v>
      </c>
      <c r="J80" s="0" t="n">
        <v>0.95</v>
      </c>
      <c r="K80" s="0" t="n">
        <v>0.8</v>
      </c>
      <c r="L80" s="0" t="n">
        <v>0.8</v>
      </c>
      <c r="M80" s="0" t="n">
        <v>0.8</v>
      </c>
      <c r="N80" s="0" t="n">
        <v>0.95</v>
      </c>
      <c r="O80" s="0" t="n">
        <v>0.95</v>
      </c>
      <c r="P80" s="0" t="n">
        <v>0.9</v>
      </c>
      <c r="Q80" s="0" t="n">
        <v>0.8</v>
      </c>
      <c r="R80" s="0" t="n">
        <v>0.8</v>
      </c>
      <c r="S80" s="0" t="n">
        <v>0.8</v>
      </c>
      <c r="T80" s="0" t="n">
        <v>0.8</v>
      </c>
    </row>
    <row r="81" customFormat="false" ht="12.75" hidden="false" customHeight="false" outlineLevel="0" collapsed="false">
      <c r="A81" s="317" t="n">
        <v>39417</v>
      </c>
      <c r="B81" s="292" t="n">
        <v>1</v>
      </c>
      <c r="C81" s="141" t="n">
        <v>1.05</v>
      </c>
      <c r="D81" s="0" t="n">
        <v>1</v>
      </c>
      <c r="E81" s="0" t="n">
        <v>1</v>
      </c>
      <c r="F81" s="0" t="n">
        <v>1.15</v>
      </c>
      <c r="G81" s="0" t="n">
        <v>1.25</v>
      </c>
      <c r="H81" s="0" t="n">
        <v>1.05</v>
      </c>
      <c r="I81" s="0" t="n">
        <v>1</v>
      </c>
      <c r="J81" s="0" t="n">
        <v>1.35</v>
      </c>
      <c r="K81" s="0" t="n">
        <v>1</v>
      </c>
      <c r="L81" s="0" t="n">
        <v>1.1</v>
      </c>
      <c r="M81" s="0" t="n">
        <v>1</v>
      </c>
      <c r="N81" s="0" t="n">
        <v>1.25</v>
      </c>
      <c r="O81" s="0" t="n">
        <v>1.15</v>
      </c>
      <c r="P81" s="0" t="n">
        <v>1.1</v>
      </c>
      <c r="Q81" s="0" t="n">
        <v>1</v>
      </c>
      <c r="R81" s="0" t="n">
        <v>1</v>
      </c>
      <c r="S81" s="0" t="n">
        <v>1</v>
      </c>
      <c r="T81" s="0" t="n">
        <v>1</v>
      </c>
    </row>
    <row r="82" customFormat="false" ht="12.75" hidden="false" customHeight="false" outlineLevel="0" collapsed="false">
      <c r="A82" s="317" t="n">
        <v>39448</v>
      </c>
      <c r="B82" s="292" t="n">
        <v>1</v>
      </c>
      <c r="C82" s="141" t="n">
        <v>1.05</v>
      </c>
      <c r="D82" s="0" t="n">
        <v>1</v>
      </c>
      <c r="E82" s="0" t="n">
        <v>1</v>
      </c>
      <c r="F82" s="0" t="n">
        <v>1.15</v>
      </c>
      <c r="G82" s="0" t="n">
        <v>1.45</v>
      </c>
      <c r="H82" s="0" t="n">
        <v>1.05</v>
      </c>
      <c r="I82" s="0" t="n">
        <v>1</v>
      </c>
      <c r="J82" s="0" t="n">
        <v>1.35</v>
      </c>
      <c r="K82" s="0" t="n">
        <v>1</v>
      </c>
      <c r="L82" s="0" t="n">
        <v>1.1</v>
      </c>
      <c r="M82" s="0" t="n">
        <v>1</v>
      </c>
      <c r="N82" s="0" t="n">
        <v>1.45</v>
      </c>
      <c r="O82" s="0" t="n">
        <v>1.15</v>
      </c>
      <c r="P82" s="0" t="n">
        <v>1.1</v>
      </c>
      <c r="Q82" s="0" t="n">
        <v>1</v>
      </c>
      <c r="R82" s="0" t="n">
        <v>1</v>
      </c>
      <c r="S82" s="0" t="n">
        <v>1</v>
      </c>
      <c r="T82" s="0" t="n">
        <v>1</v>
      </c>
    </row>
    <row r="83" customFormat="false" ht="12.75" hidden="false" customHeight="false" outlineLevel="0" collapsed="false">
      <c r="A83" s="317" t="n">
        <v>39479</v>
      </c>
      <c r="B83" s="292" t="n">
        <v>1</v>
      </c>
      <c r="C83" s="141" t="n">
        <v>1.05</v>
      </c>
      <c r="D83" s="0" t="n">
        <v>1</v>
      </c>
      <c r="E83" s="0" t="n">
        <v>1</v>
      </c>
      <c r="F83" s="0" t="n">
        <v>1.15</v>
      </c>
      <c r="G83" s="0" t="n">
        <v>1.45</v>
      </c>
      <c r="H83" s="0" t="n">
        <v>1.05</v>
      </c>
      <c r="I83" s="0" t="n">
        <v>1</v>
      </c>
      <c r="J83" s="0" t="n">
        <v>1.35</v>
      </c>
      <c r="K83" s="0" t="n">
        <v>1</v>
      </c>
      <c r="L83" s="0" t="n">
        <v>1.1</v>
      </c>
      <c r="M83" s="0" t="n">
        <v>1</v>
      </c>
      <c r="N83" s="0" t="n">
        <v>1.45</v>
      </c>
      <c r="O83" s="0" t="n">
        <v>1.15</v>
      </c>
      <c r="P83" s="0" t="n">
        <v>1.1</v>
      </c>
      <c r="Q83" s="0" t="n">
        <v>1</v>
      </c>
      <c r="R83" s="0" t="n">
        <v>1</v>
      </c>
      <c r="S83" s="0" t="n">
        <v>1</v>
      </c>
      <c r="T83" s="0" t="n">
        <v>1</v>
      </c>
    </row>
    <row r="84" customFormat="false" ht="12.75" hidden="false" customHeight="false" outlineLevel="0" collapsed="false">
      <c r="A84" s="317" t="n">
        <v>39508</v>
      </c>
      <c r="B84" s="292" t="n">
        <v>0.75</v>
      </c>
      <c r="C84" s="141" t="n">
        <v>0.8</v>
      </c>
      <c r="D84" s="0" t="n">
        <v>0.75</v>
      </c>
      <c r="E84" s="0" t="n">
        <v>0.75</v>
      </c>
      <c r="F84" s="0" t="n">
        <v>0.85</v>
      </c>
      <c r="G84" s="0" t="n">
        <v>1</v>
      </c>
      <c r="H84" s="0" t="n">
        <v>0.75</v>
      </c>
      <c r="I84" s="0" t="n">
        <v>0.75</v>
      </c>
      <c r="J84" s="0" t="n">
        <v>0.95</v>
      </c>
      <c r="K84" s="0" t="n">
        <v>0.75</v>
      </c>
      <c r="L84" s="0" t="n">
        <v>0.75</v>
      </c>
      <c r="M84" s="0" t="n">
        <v>0.75</v>
      </c>
      <c r="N84" s="0" t="n">
        <v>1</v>
      </c>
      <c r="O84" s="0" t="n">
        <v>0.9</v>
      </c>
      <c r="P84" s="0" t="n">
        <v>0.85</v>
      </c>
      <c r="Q84" s="0" t="n">
        <v>0.75</v>
      </c>
      <c r="R84" s="0" t="n">
        <v>0.75</v>
      </c>
      <c r="S84" s="0" t="n">
        <v>0.75</v>
      </c>
      <c r="T84" s="0" t="n">
        <v>0.75</v>
      </c>
    </row>
    <row r="85" customFormat="false" ht="12.75" hidden="false" customHeight="false" outlineLevel="0" collapsed="false">
      <c r="A85" s="317" t="n">
        <v>39539</v>
      </c>
      <c r="B85" s="292" t="n">
        <v>0.4</v>
      </c>
      <c r="C85" s="141" t="n">
        <v>0.45</v>
      </c>
      <c r="D85" s="0" t="n">
        <v>0.4</v>
      </c>
      <c r="E85" s="0" t="n">
        <v>0.45</v>
      </c>
      <c r="F85" s="0" t="n">
        <v>0.45</v>
      </c>
      <c r="G85" s="0" t="n">
        <v>0.45</v>
      </c>
      <c r="H85" s="0" t="n">
        <v>0.45</v>
      </c>
      <c r="I85" s="0" t="n">
        <v>0.45</v>
      </c>
      <c r="J85" s="0" t="n">
        <v>0.5</v>
      </c>
      <c r="K85" s="0" t="n">
        <v>0.4</v>
      </c>
      <c r="L85" s="0" t="n">
        <v>0.45</v>
      </c>
      <c r="M85" s="0" t="n">
        <v>0.4</v>
      </c>
      <c r="N85" s="0" t="n">
        <v>0.45</v>
      </c>
      <c r="O85" s="0" t="n">
        <v>0.55</v>
      </c>
      <c r="P85" s="0" t="n">
        <v>0.55</v>
      </c>
      <c r="Q85" s="0" t="n">
        <v>0.4</v>
      </c>
      <c r="R85" s="0" t="n">
        <v>0.4</v>
      </c>
      <c r="S85" s="0" t="n">
        <v>0.45</v>
      </c>
      <c r="T85" s="0" t="n">
        <v>0.4</v>
      </c>
    </row>
    <row r="86" customFormat="false" ht="12.75" hidden="false" customHeight="false" outlineLevel="0" collapsed="false">
      <c r="A86" s="317" t="n">
        <v>39569</v>
      </c>
      <c r="B86" s="292" t="n">
        <v>0.45</v>
      </c>
      <c r="C86" s="141" t="n">
        <v>0.5</v>
      </c>
      <c r="D86" s="0" t="n">
        <v>0.4</v>
      </c>
      <c r="E86" s="0" t="n">
        <v>0.4</v>
      </c>
      <c r="F86" s="0" t="n">
        <v>0.45</v>
      </c>
      <c r="G86" s="0" t="n">
        <v>0.5</v>
      </c>
      <c r="H86" s="0" t="n">
        <v>0.45</v>
      </c>
      <c r="I86" s="0" t="n">
        <v>0.4</v>
      </c>
      <c r="J86" s="0" t="n">
        <v>0.45</v>
      </c>
      <c r="K86" s="0" t="n">
        <v>0.45</v>
      </c>
      <c r="L86" s="0" t="n">
        <v>0.5</v>
      </c>
      <c r="M86" s="0" t="n">
        <v>0.45</v>
      </c>
      <c r="N86" s="0" t="n">
        <v>0.5</v>
      </c>
      <c r="O86" s="0" t="n">
        <v>0.6</v>
      </c>
      <c r="P86" s="0" t="n">
        <v>0.5</v>
      </c>
      <c r="Q86" s="0" t="n">
        <v>0.45</v>
      </c>
      <c r="R86" s="0" t="n">
        <v>0.4</v>
      </c>
      <c r="S86" s="0" t="n">
        <v>0.4</v>
      </c>
      <c r="T86" s="0" t="n">
        <v>0.45</v>
      </c>
    </row>
    <row r="87" customFormat="false" ht="12.75" hidden="false" customHeight="false" outlineLevel="0" collapsed="false">
      <c r="A87" s="317" t="n">
        <v>39600</v>
      </c>
      <c r="B87" s="292" t="n">
        <v>0.45</v>
      </c>
      <c r="C87" s="141" t="n">
        <v>0.5</v>
      </c>
      <c r="D87" s="0" t="n">
        <v>0.4</v>
      </c>
      <c r="E87" s="0" t="n">
        <v>0.5</v>
      </c>
      <c r="F87" s="0" t="n">
        <v>0.45</v>
      </c>
      <c r="G87" s="0" t="n">
        <v>0.5</v>
      </c>
      <c r="H87" s="0" t="n">
        <v>0.5</v>
      </c>
      <c r="I87" s="0" t="n">
        <v>0.5</v>
      </c>
      <c r="J87" s="0" t="n">
        <v>0.5</v>
      </c>
      <c r="K87" s="0" t="n">
        <v>0.45</v>
      </c>
      <c r="L87" s="0" t="n">
        <v>0.5</v>
      </c>
      <c r="M87" s="0" t="n">
        <v>0.45</v>
      </c>
      <c r="N87" s="0" t="n">
        <v>0.5</v>
      </c>
      <c r="O87" s="0" t="n">
        <v>0.6</v>
      </c>
      <c r="P87" s="0" t="n">
        <v>0.6</v>
      </c>
      <c r="Q87" s="0" t="n">
        <v>0.45</v>
      </c>
      <c r="R87" s="0" t="n">
        <v>0.4</v>
      </c>
      <c r="S87" s="0" t="n">
        <v>0.5</v>
      </c>
      <c r="T87" s="0" t="n">
        <v>0.45</v>
      </c>
    </row>
    <row r="88" customFormat="false" ht="12.75" hidden="false" customHeight="false" outlineLevel="0" collapsed="false">
      <c r="A88" s="317" t="n">
        <v>39630</v>
      </c>
      <c r="B88" s="292" t="n">
        <v>0.5</v>
      </c>
      <c r="C88" s="141" t="n">
        <v>0.5</v>
      </c>
      <c r="D88" s="0" t="n">
        <v>0.4</v>
      </c>
      <c r="E88" s="0" t="n">
        <v>0.5</v>
      </c>
      <c r="F88" s="0" t="n">
        <v>0.5</v>
      </c>
      <c r="G88" s="0" t="n">
        <v>0.5</v>
      </c>
      <c r="H88" s="0" t="n">
        <v>0.5</v>
      </c>
      <c r="I88" s="0" t="n">
        <v>0.5</v>
      </c>
      <c r="J88" s="0" t="n">
        <v>0.5</v>
      </c>
      <c r="K88" s="0" t="n">
        <v>0.5</v>
      </c>
      <c r="L88" s="0" t="n">
        <v>0.55</v>
      </c>
      <c r="M88" s="0" t="n">
        <v>0.5</v>
      </c>
      <c r="N88" s="0" t="n">
        <v>0.5</v>
      </c>
      <c r="O88" s="0" t="n">
        <v>0.65</v>
      </c>
      <c r="P88" s="0" t="n">
        <v>0.6</v>
      </c>
      <c r="Q88" s="0" t="n">
        <v>0.5</v>
      </c>
      <c r="R88" s="0" t="n">
        <v>0.4</v>
      </c>
      <c r="S88" s="0" t="n">
        <v>0.5</v>
      </c>
      <c r="T88" s="0" t="n">
        <v>0.5</v>
      </c>
    </row>
    <row r="89" customFormat="false" ht="12.75" hidden="false" customHeight="false" outlineLevel="0" collapsed="false">
      <c r="A89" s="317" t="n">
        <v>39661</v>
      </c>
      <c r="B89" s="292" t="n">
        <v>0.55</v>
      </c>
      <c r="C89" s="141" t="n">
        <v>0.55</v>
      </c>
      <c r="D89" s="0" t="n">
        <v>0.5</v>
      </c>
      <c r="E89" s="0" t="n">
        <v>0.6</v>
      </c>
      <c r="F89" s="0" t="n">
        <v>0.55</v>
      </c>
      <c r="G89" s="0" t="n">
        <v>0.6</v>
      </c>
      <c r="H89" s="0" t="n">
        <v>0.55</v>
      </c>
      <c r="I89" s="0" t="n">
        <v>0.6</v>
      </c>
      <c r="J89" s="0" t="n">
        <v>0.45</v>
      </c>
      <c r="K89" s="0" t="n">
        <v>0.55</v>
      </c>
      <c r="L89" s="0" t="n">
        <v>0.6</v>
      </c>
      <c r="M89" s="0" t="n">
        <v>0.55</v>
      </c>
      <c r="N89" s="0" t="n">
        <v>0.6</v>
      </c>
      <c r="O89" s="0" t="n">
        <v>0.7</v>
      </c>
      <c r="P89" s="0" t="n">
        <v>0.7</v>
      </c>
      <c r="Q89" s="0" t="n">
        <v>0.55</v>
      </c>
      <c r="R89" s="0" t="n">
        <v>0.5</v>
      </c>
      <c r="S89" s="0" t="n">
        <v>0.6</v>
      </c>
      <c r="T89" s="0" t="n">
        <v>0.55</v>
      </c>
    </row>
    <row r="90" customFormat="false" ht="12.75" hidden="false" customHeight="false" outlineLevel="0" collapsed="false">
      <c r="A90" s="317" t="n">
        <v>39692</v>
      </c>
      <c r="B90" s="292" t="n">
        <v>0.55</v>
      </c>
      <c r="C90" s="141" t="n">
        <v>0.55</v>
      </c>
      <c r="D90" s="0" t="n">
        <v>0.55</v>
      </c>
      <c r="E90" s="0" t="n">
        <v>0.55</v>
      </c>
      <c r="F90" s="0" t="n">
        <v>0.55</v>
      </c>
      <c r="G90" s="0" t="n">
        <v>0.6</v>
      </c>
      <c r="H90" s="0" t="n">
        <v>0.6</v>
      </c>
      <c r="I90" s="0" t="n">
        <v>0.55</v>
      </c>
      <c r="J90" s="0" t="n">
        <v>0.5</v>
      </c>
      <c r="K90" s="0" t="n">
        <v>0.55</v>
      </c>
      <c r="L90" s="0" t="n">
        <v>0.6</v>
      </c>
      <c r="M90" s="0" t="n">
        <v>0.55</v>
      </c>
      <c r="N90" s="0" t="n">
        <v>0.6</v>
      </c>
      <c r="O90" s="0" t="n">
        <v>0.7</v>
      </c>
      <c r="P90" s="0" t="n">
        <v>0.65</v>
      </c>
      <c r="Q90" s="0" t="n">
        <v>0.55</v>
      </c>
      <c r="R90" s="0" t="n">
        <v>0.55</v>
      </c>
      <c r="S90" s="0" t="n">
        <v>0.55</v>
      </c>
      <c r="T90" s="0" t="n">
        <v>0.55</v>
      </c>
    </row>
    <row r="91" customFormat="false" ht="12.75" hidden="false" customHeight="false" outlineLevel="0" collapsed="false">
      <c r="A91" s="317" t="n">
        <v>39722</v>
      </c>
      <c r="B91" s="292" t="n">
        <v>0.6</v>
      </c>
      <c r="C91" s="141" t="n">
        <v>0.6</v>
      </c>
      <c r="D91" s="0" t="n">
        <v>0.55</v>
      </c>
      <c r="E91" s="0" t="n">
        <v>0.6</v>
      </c>
      <c r="F91" s="0" t="n">
        <v>0.6</v>
      </c>
      <c r="G91" s="0" t="n">
        <v>0.65</v>
      </c>
      <c r="H91" s="0" t="n">
        <v>0.65</v>
      </c>
      <c r="I91" s="0" t="n">
        <v>0.6</v>
      </c>
      <c r="J91" s="0" t="n">
        <v>0.5</v>
      </c>
      <c r="K91" s="0" t="n">
        <v>0.6</v>
      </c>
      <c r="L91" s="0" t="n">
        <v>0.65</v>
      </c>
      <c r="M91" s="0" t="n">
        <v>0.6</v>
      </c>
      <c r="N91" s="0" t="n">
        <v>0.65</v>
      </c>
      <c r="O91" s="0" t="n">
        <v>0.75</v>
      </c>
      <c r="P91" s="0" t="n">
        <v>0.7</v>
      </c>
      <c r="Q91" s="0" t="n">
        <v>0.6</v>
      </c>
      <c r="R91" s="0" t="n">
        <v>0.55</v>
      </c>
      <c r="S91" s="0" t="n">
        <v>0.6</v>
      </c>
      <c r="T91" s="0" t="n">
        <v>0.6</v>
      </c>
    </row>
    <row r="92" customFormat="false" ht="12.75" hidden="false" customHeight="false" outlineLevel="0" collapsed="false">
      <c r="A92" s="317" t="n">
        <v>39753</v>
      </c>
      <c r="B92" s="292" t="n">
        <v>0.8</v>
      </c>
      <c r="C92" s="141" t="n">
        <v>0.85</v>
      </c>
      <c r="D92" s="0" t="n">
        <v>0.8</v>
      </c>
      <c r="E92" s="0" t="n">
        <v>0.8</v>
      </c>
      <c r="F92" s="0" t="n">
        <v>0.9</v>
      </c>
      <c r="G92" s="0" t="n">
        <v>0.95</v>
      </c>
      <c r="H92" s="0" t="n">
        <v>0.85</v>
      </c>
      <c r="I92" s="0" t="n">
        <v>0.8</v>
      </c>
      <c r="J92" s="0" t="n">
        <v>0.95</v>
      </c>
      <c r="K92" s="0" t="n">
        <v>0.8</v>
      </c>
      <c r="L92" s="0" t="n">
        <v>0.8</v>
      </c>
      <c r="M92" s="0" t="n">
        <v>0.8</v>
      </c>
      <c r="N92" s="0" t="n">
        <v>0.95</v>
      </c>
      <c r="O92" s="0" t="n">
        <v>0.95</v>
      </c>
      <c r="P92" s="0" t="n">
        <v>0.9</v>
      </c>
      <c r="Q92" s="0" t="n">
        <v>0.8</v>
      </c>
      <c r="R92" s="0" t="n">
        <v>0.8</v>
      </c>
      <c r="S92" s="0" t="n">
        <v>0.8</v>
      </c>
      <c r="T92" s="0" t="n">
        <v>0.8</v>
      </c>
    </row>
    <row r="93" customFormat="false" ht="12.75" hidden="false" customHeight="false" outlineLevel="0" collapsed="false">
      <c r="A93" s="317" t="n">
        <v>39783</v>
      </c>
      <c r="B93" s="292" t="n">
        <v>1</v>
      </c>
      <c r="C93" s="141" t="n">
        <v>1.05</v>
      </c>
      <c r="D93" s="0" t="n">
        <v>1</v>
      </c>
      <c r="E93" s="0" t="n">
        <v>1</v>
      </c>
      <c r="F93" s="0" t="n">
        <v>1.15</v>
      </c>
      <c r="G93" s="0" t="n">
        <v>1.25</v>
      </c>
      <c r="H93" s="0" t="n">
        <v>1.05</v>
      </c>
      <c r="I93" s="0" t="n">
        <v>1</v>
      </c>
      <c r="J93" s="0" t="n">
        <v>1.35</v>
      </c>
      <c r="K93" s="0" t="n">
        <v>1</v>
      </c>
      <c r="L93" s="0" t="n">
        <v>1.1</v>
      </c>
      <c r="M93" s="0" t="n">
        <v>1</v>
      </c>
      <c r="N93" s="0" t="n">
        <v>1.25</v>
      </c>
      <c r="O93" s="0" t="n">
        <v>1.15</v>
      </c>
      <c r="P93" s="0" t="n">
        <v>1.1</v>
      </c>
      <c r="Q93" s="0" t="n">
        <v>1</v>
      </c>
      <c r="R93" s="0" t="n">
        <v>1</v>
      </c>
      <c r="S93" s="0" t="n">
        <v>1</v>
      </c>
      <c r="T93" s="0" t="n">
        <v>1</v>
      </c>
    </row>
    <row r="94" customFormat="false" ht="12.75" hidden="false" customHeight="false" outlineLevel="0" collapsed="false">
      <c r="A94" s="317" t="n">
        <v>39814</v>
      </c>
      <c r="B94" s="292" t="n">
        <v>1</v>
      </c>
      <c r="C94" s="141" t="n">
        <v>1.05</v>
      </c>
      <c r="D94" s="0" t="n">
        <v>1</v>
      </c>
      <c r="E94" s="0" t="n">
        <v>1</v>
      </c>
      <c r="F94" s="0" t="n">
        <v>1.15</v>
      </c>
      <c r="G94" s="0" t="n">
        <v>1.45</v>
      </c>
      <c r="H94" s="0" t="n">
        <v>1.05</v>
      </c>
      <c r="I94" s="0" t="n">
        <v>1</v>
      </c>
      <c r="J94" s="0" t="n">
        <v>1.35</v>
      </c>
      <c r="K94" s="0" t="n">
        <v>1</v>
      </c>
      <c r="L94" s="0" t="n">
        <v>1.1</v>
      </c>
      <c r="M94" s="0" t="n">
        <v>1</v>
      </c>
      <c r="N94" s="0" t="n">
        <v>1.45</v>
      </c>
      <c r="O94" s="0" t="n">
        <v>1.15</v>
      </c>
      <c r="P94" s="0" t="n">
        <v>1.1</v>
      </c>
      <c r="Q94" s="0" t="n">
        <v>1</v>
      </c>
      <c r="R94" s="0" t="n">
        <v>1</v>
      </c>
      <c r="S94" s="0" t="n">
        <v>1</v>
      </c>
      <c r="T94" s="0" t="n">
        <v>1</v>
      </c>
    </row>
    <row r="95" customFormat="false" ht="12.75" hidden="false" customHeight="false" outlineLevel="0" collapsed="false">
      <c r="A95" s="317" t="n">
        <v>39845</v>
      </c>
      <c r="B95" s="292" t="n">
        <v>1</v>
      </c>
      <c r="C95" s="141" t="n">
        <v>1.05</v>
      </c>
      <c r="D95" s="0" t="n">
        <v>1</v>
      </c>
      <c r="E95" s="0" t="n">
        <v>1</v>
      </c>
      <c r="F95" s="0" t="n">
        <v>1.15</v>
      </c>
      <c r="G95" s="0" t="n">
        <v>1.45</v>
      </c>
      <c r="H95" s="0" t="n">
        <v>1.05</v>
      </c>
      <c r="I95" s="0" t="n">
        <v>1</v>
      </c>
      <c r="J95" s="0" t="n">
        <v>1.35</v>
      </c>
      <c r="K95" s="0" t="n">
        <v>1</v>
      </c>
      <c r="L95" s="0" t="n">
        <v>1.1</v>
      </c>
      <c r="M95" s="0" t="n">
        <v>1</v>
      </c>
      <c r="N95" s="0" t="n">
        <v>1.45</v>
      </c>
      <c r="O95" s="0" t="n">
        <v>1.15</v>
      </c>
      <c r="P95" s="0" t="n">
        <v>1.1</v>
      </c>
      <c r="Q95" s="0" t="n">
        <v>1</v>
      </c>
      <c r="R95" s="0" t="n">
        <v>1</v>
      </c>
      <c r="S95" s="0" t="n">
        <v>1</v>
      </c>
      <c r="T95" s="0" t="n">
        <v>1</v>
      </c>
    </row>
    <row r="96" customFormat="false" ht="12.75" hidden="false" customHeight="false" outlineLevel="0" collapsed="false">
      <c r="A96" s="317" t="n">
        <v>39873</v>
      </c>
      <c r="B96" s="292" t="n">
        <v>0.75</v>
      </c>
      <c r="C96" s="141" t="n">
        <v>0.8</v>
      </c>
      <c r="D96" s="0" t="n">
        <v>0.75</v>
      </c>
      <c r="E96" s="0" t="n">
        <v>0.75</v>
      </c>
      <c r="F96" s="0" t="n">
        <v>0.85</v>
      </c>
      <c r="G96" s="0" t="n">
        <v>1</v>
      </c>
      <c r="H96" s="0" t="n">
        <v>0.75</v>
      </c>
      <c r="I96" s="0" t="n">
        <v>0.75</v>
      </c>
      <c r="J96" s="0" t="n">
        <v>0.95</v>
      </c>
      <c r="K96" s="0" t="n">
        <v>0.75</v>
      </c>
      <c r="L96" s="0" t="n">
        <v>0.75</v>
      </c>
      <c r="M96" s="0" t="n">
        <v>0.75</v>
      </c>
      <c r="N96" s="0" t="n">
        <v>1</v>
      </c>
      <c r="O96" s="0" t="n">
        <v>0.9</v>
      </c>
      <c r="P96" s="0" t="n">
        <v>0.85</v>
      </c>
      <c r="Q96" s="0" t="n">
        <v>0.75</v>
      </c>
      <c r="R96" s="0" t="n">
        <v>0.75</v>
      </c>
      <c r="S96" s="0" t="n">
        <v>0.75</v>
      </c>
      <c r="T96" s="0" t="n">
        <v>0.75</v>
      </c>
    </row>
    <row r="97" customFormat="false" ht="12.75" hidden="false" customHeight="false" outlineLevel="0" collapsed="false">
      <c r="A97" s="317" t="n">
        <v>39904</v>
      </c>
      <c r="B97" s="141" t="n">
        <v>0.4</v>
      </c>
      <c r="C97" s="141" t="n">
        <v>0.45</v>
      </c>
      <c r="D97" s="0" t="n">
        <v>0.4</v>
      </c>
      <c r="E97" s="0" t="n">
        <v>0.45</v>
      </c>
      <c r="F97" s="0" t="n">
        <v>0.45</v>
      </c>
      <c r="G97" s="0" t="n">
        <v>0.45</v>
      </c>
      <c r="H97" s="0" t="n">
        <v>0.45</v>
      </c>
      <c r="I97" s="0" t="n">
        <v>0.45</v>
      </c>
      <c r="J97" s="0" t="n">
        <v>0.5</v>
      </c>
      <c r="K97" s="0" t="n">
        <v>0.4</v>
      </c>
      <c r="L97" s="0" t="n">
        <v>0.45</v>
      </c>
      <c r="M97" s="0" t="n">
        <v>0.4</v>
      </c>
      <c r="N97" s="0" t="n">
        <v>0.45</v>
      </c>
      <c r="O97" s="0" t="n">
        <v>0.55</v>
      </c>
      <c r="P97" s="0" t="n">
        <v>0.55</v>
      </c>
      <c r="Q97" s="0" t="n">
        <v>0.4</v>
      </c>
      <c r="R97" s="0" t="n">
        <v>0.4</v>
      </c>
      <c r="S97" s="0" t="n">
        <v>0.45</v>
      </c>
      <c r="T97" s="0" t="n">
        <v>0.4</v>
      </c>
    </row>
    <row r="98" customFormat="false" ht="12.75" hidden="false" customHeight="false" outlineLevel="0" collapsed="false">
      <c r="A98" s="317" t="n">
        <v>39934</v>
      </c>
      <c r="B98" s="141" t="n">
        <v>0.45</v>
      </c>
      <c r="C98" s="141" t="n">
        <v>0.5</v>
      </c>
      <c r="D98" s="0" t="n">
        <v>0.4</v>
      </c>
      <c r="E98" s="0" t="n">
        <v>0.4</v>
      </c>
      <c r="F98" s="0" t="n">
        <v>0.45</v>
      </c>
      <c r="G98" s="0" t="n">
        <v>0.5</v>
      </c>
      <c r="H98" s="0" t="n">
        <v>0.45</v>
      </c>
      <c r="I98" s="0" t="n">
        <v>0.4</v>
      </c>
      <c r="J98" s="0" t="n">
        <v>0.45</v>
      </c>
      <c r="K98" s="0" t="n">
        <v>0.45</v>
      </c>
      <c r="L98" s="0" t="n">
        <v>0.5</v>
      </c>
      <c r="M98" s="0" t="n">
        <v>0.45</v>
      </c>
      <c r="N98" s="0" t="n">
        <v>0.5</v>
      </c>
      <c r="O98" s="0" t="n">
        <v>0.6</v>
      </c>
      <c r="P98" s="0" t="n">
        <v>0.5</v>
      </c>
      <c r="Q98" s="0" t="n">
        <v>0.45</v>
      </c>
      <c r="R98" s="0" t="n">
        <v>0.4</v>
      </c>
      <c r="S98" s="0" t="n">
        <v>0.4</v>
      </c>
      <c r="T98" s="0" t="n">
        <v>0.45</v>
      </c>
    </row>
    <row r="99" customFormat="false" ht="12.75" hidden="false" customHeight="false" outlineLevel="0" collapsed="false">
      <c r="A99" s="317" t="n">
        <v>39965</v>
      </c>
      <c r="B99" s="141" t="n">
        <v>0.45</v>
      </c>
      <c r="C99" s="141" t="n">
        <v>0.5</v>
      </c>
      <c r="D99" s="0" t="n">
        <v>0.4</v>
      </c>
      <c r="E99" s="0" t="n">
        <v>0.5</v>
      </c>
      <c r="F99" s="0" t="n">
        <v>0.45</v>
      </c>
      <c r="G99" s="0" t="n">
        <v>0.5</v>
      </c>
      <c r="H99" s="0" t="n">
        <v>0.5</v>
      </c>
      <c r="I99" s="0" t="n">
        <v>0.5</v>
      </c>
      <c r="J99" s="0" t="n">
        <v>0.5</v>
      </c>
      <c r="K99" s="0" t="n">
        <v>0.45</v>
      </c>
      <c r="L99" s="0" t="n">
        <v>0.5</v>
      </c>
      <c r="M99" s="0" t="n">
        <v>0.45</v>
      </c>
      <c r="N99" s="0" t="n">
        <v>0.5</v>
      </c>
      <c r="O99" s="0" t="n">
        <v>0.6</v>
      </c>
      <c r="P99" s="0" t="n">
        <v>0.6</v>
      </c>
      <c r="Q99" s="0" t="n">
        <v>0.45</v>
      </c>
      <c r="R99" s="0" t="n">
        <v>0.4</v>
      </c>
      <c r="S99" s="0" t="n">
        <v>0.5</v>
      </c>
      <c r="T99" s="0" t="n">
        <v>0.45</v>
      </c>
    </row>
    <row r="100" customFormat="false" ht="12.75" hidden="false" customHeight="false" outlineLevel="0" collapsed="false">
      <c r="A100" s="317" t="n">
        <v>39995</v>
      </c>
      <c r="B100" s="141" t="n">
        <v>0.5</v>
      </c>
      <c r="C100" s="141" t="n">
        <v>0.5</v>
      </c>
      <c r="D100" s="0" t="n">
        <v>0.4</v>
      </c>
      <c r="E100" s="0" t="n">
        <v>0.5</v>
      </c>
      <c r="F100" s="0" t="n">
        <v>0.5</v>
      </c>
      <c r="G100" s="0" t="n">
        <v>0.5</v>
      </c>
      <c r="H100" s="0" t="n">
        <v>0.5</v>
      </c>
      <c r="I100" s="0" t="n">
        <v>0.5</v>
      </c>
      <c r="J100" s="0" t="n">
        <v>0.5</v>
      </c>
      <c r="K100" s="0" t="n">
        <v>0.5</v>
      </c>
      <c r="L100" s="0" t="n">
        <v>0.55</v>
      </c>
      <c r="M100" s="0" t="n">
        <v>0.5</v>
      </c>
      <c r="N100" s="0" t="n">
        <v>0.5</v>
      </c>
      <c r="O100" s="0" t="n">
        <v>0.65</v>
      </c>
      <c r="P100" s="0" t="n">
        <v>0.6</v>
      </c>
      <c r="Q100" s="0" t="n">
        <v>0.5</v>
      </c>
      <c r="R100" s="0" t="n">
        <v>0.4</v>
      </c>
      <c r="S100" s="0" t="n">
        <v>0.5</v>
      </c>
      <c r="T100" s="0" t="n">
        <v>0.5</v>
      </c>
    </row>
    <row r="101" customFormat="false" ht="12.75" hidden="false" customHeight="false" outlineLevel="0" collapsed="false">
      <c r="A101" s="317" t="n">
        <v>40026</v>
      </c>
      <c r="B101" s="141" t="n">
        <v>0.55</v>
      </c>
      <c r="C101" s="141" t="n">
        <v>0.55</v>
      </c>
      <c r="D101" s="0" t="n">
        <v>0.5</v>
      </c>
      <c r="E101" s="0" t="n">
        <v>0.6</v>
      </c>
      <c r="F101" s="0" t="n">
        <v>0.55</v>
      </c>
      <c r="G101" s="0" t="n">
        <v>0.6</v>
      </c>
      <c r="H101" s="0" t="n">
        <v>0.55</v>
      </c>
      <c r="I101" s="0" t="n">
        <v>0.6</v>
      </c>
      <c r="J101" s="0" t="n">
        <v>0.45</v>
      </c>
      <c r="K101" s="0" t="n">
        <v>0.55</v>
      </c>
      <c r="L101" s="0" t="n">
        <v>0.6</v>
      </c>
      <c r="M101" s="0" t="n">
        <v>0.55</v>
      </c>
      <c r="N101" s="0" t="n">
        <v>0.6</v>
      </c>
      <c r="O101" s="0" t="n">
        <v>0.7</v>
      </c>
      <c r="P101" s="0" t="n">
        <v>0.7</v>
      </c>
      <c r="Q101" s="0" t="n">
        <v>0.55</v>
      </c>
      <c r="R101" s="0" t="n">
        <v>0.5</v>
      </c>
      <c r="S101" s="0" t="n">
        <v>0.6</v>
      </c>
      <c r="T101" s="0" t="n">
        <v>0.55</v>
      </c>
    </row>
    <row r="102" customFormat="false" ht="12.75" hidden="false" customHeight="false" outlineLevel="0" collapsed="false">
      <c r="A102" s="317" t="n">
        <v>40057</v>
      </c>
      <c r="B102" s="141" t="n">
        <v>0.55</v>
      </c>
      <c r="C102" s="141" t="n">
        <v>0.55</v>
      </c>
      <c r="D102" s="0" t="n">
        <v>0.55</v>
      </c>
      <c r="E102" s="0" t="n">
        <v>0.55</v>
      </c>
      <c r="F102" s="0" t="n">
        <v>0.55</v>
      </c>
      <c r="G102" s="0" t="n">
        <v>0.6</v>
      </c>
      <c r="H102" s="0" t="n">
        <v>0.6</v>
      </c>
      <c r="I102" s="0" t="n">
        <v>0.55</v>
      </c>
      <c r="J102" s="0" t="n">
        <v>0.5</v>
      </c>
      <c r="K102" s="0" t="n">
        <v>0.55</v>
      </c>
      <c r="L102" s="0" t="n">
        <v>0.6</v>
      </c>
      <c r="M102" s="0" t="n">
        <v>0.55</v>
      </c>
      <c r="N102" s="0" t="n">
        <v>0.6</v>
      </c>
      <c r="O102" s="0" t="n">
        <v>0.7</v>
      </c>
      <c r="P102" s="0" t="n">
        <v>0.65</v>
      </c>
      <c r="Q102" s="0" t="n">
        <v>0.55</v>
      </c>
      <c r="R102" s="0" t="n">
        <v>0.55</v>
      </c>
      <c r="S102" s="0" t="n">
        <v>0.55</v>
      </c>
      <c r="T102" s="0" t="n">
        <v>0.55</v>
      </c>
    </row>
    <row r="103" customFormat="false" ht="12.75" hidden="false" customHeight="false" outlineLevel="0" collapsed="false">
      <c r="A103" s="317" t="n">
        <v>40087</v>
      </c>
      <c r="B103" s="141" t="n">
        <v>0.6</v>
      </c>
      <c r="C103" s="141" t="n">
        <v>0.6</v>
      </c>
      <c r="D103" s="0" t="n">
        <v>0.55</v>
      </c>
      <c r="E103" s="0" t="n">
        <v>0.6</v>
      </c>
      <c r="F103" s="0" t="n">
        <v>0.6</v>
      </c>
      <c r="G103" s="0" t="n">
        <v>0.65</v>
      </c>
      <c r="H103" s="0" t="n">
        <v>0.65</v>
      </c>
      <c r="I103" s="0" t="n">
        <v>0.6</v>
      </c>
      <c r="J103" s="0" t="n">
        <v>0.5</v>
      </c>
      <c r="K103" s="0" t="n">
        <v>0.6</v>
      </c>
      <c r="L103" s="0" t="n">
        <v>0.65</v>
      </c>
      <c r="M103" s="0" t="n">
        <v>0.6</v>
      </c>
      <c r="N103" s="0" t="n">
        <v>0.65</v>
      </c>
      <c r="O103" s="0" t="n">
        <v>0.75</v>
      </c>
      <c r="P103" s="0" t="n">
        <v>0.7</v>
      </c>
      <c r="Q103" s="0" t="n">
        <v>0.6</v>
      </c>
      <c r="R103" s="0" t="n">
        <v>0.55</v>
      </c>
      <c r="S103" s="0" t="n">
        <v>0.6</v>
      </c>
      <c r="T103" s="0" t="n">
        <v>0.6</v>
      </c>
    </row>
    <row r="104" customFormat="false" ht="12.75" hidden="false" customHeight="false" outlineLevel="0" collapsed="false">
      <c r="A104" s="317" t="n">
        <v>40118</v>
      </c>
      <c r="B104" s="141" t="n">
        <v>0.8</v>
      </c>
      <c r="C104" s="141" t="n">
        <v>0.85</v>
      </c>
      <c r="D104" s="0" t="n">
        <v>0.8</v>
      </c>
      <c r="E104" s="0" t="n">
        <v>0.8</v>
      </c>
      <c r="F104" s="0" t="n">
        <v>0.9</v>
      </c>
      <c r="G104" s="0" t="n">
        <v>0.95</v>
      </c>
      <c r="H104" s="0" t="n">
        <v>0.85</v>
      </c>
      <c r="I104" s="0" t="n">
        <v>0.8</v>
      </c>
      <c r="J104" s="0" t="n">
        <v>0.95</v>
      </c>
      <c r="K104" s="0" t="n">
        <v>0.8</v>
      </c>
      <c r="L104" s="0" t="n">
        <v>0.8</v>
      </c>
      <c r="M104" s="0" t="n">
        <v>0.8</v>
      </c>
      <c r="N104" s="0" t="n">
        <v>0.95</v>
      </c>
      <c r="O104" s="0" t="n">
        <v>0.95</v>
      </c>
      <c r="P104" s="0" t="n">
        <v>0.9</v>
      </c>
      <c r="Q104" s="0" t="n">
        <v>0.8</v>
      </c>
      <c r="R104" s="0" t="n">
        <v>0.8</v>
      </c>
      <c r="S104" s="0" t="n">
        <v>0.8</v>
      </c>
      <c r="T104" s="0" t="n">
        <v>0.8</v>
      </c>
    </row>
    <row r="105" customFormat="false" ht="12.75" hidden="false" customHeight="false" outlineLevel="0" collapsed="false">
      <c r="A105" s="317" t="n">
        <v>40148</v>
      </c>
      <c r="B105" s="141" t="n">
        <v>1</v>
      </c>
      <c r="C105" s="141" t="n">
        <v>1.05</v>
      </c>
      <c r="D105" s="0" t="n">
        <v>1</v>
      </c>
      <c r="E105" s="0" t="n">
        <v>1</v>
      </c>
      <c r="F105" s="0" t="n">
        <v>1.15</v>
      </c>
      <c r="G105" s="0" t="n">
        <v>1.25</v>
      </c>
      <c r="H105" s="0" t="n">
        <v>1.05</v>
      </c>
      <c r="I105" s="0" t="n">
        <v>1</v>
      </c>
      <c r="J105" s="0" t="n">
        <v>1.35</v>
      </c>
      <c r="K105" s="0" t="n">
        <v>1</v>
      </c>
      <c r="L105" s="0" t="n">
        <v>1.1</v>
      </c>
      <c r="M105" s="0" t="n">
        <v>1</v>
      </c>
      <c r="N105" s="0" t="n">
        <v>1.25</v>
      </c>
      <c r="O105" s="0" t="n">
        <v>1.15</v>
      </c>
      <c r="P105" s="0" t="n">
        <v>1.1</v>
      </c>
      <c r="Q105" s="0" t="n">
        <v>1</v>
      </c>
      <c r="R105" s="0" t="n">
        <v>1</v>
      </c>
      <c r="S105" s="0" t="n">
        <v>1</v>
      </c>
      <c r="T105" s="0" t="n">
        <v>1</v>
      </c>
    </row>
    <row r="106" customFormat="false" ht="12.75" hidden="false" customHeight="false" outlineLevel="0" collapsed="false">
      <c r="A106" s="317" t="n">
        <v>40179</v>
      </c>
      <c r="B106" s="141" t="n">
        <v>1</v>
      </c>
      <c r="C106" s="141" t="n">
        <v>1.05</v>
      </c>
      <c r="D106" s="0" t="n">
        <v>1</v>
      </c>
      <c r="E106" s="0" t="n">
        <v>1</v>
      </c>
      <c r="F106" s="0" t="n">
        <v>1.15</v>
      </c>
      <c r="G106" s="0" t="n">
        <v>1.45</v>
      </c>
      <c r="H106" s="0" t="n">
        <v>1.05</v>
      </c>
      <c r="I106" s="0" t="n">
        <v>1</v>
      </c>
      <c r="J106" s="0" t="n">
        <v>1.35</v>
      </c>
      <c r="K106" s="0" t="n">
        <v>1</v>
      </c>
      <c r="L106" s="0" t="n">
        <v>1.1</v>
      </c>
      <c r="M106" s="0" t="n">
        <v>1</v>
      </c>
      <c r="N106" s="0" t="n">
        <v>1.45</v>
      </c>
      <c r="O106" s="0" t="n">
        <v>1.15</v>
      </c>
      <c r="P106" s="0" t="n">
        <v>1.1</v>
      </c>
      <c r="Q106" s="0" t="n">
        <v>1</v>
      </c>
      <c r="R106" s="0" t="n">
        <v>1</v>
      </c>
      <c r="S106" s="0" t="n">
        <v>1</v>
      </c>
      <c r="T106" s="0" t="n">
        <v>1</v>
      </c>
    </row>
    <row r="107" customFormat="false" ht="12.75" hidden="false" customHeight="false" outlineLevel="0" collapsed="false">
      <c r="A107" s="317" t="n">
        <v>40210</v>
      </c>
      <c r="B107" s="141" t="n">
        <v>1</v>
      </c>
      <c r="C107" s="141" t="n">
        <v>1.05</v>
      </c>
      <c r="D107" s="0" t="n">
        <v>1</v>
      </c>
      <c r="E107" s="0" t="n">
        <v>1</v>
      </c>
      <c r="F107" s="0" t="n">
        <v>1.15</v>
      </c>
      <c r="G107" s="0" t="n">
        <v>1.45</v>
      </c>
      <c r="H107" s="0" t="n">
        <v>1.05</v>
      </c>
      <c r="I107" s="0" t="n">
        <v>1</v>
      </c>
      <c r="J107" s="0" t="n">
        <v>1.35</v>
      </c>
      <c r="K107" s="0" t="n">
        <v>1</v>
      </c>
      <c r="L107" s="0" t="n">
        <v>1.1</v>
      </c>
      <c r="M107" s="0" t="n">
        <v>1</v>
      </c>
      <c r="N107" s="0" t="n">
        <v>1.45</v>
      </c>
      <c r="O107" s="0" t="n">
        <v>1.15</v>
      </c>
      <c r="P107" s="0" t="n">
        <v>1.1</v>
      </c>
      <c r="Q107" s="0" t="n">
        <v>1</v>
      </c>
      <c r="R107" s="0" t="n">
        <v>1</v>
      </c>
      <c r="S107" s="0" t="n">
        <v>1</v>
      </c>
      <c r="T107" s="0" t="n">
        <v>1</v>
      </c>
    </row>
    <row r="108" customFormat="false" ht="12.75" hidden="false" customHeight="false" outlineLevel="0" collapsed="false">
      <c r="A108" s="317" t="n">
        <v>40238</v>
      </c>
      <c r="B108" s="141" t="n">
        <v>0.75</v>
      </c>
      <c r="C108" s="141" t="n">
        <v>0.8</v>
      </c>
      <c r="D108" s="0" t="n">
        <v>0.75</v>
      </c>
      <c r="E108" s="0" t="n">
        <v>0.75</v>
      </c>
      <c r="F108" s="0" t="n">
        <v>0.85</v>
      </c>
      <c r="G108" s="0" t="n">
        <v>1</v>
      </c>
      <c r="H108" s="0" t="n">
        <v>0.75</v>
      </c>
      <c r="I108" s="0" t="n">
        <v>0.75</v>
      </c>
      <c r="J108" s="0" t="n">
        <v>0.95</v>
      </c>
      <c r="K108" s="0" t="n">
        <v>0.75</v>
      </c>
      <c r="L108" s="0" t="n">
        <v>0.75</v>
      </c>
      <c r="M108" s="0" t="n">
        <v>0.75</v>
      </c>
      <c r="N108" s="0" t="n">
        <v>1</v>
      </c>
      <c r="O108" s="0" t="n">
        <v>0.9</v>
      </c>
      <c r="P108" s="0" t="n">
        <v>0.85</v>
      </c>
      <c r="Q108" s="0" t="n">
        <v>0.75</v>
      </c>
      <c r="R108" s="0" t="n">
        <v>0.75</v>
      </c>
      <c r="S108" s="0" t="n">
        <v>0.75</v>
      </c>
      <c r="T108" s="0" t="n">
        <v>0.75</v>
      </c>
    </row>
    <row r="109" customFormat="false" ht="12.75" hidden="false" customHeight="false" outlineLevel="0" collapsed="false">
      <c r="A109" s="317" t="n">
        <v>40269</v>
      </c>
      <c r="B109" s="141" t="n">
        <v>0.4</v>
      </c>
      <c r="C109" s="141" t="n">
        <v>0.45</v>
      </c>
      <c r="D109" s="0" t="n">
        <v>0.4</v>
      </c>
      <c r="E109" s="0" t="n">
        <v>0.45</v>
      </c>
      <c r="F109" s="0" t="n">
        <v>0.45</v>
      </c>
      <c r="G109" s="0" t="n">
        <v>0.45</v>
      </c>
      <c r="H109" s="0" t="n">
        <v>0.45</v>
      </c>
      <c r="I109" s="0" t="n">
        <v>0.45</v>
      </c>
      <c r="J109" s="0" t="n">
        <v>0.5</v>
      </c>
      <c r="K109" s="0" t="n">
        <v>0.4</v>
      </c>
      <c r="L109" s="0" t="n">
        <v>0.45</v>
      </c>
      <c r="M109" s="0" t="n">
        <v>0.4</v>
      </c>
      <c r="N109" s="0" t="n">
        <v>0.45</v>
      </c>
      <c r="O109" s="0" t="n">
        <v>0.55</v>
      </c>
      <c r="P109" s="0" t="n">
        <v>0.55</v>
      </c>
      <c r="Q109" s="0" t="n">
        <v>0.4</v>
      </c>
      <c r="R109" s="0" t="n">
        <v>0.4</v>
      </c>
      <c r="S109" s="0" t="n">
        <v>0.45</v>
      </c>
      <c r="T109" s="0" t="n">
        <v>0.4</v>
      </c>
    </row>
    <row r="110" customFormat="false" ht="12.75" hidden="false" customHeight="false" outlineLevel="0" collapsed="false">
      <c r="A110" s="317" t="n">
        <v>40299</v>
      </c>
      <c r="B110" s="141" t="n">
        <v>0.45</v>
      </c>
      <c r="C110" s="141" t="n">
        <v>0.5</v>
      </c>
      <c r="D110" s="0" t="n">
        <v>0.4</v>
      </c>
      <c r="E110" s="0" t="n">
        <v>0.4</v>
      </c>
      <c r="F110" s="0" t="n">
        <v>0.45</v>
      </c>
      <c r="G110" s="0" t="n">
        <v>0.5</v>
      </c>
      <c r="H110" s="0" t="n">
        <v>0.45</v>
      </c>
      <c r="I110" s="0" t="n">
        <v>0.4</v>
      </c>
      <c r="J110" s="0" t="n">
        <v>0.45</v>
      </c>
      <c r="K110" s="0" t="n">
        <v>0.45</v>
      </c>
      <c r="L110" s="0" t="n">
        <v>0.5</v>
      </c>
      <c r="M110" s="0" t="n">
        <v>0.45</v>
      </c>
      <c r="N110" s="0" t="n">
        <v>0.5</v>
      </c>
      <c r="O110" s="0" t="n">
        <v>0.6</v>
      </c>
      <c r="P110" s="0" t="n">
        <v>0.5</v>
      </c>
      <c r="Q110" s="0" t="n">
        <v>0.45</v>
      </c>
      <c r="R110" s="0" t="n">
        <v>0.4</v>
      </c>
      <c r="S110" s="0" t="n">
        <v>0.4</v>
      </c>
      <c r="T110" s="0" t="n">
        <v>0.45</v>
      </c>
    </row>
    <row r="111" customFormat="false" ht="12.75" hidden="false" customHeight="false" outlineLevel="0" collapsed="false">
      <c r="A111" s="317" t="n">
        <v>40330</v>
      </c>
      <c r="B111" s="141" t="n">
        <v>0.45</v>
      </c>
      <c r="C111" s="141" t="n">
        <v>0.5</v>
      </c>
      <c r="D111" s="0" t="n">
        <v>0.4</v>
      </c>
      <c r="E111" s="0" t="n">
        <v>0.5</v>
      </c>
      <c r="F111" s="0" t="n">
        <v>0.45</v>
      </c>
      <c r="G111" s="0" t="n">
        <v>0.5</v>
      </c>
      <c r="H111" s="0" t="n">
        <v>0.5</v>
      </c>
      <c r="I111" s="0" t="n">
        <v>0.5</v>
      </c>
      <c r="J111" s="0" t="n">
        <v>0.5</v>
      </c>
      <c r="K111" s="0" t="n">
        <v>0.45</v>
      </c>
      <c r="L111" s="0" t="n">
        <v>0.5</v>
      </c>
      <c r="M111" s="0" t="n">
        <v>0.45</v>
      </c>
      <c r="N111" s="0" t="n">
        <v>0.5</v>
      </c>
      <c r="O111" s="0" t="n">
        <v>0.6</v>
      </c>
      <c r="P111" s="0" t="n">
        <v>0.6</v>
      </c>
      <c r="Q111" s="0" t="n">
        <v>0.45</v>
      </c>
      <c r="R111" s="0" t="n">
        <v>0.4</v>
      </c>
      <c r="S111" s="0" t="n">
        <v>0.5</v>
      </c>
      <c r="T111" s="0" t="n">
        <v>0.45</v>
      </c>
    </row>
    <row r="112" customFormat="false" ht="12.75" hidden="false" customHeight="false" outlineLevel="0" collapsed="false">
      <c r="A112" s="317" t="n">
        <v>40360</v>
      </c>
      <c r="B112" s="141" t="n">
        <v>0.5</v>
      </c>
      <c r="C112" s="141" t="n">
        <v>0.5</v>
      </c>
      <c r="D112" s="0" t="n">
        <v>0.4</v>
      </c>
      <c r="E112" s="0" t="n">
        <v>0.5</v>
      </c>
      <c r="F112" s="0" t="n">
        <v>0.5</v>
      </c>
      <c r="G112" s="0" t="n">
        <v>0.5</v>
      </c>
      <c r="H112" s="0" t="n">
        <v>0.5</v>
      </c>
      <c r="I112" s="0" t="n">
        <v>0.5</v>
      </c>
      <c r="J112" s="0" t="n">
        <v>0.5</v>
      </c>
      <c r="K112" s="0" t="n">
        <v>0.5</v>
      </c>
      <c r="L112" s="0" t="n">
        <v>0.55</v>
      </c>
      <c r="M112" s="0" t="n">
        <v>0.5</v>
      </c>
      <c r="N112" s="0" t="n">
        <v>0.5</v>
      </c>
      <c r="O112" s="0" t="n">
        <v>0.65</v>
      </c>
      <c r="P112" s="0" t="n">
        <v>0.6</v>
      </c>
      <c r="Q112" s="0" t="n">
        <v>0.5</v>
      </c>
      <c r="R112" s="0" t="n">
        <v>0.4</v>
      </c>
      <c r="S112" s="0" t="n">
        <v>0.5</v>
      </c>
      <c r="T112" s="0" t="n">
        <v>0.5</v>
      </c>
    </row>
    <row r="113" customFormat="false" ht="12.75" hidden="false" customHeight="false" outlineLevel="0" collapsed="false">
      <c r="A113" s="317" t="n">
        <v>40391</v>
      </c>
      <c r="B113" s="141" t="n">
        <v>0.55</v>
      </c>
      <c r="C113" s="141" t="n">
        <v>0.55</v>
      </c>
      <c r="D113" s="0" t="n">
        <v>0.5</v>
      </c>
      <c r="E113" s="0" t="n">
        <v>0.6</v>
      </c>
      <c r="F113" s="0" t="n">
        <v>0.55</v>
      </c>
      <c r="G113" s="0" t="n">
        <v>0.6</v>
      </c>
      <c r="H113" s="0" t="n">
        <v>0.55</v>
      </c>
      <c r="I113" s="0" t="n">
        <v>0.6</v>
      </c>
      <c r="J113" s="0" t="n">
        <v>0.45</v>
      </c>
      <c r="K113" s="0" t="n">
        <v>0.55</v>
      </c>
      <c r="L113" s="0" t="n">
        <v>0.6</v>
      </c>
      <c r="M113" s="0" t="n">
        <v>0.55</v>
      </c>
      <c r="N113" s="0" t="n">
        <v>0.6</v>
      </c>
      <c r="O113" s="0" t="n">
        <v>0.7</v>
      </c>
      <c r="P113" s="0" t="n">
        <v>0.7</v>
      </c>
      <c r="Q113" s="0" t="n">
        <v>0.55</v>
      </c>
      <c r="R113" s="0" t="n">
        <v>0.5</v>
      </c>
      <c r="S113" s="0" t="n">
        <v>0.6</v>
      </c>
      <c r="T113" s="0" t="n">
        <v>0.55</v>
      </c>
    </row>
    <row r="114" customFormat="false" ht="12.75" hidden="false" customHeight="false" outlineLevel="0" collapsed="false">
      <c r="A114" s="317" t="n">
        <v>40422</v>
      </c>
      <c r="B114" s="141" t="n">
        <v>0.55</v>
      </c>
      <c r="C114" s="141" t="n">
        <v>0.55</v>
      </c>
      <c r="D114" s="0" t="n">
        <v>0.55</v>
      </c>
      <c r="E114" s="0" t="n">
        <v>0.55</v>
      </c>
      <c r="F114" s="0" t="n">
        <v>0.55</v>
      </c>
      <c r="G114" s="0" t="n">
        <v>0.6</v>
      </c>
      <c r="H114" s="0" t="n">
        <v>0.6</v>
      </c>
      <c r="I114" s="0" t="n">
        <v>0.55</v>
      </c>
      <c r="J114" s="0" t="n">
        <v>0.5</v>
      </c>
      <c r="K114" s="0" t="n">
        <v>0.55</v>
      </c>
      <c r="L114" s="0" t="n">
        <v>0.6</v>
      </c>
      <c r="M114" s="0" t="n">
        <v>0.55</v>
      </c>
      <c r="N114" s="0" t="n">
        <v>0.6</v>
      </c>
      <c r="O114" s="0" t="n">
        <v>0.7</v>
      </c>
      <c r="P114" s="0" t="n">
        <v>0.65</v>
      </c>
      <c r="Q114" s="0" t="n">
        <v>0.55</v>
      </c>
      <c r="R114" s="0" t="n">
        <v>0.55</v>
      </c>
      <c r="S114" s="0" t="n">
        <v>0.55</v>
      </c>
      <c r="T114" s="0" t="n">
        <v>0.55</v>
      </c>
    </row>
    <row r="115" customFormat="false" ht="12.75" hidden="false" customHeight="false" outlineLevel="0" collapsed="false">
      <c r="A115" s="317" t="n">
        <v>40452</v>
      </c>
      <c r="B115" s="141" t="n">
        <v>0.6</v>
      </c>
      <c r="C115" s="141" t="n">
        <v>0.6</v>
      </c>
      <c r="D115" s="0" t="n">
        <v>0.55</v>
      </c>
      <c r="E115" s="0" t="n">
        <v>0.6</v>
      </c>
      <c r="F115" s="0" t="n">
        <v>0.6</v>
      </c>
      <c r="G115" s="0" t="n">
        <v>0.65</v>
      </c>
      <c r="H115" s="0" t="n">
        <v>0.65</v>
      </c>
      <c r="I115" s="0" t="n">
        <v>0.6</v>
      </c>
      <c r="J115" s="0" t="n">
        <v>0.5</v>
      </c>
      <c r="K115" s="0" t="n">
        <v>0.6</v>
      </c>
      <c r="L115" s="0" t="n">
        <v>0.65</v>
      </c>
      <c r="M115" s="0" t="n">
        <v>0.6</v>
      </c>
      <c r="N115" s="0" t="n">
        <v>0.65</v>
      </c>
      <c r="O115" s="0" t="n">
        <v>0.75</v>
      </c>
      <c r="P115" s="0" t="n">
        <v>0.7</v>
      </c>
      <c r="Q115" s="0" t="n">
        <v>0.6</v>
      </c>
      <c r="R115" s="0" t="n">
        <v>0.55</v>
      </c>
      <c r="S115" s="0" t="n">
        <v>0.6</v>
      </c>
      <c r="T115" s="0" t="n">
        <v>0.6</v>
      </c>
    </row>
    <row r="116" customFormat="false" ht="12.75" hidden="false" customHeight="false" outlineLevel="0" collapsed="false">
      <c r="A116" s="317" t="n">
        <v>40483</v>
      </c>
      <c r="B116" s="141" t="n">
        <v>0.8</v>
      </c>
      <c r="C116" s="141" t="n">
        <v>0.85</v>
      </c>
      <c r="D116" s="0" t="n">
        <v>0.8</v>
      </c>
      <c r="E116" s="0" t="n">
        <v>0.8</v>
      </c>
      <c r="F116" s="0" t="n">
        <v>0.9</v>
      </c>
      <c r="G116" s="0" t="n">
        <v>0.95</v>
      </c>
      <c r="H116" s="0" t="n">
        <v>0.85</v>
      </c>
      <c r="I116" s="0" t="n">
        <v>0.8</v>
      </c>
      <c r="J116" s="0" t="n">
        <v>0.95</v>
      </c>
      <c r="K116" s="0" t="n">
        <v>0.8</v>
      </c>
      <c r="L116" s="0" t="n">
        <v>0.8</v>
      </c>
      <c r="M116" s="0" t="n">
        <v>0.8</v>
      </c>
      <c r="N116" s="0" t="n">
        <v>0.95</v>
      </c>
      <c r="O116" s="0" t="n">
        <v>0.95</v>
      </c>
      <c r="P116" s="0" t="n">
        <v>0.9</v>
      </c>
      <c r="Q116" s="0" t="n">
        <v>0.8</v>
      </c>
      <c r="R116" s="0" t="n">
        <v>0.8</v>
      </c>
      <c r="S116" s="0" t="n">
        <v>0.8</v>
      </c>
      <c r="T116" s="0" t="n">
        <v>0.8</v>
      </c>
    </row>
    <row r="117" customFormat="false" ht="12.75" hidden="false" customHeight="false" outlineLevel="0" collapsed="false">
      <c r="A117" s="317" t="n">
        <v>40513</v>
      </c>
      <c r="B117" s="141" t="n">
        <v>1</v>
      </c>
      <c r="C117" s="141" t="n">
        <v>1.05</v>
      </c>
      <c r="D117" s="0" t="n">
        <v>1</v>
      </c>
      <c r="E117" s="0" t="n">
        <v>1</v>
      </c>
      <c r="F117" s="0" t="n">
        <v>1.15</v>
      </c>
      <c r="G117" s="0" t="n">
        <v>1.25</v>
      </c>
      <c r="H117" s="0" t="n">
        <v>1.05</v>
      </c>
      <c r="I117" s="0" t="n">
        <v>1</v>
      </c>
      <c r="J117" s="0" t="n">
        <v>1.35</v>
      </c>
      <c r="K117" s="0" t="n">
        <v>1</v>
      </c>
      <c r="L117" s="0" t="n">
        <v>1.1</v>
      </c>
      <c r="M117" s="0" t="n">
        <v>1</v>
      </c>
      <c r="N117" s="0" t="n">
        <v>1.25</v>
      </c>
      <c r="O117" s="0" t="n">
        <v>1.15</v>
      </c>
      <c r="P117" s="0" t="n">
        <v>1.1</v>
      </c>
      <c r="Q117" s="0" t="n">
        <v>1</v>
      </c>
      <c r="R117" s="0" t="n">
        <v>1</v>
      </c>
      <c r="S117" s="0" t="n">
        <v>1</v>
      </c>
      <c r="T117" s="0" t="n">
        <v>1</v>
      </c>
    </row>
    <row r="118" customFormat="false" ht="12.75" hidden="false" customHeight="false" outlineLevel="0" collapsed="false">
      <c r="A118" s="317" t="n">
        <v>40544</v>
      </c>
      <c r="B118" s="141" t="n">
        <v>1</v>
      </c>
      <c r="C118" s="141" t="n">
        <v>1.05</v>
      </c>
      <c r="D118" s="0" t="n">
        <v>1</v>
      </c>
      <c r="E118" s="0" t="n">
        <v>1</v>
      </c>
      <c r="F118" s="0" t="n">
        <v>1.15</v>
      </c>
      <c r="G118" s="0" t="n">
        <v>1.45</v>
      </c>
      <c r="H118" s="0" t="n">
        <v>1.05</v>
      </c>
      <c r="I118" s="0" t="n">
        <v>1</v>
      </c>
      <c r="J118" s="0" t="n">
        <v>1.35</v>
      </c>
      <c r="K118" s="0" t="n">
        <v>1</v>
      </c>
      <c r="L118" s="0" t="n">
        <v>1.1</v>
      </c>
      <c r="M118" s="0" t="n">
        <v>1</v>
      </c>
      <c r="N118" s="0" t="n">
        <v>1.45</v>
      </c>
      <c r="O118" s="0" t="n">
        <v>1.15</v>
      </c>
      <c r="P118" s="0" t="n">
        <v>1.1</v>
      </c>
      <c r="Q118" s="0" t="n">
        <v>1</v>
      </c>
      <c r="R118" s="0" t="n">
        <v>1</v>
      </c>
      <c r="S118" s="0" t="n">
        <v>1</v>
      </c>
      <c r="T118" s="0" t="n">
        <v>1</v>
      </c>
    </row>
    <row r="119" customFormat="false" ht="12.75" hidden="false" customHeight="false" outlineLevel="0" collapsed="false">
      <c r="A119" s="317" t="n">
        <v>40575</v>
      </c>
      <c r="B119" s="141" t="n">
        <v>1</v>
      </c>
      <c r="C119" s="141" t="n">
        <v>1.05</v>
      </c>
      <c r="D119" s="0" t="n">
        <v>1</v>
      </c>
      <c r="E119" s="0" t="n">
        <v>1</v>
      </c>
      <c r="F119" s="0" t="n">
        <v>1.15</v>
      </c>
      <c r="G119" s="0" t="n">
        <v>1.45</v>
      </c>
      <c r="H119" s="0" t="n">
        <v>1.05</v>
      </c>
      <c r="I119" s="0" t="n">
        <v>1</v>
      </c>
      <c r="J119" s="0" t="n">
        <v>1.35</v>
      </c>
      <c r="K119" s="0" t="n">
        <v>1</v>
      </c>
      <c r="L119" s="0" t="n">
        <v>1.1</v>
      </c>
      <c r="M119" s="0" t="n">
        <v>1</v>
      </c>
      <c r="N119" s="0" t="n">
        <v>1.45</v>
      </c>
      <c r="O119" s="0" t="n">
        <v>1.15</v>
      </c>
      <c r="P119" s="0" t="n">
        <v>1.1</v>
      </c>
      <c r="Q119" s="0" t="n">
        <v>1</v>
      </c>
      <c r="R119" s="0" t="n">
        <v>1</v>
      </c>
      <c r="S119" s="0" t="n">
        <v>1</v>
      </c>
      <c r="T119" s="0" t="n">
        <v>1</v>
      </c>
    </row>
    <row r="120" customFormat="false" ht="12.75" hidden="false" customHeight="false" outlineLevel="0" collapsed="false">
      <c r="A120" s="317" t="n">
        <v>40603</v>
      </c>
      <c r="B120" s="141" t="n">
        <v>0.75</v>
      </c>
      <c r="C120" s="141" t="n">
        <v>0.8</v>
      </c>
      <c r="D120" s="0" t="n">
        <v>0.75</v>
      </c>
      <c r="E120" s="0" t="n">
        <v>0.75</v>
      </c>
      <c r="F120" s="0" t="n">
        <v>0.85</v>
      </c>
      <c r="G120" s="0" t="n">
        <v>1</v>
      </c>
      <c r="H120" s="0" t="n">
        <v>0.75</v>
      </c>
      <c r="I120" s="0" t="n">
        <v>0.75</v>
      </c>
      <c r="J120" s="0" t="n">
        <v>0.95</v>
      </c>
      <c r="K120" s="0" t="n">
        <v>0.75</v>
      </c>
      <c r="L120" s="0" t="n">
        <v>0.75</v>
      </c>
      <c r="M120" s="0" t="n">
        <v>0.75</v>
      </c>
      <c r="N120" s="0" t="n">
        <v>1</v>
      </c>
      <c r="O120" s="0" t="n">
        <v>0.9</v>
      </c>
      <c r="P120" s="0" t="n">
        <v>0.85</v>
      </c>
      <c r="Q120" s="0" t="n">
        <v>0.75</v>
      </c>
      <c r="R120" s="0" t="n">
        <v>0.75</v>
      </c>
      <c r="S120" s="0" t="n">
        <v>0.75</v>
      </c>
      <c r="T120" s="0" t="n">
        <v>0.75</v>
      </c>
    </row>
    <row r="121" customFormat="false" ht="12.75" hidden="false" customHeight="false" outlineLevel="0" collapsed="false">
      <c r="A121" s="317" t="n">
        <v>40634</v>
      </c>
      <c r="B121" s="141" t="n">
        <v>0.4</v>
      </c>
      <c r="C121" s="141" t="n">
        <v>0.45</v>
      </c>
      <c r="D121" s="0" t="n">
        <v>0.4</v>
      </c>
      <c r="E121" s="0" t="n">
        <v>0.45</v>
      </c>
      <c r="F121" s="0" t="n">
        <v>0.45</v>
      </c>
      <c r="G121" s="0" t="n">
        <v>0.45</v>
      </c>
      <c r="H121" s="0" t="n">
        <v>0.45</v>
      </c>
      <c r="I121" s="0" t="n">
        <v>0.45</v>
      </c>
      <c r="J121" s="0" t="n">
        <v>0.5</v>
      </c>
      <c r="K121" s="0" t="n">
        <v>0.4</v>
      </c>
      <c r="L121" s="0" t="n">
        <v>0.45</v>
      </c>
      <c r="M121" s="0" t="n">
        <v>0.4</v>
      </c>
      <c r="N121" s="0" t="n">
        <v>0.45</v>
      </c>
      <c r="O121" s="0" t="n">
        <v>0.55</v>
      </c>
      <c r="P121" s="0" t="n">
        <v>0.55</v>
      </c>
      <c r="Q121" s="0" t="n">
        <v>0.4</v>
      </c>
      <c r="R121" s="0" t="n">
        <v>0.4</v>
      </c>
      <c r="S121" s="0" t="n">
        <v>0.45</v>
      </c>
      <c r="T121" s="0" t="n">
        <v>0.4</v>
      </c>
    </row>
    <row r="122" customFormat="false" ht="12.75" hidden="false" customHeight="false" outlineLevel="0" collapsed="false">
      <c r="A122" s="317" t="n">
        <v>40664</v>
      </c>
      <c r="B122" s="141" t="n">
        <v>0.45</v>
      </c>
      <c r="C122" s="141" t="n">
        <v>0.5</v>
      </c>
      <c r="D122" s="0" t="n">
        <v>0.4</v>
      </c>
      <c r="E122" s="0" t="n">
        <v>0.4</v>
      </c>
      <c r="F122" s="0" t="n">
        <v>0.45</v>
      </c>
      <c r="G122" s="0" t="n">
        <v>0.5</v>
      </c>
      <c r="H122" s="0" t="n">
        <v>0.45</v>
      </c>
      <c r="I122" s="0" t="n">
        <v>0.4</v>
      </c>
      <c r="J122" s="0" t="n">
        <v>0.45</v>
      </c>
      <c r="K122" s="0" t="n">
        <v>0.45</v>
      </c>
      <c r="L122" s="0" t="n">
        <v>0.5</v>
      </c>
      <c r="M122" s="0" t="n">
        <v>0.45</v>
      </c>
      <c r="N122" s="0" t="n">
        <v>0.5</v>
      </c>
      <c r="O122" s="0" t="n">
        <v>0.6</v>
      </c>
      <c r="P122" s="0" t="n">
        <v>0.5</v>
      </c>
      <c r="Q122" s="0" t="n">
        <v>0.45</v>
      </c>
      <c r="R122" s="0" t="n">
        <v>0.4</v>
      </c>
      <c r="S122" s="0" t="n">
        <v>0.4</v>
      </c>
      <c r="T122" s="0" t="n">
        <v>0.45</v>
      </c>
    </row>
    <row r="123" customFormat="false" ht="12.75" hidden="false" customHeight="false" outlineLevel="0" collapsed="false">
      <c r="A123" s="317" t="n">
        <v>40695</v>
      </c>
      <c r="B123" s="141" t="n">
        <v>0.45</v>
      </c>
      <c r="C123" s="141" t="n">
        <v>0.5</v>
      </c>
      <c r="D123" s="0" t="n">
        <v>0.4</v>
      </c>
      <c r="E123" s="0" t="n">
        <v>0.5</v>
      </c>
      <c r="F123" s="0" t="n">
        <v>0.45</v>
      </c>
      <c r="G123" s="0" t="n">
        <v>0.5</v>
      </c>
      <c r="H123" s="0" t="n">
        <v>0.5</v>
      </c>
      <c r="I123" s="0" t="n">
        <v>0.5</v>
      </c>
      <c r="J123" s="0" t="n">
        <v>0.5</v>
      </c>
      <c r="K123" s="0" t="n">
        <v>0.45</v>
      </c>
      <c r="L123" s="0" t="n">
        <v>0.5</v>
      </c>
      <c r="M123" s="0" t="n">
        <v>0.45</v>
      </c>
      <c r="N123" s="0" t="n">
        <v>0.5</v>
      </c>
      <c r="O123" s="0" t="n">
        <v>0.6</v>
      </c>
      <c r="P123" s="0" t="n">
        <v>0.6</v>
      </c>
      <c r="Q123" s="0" t="n">
        <v>0.45</v>
      </c>
      <c r="R123" s="0" t="n">
        <v>0.4</v>
      </c>
      <c r="S123" s="0" t="n">
        <v>0.5</v>
      </c>
      <c r="T123" s="0" t="n">
        <v>0.45</v>
      </c>
    </row>
    <row r="124" customFormat="false" ht="12.75" hidden="false" customHeight="false" outlineLevel="0" collapsed="false">
      <c r="A124" s="317" t="n">
        <v>40725</v>
      </c>
      <c r="B124" s="141" t="n">
        <v>0.5</v>
      </c>
      <c r="C124" s="141" t="n">
        <v>0.5</v>
      </c>
      <c r="D124" s="0" t="n">
        <v>0.4</v>
      </c>
      <c r="E124" s="0" t="n">
        <v>0.5</v>
      </c>
      <c r="F124" s="0" t="n">
        <v>0.5</v>
      </c>
      <c r="G124" s="0" t="n">
        <v>0.5</v>
      </c>
      <c r="H124" s="0" t="n">
        <v>0.5</v>
      </c>
      <c r="I124" s="0" t="n">
        <v>0.5</v>
      </c>
      <c r="J124" s="0" t="n">
        <v>0.5</v>
      </c>
      <c r="K124" s="0" t="n">
        <v>0.5</v>
      </c>
      <c r="L124" s="0" t="n">
        <v>0.55</v>
      </c>
      <c r="M124" s="0" t="n">
        <v>0.5</v>
      </c>
      <c r="N124" s="0" t="n">
        <v>0.5</v>
      </c>
      <c r="O124" s="0" t="n">
        <v>0.65</v>
      </c>
      <c r="P124" s="0" t="n">
        <v>0.6</v>
      </c>
      <c r="Q124" s="0" t="n">
        <v>0.5</v>
      </c>
      <c r="R124" s="0" t="n">
        <v>0.4</v>
      </c>
      <c r="S124" s="0" t="n">
        <v>0.5</v>
      </c>
      <c r="T124" s="0" t="n">
        <v>0.5</v>
      </c>
    </row>
    <row r="125" customFormat="false" ht="12.75" hidden="false" customHeight="false" outlineLevel="0" collapsed="false">
      <c r="A125" s="317" t="n">
        <v>40756</v>
      </c>
      <c r="B125" s="141" t="n">
        <v>0.55</v>
      </c>
      <c r="C125" s="141" t="n">
        <v>0.55</v>
      </c>
      <c r="D125" s="0" t="n">
        <v>0.5</v>
      </c>
      <c r="E125" s="0" t="n">
        <v>0.6</v>
      </c>
      <c r="F125" s="0" t="n">
        <v>0.55</v>
      </c>
      <c r="G125" s="0" t="n">
        <v>0.6</v>
      </c>
      <c r="H125" s="0" t="n">
        <v>0.55</v>
      </c>
      <c r="I125" s="0" t="n">
        <v>0.6</v>
      </c>
      <c r="J125" s="0" t="n">
        <v>0.45</v>
      </c>
      <c r="K125" s="0" t="n">
        <v>0.55</v>
      </c>
      <c r="L125" s="0" t="n">
        <v>0.6</v>
      </c>
      <c r="M125" s="0" t="n">
        <v>0.55</v>
      </c>
      <c r="N125" s="0" t="n">
        <v>0.6</v>
      </c>
      <c r="O125" s="0" t="n">
        <v>0.7</v>
      </c>
      <c r="P125" s="0" t="n">
        <v>0.7</v>
      </c>
      <c r="Q125" s="0" t="n">
        <v>0.55</v>
      </c>
      <c r="R125" s="0" t="n">
        <v>0.5</v>
      </c>
      <c r="S125" s="0" t="n">
        <v>0.6</v>
      </c>
      <c r="T125" s="0" t="n">
        <v>0.55</v>
      </c>
    </row>
    <row r="126" customFormat="false" ht="12.75" hidden="false" customHeight="false" outlineLevel="0" collapsed="false">
      <c r="A126" s="317" t="n">
        <v>40787</v>
      </c>
      <c r="B126" s="141" t="n">
        <v>0.55</v>
      </c>
      <c r="C126" s="141" t="n">
        <v>0.55</v>
      </c>
      <c r="D126" s="0" t="n">
        <v>0.55</v>
      </c>
      <c r="E126" s="0" t="n">
        <v>0.55</v>
      </c>
      <c r="F126" s="0" t="n">
        <v>0.55</v>
      </c>
      <c r="G126" s="0" t="n">
        <v>0.6</v>
      </c>
      <c r="H126" s="0" t="n">
        <v>0.6</v>
      </c>
      <c r="I126" s="0" t="n">
        <v>0.55</v>
      </c>
      <c r="J126" s="0" t="n">
        <v>0.5</v>
      </c>
      <c r="K126" s="0" t="n">
        <v>0.55</v>
      </c>
      <c r="L126" s="0" t="n">
        <v>0.6</v>
      </c>
      <c r="M126" s="0" t="n">
        <v>0.55</v>
      </c>
      <c r="N126" s="0" t="n">
        <v>0.6</v>
      </c>
      <c r="O126" s="0" t="n">
        <v>0.7</v>
      </c>
      <c r="P126" s="0" t="n">
        <v>0.65</v>
      </c>
      <c r="Q126" s="0" t="n">
        <v>0.55</v>
      </c>
      <c r="R126" s="0" t="n">
        <v>0.55</v>
      </c>
      <c r="S126" s="0" t="n">
        <v>0.55</v>
      </c>
      <c r="T126" s="0" t="n">
        <v>0.55</v>
      </c>
    </row>
    <row r="127" customFormat="false" ht="12.75" hidden="false" customHeight="false" outlineLevel="0" collapsed="false">
      <c r="A127" s="317" t="n">
        <v>40817</v>
      </c>
      <c r="B127" s="141" t="n">
        <v>0.6</v>
      </c>
      <c r="C127" s="141" t="n">
        <v>0.6</v>
      </c>
      <c r="D127" s="0" t="n">
        <v>0.55</v>
      </c>
      <c r="E127" s="0" t="n">
        <v>0.6</v>
      </c>
      <c r="F127" s="0" t="n">
        <v>0.6</v>
      </c>
      <c r="G127" s="0" t="n">
        <v>0.65</v>
      </c>
      <c r="H127" s="0" t="n">
        <v>0.65</v>
      </c>
      <c r="I127" s="0" t="n">
        <v>0.6</v>
      </c>
      <c r="J127" s="0" t="n">
        <v>0.5</v>
      </c>
      <c r="K127" s="0" t="n">
        <v>0.6</v>
      </c>
      <c r="L127" s="0" t="n">
        <v>0.65</v>
      </c>
      <c r="M127" s="0" t="n">
        <v>0.6</v>
      </c>
      <c r="N127" s="0" t="n">
        <v>0.65</v>
      </c>
      <c r="O127" s="0" t="n">
        <v>0.75</v>
      </c>
      <c r="P127" s="0" t="n">
        <v>0.7</v>
      </c>
      <c r="Q127" s="0" t="n">
        <v>0.6</v>
      </c>
      <c r="R127" s="0" t="n">
        <v>0.55</v>
      </c>
      <c r="S127" s="0" t="n">
        <v>0.6</v>
      </c>
      <c r="T127" s="0" t="n">
        <v>0.6</v>
      </c>
    </row>
    <row r="128" customFormat="false" ht="12.75" hidden="false" customHeight="false" outlineLevel="0" collapsed="false">
      <c r="A128" s="317" t="n">
        <v>40848</v>
      </c>
      <c r="B128" s="141" t="n">
        <v>0.8</v>
      </c>
      <c r="C128" s="141" t="n">
        <v>0.85</v>
      </c>
      <c r="D128" s="0" t="n">
        <v>0.8</v>
      </c>
      <c r="E128" s="0" t="n">
        <v>0.8</v>
      </c>
      <c r="F128" s="0" t="n">
        <v>0.9</v>
      </c>
      <c r="G128" s="0" t="n">
        <v>0.95</v>
      </c>
      <c r="H128" s="0" t="n">
        <v>0.85</v>
      </c>
      <c r="I128" s="0" t="n">
        <v>0.8</v>
      </c>
      <c r="J128" s="0" t="n">
        <v>0.95</v>
      </c>
      <c r="K128" s="0" t="n">
        <v>0.8</v>
      </c>
      <c r="L128" s="0" t="n">
        <v>0.8</v>
      </c>
      <c r="M128" s="0" t="n">
        <v>0.8</v>
      </c>
      <c r="N128" s="0" t="n">
        <v>0.95</v>
      </c>
      <c r="O128" s="0" t="n">
        <v>0.95</v>
      </c>
      <c r="P128" s="0" t="n">
        <v>0.9</v>
      </c>
      <c r="Q128" s="0" t="n">
        <v>0.8</v>
      </c>
      <c r="R128" s="0" t="n">
        <v>0.8</v>
      </c>
      <c r="S128" s="0" t="n">
        <v>0.8</v>
      </c>
      <c r="T128" s="0" t="n">
        <v>0.8</v>
      </c>
    </row>
    <row r="129" customFormat="false" ht="12.75" hidden="false" customHeight="false" outlineLevel="0" collapsed="false">
      <c r="A129" s="317" t="n">
        <v>40878</v>
      </c>
      <c r="B129" s="141" t="n">
        <v>1</v>
      </c>
      <c r="C129" s="141" t="n">
        <v>1.05</v>
      </c>
      <c r="D129" s="0" t="n">
        <v>1</v>
      </c>
      <c r="E129" s="0" t="n">
        <v>1</v>
      </c>
      <c r="F129" s="0" t="n">
        <v>1.15</v>
      </c>
      <c r="G129" s="0" t="n">
        <v>1.25</v>
      </c>
      <c r="H129" s="0" t="n">
        <v>1.05</v>
      </c>
      <c r="I129" s="0" t="n">
        <v>1</v>
      </c>
      <c r="J129" s="0" t="n">
        <v>1.35</v>
      </c>
      <c r="K129" s="0" t="n">
        <v>1</v>
      </c>
      <c r="L129" s="0" t="n">
        <v>1.1</v>
      </c>
      <c r="M129" s="0" t="n">
        <v>1</v>
      </c>
      <c r="N129" s="0" t="n">
        <v>1.25</v>
      </c>
      <c r="O129" s="0" t="n">
        <v>1.15</v>
      </c>
      <c r="P129" s="0" t="n">
        <v>1.1</v>
      </c>
      <c r="Q129" s="0" t="n">
        <v>1</v>
      </c>
      <c r="R129" s="0" t="n">
        <v>1</v>
      </c>
      <c r="S129" s="0" t="n">
        <v>1</v>
      </c>
      <c r="T129" s="0" t="n">
        <v>1</v>
      </c>
    </row>
    <row r="130" customFormat="false" ht="12.75" hidden="false" customHeight="false" outlineLevel="0" collapsed="false">
      <c r="A130" s="317" t="n">
        <v>40909</v>
      </c>
      <c r="B130" s="141" t="n">
        <v>1</v>
      </c>
      <c r="C130" s="141" t="n">
        <v>1.05</v>
      </c>
      <c r="D130" s="0" t="n">
        <v>1</v>
      </c>
      <c r="E130" s="0" t="n">
        <v>1</v>
      </c>
      <c r="F130" s="0" t="n">
        <v>1.15</v>
      </c>
      <c r="G130" s="0" t="n">
        <v>1.45</v>
      </c>
      <c r="H130" s="0" t="n">
        <v>1.05</v>
      </c>
      <c r="I130" s="0" t="n">
        <v>1</v>
      </c>
      <c r="J130" s="0" t="n">
        <v>1.35</v>
      </c>
      <c r="K130" s="0" t="n">
        <v>1</v>
      </c>
      <c r="L130" s="0" t="n">
        <v>1.1</v>
      </c>
      <c r="M130" s="0" t="n">
        <v>1</v>
      </c>
      <c r="N130" s="0" t="n">
        <v>1.45</v>
      </c>
      <c r="O130" s="0" t="n">
        <v>1.15</v>
      </c>
      <c r="P130" s="0" t="n">
        <v>1.1</v>
      </c>
      <c r="Q130" s="0" t="n">
        <v>1</v>
      </c>
      <c r="R130" s="0" t="n">
        <v>1</v>
      </c>
      <c r="S130" s="0" t="n">
        <v>1</v>
      </c>
      <c r="T130" s="0" t="n">
        <v>1</v>
      </c>
    </row>
    <row r="131" customFormat="false" ht="12.75" hidden="false" customHeight="false" outlineLevel="0" collapsed="false">
      <c r="A131" s="317" t="n">
        <v>40940</v>
      </c>
      <c r="B131" s="141" t="n">
        <v>1</v>
      </c>
      <c r="C131" s="141" t="n">
        <v>1.05</v>
      </c>
      <c r="D131" s="0" t="n">
        <v>1</v>
      </c>
      <c r="E131" s="0" t="n">
        <v>1</v>
      </c>
      <c r="F131" s="0" t="n">
        <v>1.15</v>
      </c>
      <c r="G131" s="0" t="n">
        <v>1.45</v>
      </c>
      <c r="H131" s="0" t="n">
        <v>1.05</v>
      </c>
      <c r="I131" s="0" t="n">
        <v>1</v>
      </c>
      <c r="J131" s="0" t="n">
        <v>1.35</v>
      </c>
      <c r="K131" s="0" t="n">
        <v>1</v>
      </c>
      <c r="L131" s="0" t="n">
        <v>1.1</v>
      </c>
      <c r="M131" s="0" t="n">
        <v>1</v>
      </c>
      <c r="N131" s="0" t="n">
        <v>1.45</v>
      </c>
      <c r="O131" s="0" t="n">
        <v>1.15</v>
      </c>
      <c r="P131" s="0" t="n">
        <v>1.1</v>
      </c>
      <c r="Q131" s="0" t="n">
        <v>1</v>
      </c>
      <c r="R131" s="0" t="n">
        <v>1</v>
      </c>
      <c r="S131" s="0" t="n">
        <v>1</v>
      </c>
      <c r="T131" s="0" t="n">
        <v>1</v>
      </c>
    </row>
    <row r="132" customFormat="false" ht="12.75" hidden="false" customHeight="false" outlineLevel="0" collapsed="false">
      <c r="A132" s="317" t="n">
        <v>40969</v>
      </c>
      <c r="B132" s="141" t="n">
        <v>0.75</v>
      </c>
      <c r="C132" s="141" t="n">
        <v>0.8</v>
      </c>
      <c r="D132" s="0" t="n">
        <v>0.75</v>
      </c>
      <c r="E132" s="0" t="n">
        <v>0.75</v>
      </c>
      <c r="F132" s="0" t="n">
        <v>0.85</v>
      </c>
      <c r="G132" s="0" t="n">
        <v>1</v>
      </c>
      <c r="H132" s="0" t="n">
        <v>0.75</v>
      </c>
      <c r="I132" s="0" t="n">
        <v>0.75</v>
      </c>
      <c r="J132" s="0" t="n">
        <v>0.95</v>
      </c>
      <c r="K132" s="0" t="n">
        <v>0.75</v>
      </c>
      <c r="L132" s="0" t="n">
        <v>0.75</v>
      </c>
      <c r="M132" s="0" t="n">
        <v>0.75</v>
      </c>
      <c r="N132" s="0" t="n">
        <v>1</v>
      </c>
      <c r="O132" s="0" t="n">
        <v>0.9</v>
      </c>
      <c r="P132" s="0" t="n">
        <v>0.85</v>
      </c>
      <c r="Q132" s="0" t="n">
        <v>0.75</v>
      </c>
      <c r="R132" s="0" t="n">
        <v>0.75</v>
      </c>
      <c r="S132" s="0" t="n">
        <v>0.75</v>
      </c>
      <c r="T132" s="0" t="n">
        <v>0.75</v>
      </c>
    </row>
    <row r="133" customFormat="false" ht="12.75" hidden="false" customHeight="false" outlineLevel="0" collapsed="false">
      <c r="A133" s="317" t="n">
        <v>41000</v>
      </c>
      <c r="B133" s="141" t="n">
        <v>0.4</v>
      </c>
      <c r="C133" s="141" t="n">
        <v>0.45</v>
      </c>
      <c r="D133" s="0" t="n">
        <v>0.4</v>
      </c>
      <c r="E133" s="0" t="n">
        <v>0.45</v>
      </c>
      <c r="F133" s="0" t="n">
        <v>0.45</v>
      </c>
      <c r="G133" s="0" t="n">
        <v>0.45</v>
      </c>
      <c r="H133" s="0" t="n">
        <v>0.45</v>
      </c>
      <c r="I133" s="0" t="n">
        <v>0.45</v>
      </c>
      <c r="J133" s="0" t="n">
        <v>0.5</v>
      </c>
      <c r="K133" s="0" t="n">
        <v>0.4</v>
      </c>
      <c r="L133" s="0" t="n">
        <v>0.45</v>
      </c>
      <c r="M133" s="0" t="n">
        <v>0.4</v>
      </c>
      <c r="N133" s="0" t="n">
        <v>0.45</v>
      </c>
      <c r="O133" s="0" t="n">
        <v>0.55</v>
      </c>
      <c r="P133" s="0" t="n">
        <v>0.55</v>
      </c>
      <c r="Q133" s="0" t="n">
        <v>0.4</v>
      </c>
      <c r="R133" s="0" t="n">
        <v>0.4</v>
      </c>
      <c r="S133" s="0" t="n">
        <v>0.45</v>
      </c>
      <c r="T133" s="0" t="n">
        <v>0.4</v>
      </c>
    </row>
    <row r="134" customFormat="false" ht="12.75" hidden="false" customHeight="false" outlineLevel="0" collapsed="false">
      <c r="A134" s="317" t="n">
        <v>41030</v>
      </c>
      <c r="B134" s="141" t="n">
        <v>0.45</v>
      </c>
      <c r="C134" s="141" t="n">
        <v>0.5</v>
      </c>
      <c r="D134" s="0" t="n">
        <v>0.4</v>
      </c>
      <c r="E134" s="0" t="n">
        <v>0.4</v>
      </c>
      <c r="F134" s="0" t="n">
        <v>0.45</v>
      </c>
      <c r="G134" s="0" t="n">
        <v>0.5</v>
      </c>
      <c r="H134" s="0" t="n">
        <v>0.45</v>
      </c>
      <c r="I134" s="0" t="n">
        <v>0.4</v>
      </c>
      <c r="J134" s="0" t="n">
        <v>0.45</v>
      </c>
      <c r="K134" s="0" t="n">
        <v>0.45</v>
      </c>
      <c r="L134" s="0" t="n">
        <v>0.5</v>
      </c>
      <c r="M134" s="0" t="n">
        <v>0.45</v>
      </c>
      <c r="N134" s="0" t="n">
        <v>0.5</v>
      </c>
      <c r="O134" s="0" t="n">
        <v>0.6</v>
      </c>
      <c r="P134" s="0" t="n">
        <v>0.5</v>
      </c>
      <c r="Q134" s="0" t="n">
        <v>0.45</v>
      </c>
      <c r="R134" s="0" t="n">
        <v>0.4</v>
      </c>
      <c r="S134" s="0" t="n">
        <v>0.4</v>
      </c>
      <c r="T134" s="0" t="n">
        <v>0.45</v>
      </c>
    </row>
    <row r="135" customFormat="false" ht="12.75" hidden="false" customHeight="false" outlineLevel="0" collapsed="false">
      <c r="A135" s="317" t="n">
        <v>41061</v>
      </c>
      <c r="B135" s="141" t="n">
        <v>0.45</v>
      </c>
      <c r="C135" s="141" t="n">
        <v>0.5</v>
      </c>
      <c r="D135" s="0" t="n">
        <v>0.4</v>
      </c>
      <c r="E135" s="0" t="n">
        <v>0.5</v>
      </c>
      <c r="F135" s="0" t="n">
        <v>0.45</v>
      </c>
      <c r="G135" s="0" t="n">
        <v>0.5</v>
      </c>
      <c r="H135" s="0" t="n">
        <v>0.5</v>
      </c>
      <c r="I135" s="0" t="n">
        <v>0.5</v>
      </c>
      <c r="J135" s="0" t="n">
        <v>0.5</v>
      </c>
      <c r="K135" s="0" t="n">
        <v>0.45</v>
      </c>
      <c r="L135" s="0" t="n">
        <v>0.5</v>
      </c>
      <c r="M135" s="0" t="n">
        <v>0.45</v>
      </c>
      <c r="N135" s="0" t="n">
        <v>0.5</v>
      </c>
      <c r="O135" s="0" t="n">
        <v>0.6</v>
      </c>
      <c r="P135" s="0" t="n">
        <v>0.6</v>
      </c>
      <c r="Q135" s="0" t="n">
        <v>0.45</v>
      </c>
      <c r="R135" s="0" t="n">
        <v>0.4</v>
      </c>
      <c r="S135" s="0" t="n">
        <v>0.5</v>
      </c>
      <c r="T135" s="0" t="n">
        <v>0.45</v>
      </c>
    </row>
    <row r="136" customFormat="false" ht="12.75" hidden="false" customHeight="false" outlineLevel="0" collapsed="false">
      <c r="A136" s="317" t="n">
        <v>41091</v>
      </c>
      <c r="B136" s="141" t="n">
        <v>0.5</v>
      </c>
      <c r="C136" s="141" t="n">
        <v>0.5</v>
      </c>
      <c r="D136" s="0" t="n">
        <v>0.4</v>
      </c>
      <c r="E136" s="0" t="n">
        <v>0.5</v>
      </c>
      <c r="F136" s="0" t="n">
        <v>0.5</v>
      </c>
      <c r="G136" s="0" t="n">
        <v>0.5</v>
      </c>
      <c r="H136" s="0" t="n">
        <v>0.5</v>
      </c>
      <c r="I136" s="0" t="n">
        <v>0.5</v>
      </c>
      <c r="J136" s="0" t="n">
        <v>0.5</v>
      </c>
      <c r="K136" s="0" t="n">
        <v>0.5</v>
      </c>
      <c r="L136" s="0" t="n">
        <v>0.55</v>
      </c>
      <c r="M136" s="0" t="n">
        <v>0.5</v>
      </c>
      <c r="N136" s="0" t="n">
        <v>0.5</v>
      </c>
      <c r="O136" s="0" t="n">
        <v>0.65</v>
      </c>
      <c r="P136" s="0" t="n">
        <v>0.6</v>
      </c>
      <c r="Q136" s="0" t="n">
        <v>0.5</v>
      </c>
      <c r="R136" s="0" t="n">
        <v>0.4</v>
      </c>
      <c r="S136" s="0" t="n">
        <v>0.5</v>
      </c>
      <c r="T136" s="0" t="n">
        <v>0.5</v>
      </c>
    </row>
    <row r="137" customFormat="false" ht="12.75" hidden="false" customHeight="false" outlineLevel="0" collapsed="false">
      <c r="A137" s="317" t="n">
        <v>41122</v>
      </c>
      <c r="B137" s="141" t="n">
        <v>0.55</v>
      </c>
      <c r="C137" s="141" t="n">
        <v>0.55</v>
      </c>
      <c r="D137" s="0" t="n">
        <v>0.5</v>
      </c>
      <c r="E137" s="0" t="n">
        <v>0.6</v>
      </c>
      <c r="F137" s="0" t="n">
        <v>0.55</v>
      </c>
      <c r="G137" s="0" t="n">
        <v>0.6</v>
      </c>
      <c r="H137" s="0" t="n">
        <v>0.55</v>
      </c>
      <c r="I137" s="0" t="n">
        <v>0.6</v>
      </c>
      <c r="J137" s="0" t="n">
        <v>0.45</v>
      </c>
      <c r="K137" s="0" t="n">
        <v>0.55</v>
      </c>
      <c r="L137" s="0" t="n">
        <v>0.6</v>
      </c>
      <c r="M137" s="0" t="n">
        <v>0.55</v>
      </c>
      <c r="N137" s="0" t="n">
        <v>0.6</v>
      </c>
      <c r="O137" s="0" t="n">
        <v>0.7</v>
      </c>
      <c r="P137" s="0" t="n">
        <v>0.7</v>
      </c>
      <c r="Q137" s="0" t="n">
        <v>0.55</v>
      </c>
      <c r="R137" s="0" t="n">
        <v>0.5</v>
      </c>
      <c r="S137" s="0" t="n">
        <v>0.6</v>
      </c>
      <c r="T137" s="0" t="n">
        <v>0.55</v>
      </c>
    </row>
    <row r="138" customFormat="false" ht="12.75" hidden="false" customHeight="false" outlineLevel="0" collapsed="false">
      <c r="A138" s="317" t="n">
        <v>41153</v>
      </c>
      <c r="B138" s="141" t="n">
        <v>0.55</v>
      </c>
      <c r="C138" s="141" t="n">
        <v>0.55</v>
      </c>
      <c r="D138" s="0" t="n">
        <v>0.55</v>
      </c>
      <c r="E138" s="0" t="n">
        <v>0.55</v>
      </c>
      <c r="F138" s="0" t="n">
        <v>0.55</v>
      </c>
      <c r="G138" s="0" t="n">
        <v>0.6</v>
      </c>
      <c r="H138" s="0" t="n">
        <v>0.6</v>
      </c>
      <c r="I138" s="0" t="n">
        <v>0.55</v>
      </c>
      <c r="J138" s="0" t="n">
        <v>0.5</v>
      </c>
      <c r="K138" s="0" t="n">
        <v>0.55</v>
      </c>
      <c r="L138" s="0" t="n">
        <v>0.6</v>
      </c>
      <c r="M138" s="0" t="n">
        <v>0.55</v>
      </c>
      <c r="N138" s="0" t="n">
        <v>0.6</v>
      </c>
      <c r="O138" s="0" t="n">
        <v>0.7</v>
      </c>
      <c r="P138" s="0" t="n">
        <v>0.65</v>
      </c>
      <c r="Q138" s="0" t="n">
        <v>0.55</v>
      </c>
      <c r="R138" s="0" t="n">
        <v>0.55</v>
      </c>
      <c r="S138" s="0" t="n">
        <v>0.55</v>
      </c>
      <c r="T138" s="0" t="n">
        <v>0.55</v>
      </c>
    </row>
    <row r="139" customFormat="false" ht="12.75" hidden="false" customHeight="false" outlineLevel="0" collapsed="false">
      <c r="A139" s="317" t="n">
        <v>41183</v>
      </c>
      <c r="B139" s="141" t="n">
        <v>0.6</v>
      </c>
      <c r="C139" s="141" t="n">
        <v>0.6</v>
      </c>
      <c r="D139" s="0" t="n">
        <v>0.55</v>
      </c>
      <c r="E139" s="0" t="n">
        <v>0.6</v>
      </c>
      <c r="F139" s="0" t="n">
        <v>0.6</v>
      </c>
      <c r="G139" s="0" t="n">
        <v>0.65</v>
      </c>
      <c r="H139" s="0" t="n">
        <v>0.65</v>
      </c>
      <c r="I139" s="0" t="n">
        <v>0.6</v>
      </c>
      <c r="J139" s="0" t="n">
        <v>0.5</v>
      </c>
      <c r="K139" s="0" t="n">
        <v>0.6</v>
      </c>
      <c r="L139" s="0" t="n">
        <v>0.65</v>
      </c>
      <c r="M139" s="0" t="n">
        <v>0.6</v>
      </c>
      <c r="N139" s="0" t="n">
        <v>0.65</v>
      </c>
      <c r="O139" s="0" t="n">
        <v>0.75</v>
      </c>
      <c r="P139" s="0" t="n">
        <v>0.7</v>
      </c>
      <c r="Q139" s="0" t="n">
        <v>0.6</v>
      </c>
      <c r="R139" s="0" t="n">
        <v>0.55</v>
      </c>
      <c r="S139" s="0" t="n">
        <v>0.6</v>
      </c>
      <c r="T139" s="0" t="n">
        <v>0.6</v>
      </c>
    </row>
    <row r="140" customFormat="false" ht="12.75" hidden="false" customHeight="false" outlineLevel="0" collapsed="false">
      <c r="A140" s="317" t="n">
        <v>41214</v>
      </c>
      <c r="B140" s="141" t="n">
        <v>0.8</v>
      </c>
      <c r="C140" s="141" t="n">
        <v>0.85</v>
      </c>
      <c r="D140" s="0" t="n">
        <v>0.8</v>
      </c>
      <c r="E140" s="0" t="n">
        <v>0.8</v>
      </c>
      <c r="F140" s="0" t="n">
        <v>0.9</v>
      </c>
      <c r="G140" s="0" t="n">
        <v>0.95</v>
      </c>
      <c r="H140" s="0" t="n">
        <v>0.85</v>
      </c>
      <c r="I140" s="0" t="n">
        <v>0.8</v>
      </c>
      <c r="J140" s="0" t="n">
        <v>0.95</v>
      </c>
      <c r="K140" s="0" t="n">
        <v>0.8</v>
      </c>
      <c r="L140" s="0" t="n">
        <v>0.8</v>
      </c>
      <c r="M140" s="0" t="n">
        <v>0.8</v>
      </c>
      <c r="N140" s="0" t="n">
        <v>0.95</v>
      </c>
      <c r="O140" s="0" t="n">
        <v>0.95</v>
      </c>
      <c r="P140" s="0" t="n">
        <v>0.9</v>
      </c>
      <c r="Q140" s="0" t="n">
        <v>0.8</v>
      </c>
      <c r="R140" s="0" t="n">
        <v>0.8</v>
      </c>
      <c r="S140" s="0" t="n">
        <v>0.8</v>
      </c>
      <c r="T140" s="0" t="n">
        <v>0.8</v>
      </c>
    </row>
    <row r="141" customFormat="false" ht="12.75" hidden="false" customHeight="false" outlineLevel="0" collapsed="false">
      <c r="A141" s="317" t="n">
        <v>41244</v>
      </c>
      <c r="B141" s="141" t="n">
        <v>1</v>
      </c>
      <c r="C141" s="141" t="n">
        <v>1.05</v>
      </c>
      <c r="D141" s="0" t="n">
        <v>1</v>
      </c>
      <c r="E141" s="0" t="n">
        <v>1</v>
      </c>
      <c r="F141" s="0" t="n">
        <v>1.15</v>
      </c>
      <c r="G141" s="0" t="n">
        <v>1.25</v>
      </c>
      <c r="H141" s="0" t="n">
        <v>1.05</v>
      </c>
      <c r="I141" s="0" t="n">
        <v>1</v>
      </c>
      <c r="J141" s="0" t="n">
        <v>1.35</v>
      </c>
      <c r="K141" s="0" t="n">
        <v>1</v>
      </c>
      <c r="L141" s="0" t="n">
        <v>1.1</v>
      </c>
      <c r="M141" s="0" t="n">
        <v>1</v>
      </c>
      <c r="N141" s="0" t="n">
        <v>1.25</v>
      </c>
      <c r="O141" s="0" t="n">
        <v>1.15</v>
      </c>
      <c r="P141" s="0" t="n">
        <v>1.1</v>
      </c>
      <c r="Q141" s="0" t="n">
        <v>1</v>
      </c>
      <c r="R141" s="0" t="n">
        <v>1</v>
      </c>
      <c r="S141" s="0" t="n">
        <v>1</v>
      </c>
      <c r="T141" s="0" t="n">
        <v>1</v>
      </c>
    </row>
    <row r="142" customFormat="false" ht="12.75" hidden="false" customHeight="false" outlineLevel="0" collapsed="false">
      <c r="A142" s="317" t="n">
        <v>41275</v>
      </c>
      <c r="B142" s="141" t="n">
        <v>1</v>
      </c>
      <c r="C142" s="141" t="n">
        <v>1.05</v>
      </c>
      <c r="D142" s="0" t="n">
        <v>1</v>
      </c>
      <c r="E142" s="0" t="n">
        <v>1</v>
      </c>
      <c r="F142" s="0" t="n">
        <v>1.15</v>
      </c>
      <c r="G142" s="0" t="n">
        <v>1.45</v>
      </c>
      <c r="H142" s="0" t="n">
        <v>1.05</v>
      </c>
      <c r="I142" s="0" t="n">
        <v>1</v>
      </c>
      <c r="J142" s="0" t="n">
        <v>1.35</v>
      </c>
      <c r="K142" s="0" t="n">
        <v>1</v>
      </c>
      <c r="L142" s="0" t="n">
        <v>1.1</v>
      </c>
      <c r="M142" s="0" t="n">
        <v>1</v>
      </c>
      <c r="N142" s="0" t="n">
        <v>1.45</v>
      </c>
      <c r="O142" s="0" t="n">
        <v>1.15</v>
      </c>
      <c r="P142" s="0" t="n">
        <v>1.1</v>
      </c>
      <c r="Q142" s="0" t="n">
        <v>1</v>
      </c>
      <c r="R142" s="0" t="n">
        <v>1</v>
      </c>
      <c r="S142" s="0" t="n">
        <v>1</v>
      </c>
      <c r="T142" s="0" t="n">
        <v>1</v>
      </c>
    </row>
    <row r="143" customFormat="false" ht="12.75" hidden="false" customHeight="false" outlineLevel="0" collapsed="false">
      <c r="A143" s="317" t="n">
        <v>41306</v>
      </c>
      <c r="B143" s="141" t="n">
        <v>1</v>
      </c>
      <c r="C143" s="141" t="n">
        <v>1.05</v>
      </c>
      <c r="D143" s="0" t="n">
        <v>1</v>
      </c>
      <c r="E143" s="0" t="n">
        <v>1</v>
      </c>
      <c r="F143" s="0" t="n">
        <v>1.15</v>
      </c>
      <c r="G143" s="0" t="n">
        <v>1.45</v>
      </c>
      <c r="H143" s="0" t="n">
        <v>1.05</v>
      </c>
      <c r="I143" s="0" t="n">
        <v>1</v>
      </c>
      <c r="J143" s="0" t="n">
        <v>1.35</v>
      </c>
      <c r="K143" s="0" t="n">
        <v>1</v>
      </c>
      <c r="L143" s="0" t="n">
        <v>1.1</v>
      </c>
      <c r="M143" s="0" t="n">
        <v>1</v>
      </c>
      <c r="N143" s="0" t="n">
        <v>1.45</v>
      </c>
      <c r="O143" s="0" t="n">
        <v>1.15</v>
      </c>
      <c r="P143" s="0" t="n">
        <v>1.1</v>
      </c>
      <c r="Q143" s="0" t="n">
        <v>1</v>
      </c>
      <c r="R143" s="0" t="n">
        <v>1</v>
      </c>
      <c r="S143" s="0" t="n">
        <v>1</v>
      </c>
      <c r="T143" s="0" t="n">
        <v>1</v>
      </c>
    </row>
    <row r="144" customFormat="false" ht="12.75" hidden="false" customHeight="false" outlineLevel="0" collapsed="false">
      <c r="A144" s="317" t="n">
        <v>41334</v>
      </c>
      <c r="B144" s="141" t="n">
        <v>0.75</v>
      </c>
      <c r="C144" s="141" t="n">
        <v>0.8</v>
      </c>
      <c r="D144" s="0" t="n">
        <v>0.75</v>
      </c>
      <c r="E144" s="0" t="n">
        <v>0.75</v>
      </c>
      <c r="F144" s="0" t="n">
        <v>0.85</v>
      </c>
      <c r="G144" s="0" t="n">
        <v>1</v>
      </c>
      <c r="H144" s="0" t="n">
        <v>0.75</v>
      </c>
      <c r="I144" s="0" t="n">
        <v>0.75</v>
      </c>
      <c r="J144" s="0" t="n">
        <v>0.95</v>
      </c>
      <c r="K144" s="0" t="n">
        <v>0.75</v>
      </c>
      <c r="L144" s="0" t="n">
        <v>0.75</v>
      </c>
      <c r="M144" s="0" t="n">
        <v>0.75</v>
      </c>
      <c r="N144" s="0" t="n">
        <v>1</v>
      </c>
      <c r="O144" s="0" t="n">
        <v>0.9</v>
      </c>
      <c r="P144" s="0" t="n">
        <v>0.85</v>
      </c>
      <c r="Q144" s="0" t="n">
        <v>0.75</v>
      </c>
      <c r="R144" s="0" t="n">
        <v>0.75</v>
      </c>
      <c r="S144" s="0" t="n">
        <v>0.75</v>
      </c>
      <c r="T144" s="0" t="n">
        <v>0.75</v>
      </c>
    </row>
    <row r="145" customFormat="false" ht="12.75" hidden="false" customHeight="false" outlineLevel="0" collapsed="false">
      <c r="A145" s="317" t="n">
        <v>41365</v>
      </c>
      <c r="B145" s="141" t="n">
        <v>0.4</v>
      </c>
      <c r="C145" s="141" t="n">
        <v>0.45</v>
      </c>
      <c r="D145" s="0" t="n">
        <v>0.4</v>
      </c>
      <c r="E145" s="0" t="n">
        <v>0.45</v>
      </c>
      <c r="F145" s="0" t="n">
        <v>0.45</v>
      </c>
      <c r="G145" s="0" t="n">
        <v>0.45</v>
      </c>
      <c r="H145" s="0" t="n">
        <v>0.45</v>
      </c>
      <c r="I145" s="0" t="n">
        <v>0.45</v>
      </c>
      <c r="J145" s="0" t="n">
        <v>0.5</v>
      </c>
      <c r="K145" s="0" t="n">
        <v>0.4</v>
      </c>
      <c r="L145" s="0" t="n">
        <v>0.45</v>
      </c>
      <c r="M145" s="0" t="n">
        <v>0.4</v>
      </c>
      <c r="N145" s="0" t="n">
        <v>0.45</v>
      </c>
      <c r="O145" s="0" t="n">
        <v>0.55</v>
      </c>
      <c r="P145" s="0" t="n">
        <v>0.55</v>
      </c>
      <c r="Q145" s="0" t="n">
        <v>0.4</v>
      </c>
      <c r="R145" s="0" t="n">
        <v>0.4</v>
      </c>
      <c r="S145" s="0" t="n">
        <v>0.45</v>
      </c>
      <c r="T145" s="0" t="n">
        <v>0.4</v>
      </c>
    </row>
    <row r="146" customFormat="false" ht="12.75" hidden="false" customHeight="false" outlineLevel="0" collapsed="false">
      <c r="A146" s="317" t="n">
        <v>41395</v>
      </c>
      <c r="B146" s="141" t="n">
        <v>0.45</v>
      </c>
      <c r="C146" s="141" t="n">
        <v>0.5</v>
      </c>
      <c r="D146" s="0" t="n">
        <v>0.4</v>
      </c>
      <c r="E146" s="0" t="n">
        <v>0.4</v>
      </c>
      <c r="F146" s="0" t="n">
        <v>0.45</v>
      </c>
      <c r="G146" s="0" t="n">
        <v>0.5</v>
      </c>
      <c r="H146" s="0" t="n">
        <v>0.45</v>
      </c>
      <c r="I146" s="0" t="n">
        <v>0.4</v>
      </c>
      <c r="J146" s="0" t="n">
        <v>0.45</v>
      </c>
      <c r="K146" s="0" t="n">
        <v>0.45</v>
      </c>
      <c r="L146" s="0" t="n">
        <v>0.5</v>
      </c>
      <c r="M146" s="0" t="n">
        <v>0.45</v>
      </c>
      <c r="N146" s="0" t="n">
        <v>0.5</v>
      </c>
      <c r="O146" s="0" t="n">
        <v>0.6</v>
      </c>
      <c r="P146" s="0" t="n">
        <v>0.5</v>
      </c>
      <c r="Q146" s="0" t="n">
        <v>0.45</v>
      </c>
      <c r="R146" s="0" t="n">
        <v>0.4</v>
      </c>
      <c r="S146" s="0" t="n">
        <v>0.4</v>
      </c>
      <c r="T146" s="0" t="n">
        <v>0.45</v>
      </c>
    </row>
    <row r="147" customFormat="false" ht="12.75" hidden="false" customHeight="false" outlineLevel="0" collapsed="false">
      <c r="A147" s="317" t="n">
        <v>41426</v>
      </c>
      <c r="B147" s="141" t="n">
        <v>0.45</v>
      </c>
      <c r="C147" s="141" t="n">
        <v>0.5</v>
      </c>
      <c r="D147" s="0" t="n">
        <v>0.4</v>
      </c>
      <c r="E147" s="0" t="n">
        <v>0.5</v>
      </c>
      <c r="F147" s="0" t="n">
        <v>0.45</v>
      </c>
      <c r="G147" s="0" t="n">
        <v>0.5</v>
      </c>
      <c r="H147" s="0" t="n">
        <v>0.5</v>
      </c>
      <c r="I147" s="0" t="n">
        <v>0.5</v>
      </c>
      <c r="J147" s="0" t="n">
        <v>0.5</v>
      </c>
      <c r="K147" s="0" t="n">
        <v>0.45</v>
      </c>
      <c r="L147" s="0" t="n">
        <v>0.5</v>
      </c>
      <c r="M147" s="0" t="n">
        <v>0.45</v>
      </c>
      <c r="N147" s="0" t="n">
        <v>0.5</v>
      </c>
      <c r="O147" s="0" t="n">
        <v>0.6</v>
      </c>
      <c r="P147" s="0" t="n">
        <v>0.6</v>
      </c>
      <c r="Q147" s="0" t="n">
        <v>0.45</v>
      </c>
      <c r="R147" s="0" t="n">
        <v>0.4</v>
      </c>
      <c r="S147" s="0" t="n">
        <v>0.5</v>
      </c>
      <c r="T147" s="0" t="n">
        <v>0.45</v>
      </c>
    </row>
    <row r="148" customFormat="false" ht="12.75" hidden="false" customHeight="false" outlineLevel="0" collapsed="false">
      <c r="A148" s="317" t="n">
        <v>41456</v>
      </c>
      <c r="B148" s="141" t="n">
        <v>0.5</v>
      </c>
      <c r="C148" s="141" t="n">
        <v>0.5</v>
      </c>
      <c r="D148" s="0" t="n">
        <v>0.4</v>
      </c>
      <c r="E148" s="0" t="n">
        <v>0.5</v>
      </c>
      <c r="F148" s="0" t="n">
        <v>0.5</v>
      </c>
      <c r="G148" s="0" t="n">
        <v>0.5</v>
      </c>
      <c r="H148" s="0" t="n">
        <v>0.5</v>
      </c>
      <c r="I148" s="0" t="n">
        <v>0.5</v>
      </c>
      <c r="J148" s="0" t="n">
        <v>0.5</v>
      </c>
      <c r="K148" s="0" t="n">
        <v>0.5</v>
      </c>
      <c r="L148" s="0" t="n">
        <v>0.55</v>
      </c>
      <c r="M148" s="0" t="n">
        <v>0.5</v>
      </c>
      <c r="N148" s="0" t="n">
        <v>0.5</v>
      </c>
      <c r="O148" s="0" t="n">
        <v>0.65</v>
      </c>
      <c r="P148" s="0" t="n">
        <v>0.6</v>
      </c>
      <c r="Q148" s="0" t="n">
        <v>0.5</v>
      </c>
      <c r="R148" s="0" t="n">
        <v>0.4</v>
      </c>
      <c r="S148" s="0" t="n">
        <v>0.5</v>
      </c>
      <c r="T148" s="0" t="n">
        <v>0.5</v>
      </c>
    </row>
    <row r="149" customFormat="false" ht="12.75" hidden="false" customHeight="false" outlineLevel="0" collapsed="false">
      <c r="A149" s="317" t="n">
        <v>41487</v>
      </c>
      <c r="B149" s="141" t="n">
        <v>0.55</v>
      </c>
      <c r="C149" s="141" t="n">
        <v>0.55</v>
      </c>
      <c r="D149" s="0" t="n">
        <v>0.5</v>
      </c>
      <c r="E149" s="0" t="n">
        <v>0.6</v>
      </c>
      <c r="F149" s="0" t="n">
        <v>0.55</v>
      </c>
      <c r="G149" s="0" t="n">
        <v>0.6</v>
      </c>
      <c r="H149" s="0" t="n">
        <v>0.55</v>
      </c>
      <c r="I149" s="0" t="n">
        <v>0.6</v>
      </c>
      <c r="J149" s="0" t="n">
        <v>0.45</v>
      </c>
      <c r="K149" s="0" t="n">
        <v>0.55</v>
      </c>
      <c r="L149" s="0" t="n">
        <v>0.6</v>
      </c>
      <c r="M149" s="0" t="n">
        <v>0.55</v>
      </c>
      <c r="N149" s="0" t="n">
        <v>0.6</v>
      </c>
      <c r="O149" s="0" t="n">
        <v>0.7</v>
      </c>
      <c r="P149" s="0" t="n">
        <v>0.7</v>
      </c>
      <c r="Q149" s="0" t="n">
        <v>0.55</v>
      </c>
      <c r="R149" s="0" t="n">
        <v>0.5</v>
      </c>
      <c r="S149" s="0" t="n">
        <v>0.6</v>
      </c>
      <c r="T149" s="0" t="n">
        <v>0.55</v>
      </c>
    </row>
    <row r="150" customFormat="false" ht="12.75" hidden="false" customHeight="false" outlineLevel="0" collapsed="false">
      <c r="A150" s="317" t="n">
        <v>41518</v>
      </c>
      <c r="B150" s="141" t="n">
        <v>0.55</v>
      </c>
      <c r="C150" s="141" t="n">
        <v>0.55</v>
      </c>
      <c r="D150" s="0" t="n">
        <v>0.55</v>
      </c>
      <c r="E150" s="0" t="n">
        <v>0.55</v>
      </c>
      <c r="F150" s="0" t="n">
        <v>0.55</v>
      </c>
      <c r="G150" s="0" t="n">
        <v>0.6</v>
      </c>
      <c r="H150" s="0" t="n">
        <v>0.6</v>
      </c>
      <c r="I150" s="0" t="n">
        <v>0.55</v>
      </c>
      <c r="J150" s="0" t="n">
        <v>0.5</v>
      </c>
      <c r="K150" s="0" t="n">
        <v>0.55</v>
      </c>
      <c r="L150" s="0" t="n">
        <v>0.6</v>
      </c>
      <c r="M150" s="0" t="n">
        <v>0.55</v>
      </c>
      <c r="N150" s="0" t="n">
        <v>0.6</v>
      </c>
      <c r="O150" s="0" t="n">
        <v>0.7</v>
      </c>
      <c r="P150" s="0" t="n">
        <v>0.65</v>
      </c>
      <c r="Q150" s="0" t="n">
        <v>0.55</v>
      </c>
      <c r="R150" s="0" t="n">
        <v>0.55</v>
      </c>
      <c r="S150" s="0" t="n">
        <v>0.55</v>
      </c>
      <c r="T150" s="0" t="n">
        <v>0.55</v>
      </c>
    </row>
    <row r="151" customFormat="false" ht="12.75" hidden="false" customHeight="false" outlineLevel="0" collapsed="false">
      <c r="A151" s="317" t="n">
        <v>41548</v>
      </c>
      <c r="B151" s="141" t="n">
        <v>0.6</v>
      </c>
      <c r="C151" s="141" t="n">
        <v>0.6</v>
      </c>
      <c r="D151" s="0" t="n">
        <v>0.55</v>
      </c>
      <c r="E151" s="0" t="n">
        <v>0.6</v>
      </c>
      <c r="F151" s="0" t="n">
        <v>0.6</v>
      </c>
      <c r="G151" s="0" t="n">
        <v>0.65</v>
      </c>
      <c r="H151" s="0" t="n">
        <v>0.65</v>
      </c>
      <c r="I151" s="0" t="n">
        <v>0.6</v>
      </c>
      <c r="J151" s="0" t="n">
        <v>0.5</v>
      </c>
      <c r="K151" s="0" t="n">
        <v>0.6</v>
      </c>
      <c r="L151" s="0" t="n">
        <v>0.65</v>
      </c>
      <c r="M151" s="0" t="n">
        <v>0.6</v>
      </c>
      <c r="N151" s="0" t="n">
        <v>0.65</v>
      </c>
      <c r="O151" s="0" t="n">
        <v>0.75</v>
      </c>
      <c r="P151" s="0" t="n">
        <v>0.7</v>
      </c>
      <c r="Q151" s="0" t="n">
        <v>0.6</v>
      </c>
      <c r="R151" s="0" t="n">
        <v>0.55</v>
      </c>
      <c r="S151" s="0" t="n">
        <v>0.6</v>
      </c>
      <c r="T151" s="0" t="n">
        <v>0.6</v>
      </c>
    </row>
    <row r="152" customFormat="false" ht="12.75" hidden="false" customHeight="false" outlineLevel="0" collapsed="false">
      <c r="A152" s="317" t="n">
        <v>41579</v>
      </c>
      <c r="B152" s="141" t="n">
        <v>0.8</v>
      </c>
      <c r="C152" s="141" t="n">
        <v>0.85</v>
      </c>
      <c r="D152" s="0" t="n">
        <v>0.8</v>
      </c>
      <c r="E152" s="0" t="n">
        <v>0.8</v>
      </c>
      <c r="F152" s="0" t="n">
        <v>0.9</v>
      </c>
      <c r="G152" s="0" t="n">
        <v>0.95</v>
      </c>
      <c r="H152" s="0" t="n">
        <v>0.85</v>
      </c>
      <c r="I152" s="0" t="n">
        <v>0.8</v>
      </c>
      <c r="J152" s="0" t="n">
        <v>0.95</v>
      </c>
      <c r="K152" s="0" t="n">
        <v>0.8</v>
      </c>
      <c r="L152" s="0" t="n">
        <v>0.8</v>
      </c>
      <c r="M152" s="0" t="n">
        <v>0.8</v>
      </c>
      <c r="N152" s="0" t="n">
        <v>0.95</v>
      </c>
      <c r="O152" s="0" t="n">
        <v>0.95</v>
      </c>
      <c r="P152" s="0" t="n">
        <v>0.9</v>
      </c>
      <c r="Q152" s="0" t="n">
        <v>0.8</v>
      </c>
      <c r="R152" s="0" t="n">
        <v>0.8</v>
      </c>
      <c r="S152" s="0" t="n">
        <v>0.8</v>
      </c>
      <c r="T152" s="0" t="n">
        <v>0.8</v>
      </c>
    </row>
    <row r="153" customFormat="false" ht="12.75" hidden="false" customHeight="false" outlineLevel="0" collapsed="false">
      <c r="A153" s="317" t="n">
        <v>41609</v>
      </c>
      <c r="B153" s="141" t="n">
        <v>1</v>
      </c>
      <c r="C153" s="141" t="n">
        <v>1.05</v>
      </c>
      <c r="D153" s="0" t="n">
        <v>1</v>
      </c>
      <c r="E153" s="0" t="n">
        <v>1</v>
      </c>
      <c r="F153" s="0" t="n">
        <v>1.15</v>
      </c>
      <c r="G153" s="0" t="n">
        <v>1.25</v>
      </c>
      <c r="H153" s="0" t="n">
        <v>1.05</v>
      </c>
      <c r="I153" s="0" t="n">
        <v>1</v>
      </c>
      <c r="J153" s="0" t="n">
        <v>1.35</v>
      </c>
      <c r="K153" s="0" t="n">
        <v>1</v>
      </c>
      <c r="L153" s="0" t="n">
        <v>1.1</v>
      </c>
      <c r="M153" s="0" t="n">
        <v>1</v>
      </c>
      <c r="N153" s="0" t="n">
        <v>1.25</v>
      </c>
      <c r="O153" s="0" t="n">
        <v>1.15</v>
      </c>
      <c r="P153" s="0" t="n">
        <v>1.1</v>
      </c>
      <c r="Q153" s="0" t="n">
        <v>1</v>
      </c>
      <c r="R153" s="0" t="n">
        <v>1</v>
      </c>
      <c r="S153" s="0" t="n">
        <v>1</v>
      </c>
      <c r="T153" s="0" t="n">
        <v>1</v>
      </c>
    </row>
    <row r="154" customFormat="false" ht="12.75" hidden="false" customHeight="false" outlineLevel="0" collapsed="false">
      <c r="A154" s="317" t="n">
        <v>41640</v>
      </c>
      <c r="B154" s="141" t="n">
        <v>1</v>
      </c>
      <c r="C154" s="141" t="n">
        <v>1.05</v>
      </c>
      <c r="D154" s="0" t="n">
        <v>1</v>
      </c>
      <c r="E154" s="0" t="n">
        <v>1</v>
      </c>
      <c r="F154" s="0" t="n">
        <v>1.15</v>
      </c>
      <c r="G154" s="0" t="n">
        <v>1.45</v>
      </c>
      <c r="H154" s="0" t="n">
        <v>1.05</v>
      </c>
      <c r="I154" s="0" t="n">
        <v>1</v>
      </c>
      <c r="J154" s="0" t="n">
        <v>1.35</v>
      </c>
      <c r="K154" s="0" t="n">
        <v>1</v>
      </c>
      <c r="L154" s="0" t="n">
        <v>1.1</v>
      </c>
      <c r="M154" s="0" t="n">
        <v>1</v>
      </c>
      <c r="N154" s="0" t="n">
        <v>1.45</v>
      </c>
      <c r="O154" s="0" t="n">
        <v>1.15</v>
      </c>
      <c r="P154" s="0" t="n">
        <v>1.1</v>
      </c>
      <c r="Q154" s="0" t="n">
        <v>1</v>
      </c>
      <c r="R154" s="0" t="n">
        <v>1</v>
      </c>
      <c r="S154" s="0" t="n">
        <v>1</v>
      </c>
      <c r="T154" s="0" t="n">
        <v>1</v>
      </c>
    </row>
    <row r="155" customFormat="false" ht="12.75" hidden="false" customHeight="false" outlineLevel="0" collapsed="false">
      <c r="A155" s="317" t="n">
        <v>41671</v>
      </c>
      <c r="B155" s="141" t="n">
        <v>1</v>
      </c>
      <c r="C155" s="141" t="n">
        <v>1.05</v>
      </c>
      <c r="D155" s="0" t="n">
        <v>1</v>
      </c>
      <c r="E155" s="0" t="n">
        <v>1</v>
      </c>
      <c r="F155" s="0" t="n">
        <v>1.15</v>
      </c>
      <c r="G155" s="0" t="n">
        <v>1.45</v>
      </c>
      <c r="H155" s="0" t="n">
        <v>1.05</v>
      </c>
      <c r="I155" s="0" t="n">
        <v>1</v>
      </c>
      <c r="J155" s="0" t="n">
        <v>1.35</v>
      </c>
      <c r="K155" s="0" t="n">
        <v>1</v>
      </c>
      <c r="L155" s="0" t="n">
        <v>1.1</v>
      </c>
      <c r="M155" s="0" t="n">
        <v>1</v>
      </c>
      <c r="N155" s="0" t="n">
        <v>1.45</v>
      </c>
      <c r="O155" s="0" t="n">
        <v>1.15</v>
      </c>
      <c r="P155" s="0" t="n">
        <v>1.1</v>
      </c>
      <c r="Q155" s="0" t="n">
        <v>1</v>
      </c>
      <c r="R155" s="0" t="n">
        <v>1</v>
      </c>
      <c r="S155" s="0" t="n">
        <v>1</v>
      </c>
      <c r="T155" s="0" t="n">
        <v>1</v>
      </c>
    </row>
    <row r="156" customFormat="false" ht="12.75" hidden="false" customHeight="false" outlineLevel="0" collapsed="false">
      <c r="A156" s="317" t="n">
        <v>41699</v>
      </c>
      <c r="B156" s="141" t="n">
        <v>0.75</v>
      </c>
      <c r="C156" s="141" t="n">
        <v>0.8</v>
      </c>
      <c r="D156" s="0" t="n">
        <v>0.75</v>
      </c>
      <c r="E156" s="0" t="n">
        <v>0.75</v>
      </c>
      <c r="F156" s="0" t="n">
        <v>0.85</v>
      </c>
      <c r="G156" s="0" t="n">
        <v>1</v>
      </c>
      <c r="H156" s="0" t="n">
        <v>0.75</v>
      </c>
      <c r="I156" s="0" t="n">
        <v>0.75</v>
      </c>
      <c r="J156" s="0" t="n">
        <v>0.95</v>
      </c>
      <c r="K156" s="0" t="n">
        <v>0.75</v>
      </c>
      <c r="L156" s="0" t="n">
        <v>0.75</v>
      </c>
      <c r="M156" s="0" t="n">
        <v>0.75</v>
      </c>
      <c r="N156" s="0" t="n">
        <v>1</v>
      </c>
      <c r="O156" s="0" t="n">
        <v>0.9</v>
      </c>
      <c r="P156" s="0" t="n">
        <v>0.85</v>
      </c>
      <c r="Q156" s="0" t="n">
        <v>0.75</v>
      </c>
      <c r="R156" s="0" t="n">
        <v>0.75</v>
      </c>
      <c r="S156" s="0" t="n">
        <v>0.75</v>
      </c>
      <c r="T156" s="0" t="n">
        <v>0.75</v>
      </c>
    </row>
    <row r="157" customFormat="false" ht="12.75" hidden="false" customHeight="false" outlineLevel="0" collapsed="false">
      <c r="A157" s="317" t="n">
        <v>41730</v>
      </c>
      <c r="B157" s="141" t="n">
        <v>0.4</v>
      </c>
      <c r="C157" s="141" t="n">
        <v>0.45</v>
      </c>
      <c r="D157" s="0" t="n">
        <v>0.4</v>
      </c>
      <c r="E157" s="0" t="n">
        <v>0.45</v>
      </c>
      <c r="F157" s="0" t="n">
        <v>0.45</v>
      </c>
      <c r="G157" s="0" t="n">
        <v>0.45</v>
      </c>
      <c r="H157" s="0" t="n">
        <v>0.45</v>
      </c>
      <c r="I157" s="0" t="n">
        <v>0.45</v>
      </c>
      <c r="J157" s="0" t="n">
        <v>0.5</v>
      </c>
      <c r="K157" s="0" t="n">
        <v>0.4</v>
      </c>
      <c r="L157" s="0" t="n">
        <v>0.45</v>
      </c>
      <c r="M157" s="0" t="n">
        <v>0.4</v>
      </c>
      <c r="N157" s="0" t="n">
        <v>0.45</v>
      </c>
      <c r="O157" s="0" t="n">
        <v>0.55</v>
      </c>
      <c r="P157" s="0" t="n">
        <v>0.55</v>
      </c>
      <c r="Q157" s="0" t="n">
        <v>0.4</v>
      </c>
      <c r="R157" s="0" t="n">
        <v>0.4</v>
      </c>
      <c r="S157" s="0" t="n">
        <v>0.45</v>
      </c>
      <c r="T157" s="0" t="n">
        <v>0.4</v>
      </c>
    </row>
    <row r="158" customFormat="false" ht="12.75" hidden="false" customHeight="false" outlineLevel="0" collapsed="false">
      <c r="A158" s="317" t="n">
        <v>41760</v>
      </c>
      <c r="B158" s="141" t="n">
        <v>0.45</v>
      </c>
      <c r="C158" s="141" t="n">
        <v>0.5</v>
      </c>
      <c r="D158" s="0" t="n">
        <v>0.4</v>
      </c>
      <c r="E158" s="0" t="n">
        <v>0.4</v>
      </c>
      <c r="F158" s="0" t="n">
        <v>0.45</v>
      </c>
      <c r="G158" s="0" t="n">
        <v>0.5</v>
      </c>
      <c r="H158" s="0" t="n">
        <v>0.45</v>
      </c>
      <c r="I158" s="0" t="n">
        <v>0.4</v>
      </c>
      <c r="J158" s="0" t="n">
        <v>0.45</v>
      </c>
      <c r="K158" s="0" t="n">
        <v>0.45</v>
      </c>
      <c r="L158" s="0" t="n">
        <v>0.5</v>
      </c>
      <c r="M158" s="0" t="n">
        <v>0.45</v>
      </c>
      <c r="N158" s="0" t="n">
        <v>0.5</v>
      </c>
      <c r="O158" s="0" t="n">
        <v>0.6</v>
      </c>
      <c r="P158" s="0" t="n">
        <v>0.5</v>
      </c>
      <c r="Q158" s="0" t="n">
        <v>0.45</v>
      </c>
      <c r="R158" s="0" t="n">
        <v>0.4</v>
      </c>
      <c r="S158" s="0" t="n">
        <v>0.4</v>
      </c>
      <c r="T158" s="0" t="n">
        <v>0.45</v>
      </c>
    </row>
    <row r="159" customFormat="false" ht="12.75" hidden="false" customHeight="false" outlineLevel="0" collapsed="false">
      <c r="A159" s="317" t="n">
        <v>41791</v>
      </c>
      <c r="B159" s="141" t="n">
        <v>0.45</v>
      </c>
      <c r="C159" s="141" t="n">
        <v>0.5</v>
      </c>
      <c r="D159" s="0" t="n">
        <v>0.4</v>
      </c>
      <c r="E159" s="0" t="n">
        <v>0.5</v>
      </c>
      <c r="F159" s="0" t="n">
        <v>0.45</v>
      </c>
      <c r="G159" s="0" t="n">
        <v>0.5</v>
      </c>
      <c r="H159" s="0" t="n">
        <v>0.5</v>
      </c>
      <c r="I159" s="0" t="n">
        <v>0.5</v>
      </c>
      <c r="J159" s="0" t="n">
        <v>0.5</v>
      </c>
      <c r="K159" s="0" t="n">
        <v>0.45</v>
      </c>
      <c r="L159" s="0" t="n">
        <v>0.5</v>
      </c>
      <c r="M159" s="0" t="n">
        <v>0.45</v>
      </c>
      <c r="N159" s="0" t="n">
        <v>0.5</v>
      </c>
      <c r="O159" s="0" t="n">
        <v>0.6</v>
      </c>
      <c r="P159" s="0" t="n">
        <v>0.6</v>
      </c>
      <c r="Q159" s="0" t="n">
        <v>0.45</v>
      </c>
      <c r="R159" s="0" t="n">
        <v>0.4</v>
      </c>
      <c r="S159" s="0" t="n">
        <v>0.5</v>
      </c>
      <c r="T159" s="0" t="n">
        <v>0.45</v>
      </c>
    </row>
    <row r="160" customFormat="false" ht="12.75" hidden="false" customHeight="false" outlineLevel="0" collapsed="false">
      <c r="A160" s="317" t="n">
        <v>41821</v>
      </c>
      <c r="B160" s="141" t="n">
        <v>0.5</v>
      </c>
      <c r="C160" s="141" t="n">
        <v>0.5</v>
      </c>
      <c r="D160" s="0" t="n">
        <v>0.4</v>
      </c>
      <c r="E160" s="0" t="n">
        <v>0.5</v>
      </c>
      <c r="F160" s="0" t="n">
        <v>0.5</v>
      </c>
      <c r="G160" s="0" t="n">
        <v>0.5</v>
      </c>
      <c r="H160" s="0" t="n">
        <v>0.5</v>
      </c>
      <c r="I160" s="0" t="n">
        <v>0.5</v>
      </c>
      <c r="J160" s="0" t="n">
        <v>0.5</v>
      </c>
      <c r="K160" s="0" t="n">
        <v>0.5</v>
      </c>
      <c r="L160" s="0" t="n">
        <v>0.55</v>
      </c>
      <c r="M160" s="0" t="n">
        <v>0.5</v>
      </c>
      <c r="N160" s="0" t="n">
        <v>0.5</v>
      </c>
      <c r="O160" s="0" t="n">
        <v>0.65</v>
      </c>
      <c r="P160" s="0" t="n">
        <v>0.6</v>
      </c>
      <c r="Q160" s="0" t="n">
        <v>0.5</v>
      </c>
      <c r="R160" s="0" t="n">
        <v>0.4</v>
      </c>
      <c r="S160" s="0" t="n">
        <v>0.5</v>
      </c>
      <c r="T160" s="0" t="n">
        <v>0.5</v>
      </c>
    </row>
    <row r="161" customFormat="false" ht="12.75" hidden="false" customHeight="false" outlineLevel="0" collapsed="false">
      <c r="A161" s="317" t="n">
        <v>41852</v>
      </c>
      <c r="B161" s="141" t="n">
        <v>0.55</v>
      </c>
      <c r="C161" s="141" t="n">
        <v>0.55</v>
      </c>
      <c r="D161" s="0" t="n">
        <v>0.5</v>
      </c>
      <c r="E161" s="0" t="n">
        <v>0.6</v>
      </c>
      <c r="F161" s="0" t="n">
        <v>0.55</v>
      </c>
      <c r="G161" s="0" t="n">
        <v>0.6</v>
      </c>
      <c r="H161" s="0" t="n">
        <v>0.55</v>
      </c>
      <c r="I161" s="0" t="n">
        <v>0.6</v>
      </c>
      <c r="J161" s="0" t="n">
        <v>0.45</v>
      </c>
      <c r="K161" s="0" t="n">
        <v>0.55</v>
      </c>
      <c r="L161" s="0" t="n">
        <v>0.6</v>
      </c>
      <c r="M161" s="0" t="n">
        <v>0.55</v>
      </c>
      <c r="N161" s="0" t="n">
        <v>0.6</v>
      </c>
      <c r="O161" s="0" t="n">
        <v>0.7</v>
      </c>
      <c r="P161" s="0" t="n">
        <v>0.7</v>
      </c>
      <c r="Q161" s="0" t="n">
        <v>0.55</v>
      </c>
      <c r="R161" s="0" t="n">
        <v>0.5</v>
      </c>
      <c r="S161" s="0" t="n">
        <v>0.6</v>
      </c>
      <c r="T161" s="0" t="n">
        <v>0.55</v>
      </c>
    </row>
    <row r="162" customFormat="false" ht="12.75" hidden="false" customHeight="false" outlineLevel="0" collapsed="false">
      <c r="A162" s="317" t="n">
        <v>41883</v>
      </c>
      <c r="B162" s="141" t="n">
        <v>0.55</v>
      </c>
      <c r="C162" s="141" t="n">
        <v>0.55</v>
      </c>
      <c r="D162" s="0" t="n">
        <v>0.55</v>
      </c>
      <c r="E162" s="0" t="n">
        <v>0.55</v>
      </c>
      <c r="F162" s="0" t="n">
        <v>0.55</v>
      </c>
      <c r="G162" s="0" t="n">
        <v>0.6</v>
      </c>
      <c r="H162" s="0" t="n">
        <v>0.6</v>
      </c>
      <c r="I162" s="0" t="n">
        <v>0.55</v>
      </c>
      <c r="J162" s="0" t="n">
        <v>0.5</v>
      </c>
      <c r="K162" s="0" t="n">
        <v>0.55</v>
      </c>
      <c r="L162" s="0" t="n">
        <v>0.6</v>
      </c>
      <c r="M162" s="0" t="n">
        <v>0.55</v>
      </c>
      <c r="N162" s="0" t="n">
        <v>0.6</v>
      </c>
      <c r="O162" s="0" t="n">
        <v>0.7</v>
      </c>
      <c r="P162" s="0" t="n">
        <v>0.65</v>
      </c>
      <c r="Q162" s="0" t="n">
        <v>0.55</v>
      </c>
      <c r="R162" s="0" t="n">
        <v>0.55</v>
      </c>
      <c r="S162" s="0" t="n">
        <v>0.55</v>
      </c>
      <c r="T162" s="0" t="n">
        <v>0.55</v>
      </c>
    </row>
    <row r="163" customFormat="false" ht="12.75" hidden="false" customHeight="false" outlineLevel="0" collapsed="false">
      <c r="A163" s="317" t="n">
        <v>41913</v>
      </c>
      <c r="B163" s="141" t="n">
        <v>0.6</v>
      </c>
      <c r="C163" s="141" t="n">
        <v>0.6</v>
      </c>
      <c r="D163" s="0" t="n">
        <v>0.55</v>
      </c>
      <c r="E163" s="0" t="n">
        <v>0.6</v>
      </c>
      <c r="F163" s="0" t="n">
        <v>0.6</v>
      </c>
      <c r="G163" s="0" t="n">
        <v>0.65</v>
      </c>
      <c r="H163" s="0" t="n">
        <v>0.65</v>
      </c>
      <c r="I163" s="0" t="n">
        <v>0.6</v>
      </c>
      <c r="J163" s="0" t="n">
        <v>0.5</v>
      </c>
      <c r="K163" s="0" t="n">
        <v>0.6</v>
      </c>
      <c r="L163" s="0" t="n">
        <v>0.65</v>
      </c>
      <c r="M163" s="0" t="n">
        <v>0.6</v>
      </c>
      <c r="N163" s="0" t="n">
        <v>0.65</v>
      </c>
      <c r="O163" s="0" t="n">
        <v>0.75</v>
      </c>
      <c r="P163" s="0" t="n">
        <v>0.7</v>
      </c>
      <c r="Q163" s="0" t="n">
        <v>0.6</v>
      </c>
      <c r="R163" s="0" t="n">
        <v>0.55</v>
      </c>
      <c r="S163" s="0" t="n">
        <v>0.6</v>
      </c>
      <c r="T163" s="0" t="n">
        <v>0.6</v>
      </c>
    </row>
    <row r="164" customFormat="false" ht="12.75" hidden="false" customHeight="false" outlineLevel="0" collapsed="false">
      <c r="A164" s="317" t="n">
        <v>41944</v>
      </c>
      <c r="B164" s="141" t="n">
        <v>0.8</v>
      </c>
      <c r="C164" s="141" t="n">
        <v>0.85</v>
      </c>
      <c r="D164" s="0" t="n">
        <v>0.8</v>
      </c>
      <c r="E164" s="0" t="n">
        <v>0.8</v>
      </c>
      <c r="F164" s="0" t="n">
        <v>0.9</v>
      </c>
      <c r="G164" s="0" t="n">
        <v>0.95</v>
      </c>
      <c r="H164" s="0" t="n">
        <v>0.85</v>
      </c>
      <c r="I164" s="0" t="n">
        <v>0.8</v>
      </c>
      <c r="J164" s="0" t="n">
        <v>0.95</v>
      </c>
      <c r="K164" s="0" t="n">
        <v>0.8</v>
      </c>
      <c r="L164" s="0" t="n">
        <v>0.8</v>
      </c>
      <c r="M164" s="0" t="n">
        <v>0.8</v>
      </c>
      <c r="N164" s="0" t="n">
        <v>0.95</v>
      </c>
      <c r="O164" s="0" t="n">
        <v>0.95</v>
      </c>
      <c r="P164" s="0" t="n">
        <v>0.9</v>
      </c>
      <c r="Q164" s="0" t="n">
        <v>0.8</v>
      </c>
      <c r="R164" s="0" t="n">
        <v>0.8</v>
      </c>
      <c r="S164" s="0" t="n">
        <v>0.8</v>
      </c>
      <c r="T164" s="0" t="n">
        <v>0.8</v>
      </c>
    </row>
    <row r="165" customFormat="false" ht="12.75" hidden="false" customHeight="false" outlineLevel="0" collapsed="false">
      <c r="A165" s="317" t="n">
        <v>41974</v>
      </c>
      <c r="B165" s="141" t="n">
        <v>1</v>
      </c>
      <c r="C165" s="141" t="n">
        <v>1.05</v>
      </c>
      <c r="D165" s="0" t="n">
        <v>1</v>
      </c>
      <c r="E165" s="0" t="n">
        <v>1</v>
      </c>
      <c r="F165" s="0" t="n">
        <v>1.15</v>
      </c>
      <c r="G165" s="0" t="n">
        <v>1.25</v>
      </c>
      <c r="H165" s="0" t="n">
        <v>1.05</v>
      </c>
      <c r="I165" s="0" t="n">
        <v>1</v>
      </c>
      <c r="J165" s="0" t="n">
        <v>1.35</v>
      </c>
      <c r="K165" s="0" t="n">
        <v>1</v>
      </c>
      <c r="L165" s="0" t="n">
        <v>1.1</v>
      </c>
      <c r="M165" s="0" t="n">
        <v>1</v>
      </c>
      <c r="N165" s="0" t="n">
        <v>1.25</v>
      </c>
      <c r="O165" s="0" t="n">
        <v>1.15</v>
      </c>
      <c r="P165" s="0" t="n">
        <v>1.1</v>
      </c>
      <c r="Q165" s="0" t="n">
        <v>1</v>
      </c>
      <c r="R165" s="0" t="n">
        <v>1</v>
      </c>
      <c r="S165" s="0" t="n">
        <v>1</v>
      </c>
      <c r="T165" s="0" t="n">
        <v>1</v>
      </c>
    </row>
    <row r="166" customFormat="false" ht="12.75" hidden="false" customHeight="false" outlineLevel="0" collapsed="false">
      <c r="A166" s="317" t="n">
        <v>42005</v>
      </c>
      <c r="B166" s="141" t="n">
        <v>1</v>
      </c>
      <c r="C166" s="141" t="n">
        <v>1.05</v>
      </c>
      <c r="D166" s="0" t="n">
        <v>1</v>
      </c>
      <c r="E166" s="0" t="n">
        <v>1</v>
      </c>
      <c r="F166" s="0" t="n">
        <v>1.15</v>
      </c>
      <c r="G166" s="0" t="n">
        <v>1.45</v>
      </c>
      <c r="H166" s="0" t="n">
        <v>1.05</v>
      </c>
      <c r="I166" s="0" t="n">
        <v>1</v>
      </c>
      <c r="J166" s="0" t="n">
        <v>1.35</v>
      </c>
      <c r="K166" s="0" t="n">
        <v>1</v>
      </c>
      <c r="L166" s="0" t="n">
        <v>1.1</v>
      </c>
      <c r="M166" s="0" t="n">
        <v>1</v>
      </c>
      <c r="N166" s="0" t="n">
        <v>1.45</v>
      </c>
      <c r="O166" s="0" t="n">
        <v>1.15</v>
      </c>
      <c r="P166" s="0" t="n">
        <v>1.1</v>
      </c>
      <c r="Q166" s="0" t="n">
        <v>1</v>
      </c>
      <c r="R166" s="0" t="n">
        <v>1</v>
      </c>
      <c r="S166" s="0" t="n">
        <v>1</v>
      </c>
      <c r="T166" s="0" t="n">
        <v>1</v>
      </c>
    </row>
    <row r="167" customFormat="false" ht="12.75" hidden="false" customHeight="false" outlineLevel="0" collapsed="false">
      <c r="A167" s="317" t="n">
        <v>42036</v>
      </c>
      <c r="B167" s="141" t="n">
        <v>1</v>
      </c>
      <c r="C167" s="141" t="n">
        <v>1.05</v>
      </c>
      <c r="D167" s="0" t="n">
        <v>1</v>
      </c>
      <c r="E167" s="0" t="n">
        <v>1</v>
      </c>
      <c r="F167" s="0" t="n">
        <v>1.15</v>
      </c>
      <c r="G167" s="0" t="n">
        <v>1.45</v>
      </c>
      <c r="H167" s="0" t="n">
        <v>1.05</v>
      </c>
      <c r="I167" s="0" t="n">
        <v>1</v>
      </c>
      <c r="J167" s="0" t="n">
        <v>1.35</v>
      </c>
      <c r="K167" s="0" t="n">
        <v>1</v>
      </c>
      <c r="L167" s="0" t="n">
        <v>1.1</v>
      </c>
      <c r="M167" s="0" t="n">
        <v>1</v>
      </c>
      <c r="N167" s="0" t="n">
        <v>1.45</v>
      </c>
      <c r="O167" s="0" t="n">
        <v>1.15</v>
      </c>
      <c r="P167" s="0" t="n">
        <v>1.1</v>
      </c>
      <c r="Q167" s="0" t="n">
        <v>1</v>
      </c>
      <c r="R167" s="0" t="n">
        <v>1</v>
      </c>
      <c r="S167" s="0" t="n">
        <v>1</v>
      </c>
      <c r="T167" s="0" t="n">
        <v>1</v>
      </c>
    </row>
    <row r="168" customFormat="false" ht="12.75" hidden="false" customHeight="false" outlineLevel="0" collapsed="false">
      <c r="A168" s="317" t="n">
        <v>42064</v>
      </c>
      <c r="B168" s="141" t="n">
        <v>0.75</v>
      </c>
      <c r="C168" s="141" t="n">
        <v>0.8</v>
      </c>
      <c r="D168" s="0" t="n">
        <v>0.75</v>
      </c>
      <c r="E168" s="0" t="n">
        <v>0.75</v>
      </c>
      <c r="F168" s="0" t="n">
        <v>0.85</v>
      </c>
      <c r="G168" s="0" t="n">
        <v>1</v>
      </c>
      <c r="H168" s="0" t="n">
        <v>0.75</v>
      </c>
      <c r="I168" s="0" t="n">
        <v>0.75</v>
      </c>
      <c r="J168" s="0" t="n">
        <v>0.95</v>
      </c>
      <c r="K168" s="0" t="n">
        <v>0.75</v>
      </c>
      <c r="L168" s="0" t="n">
        <v>0.75</v>
      </c>
      <c r="M168" s="0" t="n">
        <v>0.75</v>
      </c>
      <c r="N168" s="0" t="n">
        <v>1</v>
      </c>
      <c r="O168" s="0" t="n">
        <v>0.9</v>
      </c>
      <c r="P168" s="0" t="n">
        <v>0.85</v>
      </c>
      <c r="Q168" s="0" t="n">
        <v>0.75</v>
      </c>
      <c r="R168" s="0" t="n">
        <v>0.75</v>
      </c>
      <c r="S168" s="0" t="n">
        <v>0.75</v>
      </c>
      <c r="T168" s="0" t="n">
        <v>0.75</v>
      </c>
    </row>
    <row r="169" customFormat="false" ht="12.75" hidden="false" customHeight="false" outlineLevel="0" collapsed="false">
      <c r="A169" s="317" t="n">
        <v>42095</v>
      </c>
      <c r="B169" s="141" t="n">
        <v>0.4</v>
      </c>
      <c r="C169" s="141" t="n">
        <v>0.45</v>
      </c>
      <c r="D169" s="0" t="n">
        <v>0.4</v>
      </c>
      <c r="E169" s="0" t="n">
        <v>0.45</v>
      </c>
      <c r="F169" s="0" t="n">
        <v>0.45</v>
      </c>
      <c r="G169" s="0" t="n">
        <v>0.45</v>
      </c>
      <c r="H169" s="0" t="n">
        <v>0.45</v>
      </c>
      <c r="I169" s="0" t="n">
        <v>0.45</v>
      </c>
      <c r="J169" s="0" t="n">
        <v>0.5</v>
      </c>
      <c r="K169" s="0" t="n">
        <v>0.4</v>
      </c>
      <c r="L169" s="0" t="n">
        <v>0.45</v>
      </c>
      <c r="M169" s="0" t="n">
        <v>0.4</v>
      </c>
      <c r="N169" s="0" t="n">
        <v>0.45</v>
      </c>
      <c r="O169" s="0" t="n">
        <v>0.55</v>
      </c>
      <c r="P169" s="0" t="n">
        <v>0.55</v>
      </c>
      <c r="Q169" s="0" t="n">
        <v>0.4</v>
      </c>
      <c r="R169" s="0" t="n">
        <v>0.4</v>
      </c>
      <c r="S169" s="0" t="n">
        <v>0.45</v>
      </c>
      <c r="T169" s="0" t="n">
        <v>0.4</v>
      </c>
    </row>
    <row r="170" customFormat="false" ht="12.75" hidden="false" customHeight="false" outlineLevel="0" collapsed="false">
      <c r="A170" s="317" t="n">
        <v>42125</v>
      </c>
      <c r="B170" s="141" t="n">
        <v>0.45</v>
      </c>
      <c r="C170" s="141" t="n">
        <v>0.5</v>
      </c>
      <c r="D170" s="0" t="n">
        <v>0.4</v>
      </c>
      <c r="E170" s="0" t="n">
        <v>0.4</v>
      </c>
      <c r="F170" s="0" t="n">
        <v>0.45</v>
      </c>
      <c r="G170" s="0" t="n">
        <v>0.5</v>
      </c>
      <c r="H170" s="0" t="n">
        <v>0.45</v>
      </c>
      <c r="I170" s="0" t="n">
        <v>0.4</v>
      </c>
      <c r="J170" s="0" t="n">
        <v>0.45</v>
      </c>
      <c r="K170" s="0" t="n">
        <v>0.45</v>
      </c>
      <c r="L170" s="0" t="n">
        <v>0.5</v>
      </c>
      <c r="M170" s="0" t="n">
        <v>0.45</v>
      </c>
      <c r="N170" s="0" t="n">
        <v>0.5</v>
      </c>
      <c r="O170" s="0" t="n">
        <v>0.6</v>
      </c>
      <c r="P170" s="0" t="n">
        <v>0.5</v>
      </c>
      <c r="Q170" s="0" t="n">
        <v>0.45</v>
      </c>
      <c r="R170" s="0" t="n">
        <v>0.4</v>
      </c>
      <c r="S170" s="0" t="n">
        <v>0.4</v>
      </c>
      <c r="T170" s="0" t="n">
        <v>0.45</v>
      </c>
    </row>
    <row r="171" customFormat="false" ht="12.75" hidden="false" customHeight="false" outlineLevel="0" collapsed="false">
      <c r="A171" s="317" t="n">
        <v>42156</v>
      </c>
      <c r="B171" s="141" t="n">
        <v>0.45</v>
      </c>
      <c r="C171" s="141" t="n">
        <v>0.5</v>
      </c>
      <c r="D171" s="0" t="n">
        <v>0.4</v>
      </c>
      <c r="E171" s="0" t="n">
        <v>0.5</v>
      </c>
      <c r="F171" s="0" t="n">
        <v>0.45</v>
      </c>
      <c r="G171" s="0" t="n">
        <v>0.5</v>
      </c>
      <c r="H171" s="0" t="n">
        <v>0.5</v>
      </c>
      <c r="I171" s="0" t="n">
        <v>0.5</v>
      </c>
      <c r="J171" s="0" t="n">
        <v>0.5</v>
      </c>
      <c r="K171" s="0" t="n">
        <v>0.45</v>
      </c>
      <c r="L171" s="0" t="n">
        <v>0.5</v>
      </c>
      <c r="M171" s="0" t="n">
        <v>0.45</v>
      </c>
      <c r="N171" s="0" t="n">
        <v>0.5</v>
      </c>
      <c r="O171" s="0" t="n">
        <v>0.6</v>
      </c>
      <c r="P171" s="0" t="n">
        <v>0.6</v>
      </c>
      <c r="Q171" s="0" t="n">
        <v>0.45</v>
      </c>
      <c r="R171" s="0" t="n">
        <v>0.4</v>
      </c>
      <c r="S171" s="0" t="n">
        <v>0.5</v>
      </c>
      <c r="T171" s="0" t="n">
        <v>0.45</v>
      </c>
    </row>
    <row r="172" customFormat="false" ht="12.75" hidden="false" customHeight="false" outlineLevel="0" collapsed="false">
      <c r="A172" s="317" t="n">
        <v>42186</v>
      </c>
      <c r="B172" s="141" t="n">
        <v>0.5</v>
      </c>
      <c r="C172" s="141" t="n">
        <v>0.5</v>
      </c>
      <c r="D172" s="0" t="n">
        <v>0.4</v>
      </c>
      <c r="E172" s="0" t="n">
        <v>0.5</v>
      </c>
      <c r="F172" s="0" t="n">
        <v>0.5</v>
      </c>
      <c r="G172" s="0" t="n">
        <v>0.5</v>
      </c>
      <c r="H172" s="0" t="n">
        <v>0.5</v>
      </c>
      <c r="I172" s="0" t="n">
        <v>0.5</v>
      </c>
      <c r="J172" s="0" t="n">
        <v>0.5</v>
      </c>
      <c r="K172" s="0" t="n">
        <v>0.5</v>
      </c>
      <c r="L172" s="0" t="n">
        <v>0.55</v>
      </c>
      <c r="M172" s="0" t="n">
        <v>0.5</v>
      </c>
      <c r="N172" s="0" t="n">
        <v>0.5</v>
      </c>
      <c r="O172" s="0" t="n">
        <v>0.65</v>
      </c>
      <c r="P172" s="0" t="n">
        <v>0.6</v>
      </c>
      <c r="Q172" s="0" t="n">
        <v>0.5</v>
      </c>
      <c r="R172" s="0" t="n">
        <v>0.4</v>
      </c>
      <c r="S172" s="0" t="n">
        <v>0.5</v>
      </c>
      <c r="T172" s="0" t="n">
        <v>0.5</v>
      </c>
    </row>
    <row r="173" customFormat="false" ht="12.75" hidden="false" customHeight="false" outlineLevel="0" collapsed="false">
      <c r="A173" s="317" t="n">
        <v>42217</v>
      </c>
      <c r="B173" s="141" t="n">
        <v>0.55</v>
      </c>
      <c r="C173" s="141" t="n">
        <v>0.55</v>
      </c>
      <c r="D173" s="0" t="n">
        <v>0.5</v>
      </c>
      <c r="E173" s="0" t="n">
        <v>0.6</v>
      </c>
      <c r="F173" s="0" t="n">
        <v>0.55</v>
      </c>
      <c r="G173" s="0" t="n">
        <v>0.6</v>
      </c>
      <c r="H173" s="0" t="n">
        <v>0.55</v>
      </c>
      <c r="I173" s="0" t="n">
        <v>0.6</v>
      </c>
      <c r="J173" s="0" t="n">
        <v>0.45</v>
      </c>
      <c r="K173" s="0" t="n">
        <v>0.55</v>
      </c>
      <c r="L173" s="0" t="n">
        <v>0.6</v>
      </c>
      <c r="M173" s="0" t="n">
        <v>0.55</v>
      </c>
      <c r="N173" s="0" t="n">
        <v>0.6</v>
      </c>
      <c r="O173" s="0" t="n">
        <v>0.7</v>
      </c>
      <c r="P173" s="0" t="n">
        <v>0.7</v>
      </c>
      <c r="Q173" s="0" t="n">
        <v>0.55</v>
      </c>
      <c r="R173" s="0" t="n">
        <v>0.5</v>
      </c>
      <c r="S173" s="0" t="n">
        <v>0.6</v>
      </c>
      <c r="T173" s="0" t="n">
        <v>0.55</v>
      </c>
    </row>
    <row r="174" customFormat="false" ht="12.75" hidden="false" customHeight="false" outlineLevel="0" collapsed="false">
      <c r="A174" s="317" t="n">
        <v>42248</v>
      </c>
      <c r="B174" s="141" t="n">
        <v>0.55</v>
      </c>
      <c r="C174" s="141" t="n">
        <v>0.55</v>
      </c>
      <c r="D174" s="0" t="n">
        <v>0.55</v>
      </c>
      <c r="E174" s="0" t="n">
        <v>0.55</v>
      </c>
      <c r="F174" s="0" t="n">
        <v>0.55</v>
      </c>
      <c r="G174" s="0" t="n">
        <v>0.6</v>
      </c>
      <c r="H174" s="0" t="n">
        <v>0.6</v>
      </c>
      <c r="I174" s="0" t="n">
        <v>0.55</v>
      </c>
      <c r="J174" s="0" t="n">
        <v>0.5</v>
      </c>
      <c r="K174" s="0" t="n">
        <v>0.55</v>
      </c>
      <c r="L174" s="0" t="n">
        <v>0.6</v>
      </c>
      <c r="M174" s="0" t="n">
        <v>0.55</v>
      </c>
      <c r="N174" s="0" t="n">
        <v>0.6</v>
      </c>
      <c r="O174" s="0" t="n">
        <v>0.7</v>
      </c>
      <c r="P174" s="0" t="n">
        <v>0.65</v>
      </c>
      <c r="Q174" s="0" t="n">
        <v>0.55</v>
      </c>
      <c r="R174" s="0" t="n">
        <v>0.55</v>
      </c>
      <c r="S174" s="0" t="n">
        <v>0.55</v>
      </c>
      <c r="T174" s="0" t="n">
        <v>0.55</v>
      </c>
    </row>
    <row r="175" customFormat="false" ht="12.75" hidden="false" customHeight="false" outlineLevel="0" collapsed="false">
      <c r="A175" s="317" t="n">
        <v>42278</v>
      </c>
      <c r="B175" s="141" t="n">
        <v>0.6</v>
      </c>
      <c r="C175" s="141" t="n">
        <v>0.6</v>
      </c>
      <c r="D175" s="0" t="n">
        <v>0.55</v>
      </c>
      <c r="E175" s="0" t="n">
        <v>0.6</v>
      </c>
      <c r="F175" s="0" t="n">
        <v>0.6</v>
      </c>
      <c r="G175" s="0" t="n">
        <v>0.65</v>
      </c>
      <c r="H175" s="0" t="n">
        <v>0.65</v>
      </c>
      <c r="I175" s="0" t="n">
        <v>0.6</v>
      </c>
      <c r="J175" s="0" t="n">
        <v>0.5</v>
      </c>
      <c r="K175" s="0" t="n">
        <v>0.6</v>
      </c>
      <c r="L175" s="0" t="n">
        <v>0.65</v>
      </c>
      <c r="M175" s="0" t="n">
        <v>0.6</v>
      </c>
      <c r="N175" s="0" t="n">
        <v>0.65</v>
      </c>
      <c r="O175" s="0" t="n">
        <v>0.75</v>
      </c>
      <c r="P175" s="0" t="n">
        <v>0.7</v>
      </c>
      <c r="Q175" s="0" t="n">
        <v>0.6</v>
      </c>
      <c r="R175" s="0" t="n">
        <v>0.55</v>
      </c>
      <c r="S175" s="0" t="n">
        <v>0.6</v>
      </c>
      <c r="T175" s="0" t="n">
        <v>0.6</v>
      </c>
    </row>
    <row r="176" customFormat="false" ht="12.75" hidden="false" customHeight="false" outlineLevel="0" collapsed="false">
      <c r="A176" s="317" t="n">
        <v>42309</v>
      </c>
      <c r="B176" s="141" t="n">
        <v>0.8</v>
      </c>
      <c r="C176" s="141" t="n">
        <v>0.85</v>
      </c>
      <c r="D176" s="0" t="n">
        <v>0.8</v>
      </c>
      <c r="E176" s="0" t="n">
        <v>0.8</v>
      </c>
      <c r="F176" s="0" t="n">
        <v>0.9</v>
      </c>
      <c r="G176" s="0" t="n">
        <v>0.95</v>
      </c>
      <c r="H176" s="0" t="n">
        <v>0.85</v>
      </c>
      <c r="I176" s="0" t="n">
        <v>0.8</v>
      </c>
      <c r="J176" s="0" t="n">
        <v>0.95</v>
      </c>
      <c r="K176" s="0" t="n">
        <v>0.8</v>
      </c>
      <c r="L176" s="0" t="n">
        <v>0.8</v>
      </c>
      <c r="M176" s="0" t="n">
        <v>0.8</v>
      </c>
      <c r="N176" s="0" t="n">
        <v>0.95</v>
      </c>
      <c r="O176" s="0" t="n">
        <v>0.95</v>
      </c>
      <c r="P176" s="0" t="n">
        <v>0.9</v>
      </c>
      <c r="Q176" s="0" t="n">
        <v>0.8</v>
      </c>
      <c r="R176" s="0" t="n">
        <v>0.8</v>
      </c>
      <c r="S176" s="0" t="n">
        <v>0.8</v>
      </c>
      <c r="T176" s="0" t="n">
        <v>0.8</v>
      </c>
    </row>
    <row r="177" customFormat="false" ht="12.75" hidden="false" customHeight="false" outlineLevel="0" collapsed="false">
      <c r="A177" s="317" t="n">
        <v>42339</v>
      </c>
      <c r="B177" s="141" t="n">
        <v>1</v>
      </c>
      <c r="C177" s="141" t="n">
        <v>1.05</v>
      </c>
      <c r="D177" s="0" t="n">
        <v>1</v>
      </c>
      <c r="E177" s="0" t="n">
        <v>1</v>
      </c>
      <c r="F177" s="0" t="n">
        <v>1.15</v>
      </c>
      <c r="G177" s="0" t="n">
        <v>1.25</v>
      </c>
      <c r="H177" s="0" t="n">
        <v>1.05</v>
      </c>
      <c r="I177" s="0" t="n">
        <v>1</v>
      </c>
      <c r="J177" s="0" t="n">
        <v>1.35</v>
      </c>
      <c r="K177" s="0" t="n">
        <v>1</v>
      </c>
      <c r="L177" s="0" t="n">
        <v>1.1</v>
      </c>
      <c r="M177" s="0" t="n">
        <v>1</v>
      </c>
      <c r="N177" s="0" t="n">
        <v>1.25</v>
      </c>
      <c r="O177" s="0" t="n">
        <v>1.15</v>
      </c>
      <c r="P177" s="0" t="n">
        <v>1.1</v>
      </c>
      <c r="Q177" s="0" t="n">
        <v>1</v>
      </c>
      <c r="R177" s="0" t="n">
        <v>1</v>
      </c>
      <c r="S177" s="0" t="n">
        <v>1</v>
      </c>
      <c r="T177" s="0" t="n">
        <v>1</v>
      </c>
    </row>
    <row r="178" customFormat="false" ht="12.75" hidden="false" customHeight="false" outlineLevel="0" collapsed="false">
      <c r="A178" s="317" t="n">
        <v>42370</v>
      </c>
      <c r="B178" s="141" t="n">
        <v>1</v>
      </c>
      <c r="C178" s="141" t="n">
        <v>1.05</v>
      </c>
      <c r="D178" s="0" t="n">
        <v>1</v>
      </c>
      <c r="E178" s="0" t="n">
        <v>1</v>
      </c>
      <c r="F178" s="0" t="n">
        <v>1.15</v>
      </c>
      <c r="G178" s="0" t="n">
        <v>1.45</v>
      </c>
      <c r="H178" s="0" t="n">
        <v>1.05</v>
      </c>
      <c r="I178" s="0" t="n">
        <v>1</v>
      </c>
      <c r="J178" s="0" t="n">
        <v>1.35</v>
      </c>
      <c r="K178" s="0" t="n">
        <v>1</v>
      </c>
      <c r="L178" s="0" t="n">
        <v>1.1</v>
      </c>
      <c r="M178" s="0" t="n">
        <v>1</v>
      </c>
      <c r="N178" s="0" t="n">
        <v>1.45</v>
      </c>
      <c r="O178" s="0" t="n">
        <v>1.15</v>
      </c>
      <c r="P178" s="0" t="n">
        <v>1.1</v>
      </c>
      <c r="Q178" s="0" t="n">
        <v>1</v>
      </c>
      <c r="R178" s="0" t="n">
        <v>1</v>
      </c>
      <c r="S178" s="0" t="n">
        <v>1</v>
      </c>
      <c r="T178" s="0" t="n">
        <v>1</v>
      </c>
    </row>
    <row r="179" customFormat="false" ht="12.75" hidden="false" customHeight="false" outlineLevel="0" collapsed="false">
      <c r="A179" s="317" t="n">
        <v>42401</v>
      </c>
      <c r="B179" s="141" t="n">
        <v>1</v>
      </c>
      <c r="C179" s="141" t="n">
        <v>1.05</v>
      </c>
      <c r="D179" s="0" t="n">
        <v>1</v>
      </c>
      <c r="E179" s="0" t="n">
        <v>1</v>
      </c>
      <c r="F179" s="0" t="n">
        <v>1.15</v>
      </c>
      <c r="G179" s="0" t="n">
        <v>1.45</v>
      </c>
      <c r="H179" s="0" t="n">
        <v>1.05</v>
      </c>
      <c r="I179" s="0" t="n">
        <v>1</v>
      </c>
      <c r="J179" s="0" t="n">
        <v>1.35</v>
      </c>
      <c r="K179" s="0" t="n">
        <v>1</v>
      </c>
      <c r="L179" s="0" t="n">
        <v>1.1</v>
      </c>
      <c r="M179" s="0" t="n">
        <v>1</v>
      </c>
      <c r="N179" s="0" t="n">
        <v>1.45</v>
      </c>
      <c r="O179" s="0" t="n">
        <v>1.15</v>
      </c>
      <c r="P179" s="0" t="n">
        <v>1.1</v>
      </c>
      <c r="Q179" s="0" t="n">
        <v>1</v>
      </c>
      <c r="R179" s="0" t="n">
        <v>1</v>
      </c>
      <c r="S179" s="0" t="n">
        <v>1</v>
      </c>
      <c r="T179" s="0" t="n">
        <v>1</v>
      </c>
    </row>
    <row r="180" customFormat="false" ht="12.75" hidden="false" customHeight="false" outlineLevel="0" collapsed="false">
      <c r="A180" s="317" t="n">
        <v>42430</v>
      </c>
      <c r="B180" s="141" t="n">
        <v>0.75</v>
      </c>
      <c r="C180" s="141" t="n">
        <v>0.8</v>
      </c>
      <c r="D180" s="0" t="n">
        <v>0.75</v>
      </c>
      <c r="E180" s="0" t="n">
        <v>0.75</v>
      </c>
      <c r="F180" s="0" t="n">
        <v>0.85</v>
      </c>
      <c r="G180" s="0" t="n">
        <v>1</v>
      </c>
      <c r="H180" s="0" t="n">
        <v>0.75</v>
      </c>
      <c r="I180" s="0" t="n">
        <v>0.75</v>
      </c>
      <c r="J180" s="0" t="n">
        <v>0.95</v>
      </c>
      <c r="K180" s="0" t="n">
        <v>0.75</v>
      </c>
      <c r="L180" s="0" t="n">
        <v>0.75</v>
      </c>
      <c r="M180" s="0" t="n">
        <v>0.75</v>
      </c>
      <c r="N180" s="0" t="n">
        <v>1</v>
      </c>
      <c r="O180" s="0" t="n">
        <v>0.9</v>
      </c>
      <c r="P180" s="0" t="n">
        <v>0.85</v>
      </c>
      <c r="Q180" s="0" t="n">
        <v>0.75</v>
      </c>
      <c r="R180" s="0" t="n">
        <v>0.75</v>
      </c>
      <c r="S180" s="0" t="n">
        <v>0.75</v>
      </c>
      <c r="T180" s="0" t="n">
        <v>0.75</v>
      </c>
    </row>
    <row r="181" customFormat="false" ht="12.75" hidden="false" customHeight="false" outlineLevel="0" collapsed="false">
      <c r="A181" s="317" t="n">
        <v>42461</v>
      </c>
      <c r="B181" s="141" t="n">
        <v>0.4</v>
      </c>
      <c r="C181" s="141" t="n">
        <v>0.45</v>
      </c>
      <c r="D181" s="0" t="n">
        <v>0.4</v>
      </c>
      <c r="E181" s="0" t="n">
        <v>0.45</v>
      </c>
      <c r="F181" s="0" t="n">
        <v>0.45</v>
      </c>
      <c r="G181" s="0" t="n">
        <v>0.45</v>
      </c>
      <c r="H181" s="0" t="n">
        <v>0.45</v>
      </c>
      <c r="I181" s="0" t="n">
        <v>0.45</v>
      </c>
      <c r="J181" s="0" t="n">
        <v>0.5</v>
      </c>
      <c r="K181" s="0" t="n">
        <v>0.4</v>
      </c>
      <c r="L181" s="0" t="n">
        <v>0.45</v>
      </c>
      <c r="M181" s="0" t="n">
        <v>0.4</v>
      </c>
      <c r="N181" s="0" t="n">
        <v>0.45</v>
      </c>
      <c r="O181" s="0" t="n">
        <v>0.55</v>
      </c>
      <c r="P181" s="0" t="n">
        <v>0.55</v>
      </c>
      <c r="Q181" s="0" t="n">
        <v>0.4</v>
      </c>
      <c r="R181" s="0" t="n">
        <v>0.4</v>
      </c>
      <c r="S181" s="0" t="n">
        <v>0.45</v>
      </c>
      <c r="T181" s="0" t="n">
        <v>0.4</v>
      </c>
    </row>
    <row r="182" customFormat="false" ht="12.75" hidden="false" customHeight="false" outlineLevel="0" collapsed="false">
      <c r="A182" s="317" t="n">
        <v>42491</v>
      </c>
      <c r="B182" s="141" t="n">
        <v>0.45</v>
      </c>
      <c r="C182" s="141" t="n">
        <v>0.5</v>
      </c>
      <c r="D182" s="0" t="n">
        <v>0.4</v>
      </c>
      <c r="E182" s="0" t="n">
        <v>0.4</v>
      </c>
      <c r="F182" s="0" t="n">
        <v>0.45</v>
      </c>
      <c r="G182" s="0" t="n">
        <v>0.5</v>
      </c>
      <c r="H182" s="0" t="n">
        <v>0.45</v>
      </c>
      <c r="I182" s="0" t="n">
        <v>0.4</v>
      </c>
      <c r="J182" s="0" t="n">
        <v>0.45</v>
      </c>
      <c r="K182" s="0" t="n">
        <v>0.45</v>
      </c>
      <c r="L182" s="0" t="n">
        <v>0.5</v>
      </c>
      <c r="M182" s="0" t="n">
        <v>0.45</v>
      </c>
      <c r="N182" s="0" t="n">
        <v>0.5</v>
      </c>
      <c r="O182" s="0" t="n">
        <v>0.6</v>
      </c>
      <c r="P182" s="0" t="n">
        <v>0.5</v>
      </c>
      <c r="Q182" s="0" t="n">
        <v>0.45</v>
      </c>
      <c r="R182" s="0" t="n">
        <v>0.4</v>
      </c>
      <c r="S182" s="0" t="n">
        <v>0.4</v>
      </c>
      <c r="T182" s="0" t="n">
        <v>0.45</v>
      </c>
    </row>
    <row r="183" customFormat="false" ht="12.75" hidden="false" customHeight="false" outlineLevel="0" collapsed="false">
      <c r="A183" s="317" t="n">
        <v>42522</v>
      </c>
      <c r="B183" s="141" t="n">
        <v>0.45</v>
      </c>
      <c r="C183" s="141" t="n">
        <v>0.5</v>
      </c>
      <c r="D183" s="0" t="n">
        <v>0.4</v>
      </c>
      <c r="E183" s="0" t="n">
        <v>0.5</v>
      </c>
      <c r="F183" s="0" t="n">
        <v>0.45</v>
      </c>
      <c r="G183" s="0" t="n">
        <v>0.5</v>
      </c>
      <c r="H183" s="0" t="n">
        <v>0.5</v>
      </c>
      <c r="I183" s="0" t="n">
        <v>0.5</v>
      </c>
      <c r="J183" s="0" t="n">
        <v>0.5</v>
      </c>
      <c r="K183" s="0" t="n">
        <v>0.45</v>
      </c>
      <c r="L183" s="0" t="n">
        <v>0.5</v>
      </c>
      <c r="M183" s="0" t="n">
        <v>0.45</v>
      </c>
      <c r="N183" s="0" t="n">
        <v>0.5</v>
      </c>
      <c r="O183" s="0" t="n">
        <v>0.6</v>
      </c>
      <c r="P183" s="0" t="n">
        <v>0.6</v>
      </c>
      <c r="Q183" s="0" t="n">
        <v>0.45</v>
      </c>
      <c r="R183" s="0" t="n">
        <v>0.4</v>
      </c>
      <c r="S183" s="0" t="n">
        <v>0.5</v>
      </c>
      <c r="T183" s="0" t="n">
        <v>0.45</v>
      </c>
    </row>
    <row r="184" customFormat="false" ht="12.75" hidden="false" customHeight="false" outlineLevel="0" collapsed="false">
      <c r="A184" s="317" t="n">
        <v>42552</v>
      </c>
      <c r="B184" s="141" t="n">
        <v>0.5</v>
      </c>
      <c r="C184" s="141" t="n">
        <v>0.5</v>
      </c>
      <c r="D184" s="0" t="n">
        <v>0.4</v>
      </c>
      <c r="E184" s="0" t="n">
        <v>0.5</v>
      </c>
      <c r="F184" s="0" t="n">
        <v>0.5</v>
      </c>
      <c r="G184" s="0" t="n">
        <v>0.5</v>
      </c>
      <c r="H184" s="0" t="n">
        <v>0.5</v>
      </c>
      <c r="I184" s="0" t="n">
        <v>0.5</v>
      </c>
      <c r="J184" s="0" t="n">
        <v>0.5</v>
      </c>
      <c r="K184" s="0" t="n">
        <v>0.5</v>
      </c>
      <c r="L184" s="0" t="n">
        <v>0.55</v>
      </c>
      <c r="M184" s="0" t="n">
        <v>0.5</v>
      </c>
      <c r="N184" s="0" t="n">
        <v>0.5</v>
      </c>
      <c r="O184" s="0" t="n">
        <v>0.65</v>
      </c>
      <c r="P184" s="0" t="n">
        <v>0.6</v>
      </c>
      <c r="Q184" s="0" t="n">
        <v>0.5</v>
      </c>
      <c r="R184" s="0" t="n">
        <v>0.4</v>
      </c>
      <c r="S184" s="0" t="n">
        <v>0.5</v>
      </c>
      <c r="T184" s="0" t="n">
        <v>0.5</v>
      </c>
    </row>
    <row r="185" customFormat="false" ht="12.75" hidden="false" customHeight="false" outlineLevel="0" collapsed="false">
      <c r="A185" s="317" t="n">
        <v>42583</v>
      </c>
      <c r="B185" s="141" t="n">
        <v>0.55</v>
      </c>
      <c r="C185" s="141" t="n">
        <v>0.55</v>
      </c>
      <c r="D185" s="0" t="n">
        <v>0.5</v>
      </c>
      <c r="E185" s="0" t="n">
        <v>0.6</v>
      </c>
      <c r="F185" s="0" t="n">
        <v>0.55</v>
      </c>
      <c r="G185" s="0" t="n">
        <v>0.6</v>
      </c>
      <c r="H185" s="0" t="n">
        <v>0.55</v>
      </c>
      <c r="I185" s="0" t="n">
        <v>0.6</v>
      </c>
      <c r="J185" s="0" t="n">
        <v>0.45</v>
      </c>
      <c r="K185" s="0" t="n">
        <v>0.55</v>
      </c>
      <c r="L185" s="0" t="n">
        <v>0.6</v>
      </c>
      <c r="M185" s="0" t="n">
        <v>0.55</v>
      </c>
      <c r="N185" s="0" t="n">
        <v>0.6</v>
      </c>
      <c r="O185" s="0" t="n">
        <v>0.7</v>
      </c>
      <c r="P185" s="0" t="n">
        <v>0.7</v>
      </c>
      <c r="Q185" s="0" t="n">
        <v>0.55</v>
      </c>
      <c r="R185" s="0" t="n">
        <v>0.5</v>
      </c>
      <c r="S185" s="0" t="n">
        <v>0.6</v>
      </c>
      <c r="T185" s="0" t="n">
        <v>0.55</v>
      </c>
    </row>
    <row r="186" customFormat="false" ht="12.75" hidden="false" customHeight="false" outlineLevel="0" collapsed="false">
      <c r="A186" s="317" t="n">
        <v>42614</v>
      </c>
      <c r="B186" s="141" t="n">
        <v>0.55</v>
      </c>
      <c r="C186" s="141" t="n">
        <v>0.55</v>
      </c>
      <c r="D186" s="0" t="n">
        <v>0.55</v>
      </c>
      <c r="E186" s="0" t="n">
        <v>0.55</v>
      </c>
      <c r="F186" s="0" t="n">
        <v>0.55</v>
      </c>
      <c r="G186" s="0" t="n">
        <v>0.6</v>
      </c>
      <c r="H186" s="0" t="n">
        <v>0.6</v>
      </c>
      <c r="I186" s="0" t="n">
        <v>0.55</v>
      </c>
      <c r="J186" s="0" t="n">
        <v>0.5</v>
      </c>
      <c r="K186" s="0" t="n">
        <v>0.55</v>
      </c>
      <c r="L186" s="0" t="n">
        <v>0.6</v>
      </c>
      <c r="M186" s="0" t="n">
        <v>0.55</v>
      </c>
      <c r="N186" s="0" t="n">
        <v>0.6</v>
      </c>
      <c r="O186" s="0" t="n">
        <v>0.7</v>
      </c>
      <c r="P186" s="0" t="n">
        <v>0.65</v>
      </c>
      <c r="Q186" s="0" t="n">
        <v>0.55</v>
      </c>
      <c r="R186" s="0" t="n">
        <v>0.55</v>
      </c>
      <c r="S186" s="0" t="n">
        <v>0.55</v>
      </c>
      <c r="T186" s="0" t="n">
        <v>0.55</v>
      </c>
    </row>
    <row r="187" customFormat="false" ht="12.75" hidden="false" customHeight="false" outlineLevel="0" collapsed="false">
      <c r="A187" s="317" t="n">
        <v>42644</v>
      </c>
      <c r="B187" s="141" t="n">
        <v>0.6</v>
      </c>
      <c r="C187" s="141" t="n">
        <v>0.6</v>
      </c>
      <c r="D187" s="0" t="n">
        <v>0.55</v>
      </c>
      <c r="E187" s="0" t="n">
        <v>0.6</v>
      </c>
      <c r="F187" s="0" t="n">
        <v>0.6</v>
      </c>
      <c r="G187" s="0" t="n">
        <v>0.65</v>
      </c>
      <c r="H187" s="0" t="n">
        <v>0.65</v>
      </c>
      <c r="I187" s="0" t="n">
        <v>0.6</v>
      </c>
      <c r="J187" s="0" t="n">
        <v>0.5</v>
      </c>
      <c r="K187" s="0" t="n">
        <v>0.6</v>
      </c>
      <c r="L187" s="0" t="n">
        <v>0.65</v>
      </c>
      <c r="M187" s="0" t="n">
        <v>0.6</v>
      </c>
      <c r="N187" s="0" t="n">
        <v>0.65</v>
      </c>
      <c r="O187" s="0" t="n">
        <v>0.75</v>
      </c>
      <c r="P187" s="0" t="n">
        <v>0.7</v>
      </c>
      <c r="Q187" s="0" t="n">
        <v>0.6</v>
      </c>
      <c r="R187" s="0" t="n">
        <v>0.55</v>
      </c>
      <c r="S187" s="0" t="n">
        <v>0.6</v>
      </c>
      <c r="T187" s="0" t="n">
        <v>0.6</v>
      </c>
    </row>
    <row r="188" customFormat="false" ht="12.75" hidden="false" customHeight="false" outlineLevel="0" collapsed="false">
      <c r="A188" s="317" t="n">
        <v>42675</v>
      </c>
      <c r="B188" s="141" t="n">
        <v>0.8</v>
      </c>
      <c r="C188" s="141" t="n">
        <v>0.85</v>
      </c>
      <c r="D188" s="0" t="n">
        <v>0.8</v>
      </c>
      <c r="E188" s="0" t="n">
        <v>0.8</v>
      </c>
      <c r="F188" s="0" t="n">
        <v>0.9</v>
      </c>
      <c r="G188" s="0" t="n">
        <v>0.95</v>
      </c>
      <c r="H188" s="0" t="n">
        <v>0.85</v>
      </c>
      <c r="I188" s="0" t="n">
        <v>0.8</v>
      </c>
      <c r="J188" s="0" t="n">
        <v>0.95</v>
      </c>
      <c r="K188" s="0" t="n">
        <v>0.8</v>
      </c>
      <c r="L188" s="0" t="n">
        <v>0.8</v>
      </c>
      <c r="M188" s="0" t="n">
        <v>0.8</v>
      </c>
      <c r="N188" s="0" t="n">
        <v>0.95</v>
      </c>
      <c r="O188" s="0" t="n">
        <v>0.95</v>
      </c>
      <c r="P188" s="0" t="n">
        <v>0.9</v>
      </c>
      <c r="Q188" s="0" t="n">
        <v>0.8</v>
      </c>
      <c r="R188" s="0" t="n">
        <v>0.8</v>
      </c>
      <c r="S188" s="0" t="n">
        <v>0.8</v>
      </c>
      <c r="T188" s="0" t="n">
        <v>0.8</v>
      </c>
    </row>
    <row r="189" customFormat="false" ht="12.75" hidden="false" customHeight="false" outlineLevel="0" collapsed="false">
      <c r="A189" s="317" t="n">
        <v>42705</v>
      </c>
      <c r="B189" s="141" t="n">
        <v>1</v>
      </c>
      <c r="C189" s="141" t="n">
        <v>1.05</v>
      </c>
      <c r="D189" s="0" t="n">
        <v>1</v>
      </c>
      <c r="E189" s="0" t="n">
        <v>1</v>
      </c>
      <c r="F189" s="0" t="n">
        <v>1.15</v>
      </c>
      <c r="G189" s="0" t="n">
        <v>1.25</v>
      </c>
      <c r="H189" s="0" t="n">
        <v>1.05</v>
      </c>
      <c r="I189" s="0" t="n">
        <v>1</v>
      </c>
      <c r="J189" s="0" t="n">
        <v>1.35</v>
      </c>
      <c r="K189" s="0" t="n">
        <v>1</v>
      </c>
      <c r="L189" s="0" t="n">
        <v>1.1</v>
      </c>
      <c r="M189" s="0" t="n">
        <v>1</v>
      </c>
      <c r="N189" s="0" t="n">
        <v>1.25</v>
      </c>
      <c r="O189" s="0" t="n">
        <v>1.15</v>
      </c>
      <c r="P189" s="0" t="n">
        <v>1.1</v>
      </c>
      <c r="Q189" s="0" t="n">
        <v>1</v>
      </c>
      <c r="R189" s="0" t="n">
        <v>1</v>
      </c>
      <c r="S189" s="0" t="n">
        <v>1</v>
      </c>
      <c r="T189" s="0" t="n">
        <v>1</v>
      </c>
    </row>
    <row r="190" customFormat="false" ht="12.75" hidden="false" customHeight="false" outlineLevel="0" collapsed="false">
      <c r="A190" s="317" t="n">
        <v>42736</v>
      </c>
      <c r="B190" s="141" t="n">
        <v>1</v>
      </c>
      <c r="C190" s="141" t="n">
        <v>1.05</v>
      </c>
      <c r="D190" s="0" t="n">
        <v>1</v>
      </c>
      <c r="E190" s="0" t="n">
        <v>1</v>
      </c>
      <c r="F190" s="0" t="n">
        <v>1.15</v>
      </c>
      <c r="G190" s="0" t="n">
        <v>1.45</v>
      </c>
      <c r="H190" s="0" t="n">
        <v>1.05</v>
      </c>
      <c r="I190" s="0" t="n">
        <v>1</v>
      </c>
      <c r="J190" s="0" t="n">
        <v>1.35</v>
      </c>
      <c r="K190" s="0" t="n">
        <v>1</v>
      </c>
      <c r="L190" s="0" t="n">
        <v>1.1</v>
      </c>
      <c r="M190" s="0" t="n">
        <v>1</v>
      </c>
      <c r="N190" s="0" t="n">
        <v>1.45</v>
      </c>
      <c r="O190" s="0" t="n">
        <v>1.15</v>
      </c>
      <c r="P190" s="0" t="n">
        <v>1.1</v>
      </c>
      <c r="Q190" s="0" t="n">
        <v>1</v>
      </c>
      <c r="R190" s="0" t="n">
        <v>1</v>
      </c>
      <c r="S190" s="0" t="n">
        <v>1</v>
      </c>
      <c r="T190" s="0" t="n">
        <v>1</v>
      </c>
    </row>
    <row r="191" customFormat="false" ht="12.75" hidden="false" customHeight="false" outlineLevel="0" collapsed="false">
      <c r="A191" s="317" t="n">
        <v>42767</v>
      </c>
      <c r="B191" s="141" t="n">
        <v>1</v>
      </c>
      <c r="C191" s="141" t="n">
        <v>1.05</v>
      </c>
      <c r="D191" s="0" t="n">
        <v>1</v>
      </c>
      <c r="E191" s="0" t="n">
        <v>1</v>
      </c>
      <c r="F191" s="0" t="n">
        <v>1.15</v>
      </c>
      <c r="G191" s="0" t="n">
        <v>1.45</v>
      </c>
      <c r="H191" s="0" t="n">
        <v>1.05</v>
      </c>
      <c r="I191" s="0" t="n">
        <v>1</v>
      </c>
      <c r="J191" s="0" t="n">
        <v>1.35</v>
      </c>
      <c r="K191" s="0" t="n">
        <v>1</v>
      </c>
      <c r="L191" s="0" t="n">
        <v>1.1</v>
      </c>
      <c r="M191" s="0" t="n">
        <v>1</v>
      </c>
      <c r="N191" s="0" t="n">
        <v>1.45</v>
      </c>
      <c r="O191" s="0" t="n">
        <v>1.15</v>
      </c>
      <c r="P191" s="0" t="n">
        <v>1.1</v>
      </c>
      <c r="Q191" s="0" t="n">
        <v>1</v>
      </c>
      <c r="R191" s="0" t="n">
        <v>1</v>
      </c>
      <c r="S191" s="0" t="n">
        <v>1</v>
      </c>
      <c r="T191" s="0" t="n">
        <v>1</v>
      </c>
    </row>
    <row r="192" customFormat="false" ht="12.75" hidden="false" customHeight="false" outlineLevel="0" collapsed="false">
      <c r="A192" s="317" t="n">
        <v>42795</v>
      </c>
      <c r="B192" s="141" t="n">
        <v>0.75</v>
      </c>
      <c r="C192" s="141" t="n">
        <v>0.8</v>
      </c>
      <c r="D192" s="0" t="n">
        <v>0.75</v>
      </c>
      <c r="E192" s="0" t="n">
        <v>0.75</v>
      </c>
      <c r="F192" s="0" t="n">
        <v>0.85</v>
      </c>
      <c r="G192" s="0" t="n">
        <v>1</v>
      </c>
      <c r="H192" s="0" t="n">
        <v>0.75</v>
      </c>
      <c r="I192" s="0" t="n">
        <v>0.75</v>
      </c>
      <c r="J192" s="0" t="n">
        <v>0.95</v>
      </c>
      <c r="K192" s="0" t="n">
        <v>0.75</v>
      </c>
      <c r="L192" s="0" t="n">
        <v>0.75</v>
      </c>
      <c r="M192" s="0" t="n">
        <v>0.75</v>
      </c>
      <c r="N192" s="0" t="n">
        <v>1</v>
      </c>
      <c r="O192" s="0" t="n">
        <v>0.9</v>
      </c>
      <c r="P192" s="0" t="n">
        <v>0.85</v>
      </c>
      <c r="Q192" s="0" t="n">
        <v>0.75</v>
      </c>
      <c r="R192" s="0" t="n">
        <v>0.75</v>
      </c>
      <c r="S192" s="0" t="n">
        <v>0.75</v>
      </c>
      <c r="T192" s="0" t="n">
        <v>0.75</v>
      </c>
    </row>
    <row r="193" customFormat="false" ht="12.75" hidden="false" customHeight="false" outlineLevel="0" collapsed="false">
      <c r="A193" s="317" t="n">
        <v>42826</v>
      </c>
      <c r="B193" s="141" t="n">
        <v>0.4</v>
      </c>
      <c r="C193" s="141" t="n">
        <v>0.45</v>
      </c>
      <c r="D193" s="0" t="n">
        <v>0.4</v>
      </c>
      <c r="E193" s="0" t="n">
        <v>0.45</v>
      </c>
      <c r="F193" s="0" t="n">
        <v>0.45</v>
      </c>
      <c r="G193" s="0" t="n">
        <v>0.45</v>
      </c>
      <c r="H193" s="0" t="n">
        <v>0.45</v>
      </c>
      <c r="I193" s="0" t="n">
        <v>0.45</v>
      </c>
      <c r="J193" s="0" t="n">
        <v>0.5</v>
      </c>
      <c r="K193" s="0" t="n">
        <v>0.4</v>
      </c>
      <c r="L193" s="0" t="n">
        <v>0.45</v>
      </c>
      <c r="M193" s="0" t="n">
        <v>0.4</v>
      </c>
      <c r="N193" s="0" t="n">
        <v>0.45</v>
      </c>
      <c r="O193" s="0" t="n">
        <v>0.55</v>
      </c>
      <c r="P193" s="0" t="n">
        <v>0.55</v>
      </c>
      <c r="Q193" s="0" t="n">
        <v>0.4</v>
      </c>
      <c r="R193" s="0" t="n">
        <v>0.4</v>
      </c>
      <c r="S193" s="0" t="n">
        <v>0.45</v>
      </c>
      <c r="T193" s="0" t="n">
        <v>0.4</v>
      </c>
    </row>
    <row r="194" customFormat="false" ht="12.75" hidden="false" customHeight="false" outlineLevel="0" collapsed="false">
      <c r="A194" s="317" t="n">
        <v>42856</v>
      </c>
      <c r="B194" s="141" t="n">
        <v>0.45</v>
      </c>
      <c r="C194" s="141" t="n">
        <v>0.5</v>
      </c>
      <c r="D194" s="0" t="n">
        <v>0.4</v>
      </c>
      <c r="E194" s="0" t="n">
        <v>0.4</v>
      </c>
      <c r="F194" s="0" t="n">
        <v>0.45</v>
      </c>
      <c r="G194" s="0" t="n">
        <v>0.5</v>
      </c>
      <c r="H194" s="0" t="n">
        <v>0.45</v>
      </c>
      <c r="I194" s="0" t="n">
        <v>0.4</v>
      </c>
      <c r="J194" s="0" t="n">
        <v>0.45</v>
      </c>
      <c r="K194" s="0" t="n">
        <v>0.45</v>
      </c>
      <c r="L194" s="0" t="n">
        <v>0.5</v>
      </c>
      <c r="M194" s="0" t="n">
        <v>0.45</v>
      </c>
      <c r="N194" s="0" t="n">
        <v>0.5</v>
      </c>
      <c r="O194" s="0" t="n">
        <v>0.6</v>
      </c>
      <c r="P194" s="0" t="n">
        <v>0.5</v>
      </c>
      <c r="Q194" s="0" t="n">
        <v>0.45</v>
      </c>
      <c r="R194" s="0" t="n">
        <v>0.4</v>
      </c>
      <c r="S194" s="0" t="n">
        <v>0.4</v>
      </c>
      <c r="T194" s="0" t="n">
        <v>0.45</v>
      </c>
    </row>
    <row r="195" customFormat="false" ht="12.75" hidden="false" customHeight="false" outlineLevel="0" collapsed="false">
      <c r="A195" s="317" t="n">
        <v>42887</v>
      </c>
      <c r="B195" s="141" t="n">
        <v>0.45</v>
      </c>
      <c r="C195" s="141" t="n">
        <v>0.5</v>
      </c>
      <c r="D195" s="0" t="n">
        <v>0.4</v>
      </c>
      <c r="E195" s="0" t="n">
        <v>0.5</v>
      </c>
      <c r="F195" s="0" t="n">
        <v>0.45</v>
      </c>
      <c r="G195" s="0" t="n">
        <v>0.5</v>
      </c>
      <c r="H195" s="0" t="n">
        <v>0.5</v>
      </c>
      <c r="I195" s="0" t="n">
        <v>0.5</v>
      </c>
      <c r="J195" s="0" t="n">
        <v>0.5</v>
      </c>
      <c r="K195" s="0" t="n">
        <v>0.45</v>
      </c>
      <c r="L195" s="0" t="n">
        <v>0.5</v>
      </c>
      <c r="M195" s="0" t="n">
        <v>0.45</v>
      </c>
      <c r="N195" s="0" t="n">
        <v>0.5</v>
      </c>
      <c r="O195" s="0" t="n">
        <v>0.6</v>
      </c>
      <c r="P195" s="0" t="n">
        <v>0.6</v>
      </c>
      <c r="Q195" s="0" t="n">
        <v>0.45</v>
      </c>
      <c r="R195" s="0" t="n">
        <v>0.4</v>
      </c>
      <c r="S195" s="0" t="n">
        <v>0.5</v>
      </c>
      <c r="T195" s="0" t="n">
        <v>0.45</v>
      </c>
    </row>
    <row r="196" customFormat="false" ht="12.75" hidden="false" customHeight="false" outlineLevel="0" collapsed="false">
      <c r="A196" s="317" t="n">
        <v>42917</v>
      </c>
      <c r="B196" s="141" t="n">
        <v>0.5</v>
      </c>
      <c r="C196" s="141" t="n">
        <v>0.5</v>
      </c>
      <c r="D196" s="0" t="n">
        <v>0.4</v>
      </c>
      <c r="E196" s="0" t="n">
        <v>0.5</v>
      </c>
      <c r="F196" s="0" t="n">
        <v>0.5</v>
      </c>
      <c r="G196" s="0" t="n">
        <v>0.5</v>
      </c>
      <c r="H196" s="0" t="n">
        <v>0.5</v>
      </c>
      <c r="I196" s="0" t="n">
        <v>0.5</v>
      </c>
      <c r="J196" s="0" t="n">
        <v>0.5</v>
      </c>
      <c r="K196" s="0" t="n">
        <v>0.5</v>
      </c>
      <c r="L196" s="0" t="n">
        <v>0.55</v>
      </c>
      <c r="M196" s="0" t="n">
        <v>0.5</v>
      </c>
      <c r="N196" s="0" t="n">
        <v>0.5</v>
      </c>
      <c r="O196" s="0" t="n">
        <v>0.65</v>
      </c>
      <c r="P196" s="0" t="n">
        <v>0.6</v>
      </c>
      <c r="Q196" s="0" t="n">
        <v>0.5</v>
      </c>
      <c r="R196" s="0" t="n">
        <v>0.4</v>
      </c>
      <c r="S196" s="0" t="n">
        <v>0.5</v>
      </c>
      <c r="T196" s="0" t="n">
        <v>0.5</v>
      </c>
    </row>
    <row r="197" customFormat="false" ht="12.75" hidden="false" customHeight="false" outlineLevel="0" collapsed="false">
      <c r="A197" s="317" t="n">
        <v>42948</v>
      </c>
      <c r="B197" s="141" t="n">
        <v>0.55</v>
      </c>
      <c r="C197" s="141" t="n">
        <v>0.55</v>
      </c>
      <c r="D197" s="0" t="n">
        <v>0.5</v>
      </c>
      <c r="E197" s="0" t="n">
        <v>0.6</v>
      </c>
      <c r="F197" s="0" t="n">
        <v>0.55</v>
      </c>
      <c r="G197" s="0" t="n">
        <v>0.6</v>
      </c>
      <c r="H197" s="0" t="n">
        <v>0.55</v>
      </c>
      <c r="I197" s="0" t="n">
        <v>0.6</v>
      </c>
      <c r="J197" s="0" t="n">
        <v>0.45</v>
      </c>
      <c r="K197" s="0" t="n">
        <v>0.55</v>
      </c>
      <c r="L197" s="0" t="n">
        <v>0.6</v>
      </c>
      <c r="M197" s="0" t="n">
        <v>0.55</v>
      </c>
      <c r="N197" s="0" t="n">
        <v>0.6</v>
      </c>
      <c r="O197" s="0" t="n">
        <v>0.7</v>
      </c>
      <c r="P197" s="0" t="n">
        <v>0.7</v>
      </c>
      <c r="Q197" s="0" t="n">
        <v>0.55</v>
      </c>
      <c r="R197" s="0" t="n">
        <v>0.5</v>
      </c>
      <c r="S197" s="0" t="n">
        <v>0.6</v>
      </c>
      <c r="T197" s="0" t="n">
        <v>0.55</v>
      </c>
    </row>
    <row r="198" customFormat="false" ht="12.75" hidden="false" customHeight="false" outlineLevel="0" collapsed="false">
      <c r="A198" s="317" t="n">
        <v>42979</v>
      </c>
      <c r="B198" s="141" t="n">
        <v>0.55</v>
      </c>
      <c r="C198" s="141" t="n">
        <v>0.55</v>
      </c>
      <c r="D198" s="0" t="n">
        <v>0.55</v>
      </c>
      <c r="E198" s="0" t="n">
        <v>0.55</v>
      </c>
      <c r="F198" s="0" t="n">
        <v>0.55</v>
      </c>
      <c r="G198" s="0" t="n">
        <v>0.6</v>
      </c>
      <c r="H198" s="0" t="n">
        <v>0.6</v>
      </c>
      <c r="I198" s="0" t="n">
        <v>0.55</v>
      </c>
      <c r="J198" s="0" t="n">
        <v>0.5</v>
      </c>
      <c r="K198" s="0" t="n">
        <v>0.55</v>
      </c>
      <c r="L198" s="0" t="n">
        <v>0.6</v>
      </c>
      <c r="M198" s="0" t="n">
        <v>0.55</v>
      </c>
      <c r="N198" s="0" t="n">
        <v>0.6</v>
      </c>
      <c r="O198" s="0" t="n">
        <v>0.7</v>
      </c>
      <c r="P198" s="0" t="n">
        <v>0.65</v>
      </c>
      <c r="Q198" s="0" t="n">
        <v>0.55</v>
      </c>
      <c r="R198" s="0" t="n">
        <v>0.55</v>
      </c>
      <c r="S198" s="0" t="n">
        <v>0.55</v>
      </c>
      <c r="T198" s="0" t="n">
        <v>0.55</v>
      </c>
    </row>
    <row r="199" customFormat="false" ht="12.75" hidden="false" customHeight="false" outlineLevel="0" collapsed="false">
      <c r="A199" s="317" t="n">
        <v>43009</v>
      </c>
      <c r="B199" s="141" t="n">
        <v>0.6</v>
      </c>
      <c r="C199" s="141" t="n">
        <v>0.6</v>
      </c>
      <c r="D199" s="0" t="n">
        <v>0.55</v>
      </c>
      <c r="E199" s="0" t="n">
        <v>0.6</v>
      </c>
      <c r="F199" s="0" t="n">
        <v>0.6</v>
      </c>
      <c r="G199" s="0" t="n">
        <v>0.65</v>
      </c>
      <c r="H199" s="0" t="n">
        <v>0.65</v>
      </c>
      <c r="I199" s="0" t="n">
        <v>0.6</v>
      </c>
      <c r="J199" s="0" t="n">
        <v>0.5</v>
      </c>
      <c r="K199" s="0" t="n">
        <v>0.6</v>
      </c>
      <c r="L199" s="0" t="n">
        <v>0.65</v>
      </c>
      <c r="M199" s="0" t="n">
        <v>0.6</v>
      </c>
      <c r="N199" s="0" t="n">
        <v>0.65</v>
      </c>
      <c r="O199" s="0" t="n">
        <v>0.75</v>
      </c>
      <c r="P199" s="0" t="n">
        <v>0.7</v>
      </c>
      <c r="Q199" s="0" t="n">
        <v>0.6</v>
      </c>
      <c r="R199" s="0" t="n">
        <v>0.55</v>
      </c>
      <c r="S199" s="0" t="n">
        <v>0.6</v>
      </c>
      <c r="T199" s="0" t="n">
        <v>0.6</v>
      </c>
    </row>
    <row r="200" customFormat="false" ht="12.75" hidden="false" customHeight="false" outlineLevel="0" collapsed="false">
      <c r="A200" s="317" t="n">
        <v>43040</v>
      </c>
      <c r="B200" s="141" t="n">
        <v>0.8</v>
      </c>
      <c r="C200" s="141" t="n">
        <v>0.85</v>
      </c>
      <c r="D200" s="0" t="n">
        <v>0.8</v>
      </c>
      <c r="E200" s="0" t="n">
        <v>0.8</v>
      </c>
      <c r="F200" s="0" t="n">
        <v>0.9</v>
      </c>
      <c r="G200" s="0" t="n">
        <v>0.95</v>
      </c>
      <c r="H200" s="0" t="n">
        <v>0.85</v>
      </c>
      <c r="I200" s="0" t="n">
        <v>0.8</v>
      </c>
      <c r="J200" s="0" t="n">
        <v>0.95</v>
      </c>
      <c r="K200" s="0" t="n">
        <v>0.8</v>
      </c>
      <c r="L200" s="0" t="n">
        <v>0.8</v>
      </c>
      <c r="M200" s="0" t="n">
        <v>0.8</v>
      </c>
      <c r="N200" s="0" t="n">
        <v>0.95</v>
      </c>
      <c r="O200" s="0" t="n">
        <v>0.95</v>
      </c>
      <c r="P200" s="0" t="n">
        <v>0.9</v>
      </c>
      <c r="Q200" s="0" t="n">
        <v>0.8</v>
      </c>
      <c r="R200" s="0" t="n">
        <v>0.8</v>
      </c>
      <c r="S200" s="0" t="n">
        <v>0.8</v>
      </c>
      <c r="T200" s="0" t="n">
        <v>0.8</v>
      </c>
    </row>
    <row r="201" customFormat="false" ht="12.75" hidden="false" customHeight="false" outlineLevel="0" collapsed="false">
      <c r="A201" s="317" t="n">
        <v>43070</v>
      </c>
      <c r="B201" s="141" t="n">
        <v>1</v>
      </c>
      <c r="C201" s="141" t="n">
        <v>1.05</v>
      </c>
      <c r="D201" s="0" t="n">
        <v>1</v>
      </c>
      <c r="E201" s="0" t="n">
        <v>1</v>
      </c>
      <c r="F201" s="0" t="n">
        <v>1.15</v>
      </c>
      <c r="G201" s="0" t="n">
        <v>1.25</v>
      </c>
      <c r="H201" s="0" t="n">
        <v>1.05</v>
      </c>
      <c r="I201" s="0" t="n">
        <v>1</v>
      </c>
      <c r="J201" s="0" t="n">
        <v>1.35</v>
      </c>
      <c r="K201" s="0" t="n">
        <v>1</v>
      </c>
      <c r="L201" s="0" t="n">
        <v>1.1</v>
      </c>
      <c r="M201" s="0" t="n">
        <v>1</v>
      </c>
      <c r="N201" s="0" t="n">
        <v>1.25</v>
      </c>
      <c r="O201" s="0" t="n">
        <v>1.15</v>
      </c>
      <c r="P201" s="0" t="n">
        <v>1.1</v>
      </c>
      <c r="Q201" s="0" t="n">
        <v>1</v>
      </c>
      <c r="R201" s="0" t="n">
        <v>1</v>
      </c>
      <c r="S201" s="0" t="n">
        <v>1</v>
      </c>
      <c r="T201" s="0" t="n">
        <v>1</v>
      </c>
    </row>
    <row r="202" customFormat="false" ht="12.75" hidden="false" customHeight="false" outlineLevel="0" collapsed="false">
      <c r="A202" s="317" t="n">
        <v>43101</v>
      </c>
      <c r="B202" s="141" t="n">
        <v>1</v>
      </c>
      <c r="C202" s="141" t="n">
        <v>1.05</v>
      </c>
      <c r="D202" s="0" t="n">
        <v>1</v>
      </c>
      <c r="E202" s="0" t="n">
        <v>1</v>
      </c>
      <c r="F202" s="0" t="n">
        <v>1.15</v>
      </c>
      <c r="G202" s="0" t="n">
        <v>1.45</v>
      </c>
      <c r="H202" s="0" t="n">
        <v>1.05</v>
      </c>
      <c r="I202" s="0" t="n">
        <v>1</v>
      </c>
      <c r="J202" s="0" t="n">
        <v>1.35</v>
      </c>
      <c r="K202" s="0" t="n">
        <v>1</v>
      </c>
      <c r="L202" s="0" t="n">
        <v>1.1</v>
      </c>
      <c r="M202" s="0" t="n">
        <v>1</v>
      </c>
      <c r="N202" s="0" t="n">
        <v>1.45</v>
      </c>
      <c r="O202" s="0" t="n">
        <v>1.15</v>
      </c>
      <c r="P202" s="0" t="n">
        <v>1.1</v>
      </c>
      <c r="Q202" s="0" t="n">
        <v>1</v>
      </c>
      <c r="R202" s="0" t="n">
        <v>1</v>
      </c>
      <c r="S202" s="0" t="n">
        <v>1</v>
      </c>
      <c r="T202" s="0" t="n">
        <v>1</v>
      </c>
    </row>
    <row r="203" customFormat="false" ht="12.75" hidden="false" customHeight="false" outlineLevel="0" collapsed="false">
      <c r="A203" s="317" t="n">
        <v>43132</v>
      </c>
      <c r="B203" s="141" t="n">
        <v>1</v>
      </c>
      <c r="C203" s="141" t="n">
        <v>1.05</v>
      </c>
      <c r="D203" s="0" t="n">
        <v>1</v>
      </c>
      <c r="E203" s="0" t="n">
        <v>1</v>
      </c>
      <c r="F203" s="0" t="n">
        <v>1.15</v>
      </c>
      <c r="G203" s="0" t="n">
        <v>1.45</v>
      </c>
      <c r="H203" s="0" t="n">
        <v>1.05</v>
      </c>
      <c r="I203" s="0" t="n">
        <v>1</v>
      </c>
      <c r="J203" s="0" t="n">
        <v>1.35</v>
      </c>
      <c r="K203" s="0" t="n">
        <v>1</v>
      </c>
      <c r="L203" s="0" t="n">
        <v>1.1</v>
      </c>
      <c r="M203" s="0" t="n">
        <v>1</v>
      </c>
      <c r="N203" s="0" t="n">
        <v>1.45</v>
      </c>
      <c r="O203" s="0" t="n">
        <v>1.15</v>
      </c>
      <c r="P203" s="0" t="n">
        <v>1.1</v>
      </c>
      <c r="Q203" s="0" t="n">
        <v>1</v>
      </c>
      <c r="R203" s="0" t="n">
        <v>1</v>
      </c>
      <c r="S203" s="0" t="n">
        <v>1</v>
      </c>
      <c r="T203" s="0" t="n">
        <v>1</v>
      </c>
    </row>
    <row r="204" customFormat="false" ht="12.75" hidden="false" customHeight="false" outlineLevel="0" collapsed="false">
      <c r="A204" s="317" t="n">
        <v>43160</v>
      </c>
      <c r="B204" s="141" t="n">
        <v>0.75</v>
      </c>
      <c r="C204" s="141" t="n">
        <v>0.8</v>
      </c>
      <c r="D204" s="0" t="n">
        <v>0.75</v>
      </c>
      <c r="E204" s="0" t="n">
        <v>0.75</v>
      </c>
      <c r="F204" s="0" t="n">
        <v>0.85</v>
      </c>
      <c r="G204" s="0" t="n">
        <v>1</v>
      </c>
      <c r="H204" s="0" t="n">
        <v>0.75</v>
      </c>
      <c r="I204" s="0" t="n">
        <v>0.75</v>
      </c>
      <c r="J204" s="0" t="n">
        <v>0.95</v>
      </c>
      <c r="K204" s="0" t="n">
        <v>0.75</v>
      </c>
      <c r="L204" s="0" t="n">
        <v>0.75</v>
      </c>
      <c r="M204" s="0" t="n">
        <v>0.75</v>
      </c>
      <c r="N204" s="0" t="n">
        <v>1</v>
      </c>
      <c r="O204" s="0" t="n">
        <v>0.9</v>
      </c>
      <c r="P204" s="0" t="n">
        <v>0.85</v>
      </c>
      <c r="Q204" s="0" t="n">
        <v>0.75</v>
      </c>
      <c r="R204" s="0" t="n">
        <v>0.75</v>
      </c>
      <c r="S204" s="0" t="n">
        <v>0.75</v>
      </c>
      <c r="T204" s="0" t="n">
        <v>0.75</v>
      </c>
    </row>
    <row r="205" customFormat="false" ht="12.75" hidden="false" customHeight="false" outlineLevel="0" collapsed="false">
      <c r="A205" s="317" t="n">
        <v>43191</v>
      </c>
      <c r="B205" s="141" t="n">
        <v>0.4</v>
      </c>
      <c r="C205" s="141" t="n">
        <v>0.45</v>
      </c>
      <c r="D205" s="0" t="n">
        <v>0.4</v>
      </c>
      <c r="E205" s="0" t="n">
        <v>0.45</v>
      </c>
      <c r="F205" s="0" t="n">
        <v>0.45</v>
      </c>
      <c r="G205" s="0" t="n">
        <v>0.45</v>
      </c>
      <c r="H205" s="0" t="n">
        <v>0.45</v>
      </c>
      <c r="I205" s="0" t="n">
        <v>0.45</v>
      </c>
      <c r="J205" s="0" t="n">
        <v>0.5</v>
      </c>
      <c r="K205" s="0" t="n">
        <v>0.4</v>
      </c>
      <c r="L205" s="0" t="n">
        <v>0.45</v>
      </c>
      <c r="M205" s="0" t="n">
        <v>0.4</v>
      </c>
      <c r="N205" s="0" t="n">
        <v>0.45</v>
      </c>
      <c r="O205" s="0" t="n">
        <v>0.55</v>
      </c>
      <c r="P205" s="0" t="n">
        <v>0.55</v>
      </c>
      <c r="Q205" s="0" t="n">
        <v>0.4</v>
      </c>
      <c r="R205" s="0" t="n">
        <v>0.4</v>
      </c>
      <c r="S205" s="0" t="n">
        <v>0.45</v>
      </c>
      <c r="T205" s="0" t="n">
        <v>0.4</v>
      </c>
    </row>
    <row r="206" customFormat="false" ht="12.75" hidden="false" customHeight="false" outlineLevel="0" collapsed="false">
      <c r="A206" s="317" t="n">
        <v>43221</v>
      </c>
      <c r="B206" s="141" t="n">
        <v>0.45</v>
      </c>
      <c r="C206" s="141" t="n">
        <v>0.5</v>
      </c>
      <c r="D206" s="0" t="n">
        <v>0.4</v>
      </c>
      <c r="E206" s="0" t="n">
        <v>0.4</v>
      </c>
      <c r="F206" s="0" t="n">
        <v>0.45</v>
      </c>
      <c r="G206" s="0" t="n">
        <v>0.5</v>
      </c>
      <c r="H206" s="0" t="n">
        <v>0.45</v>
      </c>
      <c r="I206" s="0" t="n">
        <v>0.4</v>
      </c>
      <c r="J206" s="0" t="n">
        <v>0.45</v>
      </c>
      <c r="K206" s="0" t="n">
        <v>0.45</v>
      </c>
      <c r="L206" s="0" t="n">
        <v>0.5</v>
      </c>
      <c r="M206" s="0" t="n">
        <v>0.45</v>
      </c>
      <c r="N206" s="0" t="n">
        <v>0.5</v>
      </c>
      <c r="O206" s="0" t="n">
        <v>0.6</v>
      </c>
      <c r="P206" s="0" t="n">
        <v>0.5</v>
      </c>
      <c r="Q206" s="0" t="n">
        <v>0.45</v>
      </c>
      <c r="R206" s="0" t="n">
        <v>0.4</v>
      </c>
      <c r="S206" s="0" t="n">
        <v>0.4</v>
      </c>
      <c r="T206" s="0" t="n">
        <v>0.45</v>
      </c>
    </row>
    <row r="207" customFormat="false" ht="12.75" hidden="false" customHeight="false" outlineLevel="0" collapsed="false">
      <c r="A207" s="317" t="n">
        <v>43252</v>
      </c>
      <c r="B207" s="141" t="n">
        <v>0.45</v>
      </c>
      <c r="C207" s="141" t="n">
        <v>0.5</v>
      </c>
      <c r="D207" s="0" t="n">
        <v>0.4</v>
      </c>
      <c r="E207" s="0" t="n">
        <v>0.5</v>
      </c>
      <c r="F207" s="0" t="n">
        <v>0.45</v>
      </c>
      <c r="G207" s="0" t="n">
        <v>0.5</v>
      </c>
      <c r="H207" s="0" t="n">
        <v>0.5</v>
      </c>
      <c r="I207" s="0" t="n">
        <v>0.5</v>
      </c>
      <c r="J207" s="0" t="n">
        <v>0.5</v>
      </c>
      <c r="K207" s="0" t="n">
        <v>0.45</v>
      </c>
      <c r="L207" s="0" t="n">
        <v>0.5</v>
      </c>
      <c r="M207" s="0" t="n">
        <v>0.45</v>
      </c>
      <c r="N207" s="0" t="n">
        <v>0.5</v>
      </c>
      <c r="O207" s="0" t="n">
        <v>0.6</v>
      </c>
      <c r="P207" s="0" t="n">
        <v>0.6</v>
      </c>
      <c r="Q207" s="0" t="n">
        <v>0.45</v>
      </c>
      <c r="R207" s="0" t="n">
        <v>0.4</v>
      </c>
      <c r="S207" s="0" t="n">
        <v>0.5</v>
      </c>
      <c r="T207" s="0" t="n">
        <v>0.45</v>
      </c>
    </row>
    <row r="208" customFormat="false" ht="12.75" hidden="false" customHeight="false" outlineLevel="0" collapsed="false">
      <c r="A208" s="317" t="n">
        <v>43282</v>
      </c>
      <c r="B208" s="141" t="n">
        <v>0.5</v>
      </c>
      <c r="C208" s="141" t="n">
        <v>0.5</v>
      </c>
      <c r="D208" s="0" t="n">
        <v>0.4</v>
      </c>
      <c r="E208" s="0" t="n">
        <v>0.5</v>
      </c>
      <c r="F208" s="0" t="n">
        <v>0.5</v>
      </c>
      <c r="G208" s="0" t="n">
        <v>0.5</v>
      </c>
      <c r="H208" s="0" t="n">
        <v>0.5</v>
      </c>
      <c r="I208" s="0" t="n">
        <v>0.5</v>
      </c>
      <c r="J208" s="0" t="n">
        <v>0.5</v>
      </c>
      <c r="K208" s="0" t="n">
        <v>0.5</v>
      </c>
      <c r="L208" s="0" t="n">
        <v>0.55</v>
      </c>
      <c r="M208" s="0" t="n">
        <v>0.5</v>
      </c>
      <c r="N208" s="0" t="n">
        <v>0.5</v>
      </c>
      <c r="O208" s="0" t="n">
        <v>0.65</v>
      </c>
      <c r="P208" s="0" t="n">
        <v>0.6</v>
      </c>
      <c r="Q208" s="0" t="n">
        <v>0.5</v>
      </c>
      <c r="R208" s="0" t="n">
        <v>0.4</v>
      </c>
      <c r="S208" s="0" t="n">
        <v>0.5</v>
      </c>
      <c r="T208" s="0" t="n">
        <v>0.5</v>
      </c>
    </row>
    <row r="209" customFormat="false" ht="12.75" hidden="false" customHeight="false" outlineLevel="0" collapsed="false">
      <c r="A209" s="317" t="n">
        <v>43313</v>
      </c>
      <c r="B209" s="141" t="n">
        <v>0.55</v>
      </c>
      <c r="C209" s="141" t="n">
        <v>0.55</v>
      </c>
      <c r="D209" s="0" t="n">
        <v>0.5</v>
      </c>
      <c r="E209" s="0" t="n">
        <v>0.6</v>
      </c>
      <c r="F209" s="0" t="n">
        <v>0.55</v>
      </c>
      <c r="G209" s="0" t="n">
        <v>0.6</v>
      </c>
      <c r="H209" s="0" t="n">
        <v>0.55</v>
      </c>
      <c r="I209" s="0" t="n">
        <v>0.6</v>
      </c>
      <c r="J209" s="0" t="n">
        <v>0.45</v>
      </c>
      <c r="K209" s="0" t="n">
        <v>0.55</v>
      </c>
      <c r="L209" s="0" t="n">
        <v>0.6</v>
      </c>
      <c r="M209" s="0" t="n">
        <v>0.55</v>
      </c>
      <c r="N209" s="0" t="n">
        <v>0.6</v>
      </c>
      <c r="O209" s="0" t="n">
        <v>0.7</v>
      </c>
      <c r="P209" s="0" t="n">
        <v>0.7</v>
      </c>
      <c r="Q209" s="0" t="n">
        <v>0.55</v>
      </c>
      <c r="R209" s="0" t="n">
        <v>0.5</v>
      </c>
      <c r="S209" s="0" t="n">
        <v>0.6</v>
      </c>
      <c r="T209" s="0" t="n">
        <v>0.55</v>
      </c>
    </row>
    <row r="210" customFormat="false" ht="12.75" hidden="false" customHeight="false" outlineLevel="0" collapsed="false">
      <c r="A210" s="317" t="n">
        <v>43344</v>
      </c>
      <c r="B210" s="141" t="n">
        <v>0.55</v>
      </c>
      <c r="C210" s="141" t="n">
        <v>0.55</v>
      </c>
      <c r="D210" s="0" t="n">
        <v>0.55</v>
      </c>
      <c r="E210" s="0" t="n">
        <v>0.55</v>
      </c>
      <c r="F210" s="0" t="n">
        <v>0.55</v>
      </c>
      <c r="G210" s="0" t="n">
        <v>0.6</v>
      </c>
      <c r="H210" s="0" t="n">
        <v>0.6</v>
      </c>
      <c r="I210" s="0" t="n">
        <v>0.55</v>
      </c>
      <c r="J210" s="0" t="n">
        <v>0.5</v>
      </c>
      <c r="K210" s="0" t="n">
        <v>0.55</v>
      </c>
      <c r="L210" s="0" t="n">
        <v>0.6</v>
      </c>
      <c r="M210" s="0" t="n">
        <v>0.55</v>
      </c>
      <c r="N210" s="0" t="n">
        <v>0.6</v>
      </c>
      <c r="O210" s="0" t="n">
        <v>0.7</v>
      </c>
      <c r="P210" s="0" t="n">
        <v>0.65</v>
      </c>
      <c r="Q210" s="0" t="n">
        <v>0.55</v>
      </c>
      <c r="R210" s="0" t="n">
        <v>0.55</v>
      </c>
      <c r="S210" s="0" t="n">
        <v>0.55</v>
      </c>
      <c r="T210" s="0" t="n">
        <v>0.55</v>
      </c>
    </row>
    <row r="211" customFormat="false" ht="12.75" hidden="false" customHeight="false" outlineLevel="0" collapsed="false">
      <c r="A211" s="317" t="n">
        <v>43374</v>
      </c>
      <c r="B211" s="141" t="n">
        <v>0.6</v>
      </c>
      <c r="C211" s="141" t="n">
        <v>0.6</v>
      </c>
      <c r="D211" s="0" t="n">
        <v>0.55</v>
      </c>
      <c r="E211" s="0" t="n">
        <v>0.6</v>
      </c>
      <c r="F211" s="0" t="n">
        <v>0.6</v>
      </c>
      <c r="G211" s="0" t="n">
        <v>0.65</v>
      </c>
      <c r="H211" s="0" t="n">
        <v>0.65</v>
      </c>
      <c r="I211" s="0" t="n">
        <v>0.6</v>
      </c>
      <c r="J211" s="0" t="n">
        <v>0.5</v>
      </c>
      <c r="K211" s="0" t="n">
        <v>0.6</v>
      </c>
      <c r="L211" s="0" t="n">
        <v>0.65</v>
      </c>
      <c r="M211" s="0" t="n">
        <v>0.6</v>
      </c>
      <c r="N211" s="0" t="n">
        <v>0.65</v>
      </c>
      <c r="O211" s="0" t="n">
        <v>0.75</v>
      </c>
      <c r="P211" s="0" t="n">
        <v>0.7</v>
      </c>
      <c r="Q211" s="0" t="n">
        <v>0.6</v>
      </c>
      <c r="R211" s="0" t="n">
        <v>0.55</v>
      </c>
      <c r="S211" s="0" t="n">
        <v>0.6</v>
      </c>
      <c r="T211" s="0" t="n">
        <v>0.6</v>
      </c>
    </row>
    <row r="212" customFormat="false" ht="12.75" hidden="false" customHeight="false" outlineLevel="0" collapsed="false">
      <c r="A212" s="317" t="n">
        <v>43405</v>
      </c>
      <c r="B212" s="141" t="n">
        <v>0.8</v>
      </c>
      <c r="C212" s="141" t="n">
        <v>0.85</v>
      </c>
      <c r="D212" s="0" t="n">
        <v>0.8</v>
      </c>
      <c r="E212" s="0" t="n">
        <v>0.8</v>
      </c>
      <c r="F212" s="0" t="n">
        <v>0.9</v>
      </c>
      <c r="G212" s="0" t="n">
        <v>0.95</v>
      </c>
      <c r="H212" s="0" t="n">
        <v>0.85</v>
      </c>
      <c r="I212" s="0" t="n">
        <v>0.8</v>
      </c>
      <c r="J212" s="0" t="n">
        <v>0.95</v>
      </c>
      <c r="K212" s="0" t="n">
        <v>0.8</v>
      </c>
      <c r="L212" s="0" t="n">
        <v>0.8</v>
      </c>
      <c r="M212" s="0" t="n">
        <v>0.8</v>
      </c>
      <c r="N212" s="0" t="n">
        <v>0.95</v>
      </c>
      <c r="O212" s="0" t="n">
        <v>0.95</v>
      </c>
      <c r="P212" s="0" t="n">
        <v>0.9</v>
      </c>
      <c r="Q212" s="0" t="n">
        <v>0.8</v>
      </c>
      <c r="R212" s="0" t="n">
        <v>0.8</v>
      </c>
      <c r="S212" s="0" t="n">
        <v>0.8</v>
      </c>
      <c r="T212" s="0" t="n">
        <v>0.8</v>
      </c>
    </row>
    <row r="213" customFormat="false" ht="12.75" hidden="false" customHeight="false" outlineLevel="0" collapsed="false">
      <c r="A213" s="317" t="n">
        <v>43435</v>
      </c>
      <c r="B213" s="141" t="n">
        <v>1</v>
      </c>
      <c r="C213" s="141" t="n">
        <v>1.05</v>
      </c>
      <c r="D213" s="0" t="n">
        <v>1</v>
      </c>
      <c r="E213" s="0" t="n">
        <v>1</v>
      </c>
      <c r="F213" s="0" t="n">
        <v>1.15</v>
      </c>
      <c r="G213" s="0" t="n">
        <v>1.25</v>
      </c>
      <c r="H213" s="0" t="n">
        <v>1.05</v>
      </c>
      <c r="I213" s="0" t="n">
        <v>1</v>
      </c>
      <c r="J213" s="0" t="n">
        <v>1.35</v>
      </c>
      <c r="K213" s="0" t="n">
        <v>1</v>
      </c>
      <c r="L213" s="0" t="n">
        <v>1.1</v>
      </c>
      <c r="M213" s="0" t="n">
        <v>1</v>
      </c>
      <c r="N213" s="0" t="n">
        <v>1.25</v>
      </c>
      <c r="O213" s="0" t="n">
        <v>1.15</v>
      </c>
      <c r="P213" s="0" t="n">
        <v>1.1</v>
      </c>
      <c r="Q213" s="0" t="n">
        <v>1</v>
      </c>
      <c r="R213" s="0" t="n">
        <v>1</v>
      </c>
      <c r="S213" s="0" t="n">
        <v>1</v>
      </c>
      <c r="T213" s="0" t="n">
        <v>1</v>
      </c>
    </row>
    <row r="214" customFormat="false" ht="12.75" hidden="false" customHeight="false" outlineLevel="0" collapsed="false">
      <c r="A214" s="317" t="n">
        <v>43466</v>
      </c>
      <c r="B214" s="141" t="n">
        <v>1</v>
      </c>
      <c r="C214" s="141" t="n">
        <v>1.05</v>
      </c>
      <c r="D214" s="0" t="n">
        <v>1</v>
      </c>
      <c r="E214" s="0" t="n">
        <v>1</v>
      </c>
      <c r="F214" s="0" t="n">
        <v>1.15</v>
      </c>
      <c r="G214" s="0" t="n">
        <v>1.45</v>
      </c>
      <c r="H214" s="0" t="n">
        <v>1.05</v>
      </c>
      <c r="I214" s="0" t="n">
        <v>1</v>
      </c>
      <c r="J214" s="0" t="n">
        <v>1.35</v>
      </c>
      <c r="K214" s="0" t="n">
        <v>1</v>
      </c>
      <c r="L214" s="0" t="n">
        <v>1.1</v>
      </c>
      <c r="M214" s="0" t="n">
        <v>1</v>
      </c>
      <c r="N214" s="0" t="n">
        <v>1.45</v>
      </c>
      <c r="O214" s="0" t="n">
        <v>1.15</v>
      </c>
      <c r="P214" s="0" t="n">
        <v>1.1</v>
      </c>
      <c r="Q214" s="0" t="n">
        <v>1</v>
      </c>
      <c r="R214" s="0" t="n">
        <v>1</v>
      </c>
      <c r="S214" s="0" t="n">
        <v>1</v>
      </c>
      <c r="T214" s="0" t="n">
        <v>1</v>
      </c>
    </row>
    <row r="215" customFormat="false" ht="12.75" hidden="false" customHeight="false" outlineLevel="0" collapsed="false">
      <c r="A215" s="317" t="n">
        <v>43497</v>
      </c>
      <c r="B215" s="141" t="n">
        <v>1</v>
      </c>
      <c r="C215" s="141" t="n">
        <v>1.05</v>
      </c>
      <c r="D215" s="0" t="n">
        <v>1</v>
      </c>
      <c r="E215" s="0" t="n">
        <v>1</v>
      </c>
      <c r="F215" s="0" t="n">
        <v>1.15</v>
      </c>
      <c r="G215" s="0" t="n">
        <v>1.45</v>
      </c>
      <c r="H215" s="0" t="n">
        <v>1.05</v>
      </c>
      <c r="I215" s="0" t="n">
        <v>1</v>
      </c>
      <c r="J215" s="0" t="n">
        <v>1.35</v>
      </c>
      <c r="K215" s="0" t="n">
        <v>1</v>
      </c>
      <c r="L215" s="0" t="n">
        <v>1.1</v>
      </c>
      <c r="M215" s="0" t="n">
        <v>1</v>
      </c>
      <c r="N215" s="0" t="n">
        <v>1.45</v>
      </c>
      <c r="O215" s="0" t="n">
        <v>1.15</v>
      </c>
      <c r="P215" s="0" t="n">
        <v>1.1</v>
      </c>
      <c r="Q215" s="0" t="n">
        <v>1</v>
      </c>
      <c r="R215" s="0" t="n">
        <v>1</v>
      </c>
      <c r="S215" s="0" t="n">
        <v>1</v>
      </c>
      <c r="T215" s="0" t="n">
        <v>1</v>
      </c>
    </row>
    <row r="216" customFormat="false" ht="12.75" hidden="false" customHeight="false" outlineLevel="0" collapsed="false">
      <c r="A216" s="317" t="n">
        <v>43525</v>
      </c>
      <c r="B216" s="141" t="n">
        <v>0.75</v>
      </c>
      <c r="C216" s="141" t="n">
        <v>0.8</v>
      </c>
      <c r="D216" s="0" t="n">
        <v>0.75</v>
      </c>
      <c r="E216" s="0" t="n">
        <v>0.75</v>
      </c>
      <c r="F216" s="0" t="n">
        <v>0.85</v>
      </c>
      <c r="G216" s="0" t="n">
        <v>1</v>
      </c>
      <c r="H216" s="0" t="n">
        <v>0.75</v>
      </c>
      <c r="I216" s="0" t="n">
        <v>0.75</v>
      </c>
      <c r="J216" s="0" t="n">
        <v>0.95</v>
      </c>
      <c r="K216" s="0" t="n">
        <v>0.75</v>
      </c>
      <c r="L216" s="0" t="n">
        <v>0.75</v>
      </c>
      <c r="M216" s="0" t="n">
        <v>0.75</v>
      </c>
      <c r="N216" s="0" t="n">
        <v>1</v>
      </c>
      <c r="O216" s="0" t="n">
        <v>0.9</v>
      </c>
      <c r="P216" s="0" t="n">
        <v>0.85</v>
      </c>
      <c r="Q216" s="0" t="n">
        <v>0.75</v>
      </c>
      <c r="R216" s="0" t="n">
        <v>0.75</v>
      </c>
      <c r="S216" s="0" t="n">
        <v>0.75</v>
      </c>
      <c r="T216" s="0" t="n">
        <v>0.75</v>
      </c>
    </row>
    <row r="217" customFormat="false" ht="12.75" hidden="false" customHeight="false" outlineLevel="0" collapsed="false">
      <c r="A217" s="317" t="n">
        <v>43556</v>
      </c>
      <c r="B217" s="141" t="n">
        <v>0.4</v>
      </c>
      <c r="C217" s="141" t="n">
        <v>0.45</v>
      </c>
      <c r="D217" s="0" t="n">
        <v>0.4</v>
      </c>
      <c r="E217" s="0" t="n">
        <v>0.45</v>
      </c>
      <c r="F217" s="0" t="n">
        <v>0.45</v>
      </c>
      <c r="G217" s="0" t="n">
        <v>0.45</v>
      </c>
      <c r="H217" s="0" t="n">
        <v>0.45</v>
      </c>
      <c r="I217" s="0" t="n">
        <v>0.45</v>
      </c>
      <c r="J217" s="0" t="n">
        <v>0.5</v>
      </c>
      <c r="K217" s="0" t="n">
        <v>0.4</v>
      </c>
      <c r="L217" s="0" t="n">
        <v>0.45</v>
      </c>
      <c r="M217" s="0" t="n">
        <v>0.4</v>
      </c>
      <c r="N217" s="0" t="n">
        <v>0.45</v>
      </c>
      <c r="O217" s="0" t="n">
        <v>0.55</v>
      </c>
      <c r="P217" s="0" t="n">
        <v>0.55</v>
      </c>
      <c r="Q217" s="0" t="n">
        <v>0.4</v>
      </c>
      <c r="R217" s="0" t="n">
        <v>0.4</v>
      </c>
      <c r="S217" s="0" t="n">
        <v>0.45</v>
      </c>
      <c r="T217" s="0" t="n">
        <v>0.4</v>
      </c>
    </row>
    <row r="218" customFormat="false" ht="12.75" hidden="false" customHeight="false" outlineLevel="0" collapsed="false">
      <c r="A218" s="317" t="n">
        <v>43586</v>
      </c>
      <c r="B218" s="141" t="n">
        <v>0.45</v>
      </c>
      <c r="C218" s="141" t="n">
        <v>0.5</v>
      </c>
      <c r="D218" s="0" t="n">
        <v>0.4</v>
      </c>
      <c r="E218" s="0" t="n">
        <v>0.4</v>
      </c>
      <c r="F218" s="0" t="n">
        <v>0.45</v>
      </c>
      <c r="G218" s="0" t="n">
        <v>0.5</v>
      </c>
      <c r="H218" s="0" t="n">
        <v>0.45</v>
      </c>
      <c r="I218" s="0" t="n">
        <v>0.4</v>
      </c>
      <c r="J218" s="0" t="n">
        <v>0.45</v>
      </c>
      <c r="K218" s="0" t="n">
        <v>0.45</v>
      </c>
      <c r="L218" s="0" t="n">
        <v>0.5</v>
      </c>
      <c r="M218" s="0" t="n">
        <v>0.45</v>
      </c>
      <c r="N218" s="0" t="n">
        <v>0.5</v>
      </c>
      <c r="O218" s="0" t="n">
        <v>0.6</v>
      </c>
      <c r="P218" s="0" t="n">
        <v>0.5</v>
      </c>
      <c r="Q218" s="0" t="n">
        <v>0.45</v>
      </c>
      <c r="R218" s="0" t="n">
        <v>0.4</v>
      </c>
      <c r="S218" s="0" t="n">
        <v>0.4</v>
      </c>
      <c r="T218" s="0" t="n">
        <v>0.45</v>
      </c>
    </row>
    <row r="219" customFormat="false" ht="12.75" hidden="false" customHeight="false" outlineLevel="0" collapsed="false">
      <c r="A219" s="317" t="n">
        <v>43617</v>
      </c>
      <c r="B219" s="141" t="n">
        <v>0.45</v>
      </c>
      <c r="C219" s="141" t="n">
        <v>0.5</v>
      </c>
      <c r="D219" s="0" t="n">
        <v>0.4</v>
      </c>
      <c r="E219" s="0" t="n">
        <v>0.5</v>
      </c>
      <c r="F219" s="0" t="n">
        <v>0.45</v>
      </c>
      <c r="G219" s="0" t="n">
        <v>0.5</v>
      </c>
      <c r="H219" s="0" t="n">
        <v>0.5</v>
      </c>
      <c r="I219" s="0" t="n">
        <v>0.5</v>
      </c>
      <c r="J219" s="0" t="n">
        <v>0.5</v>
      </c>
      <c r="K219" s="0" t="n">
        <v>0.45</v>
      </c>
      <c r="L219" s="0" t="n">
        <v>0.5</v>
      </c>
      <c r="M219" s="0" t="n">
        <v>0.45</v>
      </c>
      <c r="N219" s="0" t="n">
        <v>0.5</v>
      </c>
      <c r="O219" s="0" t="n">
        <v>0.6</v>
      </c>
      <c r="P219" s="0" t="n">
        <v>0.6</v>
      </c>
      <c r="Q219" s="0" t="n">
        <v>0.45</v>
      </c>
      <c r="R219" s="0" t="n">
        <v>0.4</v>
      </c>
      <c r="S219" s="0" t="n">
        <v>0.5</v>
      </c>
      <c r="T219" s="0" t="n">
        <v>0.45</v>
      </c>
    </row>
    <row r="220" customFormat="false" ht="12.75" hidden="false" customHeight="false" outlineLevel="0" collapsed="false">
      <c r="A220" s="317" t="n">
        <v>43647</v>
      </c>
      <c r="B220" s="141" t="n">
        <v>0.5</v>
      </c>
      <c r="C220" s="141" t="n">
        <v>0.5</v>
      </c>
      <c r="D220" s="0" t="n">
        <v>0.4</v>
      </c>
      <c r="E220" s="0" t="n">
        <v>0.5</v>
      </c>
      <c r="F220" s="0" t="n">
        <v>0.5</v>
      </c>
      <c r="G220" s="0" t="n">
        <v>0.5</v>
      </c>
      <c r="H220" s="0" t="n">
        <v>0.5</v>
      </c>
      <c r="I220" s="0" t="n">
        <v>0.5</v>
      </c>
      <c r="J220" s="0" t="n">
        <v>0.5</v>
      </c>
      <c r="K220" s="0" t="n">
        <v>0.5</v>
      </c>
      <c r="L220" s="0" t="n">
        <v>0.55</v>
      </c>
      <c r="M220" s="0" t="n">
        <v>0.5</v>
      </c>
      <c r="N220" s="0" t="n">
        <v>0.5</v>
      </c>
      <c r="O220" s="0" t="n">
        <v>0.65</v>
      </c>
      <c r="P220" s="0" t="n">
        <v>0.6</v>
      </c>
      <c r="Q220" s="0" t="n">
        <v>0.5</v>
      </c>
      <c r="R220" s="0" t="n">
        <v>0.4</v>
      </c>
      <c r="S220" s="0" t="n">
        <v>0.5</v>
      </c>
      <c r="T220" s="0" t="n">
        <v>0.5</v>
      </c>
    </row>
    <row r="221" customFormat="false" ht="12.75" hidden="false" customHeight="false" outlineLevel="0" collapsed="false">
      <c r="A221" s="317" t="n">
        <v>43678</v>
      </c>
      <c r="B221" s="141" t="n">
        <v>0.55</v>
      </c>
      <c r="C221" s="141" t="n">
        <v>0.55</v>
      </c>
      <c r="D221" s="0" t="n">
        <v>0.5</v>
      </c>
      <c r="E221" s="0" t="n">
        <v>0.6</v>
      </c>
      <c r="F221" s="0" t="n">
        <v>0.55</v>
      </c>
      <c r="G221" s="0" t="n">
        <v>0.6</v>
      </c>
      <c r="H221" s="0" t="n">
        <v>0.55</v>
      </c>
      <c r="I221" s="0" t="n">
        <v>0.6</v>
      </c>
      <c r="J221" s="0" t="n">
        <v>0.45</v>
      </c>
      <c r="K221" s="0" t="n">
        <v>0.55</v>
      </c>
      <c r="L221" s="0" t="n">
        <v>0.6</v>
      </c>
      <c r="M221" s="0" t="n">
        <v>0.55</v>
      </c>
      <c r="N221" s="0" t="n">
        <v>0.6</v>
      </c>
      <c r="O221" s="0" t="n">
        <v>0.7</v>
      </c>
      <c r="P221" s="0" t="n">
        <v>0.7</v>
      </c>
      <c r="Q221" s="0" t="n">
        <v>0.55</v>
      </c>
      <c r="R221" s="0" t="n">
        <v>0.5</v>
      </c>
      <c r="S221" s="0" t="n">
        <v>0.6</v>
      </c>
      <c r="T221" s="0" t="n">
        <v>0.55</v>
      </c>
    </row>
    <row r="222" customFormat="false" ht="12.75" hidden="false" customHeight="false" outlineLevel="0" collapsed="false">
      <c r="A222" s="317" t="n">
        <v>43709</v>
      </c>
      <c r="B222" s="141" t="n">
        <v>0.55</v>
      </c>
      <c r="C222" s="141" t="n">
        <v>0.55</v>
      </c>
      <c r="D222" s="0" t="n">
        <v>0.55</v>
      </c>
      <c r="E222" s="0" t="n">
        <v>0.55</v>
      </c>
      <c r="F222" s="0" t="n">
        <v>0.55</v>
      </c>
      <c r="G222" s="0" t="n">
        <v>0.6</v>
      </c>
      <c r="H222" s="0" t="n">
        <v>0.6</v>
      </c>
      <c r="I222" s="0" t="n">
        <v>0.55</v>
      </c>
      <c r="J222" s="0" t="n">
        <v>0.5</v>
      </c>
      <c r="K222" s="0" t="n">
        <v>0.55</v>
      </c>
      <c r="L222" s="0" t="n">
        <v>0.6</v>
      </c>
      <c r="M222" s="0" t="n">
        <v>0.55</v>
      </c>
      <c r="N222" s="0" t="n">
        <v>0.6</v>
      </c>
      <c r="O222" s="0" t="n">
        <v>0.7</v>
      </c>
      <c r="P222" s="0" t="n">
        <v>0.65</v>
      </c>
      <c r="Q222" s="0" t="n">
        <v>0.55</v>
      </c>
      <c r="R222" s="0" t="n">
        <v>0.55</v>
      </c>
      <c r="S222" s="0" t="n">
        <v>0.55</v>
      </c>
      <c r="T222" s="0" t="n">
        <v>0.55</v>
      </c>
    </row>
    <row r="223" customFormat="false" ht="12.75" hidden="false" customHeight="false" outlineLevel="0" collapsed="false">
      <c r="A223" s="317" t="n">
        <v>43739</v>
      </c>
      <c r="B223" s="141" t="n">
        <v>0.6</v>
      </c>
      <c r="C223" s="141" t="n">
        <v>0.6</v>
      </c>
      <c r="D223" s="0" t="n">
        <v>0.55</v>
      </c>
      <c r="E223" s="0" t="n">
        <v>0.6</v>
      </c>
      <c r="F223" s="0" t="n">
        <v>0.6</v>
      </c>
      <c r="G223" s="0" t="n">
        <v>0.65</v>
      </c>
      <c r="H223" s="0" t="n">
        <v>0.65</v>
      </c>
      <c r="I223" s="0" t="n">
        <v>0.6</v>
      </c>
      <c r="J223" s="0" t="n">
        <v>0.5</v>
      </c>
      <c r="K223" s="0" t="n">
        <v>0.6</v>
      </c>
      <c r="L223" s="0" t="n">
        <v>0.65</v>
      </c>
      <c r="M223" s="0" t="n">
        <v>0.6</v>
      </c>
      <c r="N223" s="0" t="n">
        <v>0.65</v>
      </c>
      <c r="O223" s="0" t="n">
        <v>0.75</v>
      </c>
      <c r="P223" s="0" t="n">
        <v>0.7</v>
      </c>
      <c r="Q223" s="0" t="n">
        <v>0.6</v>
      </c>
      <c r="R223" s="0" t="n">
        <v>0.55</v>
      </c>
      <c r="S223" s="0" t="n">
        <v>0.6</v>
      </c>
      <c r="T223" s="0" t="n">
        <v>0.6</v>
      </c>
    </row>
    <row r="224" customFormat="false" ht="12.75" hidden="false" customHeight="false" outlineLevel="0" collapsed="false">
      <c r="A224" s="317" t="n">
        <v>43770</v>
      </c>
      <c r="B224" s="141" t="n">
        <v>0.8</v>
      </c>
      <c r="C224" s="141" t="n">
        <v>0.85</v>
      </c>
      <c r="D224" s="0" t="n">
        <v>0.8</v>
      </c>
      <c r="E224" s="0" t="n">
        <v>0.8</v>
      </c>
      <c r="F224" s="0" t="n">
        <v>0.9</v>
      </c>
      <c r="G224" s="0" t="n">
        <v>0.95</v>
      </c>
      <c r="H224" s="0" t="n">
        <v>0.85</v>
      </c>
      <c r="I224" s="0" t="n">
        <v>0.8</v>
      </c>
      <c r="J224" s="0" t="n">
        <v>0.95</v>
      </c>
      <c r="K224" s="0" t="n">
        <v>0.8</v>
      </c>
      <c r="L224" s="0" t="n">
        <v>0.8</v>
      </c>
      <c r="M224" s="0" t="n">
        <v>0.8</v>
      </c>
      <c r="N224" s="0" t="n">
        <v>0.95</v>
      </c>
      <c r="O224" s="0" t="n">
        <v>0.95</v>
      </c>
      <c r="P224" s="0" t="n">
        <v>0.9</v>
      </c>
      <c r="Q224" s="0" t="n">
        <v>0.8</v>
      </c>
      <c r="R224" s="0" t="n">
        <v>0.8</v>
      </c>
      <c r="S224" s="0" t="n">
        <v>0.8</v>
      </c>
      <c r="T224" s="0" t="n">
        <v>0.8</v>
      </c>
    </row>
    <row r="225" customFormat="false" ht="12.75" hidden="false" customHeight="false" outlineLevel="0" collapsed="false">
      <c r="A225" s="317" t="n">
        <v>43800</v>
      </c>
      <c r="B225" s="141" t="n">
        <v>1</v>
      </c>
      <c r="C225" s="141" t="n">
        <v>1.05</v>
      </c>
      <c r="D225" s="0" t="n">
        <v>1</v>
      </c>
      <c r="E225" s="0" t="n">
        <v>1</v>
      </c>
      <c r="F225" s="0" t="n">
        <v>1.15</v>
      </c>
      <c r="G225" s="0" t="n">
        <v>1.25</v>
      </c>
      <c r="H225" s="0" t="n">
        <v>1.05</v>
      </c>
      <c r="I225" s="0" t="n">
        <v>1</v>
      </c>
      <c r="J225" s="0" t="n">
        <v>1.35</v>
      </c>
      <c r="K225" s="0" t="n">
        <v>1</v>
      </c>
      <c r="L225" s="0" t="n">
        <v>1.1</v>
      </c>
      <c r="M225" s="0" t="n">
        <v>1</v>
      </c>
      <c r="N225" s="0" t="n">
        <v>1.25</v>
      </c>
      <c r="O225" s="0" t="n">
        <v>1.15</v>
      </c>
      <c r="P225" s="0" t="n">
        <v>1.1</v>
      </c>
      <c r="Q225" s="0" t="n">
        <v>1</v>
      </c>
      <c r="R225" s="0" t="n">
        <v>1</v>
      </c>
      <c r="S225" s="0" t="n">
        <v>1</v>
      </c>
      <c r="T225" s="0" t="n">
        <v>1</v>
      </c>
    </row>
    <row r="226" customFormat="false" ht="12.75" hidden="false" customHeight="false" outlineLevel="0" collapsed="false">
      <c r="A226" s="317" t="n">
        <v>43831</v>
      </c>
      <c r="B226" s="141" t="n">
        <v>1</v>
      </c>
      <c r="C226" s="141" t="n">
        <v>1.05</v>
      </c>
      <c r="D226" s="0" t="n">
        <v>1</v>
      </c>
      <c r="E226" s="0" t="n">
        <v>1</v>
      </c>
      <c r="F226" s="0" t="n">
        <v>1.15</v>
      </c>
      <c r="G226" s="0" t="n">
        <v>1.45</v>
      </c>
      <c r="H226" s="0" t="n">
        <v>1.05</v>
      </c>
      <c r="I226" s="0" t="n">
        <v>1</v>
      </c>
      <c r="J226" s="0" t="n">
        <v>1.35</v>
      </c>
      <c r="K226" s="0" t="n">
        <v>1</v>
      </c>
      <c r="L226" s="0" t="n">
        <v>1.1</v>
      </c>
      <c r="M226" s="0" t="n">
        <v>1</v>
      </c>
      <c r="N226" s="0" t="n">
        <v>1.45</v>
      </c>
      <c r="O226" s="0" t="n">
        <v>1.15</v>
      </c>
      <c r="P226" s="0" t="n">
        <v>1.1</v>
      </c>
      <c r="Q226" s="0" t="n">
        <v>1</v>
      </c>
      <c r="R226" s="0" t="n">
        <v>1</v>
      </c>
      <c r="S226" s="0" t="n">
        <v>1</v>
      </c>
      <c r="T226" s="0" t="n">
        <v>1</v>
      </c>
    </row>
    <row r="227" customFormat="false" ht="12.75" hidden="false" customHeight="false" outlineLevel="0" collapsed="false">
      <c r="A227" s="317" t="n">
        <v>43862</v>
      </c>
      <c r="B227" s="141" t="n">
        <v>1</v>
      </c>
      <c r="C227" s="141" t="n">
        <v>1.05</v>
      </c>
      <c r="D227" s="0" t="n">
        <v>1</v>
      </c>
      <c r="E227" s="0" t="n">
        <v>1</v>
      </c>
      <c r="F227" s="0" t="n">
        <v>1.15</v>
      </c>
      <c r="G227" s="0" t="n">
        <v>1.45</v>
      </c>
      <c r="H227" s="0" t="n">
        <v>1.05</v>
      </c>
      <c r="I227" s="0" t="n">
        <v>1</v>
      </c>
      <c r="J227" s="0" t="n">
        <v>1.35</v>
      </c>
      <c r="K227" s="0" t="n">
        <v>1</v>
      </c>
      <c r="L227" s="0" t="n">
        <v>1.1</v>
      </c>
      <c r="M227" s="0" t="n">
        <v>1</v>
      </c>
      <c r="N227" s="0" t="n">
        <v>1.45</v>
      </c>
      <c r="O227" s="0" t="n">
        <v>1.15</v>
      </c>
      <c r="P227" s="0" t="n">
        <v>1.1</v>
      </c>
      <c r="Q227" s="0" t="n">
        <v>1</v>
      </c>
      <c r="R227" s="0" t="n">
        <v>1</v>
      </c>
      <c r="S227" s="0" t="n">
        <v>1</v>
      </c>
      <c r="T227" s="0" t="n">
        <v>1</v>
      </c>
    </row>
    <row r="228" customFormat="false" ht="12.75" hidden="false" customHeight="false" outlineLevel="0" collapsed="false">
      <c r="A228" s="317" t="n">
        <v>43891</v>
      </c>
      <c r="B228" s="141" t="n">
        <v>0.75</v>
      </c>
      <c r="C228" s="141" t="n">
        <v>0.8</v>
      </c>
      <c r="D228" s="0" t="n">
        <v>0.75</v>
      </c>
      <c r="E228" s="0" t="n">
        <v>0.75</v>
      </c>
      <c r="F228" s="0" t="n">
        <v>0.85</v>
      </c>
      <c r="G228" s="0" t="n">
        <v>1</v>
      </c>
      <c r="H228" s="0" t="n">
        <v>0.75</v>
      </c>
      <c r="I228" s="0" t="n">
        <v>0.75</v>
      </c>
      <c r="J228" s="0" t="n">
        <v>0.95</v>
      </c>
      <c r="K228" s="0" t="n">
        <v>0.75</v>
      </c>
      <c r="L228" s="0" t="n">
        <v>0.75</v>
      </c>
      <c r="M228" s="0" t="n">
        <v>0.75</v>
      </c>
      <c r="N228" s="0" t="n">
        <v>1</v>
      </c>
      <c r="O228" s="0" t="n">
        <v>0.9</v>
      </c>
      <c r="P228" s="0" t="n">
        <v>0.85</v>
      </c>
      <c r="Q228" s="0" t="n">
        <v>0.75</v>
      </c>
      <c r="R228" s="0" t="n">
        <v>0.75</v>
      </c>
      <c r="S228" s="0" t="n">
        <v>0.75</v>
      </c>
      <c r="T228" s="0" t="n">
        <v>0.75</v>
      </c>
    </row>
    <row r="229" customFormat="false" ht="12.75" hidden="false" customHeight="false" outlineLevel="0" collapsed="false">
      <c r="A229" s="317" t="n">
        <v>43922</v>
      </c>
      <c r="B229" s="141" t="n">
        <v>0.4</v>
      </c>
      <c r="C229" s="141" t="n">
        <v>0.45</v>
      </c>
      <c r="D229" s="0" t="n">
        <v>0.4</v>
      </c>
      <c r="E229" s="0" t="n">
        <v>0.45</v>
      </c>
      <c r="F229" s="0" t="n">
        <v>0.45</v>
      </c>
      <c r="G229" s="0" t="n">
        <v>0.45</v>
      </c>
      <c r="H229" s="0" t="n">
        <v>0.45</v>
      </c>
      <c r="I229" s="0" t="n">
        <v>0.45</v>
      </c>
      <c r="J229" s="0" t="n">
        <v>0.5</v>
      </c>
      <c r="K229" s="0" t="n">
        <v>0.4</v>
      </c>
      <c r="L229" s="0" t="n">
        <v>0.45</v>
      </c>
      <c r="M229" s="0" t="n">
        <v>0.4</v>
      </c>
      <c r="N229" s="0" t="n">
        <v>0.45</v>
      </c>
      <c r="O229" s="0" t="n">
        <v>0.55</v>
      </c>
      <c r="P229" s="0" t="n">
        <v>0.55</v>
      </c>
      <c r="Q229" s="0" t="n">
        <v>0.4</v>
      </c>
      <c r="R229" s="0" t="n">
        <v>0.4</v>
      </c>
      <c r="S229" s="0" t="n">
        <v>0.45</v>
      </c>
      <c r="T229" s="0" t="n">
        <v>0.4</v>
      </c>
    </row>
    <row r="230" customFormat="false" ht="12.75" hidden="false" customHeight="false" outlineLevel="0" collapsed="false">
      <c r="A230" s="317" t="n">
        <v>43952</v>
      </c>
      <c r="B230" s="141" t="n">
        <v>0.45</v>
      </c>
      <c r="C230" s="141" t="n">
        <v>0.5</v>
      </c>
      <c r="D230" s="0" t="n">
        <v>0.4</v>
      </c>
      <c r="E230" s="0" t="n">
        <v>0.4</v>
      </c>
      <c r="F230" s="0" t="n">
        <v>0.45</v>
      </c>
      <c r="G230" s="0" t="n">
        <v>0.5</v>
      </c>
      <c r="H230" s="0" t="n">
        <v>0.45</v>
      </c>
      <c r="I230" s="0" t="n">
        <v>0.4</v>
      </c>
      <c r="J230" s="0" t="n">
        <v>0.45</v>
      </c>
      <c r="K230" s="0" t="n">
        <v>0.45</v>
      </c>
      <c r="L230" s="0" t="n">
        <v>0.5</v>
      </c>
      <c r="M230" s="0" t="n">
        <v>0.45</v>
      </c>
      <c r="N230" s="0" t="n">
        <v>0.5</v>
      </c>
      <c r="O230" s="0" t="n">
        <v>0.6</v>
      </c>
      <c r="P230" s="0" t="n">
        <v>0.5</v>
      </c>
      <c r="Q230" s="0" t="n">
        <v>0.45</v>
      </c>
      <c r="R230" s="0" t="n">
        <v>0.4</v>
      </c>
      <c r="S230" s="0" t="n">
        <v>0.4</v>
      </c>
      <c r="T230" s="0" t="n">
        <v>0.45</v>
      </c>
    </row>
    <row r="231" customFormat="false" ht="12.75" hidden="false" customHeight="false" outlineLevel="0" collapsed="false">
      <c r="A231" s="317" t="n">
        <v>43983</v>
      </c>
      <c r="B231" s="141" t="n">
        <v>0.45</v>
      </c>
      <c r="C231" s="141" t="n">
        <v>0.5</v>
      </c>
      <c r="D231" s="0" t="n">
        <v>0.4</v>
      </c>
      <c r="E231" s="0" t="n">
        <v>0.5</v>
      </c>
      <c r="F231" s="0" t="n">
        <v>0.45</v>
      </c>
      <c r="G231" s="0" t="n">
        <v>0.5</v>
      </c>
      <c r="H231" s="0" t="n">
        <v>0.5</v>
      </c>
      <c r="I231" s="0" t="n">
        <v>0.5</v>
      </c>
      <c r="J231" s="0" t="n">
        <v>0.5</v>
      </c>
      <c r="K231" s="0" t="n">
        <v>0.45</v>
      </c>
      <c r="L231" s="0" t="n">
        <v>0.5</v>
      </c>
      <c r="M231" s="0" t="n">
        <v>0.45</v>
      </c>
      <c r="N231" s="0" t="n">
        <v>0.5</v>
      </c>
      <c r="O231" s="0" t="n">
        <v>0.6</v>
      </c>
      <c r="P231" s="0" t="n">
        <v>0.6</v>
      </c>
      <c r="Q231" s="0" t="n">
        <v>0.45</v>
      </c>
      <c r="R231" s="0" t="n">
        <v>0.4</v>
      </c>
      <c r="S231" s="0" t="n">
        <v>0.5</v>
      </c>
      <c r="T231" s="0" t="n">
        <v>0.45</v>
      </c>
    </row>
    <row r="232" customFormat="false" ht="12.75" hidden="false" customHeight="false" outlineLevel="0" collapsed="false">
      <c r="A232" s="317" t="n">
        <v>44013</v>
      </c>
      <c r="B232" s="141" t="n">
        <v>0.5</v>
      </c>
      <c r="C232" s="141" t="n">
        <v>0.5</v>
      </c>
      <c r="D232" s="0" t="n">
        <v>0.4</v>
      </c>
      <c r="E232" s="0" t="n">
        <v>0.5</v>
      </c>
      <c r="F232" s="0" t="n">
        <v>0.5</v>
      </c>
      <c r="G232" s="0" t="n">
        <v>0.5</v>
      </c>
      <c r="H232" s="0" t="n">
        <v>0.5</v>
      </c>
      <c r="I232" s="0" t="n">
        <v>0.5</v>
      </c>
      <c r="J232" s="0" t="n">
        <v>0.5</v>
      </c>
      <c r="K232" s="0" t="n">
        <v>0.5</v>
      </c>
      <c r="L232" s="0" t="n">
        <v>0.55</v>
      </c>
      <c r="M232" s="0" t="n">
        <v>0.5</v>
      </c>
      <c r="N232" s="0" t="n">
        <v>0.5</v>
      </c>
      <c r="O232" s="0" t="n">
        <v>0.65</v>
      </c>
      <c r="P232" s="0" t="n">
        <v>0.6</v>
      </c>
      <c r="Q232" s="0" t="n">
        <v>0.5</v>
      </c>
      <c r="R232" s="0" t="n">
        <v>0.4</v>
      </c>
      <c r="S232" s="0" t="n">
        <v>0.5</v>
      </c>
      <c r="T232" s="0" t="n">
        <v>0.5</v>
      </c>
    </row>
    <row r="233" customFormat="false" ht="12.75" hidden="false" customHeight="false" outlineLevel="0" collapsed="false">
      <c r="A233" s="317" t="n">
        <v>44044</v>
      </c>
      <c r="B233" s="141" t="n">
        <v>0.55</v>
      </c>
      <c r="C233" s="141" t="n">
        <v>0.55</v>
      </c>
      <c r="D233" s="0" t="n">
        <v>0.5</v>
      </c>
      <c r="E233" s="0" t="n">
        <v>0.6</v>
      </c>
      <c r="F233" s="0" t="n">
        <v>0.55</v>
      </c>
      <c r="G233" s="0" t="n">
        <v>0.6</v>
      </c>
      <c r="H233" s="0" t="n">
        <v>0.55</v>
      </c>
      <c r="I233" s="0" t="n">
        <v>0.6</v>
      </c>
      <c r="J233" s="0" t="n">
        <v>0.45</v>
      </c>
      <c r="K233" s="0" t="n">
        <v>0.55</v>
      </c>
      <c r="L233" s="0" t="n">
        <v>0.6</v>
      </c>
      <c r="M233" s="0" t="n">
        <v>0.55</v>
      </c>
      <c r="N233" s="0" t="n">
        <v>0.6</v>
      </c>
      <c r="O233" s="0" t="n">
        <v>0.7</v>
      </c>
      <c r="P233" s="0" t="n">
        <v>0.7</v>
      </c>
      <c r="Q233" s="0" t="n">
        <v>0.55</v>
      </c>
      <c r="R233" s="0" t="n">
        <v>0.5</v>
      </c>
      <c r="S233" s="0" t="n">
        <v>0.6</v>
      </c>
      <c r="T233" s="0" t="n">
        <v>0.55</v>
      </c>
    </row>
    <row r="234" customFormat="false" ht="12.75" hidden="false" customHeight="false" outlineLevel="0" collapsed="false">
      <c r="A234" s="317" t="n">
        <v>44075</v>
      </c>
      <c r="B234" s="141" t="n">
        <v>0.55</v>
      </c>
      <c r="C234" s="141" t="n">
        <v>0.55</v>
      </c>
      <c r="D234" s="0" t="n">
        <v>0.55</v>
      </c>
      <c r="E234" s="0" t="n">
        <v>0.55</v>
      </c>
      <c r="F234" s="0" t="n">
        <v>0.55</v>
      </c>
      <c r="G234" s="0" t="n">
        <v>0.6</v>
      </c>
      <c r="H234" s="0" t="n">
        <v>0.6</v>
      </c>
      <c r="I234" s="0" t="n">
        <v>0.55</v>
      </c>
      <c r="J234" s="0" t="n">
        <v>0.5</v>
      </c>
      <c r="K234" s="0" t="n">
        <v>0.55</v>
      </c>
      <c r="L234" s="0" t="n">
        <v>0.6</v>
      </c>
      <c r="M234" s="0" t="n">
        <v>0.55</v>
      </c>
      <c r="N234" s="0" t="n">
        <v>0.6</v>
      </c>
      <c r="O234" s="0" t="n">
        <v>0.7</v>
      </c>
      <c r="P234" s="0" t="n">
        <v>0.65</v>
      </c>
      <c r="Q234" s="0" t="n">
        <v>0.55</v>
      </c>
      <c r="R234" s="0" t="n">
        <v>0.55</v>
      </c>
      <c r="S234" s="0" t="n">
        <v>0.55</v>
      </c>
      <c r="T234" s="0" t="n">
        <v>0.55</v>
      </c>
    </row>
    <row r="235" customFormat="false" ht="12.75" hidden="false" customHeight="false" outlineLevel="0" collapsed="false">
      <c r="A235" s="317" t="n">
        <v>44105</v>
      </c>
      <c r="B235" s="141" t="n">
        <v>0.6</v>
      </c>
      <c r="C235" s="141" t="n">
        <v>0.6</v>
      </c>
      <c r="D235" s="0" t="n">
        <v>0.55</v>
      </c>
      <c r="E235" s="0" t="n">
        <v>0.6</v>
      </c>
      <c r="F235" s="0" t="n">
        <v>0.6</v>
      </c>
      <c r="G235" s="0" t="n">
        <v>0.65</v>
      </c>
      <c r="H235" s="0" t="n">
        <v>0.65</v>
      </c>
      <c r="I235" s="0" t="n">
        <v>0.6</v>
      </c>
      <c r="J235" s="0" t="n">
        <v>0.5</v>
      </c>
      <c r="K235" s="0" t="n">
        <v>0.6</v>
      </c>
      <c r="L235" s="0" t="n">
        <v>0.65</v>
      </c>
      <c r="M235" s="0" t="n">
        <v>0.6</v>
      </c>
      <c r="N235" s="0" t="n">
        <v>0.65</v>
      </c>
      <c r="O235" s="0" t="n">
        <v>0.75</v>
      </c>
      <c r="P235" s="0" t="n">
        <v>0.7</v>
      </c>
      <c r="Q235" s="0" t="n">
        <v>0.6</v>
      </c>
      <c r="R235" s="0" t="n">
        <v>0.55</v>
      </c>
      <c r="S235" s="0" t="n">
        <v>0.6</v>
      </c>
      <c r="T235" s="0" t="n">
        <v>0.6</v>
      </c>
    </row>
    <row r="236" customFormat="false" ht="12.75" hidden="false" customHeight="false" outlineLevel="0" collapsed="false">
      <c r="A236" s="317" t="n">
        <v>44136</v>
      </c>
      <c r="B236" s="141" t="n">
        <v>0.8</v>
      </c>
      <c r="C236" s="141" t="n">
        <v>0.85</v>
      </c>
      <c r="D236" s="0" t="n">
        <v>0.8</v>
      </c>
      <c r="E236" s="0" t="n">
        <v>0.8</v>
      </c>
      <c r="F236" s="0" t="n">
        <v>0.9</v>
      </c>
      <c r="G236" s="0" t="n">
        <v>0.95</v>
      </c>
      <c r="H236" s="0" t="n">
        <v>0.85</v>
      </c>
      <c r="I236" s="0" t="n">
        <v>0.8</v>
      </c>
      <c r="J236" s="0" t="n">
        <v>0.95</v>
      </c>
      <c r="K236" s="0" t="n">
        <v>0.8</v>
      </c>
      <c r="L236" s="0" t="n">
        <v>0.8</v>
      </c>
      <c r="M236" s="0" t="n">
        <v>0.8</v>
      </c>
      <c r="N236" s="0" t="n">
        <v>0.95</v>
      </c>
      <c r="O236" s="0" t="n">
        <v>0.95</v>
      </c>
      <c r="P236" s="0" t="n">
        <v>0.9</v>
      </c>
      <c r="Q236" s="0" t="n">
        <v>0.8</v>
      </c>
      <c r="R236" s="0" t="n">
        <v>0.8</v>
      </c>
      <c r="S236" s="0" t="n">
        <v>0.8</v>
      </c>
      <c r="T236" s="0" t="n">
        <v>0.8</v>
      </c>
    </row>
    <row r="237" customFormat="false" ht="12.75" hidden="false" customHeight="false" outlineLevel="0" collapsed="false">
      <c r="A237" s="317" t="n">
        <v>44166</v>
      </c>
      <c r="B237" s="141" t="n">
        <v>1</v>
      </c>
      <c r="C237" s="141" t="n">
        <v>1.05</v>
      </c>
      <c r="D237" s="0" t="n">
        <v>1</v>
      </c>
      <c r="E237" s="0" t="n">
        <v>1</v>
      </c>
      <c r="F237" s="0" t="n">
        <v>1.15</v>
      </c>
      <c r="G237" s="0" t="n">
        <v>1.25</v>
      </c>
      <c r="H237" s="0" t="n">
        <v>1.05</v>
      </c>
      <c r="I237" s="0" t="n">
        <v>1</v>
      </c>
      <c r="J237" s="0" t="n">
        <v>1.35</v>
      </c>
      <c r="K237" s="0" t="n">
        <v>1</v>
      </c>
      <c r="L237" s="0" t="n">
        <v>1.1</v>
      </c>
      <c r="M237" s="0" t="n">
        <v>1</v>
      </c>
      <c r="N237" s="0" t="n">
        <v>1.25</v>
      </c>
      <c r="O237" s="0" t="n">
        <v>1.15</v>
      </c>
      <c r="P237" s="0" t="n">
        <v>1.1</v>
      </c>
      <c r="Q237" s="0" t="n">
        <v>1</v>
      </c>
      <c r="R237" s="0" t="n">
        <v>1</v>
      </c>
      <c r="S237" s="0" t="n">
        <v>1</v>
      </c>
      <c r="T237" s="0" t="n">
        <v>1</v>
      </c>
    </row>
    <row r="238" customFormat="false" ht="12.75" hidden="false" customHeight="false" outlineLevel="0" collapsed="false">
      <c r="A238" s="317" t="n">
        <v>44197</v>
      </c>
      <c r="B238" s="141" t="n">
        <v>1</v>
      </c>
      <c r="C238" s="141" t="n">
        <v>1.05</v>
      </c>
      <c r="D238" s="0" t="n">
        <v>1</v>
      </c>
      <c r="E238" s="0" t="n">
        <v>1</v>
      </c>
      <c r="F238" s="0" t="n">
        <v>1.15</v>
      </c>
      <c r="G238" s="0" t="n">
        <v>1.45</v>
      </c>
      <c r="H238" s="0" t="n">
        <v>1.05</v>
      </c>
      <c r="I238" s="0" t="n">
        <v>1</v>
      </c>
      <c r="J238" s="0" t="n">
        <v>1.35</v>
      </c>
      <c r="K238" s="0" t="n">
        <v>1</v>
      </c>
      <c r="L238" s="0" t="n">
        <v>1.1</v>
      </c>
      <c r="M238" s="0" t="n">
        <v>1</v>
      </c>
      <c r="N238" s="0" t="n">
        <v>1.45</v>
      </c>
      <c r="O238" s="0" t="n">
        <v>1.15</v>
      </c>
      <c r="P238" s="0" t="n">
        <v>1.1</v>
      </c>
      <c r="Q238" s="0" t="n">
        <v>1</v>
      </c>
      <c r="R238" s="0" t="n">
        <v>1</v>
      </c>
      <c r="S238" s="0" t="n">
        <v>1</v>
      </c>
      <c r="T238" s="0" t="n">
        <v>1</v>
      </c>
    </row>
    <row r="239" customFormat="false" ht="12.75" hidden="false" customHeight="false" outlineLevel="0" collapsed="false">
      <c r="A239" s="317" t="n">
        <v>44228</v>
      </c>
      <c r="B239" s="141" t="n">
        <v>1</v>
      </c>
      <c r="C239" s="141" t="n">
        <v>1.05</v>
      </c>
      <c r="D239" s="0" t="n">
        <v>1</v>
      </c>
      <c r="E239" s="0" t="n">
        <v>1</v>
      </c>
      <c r="F239" s="0" t="n">
        <v>1.15</v>
      </c>
      <c r="G239" s="0" t="n">
        <v>1.45</v>
      </c>
      <c r="H239" s="0" t="n">
        <v>1.05</v>
      </c>
      <c r="I239" s="0" t="n">
        <v>1</v>
      </c>
      <c r="J239" s="0" t="n">
        <v>1.35</v>
      </c>
      <c r="K239" s="0" t="n">
        <v>1</v>
      </c>
      <c r="L239" s="0" t="n">
        <v>1.1</v>
      </c>
      <c r="M239" s="0" t="n">
        <v>1</v>
      </c>
      <c r="N239" s="0" t="n">
        <v>1.45</v>
      </c>
      <c r="O239" s="0" t="n">
        <v>1.15</v>
      </c>
      <c r="P239" s="0" t="n">
        <v>1.1</v>
      </c>
      <c r="Q239" s="0" t="n">
        <v>1</v>
      </c>
      <c r="R239" s="0" t="n">
        <v>1</v>
      </c>
      <c r="S239" s="0" t="n">
        <v>1</v>
      </c>
      <c r="T239" s="0" t="n">
        <v>1</v>
      </c>
    </row>
    <row r="240" customFormat="false" ht="12.75" hidden="false" customHeight="false" outlineLevel="0" collapsed="false">
      <c r="A240" s="317" t="n">
        <v>44256</v>
      </c>
      <c r="B240" s="141" t="n">
        <v>0.75</v>
      </c>
      <c r="C240" s="141" t="n">
        <v>0.8</v>
      </c>
      <c r="D240" s="0" t="n">
        <v>0.75</v>
      </c>
      <c r="E240" s="0" t="n">
        <v>0.75</v>
      </c>
      <c r="F240" s="0" t="n">
        <v>0.85</v>
      </c>
      <c r="G240" s="0" t="n">
        <v>1</v>
      </c>
      <c r="H240" s="0" t="n">
        <v>0.75</v>
      </c>
      <c r="I240" s="0" t="n">
        <v>0.75</v>
      </c>
      <c r="J240" s="0" t="n">
        <v>0.95</v>
      </c>
      <c r="K240" s="0" t="n">
        <v>0.75</v>
      </c>
      <c r="L240" s="0" t="n">
        <v>0.75</v>
      </c>
      <c r="M240" s="0" t="n">
        <v>0.75</v>
      </c>
      <c r="N240" s="0" t="n">
        <v>1</v>
      </c>
      <c r="O240" s="0" t="n">
        <v>0.9</v>
      </c>
      <c r="P240" s="0" t="n">
        <v>0.85</v>
      </c>
      <c r="Q240" s="0" t="n">
        <v>0.75</v>
      </c>
      <c r="R240" s="0" t="n">
        <v>0.75</v>
      </c>
      <c r="S240" s="0" t="n">
        <v>0.75</v>
      </c>
      <c r="T240" s="0" t="n">
        <v>0.75</v>
      </c>
    </row>
    <row r="241" customFormat="false" ht="12.75" hidden="false" customHeight="false" outlineLevel="0" collapsed="false">
      <c r="A241" s="317" t="n">
        <v>44287</v>
      </c>
      <c r="B241" s="141" t="n">
        <v>0.4</v>
      </c>
      <c r="C241" s="141" t="n">
        <v>0.45</v>
      </c>
      <c r="D241" s="0" t="n">
        <v>0.4</v>
      </c>
      <c r="E241" s="0" t="n">
        <v>0.45</v>
      </c>
      <c r="F241" s="0" t="n">
        <v>0.45</v>
      </c>
      <c r="G241" s="0" t="n">
        <v>0.45</v>
      </c>
      <c r="H241" s="0" t="n">
        <v>0.45</v>
      </c>
      <c r="I241" s="0" t="n">
        <v>0.45</v>
      </c>
      <c r="J241" s="0" t="n">
        <v>0.5</v>
      </c>
      <c r="K241" s="0" t="n">
        <v>0.4</v>
      </c>
      <c r="L241" s="0" t="n">
        <v>0.45</v>
      </c>
      <c r="M241" s="0" t="n">
        <v>0.4</v>
      </c>
      <c r="N241" s="0" t="n">
        <v>0.45</v>
      </c>
      <c r="O241" s="0" t="n">
        <v>0.55</v>
      </c>
      <c r="P241" s="0" t="n">
        <v>0.55</v>
      </c>
      <c r="Q241" s="0" t="n">
        <v>0.4</v>
      </c>
      <c r="R241" s="0" t="n">
        <v>0.4</v>
      </c>
      <c r="S241" s="0" t="n">
        <v>0.45</v>
      </c>
      <c r="T241" s="0" t="n">
        <v>0.4</v>
      </c>
    </row>
    <row r="242" customFormat="false" ht="12.75" hidden="false" customHeight="false" outlineLevel="0" collapsed="false">
      <c r="A242" s="317" t="n">
        <v>44317</v>
      </c>
      <c r="B242" s="141" t="n">
        <v>0.45</v>
      </c>
      <c r="C242" s="141" t="n">
        <v>0.5</v>
      </c>
      <c r="D242" s="0" t="n">
        <v>0.4</v>
      </c>
      <c r="E242" s="0" t="n">
        <v>0.4</v>
      </c>
      <c r="F242" s="0" t="n">
        <v>0.45</v>
      </c>
      <c r="G242" s="0" t="n">
        <v>0.5</v>
      </c>
      <c r="H242" s="0" t="n">
        <v>0.45</v>
      </c>
      <c r="I242" s="0" t="n">
        <v>0.4</v>
      </c>
      <c r="J242" s="0" t="n">
        <v>0.45</v>
      </c>
      <c r="K242" s="0" t="n">
        <v>0.45</v>
      </c>
      <c r="L242" s="0" t="n">
        <v>0.5</v>
      </c>
      <c r="M242" s="0" t="n">
        <v>0.45</v>
      </c>
      <c r="N242" s="0" t="n">
        <v>0.5</v>
      </c>
      <c r="O242" s="0" t="n">
        <v>0.6</v>
      </c>
      <c r="P242" s="0" t="n">
        <v>0.5</v>
      </c>
      <c r="Q242" s="0" t="n">
        <v>0.45</v>
      </c>
      <c r="R242" s="0" t="n">
        <v>0.4</v>
      </c>
      <c r="S242" s="0" t="n">
        <v>0.4</v>
      </c>
      <c r="T242" s="0" t="n">
        <v>0.45</v>
      </c>
    </row>
    <row r="243" customFormat="false" ht="12.75" hidden="false" customHeight="false" outlineLevel="0" collapsed="false">
      <c r="A243" s="317" t="n">
        <v>44348</v>
      </c>
      <c r="B243" s="141" t="n">
        <v>0.45</v>
      </c>
      <c r="C243" s="141" t="n">
        <v>0.5</v>
      </c>
      <c r="D243" s="0" t="n">
        <v>0.4</v>
      </c>
      <c r="E243" s="0" t="n">
        <v>0.5</v>
      </c>
      <c r="F243" s="0" t="n">
        <v>0.45</v>
      </c>
      <c r="G243" s="0" t="n">
        <v>0.5</v>
      </c>
      <c r="H243" s="0" t="n">
        <v>0.5</v>
      </c>
      <c r="I243" s="0" t="n">
        <v>0.5</v>
      </c>
      <c r="J243" s="0" t="n">
        <v>0.5</v>
      </c>
      <c r="K243" s="0" t="n">
        <v>0.45</v>
      </c>
      <c r="L243" s="0" t="n">
        <v>0.5</v>
      </c>
      <c r="M243" s="0" t="n">
        <v>0.45</v>
      </c>
      <c r="N243" s="0" t="n">
        <v>0.5</v>
      </c>
      <c r="O243" s="0" t="n">
        <v>0.6</v>
      </c>
      <c r="P243" s="0" t="n">
        <v>0.6</v>
      </c>
      <c r="Q243" s="0" t="n">
        <v>0.45</v>
      </c>
      <c r="R243" s="0" t="n">
        <v>0.4</v>
      </c>
      <c r="S243" s="0" t="n">
        <v>0.5</v>
      </c>
      <c r="T243" s="0" t="n">
        <v>0.45</v>
      </c>
    </row>
    <row r="244" customFormat="false" ht="12.75" hidden="false" customHeight="false" outlineLevel="0" collapsed="false">
      <c r="A244" s="317" t="n">
        <v>44378</v>
      </c>
      <c r="B244" s="141" t="n">
        <v>0.5</v>
      </c>
      <c r="C244" s="141" t="n">
        <v>0.5</v>
      </c>
      <c r="D244" s="0" t="n">
        <v>0.4</v>
      </c>
      <c r="E244" s="0" t="n">
        <v>0.5</v>
      </c>
      <c r="F244" s="0" t="n">
        <v>0.5</v>
      </c>
      <c r="G244" s="0" t="n">
        <v>0.5</v>
      </c>
      <c r="H244" s="0" t="n">
        <v>0.5</v>
      </c>
      <c r="I244" s="0" t="n">
        <v>0.5</v>
      </c>
      <c r="J244" s="0" t="n">
        <v>0.5</v>
      </c>
      <c r="K244" s="0" t="n">
        <v>0.5</v>
      </c>
      <c r="L244" s="0" t="n">
        <v>0.55</v>
      </c>
      <c r="M244" s="0" t="n">
        <v>0.5</v>
      </c>
      <c r="N244" s="0" t="n">
        <v>0.5</v>
      </c>
      <c r="O244" s="0" t="n">
        <v>0.65</v>
      </c>
      <c r="P244" s="0" t="n">
        <v>0.6</v>
      </c>
      <c r="Q244" s="0" t="n">
        <v>0.5</v>
      </c>
      <c r="R244" s="0" t="n">
        <v>0.4</v>
      </c>
      <c r="S244" s="0" t="n">
        <v>0.5</v>
      </c>
      <c r="T244" s="0" t="n">
        <v>0.5</v>
      </c>
    </row>
    <row r="245" customFormat="false" ht="12.75" hidden="false" customHeight="false" outlineLevel="0" collapsed="false">
      <c r="A245" s="317" t="n">
        <v>44409</v>
      </c>
      <c r="B245" s="141" t="n">
        <v>0.55</v>
      </c>
      <c r="C245" s="141" t="n">
        <v>0.55</v>
      </c>
      <c r="D245" s="0" t="n">
        <v>0.5</v>
      </c>
      <c r="E245" s="0" t="n">
        <v>0.6</v>
      </c>
      <c r="F245" s="0" t="n">
        <v>0.55</v>
      </c>
      <c r="G245" s="0" t="n">
        <v>0.6</v>
      </c>
      <c r="H245" s="0" t="n">
        <v>0.55</v>
      </c>
      <c r="I245" s="0" t="n">
        <v>0.6</v>
      </c>
      <c r="J245" s="0" t="n">
        <v>0.45</v>
      </c>
      <c r="K245" s="0" t="n">
        <v>0.55</v>
      </c>
      <c r="L245" s="0" t="n">
        <v>0.6</v>
      </c>
      <c r="M245" s="0" t="n">
        <v>0.55</v>
      </c>
      <c r="N245" s="0" t="n">
        <v>0.6</v>
      </c>
      <c r="O245" s="0" t="n">
        <v>0.7</v>
      </c>
      <c r="P245" s="0" t="n">
        <v>0.7</v>
      </c>
      <c r="Q245" s="0" t="n">
        <v>0.55</v>
      </c>
      <c r="R245" s="0" t="n">
        <v>0.5</v>
      </c>
      <c r="S245" s="0" t="n">
        <v>0.6</v>
      </c>
      <c r="T245" s="0" t="n">
        <v>0.55</v>
      </c>
    </row>
    <row r="246" customFormat="false" ht="12.75" hidden="false" customHeight="false" outlineLevel="0" collapsed="false">
      <c r="A246" s="317" t="n">
        <v>44440</v>
      </c>
      <c r="B246" s="141" t="n">
        <v>0.55</v>
      </c>
      <c r="C246" s="141" t="n">
        <v>0.55</v>
      </c>
      <c r="D246" s="0" t="n">
        <v>0.55</v>
      </c>
      <c r="E246" s="0" t="n">
        <v>0.55</v>
      </c>
      <c r="F246" s="0" t="n">
        <v>0.55</v>
      </c>
      <c r="G246" s="0" t="n">
        <v>0.6</v>
      </c>
      <c r="H246" s="0" t="n">
        <v>0.6</v>
      </c>
      <c r="I246" s="0" t="n">
        <v>0.55</v>
      </c>
      <c r="J246" s="0" t="n">
        <v>0.5</v>
      </c>
      <c r="K246" s="0" t="n">
        <v>0.55</v>
      </c>
      <c r="L246" s="0" t="n">
        <v>0.6</v>
      </c>
      <c r="M246" s="0" t="n">
        <v>0.55</v>
      </c>
      <c r="N246" s="0" t="n">
        <v>0.6</v>
      </c>
      <c r="O246" s="0" t="n">
        <v>0.7</v>
      </c>
      <c r="P246" s="0" t="n">
        <v>0.65</v>
      </c>
      <c r="Q246" s="0" t="n">
        <v>0.55</v>
      </c>
      <c r="R246" s="0" t="n">
        <v>0.55</v>
      </c>
      <c r="S246" s="0" t="n">
        <v>0.55</v>
      </c>
      <c r="T246" s="0" t="n">
        <v>0.55</v>
      </c>
    </row>
    <row r="247" customFormat="false" ht="12.75" hidden="false" customHeight="false" outlineLevel="0" collapsed="false">
      <c r="A247" s="317" t="n">
        <v>44470</v>
      </c>
      <c r="B247" s="141" t="n">
        <v>0.6</v>
      </c>
      <c r="C247" s="141" t="n">
        <v>0.6</v>
      </c>
      <c r="D247" s="0" t="n">
        <v>0.55</v>
      </c>
      <c r="E247" s="0" t="n">
        <v>0.6</v>
      </c>
      <c r="F247" s="0" t="n">
        <v>0.6</v>
      </c>
      <c r="G247" s="0" t="n">
        <v>0.65</v>
      </c>
      <c r="H247" s="0" t="n">
        <v>0.65</v>
      </c>
      <c r="I247" s="0" t="n">
        <v>0.6</v>
      </c>
      <c r="J247" s="0" t="n">
        <v>0.5</v>
      </c>
      <c r="K247" s="0" t="n">
        <v>0.6</v>
      </c>
      <c r="L247" s="0" t="n">
        <v>0.65</v>
      </c>
      <c r="M247" s="0" t="n">
        <v>0.6</v>
      </c>
      <c r="N247" s="0" t="n">
        <v>0.65</v>
      </c>
      <c r="O247" s="0" t="n">
        <v>0.75</v>
      </c>
      <c r="P247" s="0" t="n">
        <v>0.7</v>
      </c>
      <c r="Q247" s="0" t="n">
        <v>0.6</v>
      </c>
      <c r="R247" s="0" t="n">
        <v>0.55</v>
      </c>
      <c r="S247" s="0" t="n">
        <v>0.6</v>
      </c>
      <c r="T247" s="0" t="n">
        <v>0.6</v>
      </c>
    </row>
    <row r="248" customFormat="false" ht="12.75" hidden="false" customHeight="false" outlineLevel="0" collapsed="false">
      <c r="A248" s="317" t="n">
        <v>44501</v>
      </c>
      <c r="B248" s="141" t="n">
        <v>0.8</v>
      </c>
      <c r="C248" s="141" t="n">
        <v>0.85</v>
      </c>
      <c r="D248" s="0" t="n">
        <v>0.8</v>
      </c>
      <c r="E248" s="0" t="n">
        <v>0.8</v>
      </c>
      <c r="F248" s="0" t="n">
        <v>0.9</v>
      </c>
      <c r="G248" s="0" t="n">
        <v>0.95</v>
      </c>
      <c r="H248" s="0" t="n">
        <v>0.85</v>
      </c>
      <c r="I248" s="0" t="n">
        <v>0.8</v>
      </c>
      <c r="J248" s="0" t="n">
        <v>0.95</v>
      </c>
      <c r="K248" s="0" t="n">
        <v>0.8</v>
      </c>
      <c r="L248" s="0" t="n">
        <v>0.8</v>
      </c>
      <c r="M248" s="0" t="n">
        <v>0.8</v>
      </c>
      <c r="N248" s="0" t="n">
        <v>0.95</v>
      </c>
      <c r="O248" s="0" t="n">
        <v>0.95</v>
      </c>
      <c r="P248" s="0" t="n">
        <v>0.9</v>
      </c>
      <c r="Q248" s="0" t="n">
        <v>0.8</v>
      </c>
      <c r="R248" s="0" t="n">
        <v>0.8</v>
      </c>
      <c r="S248" s="0" t="n">
        <v>0.8</v>
      </c>
      <c r="T248" s="0" t="n">
        <v>0.8</v>
      </c>
    </row>
    <row r="249" customFormat="false" ht="12.75" hidden="false" customHeight="false" outlineLevel="0" collapsed="false">
      <c r="A249" s="317" t="n">
        <v>44531</v>
      </c>
      <c r="B249" s="141" t="n">
        <v>1</v>
      </c>
      <c r="C249" s="141" t="n">
        <v>1.05</v>
      </c>
      <c r="D249" s="0" t="n">
        <v>1</v>
      </c>
      <c r="E249" s="0" t="n">
        <v>1</v>
      </c>
      <c r="F249" s="0" t="n">
        <v>1.15</v>
      </c>
      <c r="G249" s="0" t="n">
        <v>1.25</v>
      </c>
      <c r="H249" s="0" t="n">
        <v>1.05</v>
      </c>
      <c r="I249" s="0" t="n">
        <v>1</v>
      </c>
      <c r="J249" s="0" t="n">
        <v>1.35</v>
      </c>
      <c r="K249" s="0" t="n">
        <v>1</v>
      </c>
      <c r="L249" s="0" t="n">
        <v>1.1</v>
      </c>
      <c r="M249" s="0" t="n">
        <v>1</v>
      </c>
      <c r="N249" s="0" t="n">
        <v>1.25</v>
      </c>
      <c r="O249" s="0" t="n">
        <v>1.15</v>
      </c>
      <c r="P249" s="0" t="n">
        <v>1.1</v>
      </c>
      <c r="Q249" s="0" t="n">
        <v>1</v>
      </c>
      <c r="R249" s="0" t="n">
        <v>1</v>
      </c>
      <c r="S249" s="0" t="n">
        <v>1</v>
      </c>
      <c r="T249" s="0" t="n">
        <v>1</v>
      </c>
    </row>
    <row r="250" customFormat="false" ht="12.75" hidden="false" customHeight="false" outlineLevel="0" collapsed="false">
      <c r="A250" s="317" t="n">
        <v>44562</v>
      </c>
      <c r="B250" s="141" t="n">
        <v>0</v>
      </c>
      <c r="C250" s="141" t="n">
        <v>1.05</v>
      </c>
      <c r="D250" s="0" t="n">
        <v>1</v>
      </c>
      <c r="E250" s="0" t="n">
        <v>1</v>
      </c>
      <c r="F250" s="0" t="n">
        <v>1.15</v>
      </c>
      <c r="G250" s="0" t="n">
        <v>1.45</v>
      </c>
      <c r="H250" s="0" t="n">
        <v>1.05</v>
      </c>
      <c r="I250" s="0" t="n">
        <v>1</v>
      </c>
      <c r="J250" s="0" t="n">
        <v>1.35</v>
      </c>
      <c r="K250" s="0" t="n">
        <v>0</v>
      </c>
      <c r="L250" s="0" t="n">
        <v>1.1</v>
      </c>
      <c r="M250" s="0" t="n">
        <v>1</v>
      </c>
      <c r="N250" s="0" t="n">
        <v>1.45</v>
      </c>
      <c r="O250" s="0" t="n">
        <v>0.15</v>
      </c>
      <c r="P250" s="0" t="n">
        <v>1.1</v>
      </c>
      <c r="Q250" s="0" t="n">
        <v>0</v>
      </c>
      <c r="R250" s="0" t="n">
        <v>1</v>
      </c>
      <c r="S250" s="0" t="n">
        <v>1</v>
      </c>
      <c r="T250" s="0" t="n">
        <v>0</v>
      </c>
    </row>
    <row r="251" customFormat="false" ht="12.75" hidden="false" customHeight="false" outlineLevel="0" collapsed="false">
      <c r="A251" s="317" t="n">
        <v>44593</v>
      </c>
      <c r="B251" s="141" t="n">
        <v>0</v>
      </c>
      <c r="C251" s="141" t="n">
        <v>1.05</v>
      </c>
      <c r="D251" s="0" t="n">
        <v>1</v>
      </c>
      <c r="E251" s="0" t="n">
        <v>1</v>
      </c>
      <c r="F251" s="0" t="n">
        <v>1.15</v>
      </c>
      <c r="G251" s="0" t="n">
        <v>1.45</v>
      </c>
      <c r="H251" s="0" t="n">
        <v>1.05</v>
      </c>
      <c r="I251" s="0" t="n">
        <v>1</v>
      </c>
      <c r="J251" s="0" t="n">
        <v>1.35</v>
      </c>
      <c r="K251" s="0" t="n">
        <v>0</v>
      </c>
      <c r="L251" s="0" t="n">
        <v>1.1</v>
      </c>
      <c r="M251" s="0" t="n">
        <v>1</v>
      </c>
      <c r="N251" s="0" t="n">
        <v>1.45</v>
      </c>
      <c r="O251" s="0" t="n">
        <v>0.15</v>
      </c>
      <c r="P251" s="0" t="n">
        <v>1.1</v>
      </c>
      <c r="Q251" s="0" t="n">
        <v>0</v>
      </c>
      <c r="R251" s="0" t="n">
        <v>1</v>
      </c>
      <c r="S251" s="0" t="n">
        <v>1</v>
      </c>
      <c r="T251" s="0" t="n">
        <v>0</v>
      </c>
    </row>
    <row r="252" customFormat="false" ht="12.75" hidden="false" customHeight="false" outlineLevel="0" collapsed="false">
      <c r="A252" s="317" t="n">
        <v>44621</v>
      </c>
      <c r="B252" s="141" t="n">
        <v>0</v>
      </c>
      <c r="C252" s="141" t="n">
        <v>0.8</v>
      </c>
      <c r="D252" s="0" t="n">
        <v>0.75</v>
      </c>
      <c r="E252" s="0" t="n">
        <v>0.75</v>
      </c>
      <c r="F252" s="0" t="n">
        <v>0.85</v>
      </c>
      <c r="G252" s="0" t="n">
        <v>1</v>
      </c>
      <c r="H252" s="0" t="n">
        <v>0.75</v>
      </c>
      <c r="I252" s="0" t="n">
        <v>0.75</v>
      </c>
      <c r="J252" s="0" t="n">
        <v>0.95</v>
      </c>
      <c r="K252" s="0" t="n">
        <v>0</v>
      </c>
      <c r="L252" s="0" t="n">
        <v>0.75</v>
      </c>
      <c r="M252" s="0" t="n">
        <v>0.75</v>
      </c>
      <c r="N252" s="0" t="n">
        <v>1</v>
      </c>
      <c r="O252" s="0" t="n">
        <v>0.15</v>
      </c>
      <c r="P252" s="0" t="n">
        <v>0.85</v>
      </c>
      <c r="Q252" s="0" t="n">
        <v>0</v>
      </c>
      <c r="R252" s="0" t="n">
        <v>0.75</v>
      </c>
      <c r="S252" s="0" t="n">
        <v>0.75</v>
      </c>
      <c r="T252" s="0" t="n">
        <v>0</v>
      </c>
    </row>
    <row r="253" customFormat="false" ht="12.75" hidden="false" customHeight="false" outlineLevel="0" collapsed="false">
      <c r="A253" s="317" t="n">
        <v>44652</v>
      </c>
      <c r="B253" s="141" t="n">
        <v>0</v>
      </c>
      <c r="C253" s="141" t="n">
        <v>0.45</v>
      </c>
      <c r="D253" s="0" t="n">
        <v>0.4</v>
      </c>
      <c r="E253" s="0" t="n">
        <v>0.45</v>
      </c>
      <c r="F253" s="0" t="n">
        <v>0.45</v>
      </c>
      <c r="G253" s="0" t="n">
        <v>0.45</v>
      </c>
      <c r="H253" s="0" t="n">
        <v>0.45</v>
      </c>
      <c r="I253" s="0" t="n">
        <v>0.45</v>
      </c>
      <c r="J253" s="0" t="n">
        <v>0.5</v>
      </c>
      <c r="K253" s="0" t="n">
        <v>0</v>
      </c>
      <c r="L253" s="0" t="n">
        <v>0.45</v>
      </c>
      <c r="M253" s="0" t="n">
        <v>0.4</v>
      </c>
      <c r="N253" s="0" t="n">
        <v>0.45</v>
      </c>
      <c r="O253" s="0" t="n">
        <v>0.15</v>
      </c>
      <c r="P253" s="0" t="n">
        <v>0.55</v>
      </c>
      <c r="Q253" s="0" t="n">
        <v>0</v>
      </c>
      <c r="R253" s="0" t="n">
        <v>0.4</v>
      </c>
      <c r="S253" s="0" t="n">
        <v>0.45</v>
      </c>
      <c r="T253" s="0" t="n">
        <v>0</v>
      </c>
    </row>
    <row r="254" customFormat="false" ht="12.75" hidden="false" customHeight="false" outlineLevel="0" collapsed="false">
      <c r="A254" s="317" t="n">
        <v>44682</v>
      </c>
      <c r="B254" s="141" t="n">
        <v>0</v>
      </c>
      <c r="C254" s="141" t="n">
        <v>0.5</v>
      </c>
      <c r="D254" s="0" t="n">
        <v>0.4</v>
      </c>
      <c r="E254" s="0" t="n">
        <v>0.4</v>
      </c>
      <c r="F254" s="0" t="n">
        <v>0.45</v>
      </c>
      <c r="G254" s="0" t="n">
        <v>0.5</v>
      </c>
      <c r="H254" s="0" t="n">
        <v>0.45</v>
      </c>
      <c r="I254" s="0" t="n">
        <v>0.4</v>
      </c>
      <c r="J254" s="0" t="n">
        <v>0.45</v>
      </c>
      <c r="K254" s="0" t="n">
        <v>0</v>
      </c>
      <c r="L254" s="0" t="n">
        <v>0.5</v>
      </c>
      <c r="M254" s="0" t="n">
        <v>0.45</v>
      </c>
      <c r="N254" s="0" t="n">
        <v>0.5</v>
      </c>
      <c r="O254" s="0" t="n">
        <v>0.15</v>
      </c>
      <c r="P254" s="0" t="n">
        <v>0.5</v>
      </c>
      <c r="Q254" s="0" t="n">
        <v>0</v>
      </c>
      <c r="R254" s="0" t="n">
        <v>0.4</v>
      </c>
      <c r="S254" s="0" t="n">
        <v>0.4</v>
      </c>
      <c r="T254" s="0" t="n">
        <v>0</v>
      </c>
    </row>
    <row r="255" customFormat="false" ht="12.75" hidden="false" customHeight="false" outlineLevel="0" collapsed="false">
      <c r="A255" s="317" t="n">
        <v>44713</v>
      </c>
      <c r="B255" s="141" t="n">
        <v>0</v>
      </c>
      <c r="C255" s="141" t="n">
        <v>0.5</v>
      </c>
      <c r="D255" s="0" t="n">
        <v>0.4</v>
      </c>
      <c r="E255" s="0" t="n">
        <v>0.5</v>
      </c>
      <c r="F255" s="0" t="n">
        <v>0.45</v>
      </c>
      <c r="G255" s="0" t="n">
        <v>0.5</v>
      </c>
      <c r="H255" s="0" t="n">
        <v>0.5</v>
      </c>
      <c r="I255" s="0" t="n">
        <v>0.5</v>
      </c>
      <c r="J255" s="0" t="n">
        <v>0.5</v>
      </c>
      <c r="K255" s="0" t="n">
        <v>0</v>
      </c>
      <c r="L255" s="0" t="n">
        <v>0.5</v>
      </c>
      <c r="M255" s="0" t="n">
        <v>0.45</v>
      </c>
      <c r="N255" s="0" t="n">
        <v>0.5</v>
      </c>
      <c r="O255" s="0" t="n">
        <v>0.15</v>
      </c>
      <c r="P255" s="0" t="n">
        <v>0.6</v>
      </c>
      <c r="Q255" s="0" t="n">
        <v>0</v>
      </c>
      <c r="R255" s="0" t="n">
        <v>0.4</v>
      </c>
      <c r="S255" s="0" t="n">
        <v>0.5</v>
      </c>
      <c r="T255" s="0" t="n">
        <v>0</v>
      </c>
    </row>
    <row r="256" customFormat="false" ht="12.75" hidden="false" customHeight="false" outlineLevel="0" collapsed="false">
      <c r="A256" s="317" t="n">
        <v>44743</v>
      </c>
      <c r="B256" s="141" t="n">
        <v>0</v>
      </c>
      <c r="C256" s="141" t="n">
        <v>0.5</v>
      </c>
      <c r="D256" s="0" t="n">
        <v>0.4</v>
      </c>
      <c r="E256" s="0" t="n">
        <v>0.5</v>
      </c>
      <c r="F256" s="0" t="n">
        <v>0.5</v>
      </c>
      <c r="G256" s="0" t="n">
        <v>0.5</v>
      </c>
      <c r="H256" s="0" t="n">
        <v>0.5</v>
      </c>
      <c r="I256" s="0" t="n">
        <v>0.5</v>
      </c>
      <c r="J256" s="0" t="n">
        <v>0.5</v>
      </c>
      <c r="K256" s="0" t="n">
        <v>0</v>
      </c>
      <c r="L256" s="0" t="n">
        <v>0.55</v>
      </c>
      <c r="M256" s="0" t="n">
        <v>0.5</v>
      </c>
      <c r="N256" s="0" t="n">
        <v>0.5</v>
      </c>
      <c r="O256" s="0" t="n">
        <v>0.15</v>
      </c>
      <c r="P256" s="0" t="n">
        <v>0.6</v>
      </c>
      <c r="Q256" s="0" t="n">
        <v>0</v>
      </c>
      <c r="R256" s="0" t="n">
        <v>0.4</v>
      </c>
      <c r="S256" s="0" t="n">
        <v>0.5</v>
      </c>
      <c r="T256" s="0" t="n">
        <v>0</v>
      </c>
    </row>
    <row r="257" customFormat="false" ht="12.75" hidden="false" customHeight="false" outlineLevel="0" collapsed="false">
      <c r="A257" s="317" t="n">
        <v>44774</v>
      </c>
      <c r="B257" s="141" t="n">
        <v>0</v>
      </c>
      <c r="C257" s="141" t="n">
        <v>0.55</v>
      </c>
      <c r="D257" s="0" t="n">
        <v>0.5</v>
      </c>
      <c r="E257" s="0" t="n">
        <v>0.6</v>
      </c>
      <c r="F257" s="0" t="n">
        <v>0.55</v>
      </c>
      <c r="G257" s="0" t="n">
        <v>0.6</v>
      </c>
      <c r="H257" s="0" t="n">
        <v>0.55</v>
      </c>
      <c r="I257" s="0" t="n">
        <v>0.6</v>
      </c>
      <c r="J257" s="0" t="n">
        <v>0.45</v>
      </c>
      <c r="K257" s="0" t="n">
        <v>0</v>
      </c>
      <c r="L257" s="0" t="n">
        <v>0.6</v>
      </c>
      <c r="M257" s="0" t="n">
        <v>0.55</v>
      </c>
      <c r="N257" s="0" t="n">
        <v>0.6</v>
      </c>
      <c r="O257" s="0" t="n">
        <v>0.15</v>
      </c>
      <c r="P257" s="0" t="n">
        <v>0.7</v>
      </c>
      <c r="Q257" s="0" t="n">
        <v>0</v>
      </c>
      <c r="R257" s="0" t="n">
        <v>0.5</v>
      </c>
      <c r="S257" s="0" t="n">
        <v>0.6</v>
      </c>
      <c r="T257" s="0" t="n">
        <v>0</v>
      </c>
    </row>
    <row r="258" customFormat="false" ht="12.75" hidden="false" customHeight="false" outlineLevel="0" collapsed="false">
      <c r="A258" s="317" t="n">
        <v>44805</v>
      </c>
      <c r="B258" s="141" t="n">
        <v>0</v>
      </c>
      <c r="C258" s="141" t="n">
        <v>0.55</v>
      </c>
      <c r="D258" s="0" t="n">
        <v>0.55</v>
      </c>
      <c r="E258" s="0" t="n">
        <v>0.55</v>
      </c>
      <c r="F258" s="0" t="n">
        <v>0.55</v>
      </c>
      <c r="G258" s="0" t="n">
        <v>0.6</v>
      </c>
      <c r="H258" s="0" t="n">
        <v>0.6</v>
      </c>
      <c r="I258" s="0" t="n">
        <v>0.55</v>
      </c>
      <c r="J258" s="0" t="n">
        <v>0.5</v>
      </c>
      <c r="K258" s="0" t="n">
        <v>0</v>
      </c>
      <c r="L258" s="0" t="n">
        <v>0.6</v>
      </c>
      <c r="M258" s="0" t="n">
        <v>0.55</v>
      </c>
      <c r="N258" s="0" t="n">
        <v>0.6</v>
      </c>
      <c r="O258" s="0" t="n">
        <v>0.15</v>
      </c>
      <c r="P258" s="0" t="n">
        <v>0.65</v>
      </c>
      <c r="Q258" s="0" t="n">
        <v>0</v>
      </c>
      <c r="R258" s="0" t="n">
        <v>0.55</v>
      </c>
      <c r="S258" s="0" t="n">
        <v>0.55</v>
      </c>
      <c r="T258" s="0" t="n">
        <v>0</v>
      </c>
    </row>
    <row r="259" customFormat="false" ht="12.75" hidden="false" customHeight="false" outlineLevel="0" collapsed="false">
      <c r="A259" s="317" t="n">
        <v>44835</v>
      </c>
      <c r="B259" s="141" t="n">
        <v>0</v>
      </c>
      <c r="C259" s="141" t="n">
        <v>0.6</v>
      </c>
      <c r="D259" s="0" t="n">
        <v>0.55</v>
      </c>
      <c r="E259" s="0" t="n">
        <v>0.6</v>
      </c>
      <c r="F259" s="0" t="n">
        <v>0.6</v>
      </c>
      <c r="G259" s="0" t="n">
        <v>0.65</v>
      </c>
      <c r="H259" s="0" t="n">
        <v>0.65</v>
      </c>
      <c r="I259" s="0" t="n">
        <v>0.6</v>
      </c>
      <c r="J259" s="0" t="n">
        <v>0.5</v>
      </c>
      <c r="K259" s="0" t="n">
        <v>0</v>
      </c>
      <c r="L259" s="0" t="n">
        <v>0.65</v>
      </c>
      <c r="M259" s="0" t="n">
        <v>0.6</v>
      </c>
      <c r="N259" s="0" t="n">
        <v>0.65</v>
      </c>
      <c r="O259" s="0" t="n">
        <v>0.15</v>
      </c>
      <c r="P259" s="0" t="n">
        <v>0.7</v>
      </c>
      <c r="Q259" s="0" t="n">
        <v>0</v>
      </c>
      <c r="R259" s="0" t="n">
        <v>0.55</v>
      </c>
      <c r="S259" s="0" t="n">
        <v>0.6</v>
      </c>
      <c r="T259" s="0" t="n">
        <v>0</v>
      </c>
    </row>
    <row r="260" customFormat="false" ht="12.75" hidden="false" customHeight="false" outlineLevel="0" collapsed="false">
      <c r="A260" s="317" t="n">
        <v>44866</v>
      </c>
      <c r="B260" s="141" t="n">
        <v>0</v>
      </c>
      <c r="C260" s="141" t="n">
        <v>0.85</v>
      </c>
      <c r="D260" s="0" t="n">
        <v>0.8</v>
      </c>
      <c r="E260" s="0" t="n">
        <v>0.8</v>
      </c>
      <c r="F260" s="0" t="n">
        <v>0.9</v>
      </c>
      <c r="G260" s="0" t="n">
        <v>0.95</v>
      </c>
      <c r="H260" s="0" t="n">
        <v>0.85</v>
      </c>
      <c r="I260" s="0" t="n">
        <v>0.8</v>
      </c>
      <c r="J260" s="0" t="n">
        <v>0.95</v>
      </c>
      <c r="K260" s="0" t="n">
        <v>0</v>
      </c>
      <c r="L260" s="0" t="n">
        <v>0.8</v>
      </c>
      <c r="M260" s="0" t="n">
        <v>0.8</v>
      </c>
      <c r="N260" s="0" t="n">
        <v>0.95</v>
      </c>
      <c r="O260" s="0" t="n">
        <v>0.15</v>
      </c>
      <c r="P260" s="0" t="n">
        <v>0.9</v>
      </c>
      <c r="Q260" s="0" t="n">
        <v>0</v>
      </c>
      <c r="R260" s="0" t="n">
        <v>0.8</v>
      </c>
      <c r="S260" s="0" t="n">
        <v>0.8</v>
      </c>
      <c r="T260" s="0" t="n">
        <v>0</v>
      </c>
    </row>
    <row r="261" customFormat="false" ht="12.75" hidden="false" customHeight="false" outlineLevel="0" collapsed="false">
      <c r="A261" s="317" t="n">
        <v>44896</v>
      </c>
      <c r="B261" s="141" t="n">
        <v>0</v>
      </c>
      <c r="C261" s="141" t="n">
        <v>1.05</v>
      </c>
      <c r="D261" s="0" t="n">
        <v>1</v>
      </c>
      <c r="E261" s="0" t="n">
        <v>1</v>
      </c>
      <c r="F261" s="0" t="n">
        <v>1.15</v>
      </c>
      <c r="G261" s="0" t="n">
        <v>1.25</v>
      </c>
      <c r="H261" s="0" t="n">
        <v>1.05</v>
      </c>
      <c r="I261" s="0" t="n">
        <v>1</v>
      </c>
      <c r="J261" s="0" t="n">
        <v>1.35</v>
      </c>
      <c r="K261" s="0" t="n">
        <v>0</v>
      </c>
      <c r="L261" s="0" t="n">
        <v>1.1</v>
      </c>
      <c r="M261" s="0" t="n">
        <v>1</v>
      </c>
      <c r="N261" s="0" t="n">
        <v>1.25</v>
      </c>
      <c r="O261" s="0" t="n">
        <v>0.15</v>
      </c>
      <c r="P261" s="0" t="n">
        <v>1.1</v>
      </c>
      <c r="Q261" s="0" t="n">
        <v>0</v>
      </c>
      <c r="R261" s="0" t="n">
        <v>1</v>
      </c>
      <c r="S261" s="0" t="n">
        <v>1</v>
      </c>
      <c r="T261" s="0" t="n">
        <v>0</v>
      </c>
    </row>
    <row r="262" customFormat="false" ht="12.75" hidden="false" customHeight="false" outlineLevel="0" collapsed="false">
      <c r="A262" s="317" t="n">
        <v>44927</v>
      </c>
      <c r="B262" s="141" t="n">
        <v>0</v>
      </c>
      <c r="C262" s="141" t="n">
        <v>1.05</v>
      </c>
      <c r="D262" s="0" t="n">
        <v>1</v>
      </c>
      <c r="E262" s="0" t="n">
        <v>1</v>
      </c>
      <c r="F262" s="0" t="n">
        <v>1.15</v>
      </c>
      <c r="G262" s="0" t="n">
        <v>1.45</v>
      </c>
      <c r="H262" s="0" t="n">
        <v>1.05</v>
      </c>
      <c r="I262" s="0" t="n">
        <v>1</v>
      </c>
      <c r="J262" s="0" t="n">
        <v>1.35</v>
      </c>
      <c r="K262" s="0" t="n">
        <v>0</v>
      </c>
      <c r="L262" s="0" t="n">
        <v>1.1</v>
      </c>
      <c r="M262" s="0" t="n">
        <v>1</v>
      </c>
      <c r="N262" s="0" t="n">
        <v>1.45</v>
      </c>
      <c r="O262" s="0" t="n">
        <v>0.15</v>
      </c>
      <c r="P262" s="0" t="n">
        <v>1.1</v>
      </c>
      <c r="Q262" s="0" t="n">
        <v>0</v>
      </c>
      <c r="R262" s="0" t="n">
        <v>1</v>
      </c>
      <c r="S262" s="0" t="n">
        <v>1</v>
      </c>
      <c r="T262" s="0" t="n">
        <v>0</v>
      </c>
    </row>
    <row r="263" customFormat="false" ht="12.75" hidden="false" customHeight="false" outlineLevel="0" collapsed="false">
      <c r="A263" s="317" t="n">
        <v>44958</v>
      </c>
      <c r="B263" s="141" t="n">
        <v>0</v>
      </c>
      <c r="C263" s="141" t="n">
        <v>1.05</v>
      </c>
      <c r="D263" s="0" t="n">
        <v>1</v>
      </c>
      <c r="E263" s="0" t="n">
        <v>1</v>
      </c>
      <c r="F263" s="0" t="n">
        <v>1.15</v>
      </c>
      <c r="G263" s="0" t="n">
        <v>1.45</v>
      </c>
      <c r="H263" s="0" t="n">
        <v>1.05</v>
      </c>
      <c r="I263" s="0" t="n">
        <v>1</v>
      </c>
      <c r="J263" s="0" t="n">
        <v>1.35</v>
      </c>
      <c r="K263" s="0" t="n">
        <v>0</v>
      </c>
      <c r="L263" s="0" t="n">
        <v>1.1</v>
      </c>
      <c r="M263" s="0" t="n">
        <v>1</v>
      </c>
      <c r="N263" s="0" t="n">
        <v>1.45</v>
      </c>
      <c r="O263" s="0" t="n">
        <v>0.15</v>
      </c>
      <c r="P263" s="0" t="n">
        <v>1.1</v>
      </c>
      <c r="Q263" s="0" t="n">
        <v>0</v>
      </c>
      <c r="R263" s="0" t="n">
        <v>1</v>
      </c>
      <c r="S263" s="0" t="n">
        <v>1</v>
      </c>
      <c r="T263" s="0" t="n">
        <v>0</v>
      </c>
    </row>
    <row r="264" customFormat="false" ht="12.75" hidden="false" customHeight="false" outlineLevel="0" collapsed="false">
      <c r="A264" s="317" t="n">
        <v>44986</v>
      </c>
      <c r="B264" s="141" t="n">
        <v>0</v>
      </c>
      <c r="C264" s="141" t="n">
        <v>0.8</v>
      </c>
      <c r="D264" s="0" t="n">
        <v>0.75</v>
      </c>
      <c r="E264" s="0" t="n">
        <v>0.75</v>
      </c>
      <c r="F264" s="0" t="n">
        <v>0.85</v>
      </c>
      <c r="G264" s="0" t="n">
        <v>1</v>
      </c>
      <c r="H264" s="0" t="n">
        <v>0.75</v>
      </c>
      <c r="I264" s="0" t="n">
        <v>0.75</v>
      </c>
      <c r="J264" s="0" t="n">
        <v>0.95</v>
      </c>
      <c r="K264" s="0" t="n">
        <v>0</v>
      </c>
      <c r="L264" s="0" t="n">
        <v>0.75</v>
      </c>
      <c r="M264" s="0" t="n">
        <v>0.75</v>
      </c>
      <c r="N264" s="0" t="n">
        <v>1</v>
      </c>
      <c r="O264" s="0" t="n">
        <v>0.15</v>
      </c>
      <c r="P264" s="0" t="n">
        <v>0.85</v>
      </c>
      <c r="Q264" s="0" t="n">
        <v>0</v>
      </c>
      <c r="R264" s="0" t="n">
        <v>0.75</v>
      </c>
      <c r="S264" s="0" t="n">
        <v>0.75</v>
      </c>
      <c r="T264" s="0" t="n">
        <v>0</v>
      </c>
    </row>
    <row r="265" customFormat="false" ht="12.75" hidden="false" customHeight="false" outlineLevel="0" collapsed="false">
      <c r="A265" s="317" t="n">
        <v>45017</v>
      </c>
      <c r="B265" s="141" t="n">
        <v>0</v>
      </c>
      <c r="C265" s="141" t="n">
        <v>0.45</v>
      </c>
      <c r="D265" s="0" t="n">
        <v>0.4</v>
      </c>
      <c r="E265" s="0" t="n">
        <v>0.45</v>
      </c>
      <c r="F265" s="0" t="n">
        <v>0.45</v>
      </c>
      <c r="G265" s="0" t="n">
        <v>0.45</v>
      </c>
      <c r="H265" s="0" t="n">
        <v>0.45</v>
      </c>
      <c r="I265" s="0" t="n">
        <v>0.45</v>
      </c>
      <c r="J265" s="0" t="n">
        <v>0.5</v>
      </c>
      <c r="K265" s="0" t="n">
        <v>0</v>
      </c>
      <c r="L265" s="0" t="n">
        <v>0.45</v>
      </c>
      <c r="M265" s="0" t="n">
        <v>0.4</v>
      </c>
      <c r="N265" s="0" t="n">
        <v>0.45</v>
      </c>
      <c r="O265" s="0" t="n">
        <v>0.15</v>
      </c>
      <c r="P265" s="0" t="n">
        <v>0.55</v>
      </c>
      <c r="Q265" s="0" t="n">
        <v>0</v>
      </c>
      <c r="R265" s="0" t="n">
        <v>0.4</v>
      </c>
      <c r="S265" s="0" t="n">
        <v>0.45</v>
      </c>
      <c r="T265" s="0" t="n">
        <v>0</v>
      </c>
    </row>
    <row r="266" customFormat="false" ht="12.75" hidden="false" customHeight="false" outlineLevel="0" collapsed="false">
      <c r="A266" s="317" t="n">
        <v>45047</v>
      </c>
      <c r="B266" s="141" t="n">
        <v>0</v>
      </c>
      <c r="C266" s="141" t="n">
        <v>0.5</v>
      </c>
      <c r="D266" s="0" t="n">
        <v>0.4</v>
      </c>
      <c r="E266" s="0" t="n">
        <v>0.4</v>
      </c>
      <c r="F266" s="0" t="n">
        <v>0.45</v>
      </c>
      <c r="G266" s="0" t="n">
        <v>0.5</v>
      </c>
      <c r="H266" s="0" t="n">
        <v>0.45</v>
      </c>
      <c r="I266" s="0" t="n">
        <v>0.4</v>
      </c>
      <c r="J266" s="0" t="n">
        <v>0.45</v>
      </c>
      <c r="K266" s="0" t="n">
        <v>0</v>
      </c>
      <c r="L266" s="0" t="n">
        <v>0.5</v>
      </c>
      <c r="M266" s="0" t="n">
        <v>0.45</v>
      </c>
      <c r="N266" s="0" t="n">
        <v>0.5</v>
      </c>
      <c r="O266" s="0" t="n">
        <v>0.15</v>
      </c>
      <c r="P266" s="0" t="n">
        <v>0.5</v>
      </c>
      <c r="Q266" s="0" t="n">
        <v>0</v>
      </c>
      <c r="R266" s="0" t="n">
        <v>0.4</v>
      </c>
      <c r="S266" s="0" t="n">
        <v>0.4</v>
      </c>
      <c r="T266" s="0" t="n">
        <v>0</v>
      </c>
    </row>
    <row r="267" customFormat="false" ht="12.75" hidden="false" customHeight="false" outlineLevel="0" collapsed="false">
      <c r="A267" s="317" t="n">
        <v>45078</v>
      </c>
      <c r="B267" s="141" t="n">
        <v>0</v>
      </c>
      <c r="C267" s="141" t="n">
        <v>0.5</v>
      </c>
      <c r="D267" s="0" t="n">
        <v>0.4</v>
      </c>
      <c r="E267" s="0" t="n">
        <v>0.5</v>
      </c>
      <c r="F267" s="0" t="n">
        <v>0.45</v>
      </c>
      <c r="G267" s="0" t="n">
        <v>0.5</v>
      </c>
      <c r="H267" s="0" t="n">
        <v>0.5</v>
      </c>
      <c r="I267" s="0" t="n">
        <v>0.5</v>
      </c>
      <c r="J267" s="0" t="n">
        <v>0.5</v>
      </c>
      <c r="K267" s="0" t="n">
        <v>0</v>
      </c>
      <c r="L267" s="0" t="n">
        <v>0.5</v>
      </c>
      <c r="M267" s="0" t="n">
        <v>0.45</v>
      </c>
      <c r="N267" s="0" t="n">
        <v>0.5</v>
      </c>
      <c r="O267" s="0" t="n">
        <v>0.15</v>
      </c>
      <c r="P267" s="0" t="n">
        <v>0.6</v>
      </c>
      <c r="Q267" s="0" t="n">
        <v>0</v>
      </c>
      <c r="R267" s="0" t="n">
        <v>0.4</v>
      </c>
      <c r="S267" s="0" t="n">
        <v>0.5</v>
      </c>
      <c r="T267" s="0" t="n">
        <v>0</v>
      </c>
    </row>
    <row r="268" customFormat="false" ht="12.75" hidden="false" customHeight="false" outlineLevel="0" collapsed="false">
      <c r="A268" s="317" t="n">
        <v>45108</v>
      </c>
      <c r="B268" s="141" t="n">
        <v>0</v>
      </c>
      <c r="C268" s="141" t="n">
        <v>0.5</v>
      </c>
      <c r="D268" s="0" t="n">
        <v>0.4</v>
      </c>
      <c r="E268" s="0" t="n">
        <v>0.5</v>
      </c>
      <c r="F268" s="0" t="n">
        <v>0.5</v>
      </c>
      <c r="G268" s="0" t="n">
        <v>0.5</v>
      </c>
      <c r="H268" s="0" t="n">
        <v>0.5</v>
      </c>
      <c r="I268" s="0" t="n">
        <v>0.5</v>
      </c>
      <c r="J268" s="0" t="n">
        <v>0.5</v>
      </c>
      <c r="K268" s="0" t="n">
        <v>0</v>
      </c>
      <c r="L268" s="0" t="n">
        <v>0.55</v>
      </c>
      <c r="M268" s="0" t="n">
        <v>0.5</v>
      </c>
      <c r="N268" s="0" t="n">
        <v>0.5</v>
      </c>
      <c r="O268" s="0" t="n">
        <v>0.15</v>
      </c>
      <c r="P268" s="0" t="n">
        <v>0.6</v>
      </c>
      <c r="Q268" s="0" t="n">
        <v>0</v>
      </c>
      <c r="R268" s="0" t="n">
        <v>0.4</v>
      </c>
      <c r="S268" s="0" t="n">
        <v>0.5</v>
      </c>
      <c r="T268" s="0" t="n">
        <v>0</v>
      </c>
    </row>
    <row r="269" customFormat="false" ht="12.75" hidden="false" customHeight="false" outlineLevel="0" collapsed="false">
      <c r="A269" s="317" t="n">
        <v>45139</v>
      </c>
      <c r="B269" s="141" t="n">
        <v>0</v>
      </c>
      <c r="C269" s="141" t="n">
        <v>0.55</v>
      </c>
      <c r="D269" s="0" t="n">
        <v>0.5</v>
      </c>
      <c r="E269" s="0" t="n">
        <v>0.6</v>
      </c>
      <c r="F269" s="0" t="n">
        <v>0.55</v>
      </c>
      <c r="G269" s="0" t="n">
        <v>0.6</v>
      </c>
      <c r="H269" s="0" t="n">
        <v>0.55</v>
      </c>
      <c r="I269" s="0" t="n">
        <v>0.6</v>
      </c>
      <c r="J269" s="0" t="n">
        <v>0.45</v>
      </c>
      <c r="K269" s="0" t="n">
        <v>0</v>
      </c>
      <c r="L269" s="0" t="n">
        <v>0.6</v>
      </c>
      <c r="M269" s="0" t="n">
        <v>0.55</v>
      </c>
      <c r="N269" s="0" t="n">
        <v>0.6</v>
      </c>
      <c r="O269" s="0" t="n">
        <v>0.15</v>
      </c>
      <c r="P269" s="0" t="n">
        <v>0.7</v>
      </c>
      <c r="Q269" s="0" t="n">
        <v>0</v>
      </c>
      <c r="R269" s="0" t="n">
        <v>0.5</v>
      </c>
      <c r="S269" s="0" t="n">
        <v>0.6</v>
      </c>
      <c r="T269" s="0" t="n">
        <v>0</v>
      </c>
    </row>
    <row r="270" customFormat="false" ht="12.75" hidden="false" customHeight="false" outlineLevel="0" collapsed="false">
      <c r="A270" s="317" t="n">
        <v>45170</v>
      </c>
      <c r="B270" s="141" t="n">
        <v>0</v>
      </c>
      <c r="C270" s="141" t="n">
        <v>0.55</v>
      </c>
      <c r="D270" s="0" t="n">
        <v>0.55</v>
      </c>
      <c r="E270" s="0" t="n">
        <v>0.55</v>
      </c>
      <c r="F270" s="0" t="n">
        <v>0.55</v>
      </c>
      <c r="G270" s="0" t="n">
        <v>0.6</v>
      </c>
      <c r="H270" s="0" t="n">
        <v>0.6</v>
      </c>
      <c r="I270" s="0" t="n">
        <v>0.55</v>
      </c>
      <c r="J270" s="0" t="n">
        <v>0.5</v>
      </c>
      <c r="K270" s="0" t="n">
        <v>0</v>
      </c>
      <c r="L270" s="0" t="n">
        <v>0.6</v>
      </c>
      <c r="M270" s="0" t="n">
        <v>0.55</v>
      </c>
      <c r="N270" s="0" t="n">
        <v>0.6</v>
      </c>
      <c r="O270" s="0" t="n">
        <v>0.15</v>
      </c>
      <c r="P270" s="0" t="n">
        <v>0.65</v>
      </c>
      <c r="Q270" s="0" t="n">
        <v>0</v>
      </c>
      <c r="R270" s="0" t="n">
        <v>0.55</v>
      </c>
      <c r="S270" s="0" t="n">
        <v>0.55</v>
      </c>
      <c r="T270" s="0" t="n">
        <v>0</v>
      </c>
    </row>
    <row r="271" customFormat="false" ht="12.75" hidden="false" customHeight="false" outlineLevel="0" collapsed="false">
      <c r="A271" s="317" t="n">
        <v>45200</v>
      </c>
      <c r="B271" s="141" t="n">
        <v>0</v>
      </c>
      <c r="C271" s="141" t="n">
        <v>0.6</v>
      </c>
      <c r="D271" s="0" t="n">
        <v>0.55</v>
      </c>
      <c r="E271" s="0" t="n">
        <v>0.6</v>
      </c>
      <c r="F271" s="0" t="n">
        <v>0.6</v>
      </c>
      <c r="G271" s="0" t="n">
        <v>0.65</v>
      </c>
      <c r="H271" s="0" t="n">
        <v>0.65</v>
      </c>
      <c r="I271" s="0" t="n">
        <v>0.6</v>
      </c>
      <c r="J271" s="0" t="n">
        <v>0.5</v>
      </c>
      <c r="K271" s="0" t="n">
        <v>0</v>
      </c>
      <c r="L271" s="0" t="n">
        <v>0.65</v>
      </c>
      <c r="M271" s="0" t="n">
        <v>0.6</v>
      </c>
      <c r="N271" s="0" t="n">
        <v>0.65</v>
      </c>
      <c r="O271" s="0" t="n">
        <v>0.15</v>
      </c>
      <c r="P271" s="0" t="n">
        <v>0.7</v>
      </c>
      <c r="Q271" s="0" t="n">
        <v>0</v>
      </c>
      <c r="R271" s="0" t="n">
        <v>0.55</v>
      </c>
      <c r="S271" s="0" t="n">
        <v>0.6</v>
      </c>
      <c r="T271" s="0" t="n">
        <v>0</v>
      </c>
    </row>
    <row r="272" customFormat="false" ht="12.75" hidden="false" customHeight="false" outlineLevel="0" collapsed="false">
      <c r="A272" s="317" t="n">
        <v>45231</v>
      </c>
      <c r="B272" s="141" t="n">
        <v>0</v>
      </c>
      <c r="C272" s="141" t="n">
        <v>0.85</v>
      </c>
      <c r="D272" s="0" t="n">
        <v>0.8</v>
      </c>
      <c r="E272" s="0" t="n">
        <v>0.8</v>
      </c>
      <c r="F272" s="0" t="n">
        <v>0.9</v>
      </c>
      <c r="G272" s="0" t="n">
        <v>0.95</v>
      </c>
      <c r="H272" s="0" t="n">
        <v>0.85</v>
      </c>
      <c r="I272" s="0" t="n">
        <v>0.8</v>
      </c>
      <c r="J272" s="0" t="n">
        <v>0.95</v>
      </c>
      <c r="K272" s="0" t="n">
        <v>0</v>
      </c>
      <c r="L272" s="0" t="n">
        <v>0.8</v>
      </c>
      <c r="M272" s="0" t="n">
        <v>0.8</v>
      </c>
      <c r="N272" s="0" t="n">
        <v>0.95</v>
      </c>
      <c r="O272" s="0" t="n">
        <v>0.15</v>
      </c>
      <c r="P272" s="0" t="n">
        <v>0.9</v>
      </c>
      <c r="Q272" s="0" t="n">
        <v>0</v>
      </c>
      <c r="R272" s="0" t="n">
        <v>0.8</v>
      </c>
      <c r="S272" s="0" t="n">
        <v>0.8</v>
      </c>
      <c r="T272" s="0" t="n">
        <v>0</v>
      </c>
    </row>
    <row r="273" customFormat="false" ht="12.75" hidden="false" customHeight="false" outlineLevel="0" collapsed="false">
      <c r="A273" s="317" t="n">
        <v>45261</v>
      </c>
      <c r="B273" s="141" t="n">
        <v>0</v>
      </c>
      <c r="C273" s="141" t="n">
        <v>1.05</v>
      </c>
      <c r="D273" s="0" t="n">
        <v>1</v>
      </c>
      <c r="E273" s="0" t="n">
        <v>1</v>
      </c>
      <c r="F273" s="0" t="n">
        <v>1.15</v>
      </c>
      <c r="G273" s="0" t="n">
        <v>1.25</v>
      </c>
      <c r="H273" s="0" t="n">
        <v>1.05</v>
      </c>
      <c r="I273" s="0" t="n">
        <v>1</v>
      </c>
      <c r="J273" s="0" t="n">
        <v>1.35</v>
      </c>
      <c r="K273" s="0" t="n">
        <v>0</v>
      </c>
      <c r="L273" s="0" t="n">
        <v>1.1</v>
      </c>
      <c r="M273" s="0" t="n">
        <v>1</v>
      </c>
      <c r="N273" s="0" t="n">
        <v>1.25</v>
      </c>
      <c r="O273" s="0" t="n">
        <v>0.15</v>
      </c>
      <c r="P273" s="0" t="n">
        <v>1.1</v>
      </c>
      <c r="Q273" s="0" t="n">
        <v>0</v>
      </c>
      <c r="R273" s="0" t="n">
        <v>1</v>
      </c>
      <c r="S273" s="0" t="n">
        <v>1</v>
      </c>
      <c r="T273" s="0" t="n">
        <v>0</v>
      </c>
    </row>
    <row r="274" customFormat="false" ht="12.75" hidden="false" customHeight="false" outlineLevel="0" collapsed="false">
      <c r="A274" s="317" t="n">
        <v>45292</v>
      </c>
      <c r="B274" s="141" t="n">
        <v>0</v>
      </c>
      <c r="C274" s="141" t="n">
        <v>1.05</v>
      </c>
      <c r="D274" s="0" t="n">
        <v>1</v>
      </c>
      <c r="E274" s="0" t="n">
        <v>1</v>
      </c>
      <c r="F274" s="0" t="n">
        <v>1.15</v>
      </c>
      <c r="G274" s="0" t="n">
        <v>1.45</v>
      </c>
      <c r="H274" s="0" t="n">
        <v>1.05</v>
      </c>
      <c r="I274" s="0" t="n">
        <v>1</v>
      </c>
      <c r="J274" s="0" t="n">
        <v>1.35</v>
      </c>
      <c r="K274" s="0" t="n">
        <v>0</v>
      </c>
      <c r="L274" s="0" t="n">
        <v>1.1</v>
      </c>
      <c r="M274" s="0" t="n">
        <v>1</v>
      </c>
      <c r="N274" s="0" t="n">
        <v>1.45</v>
      </c>
      <c r="O274" s="0" t="n">
        <v>0.15</v>
      </c>
      <c r="P274" s="0" t="n">
        <v>1.1</v>
      </c>
      <c r="Q274" s="0" t="n">
        <v>0</v>
      </c>
      <c r="R274" s="0" t="n">
        <v>1</v>
      </c>
      <c r="S274" s="0" t="n">
        <v>1</v>
      </c>
      <c r="T274" s="0" t="n">
        <v>0</v>
      </c>
    </row>
    <row r="275" customFormat="false" ht="12.75" hidden="false" customHeight="false" outlineLevel="0" collapsed="false">
      <c r="A275" s="317" t="n">
        <v>45323</v>
      </c>
      <c r="B275" s="141" t="n">
        <v>0</v>
      </c>
      <c r="C275" s="141" t="n">
        <v>1.05</v>
      </c>
      <c r="D275" s="0" t="n">
        <v>1</v>
      </c>
      <c r="E275" s="0" t="n">
        <v>1</v>
      </c>
      <c r="F275" s="0" t="n">
        <v>1.15</v>
      </c>
      <c r="G275" s="0" t="n">
        <v>1.45</v>
      </c>
      <c r="H275" s="0" t="n">
        <v>1.05</v>
      </c>
      <c r="I275" s="0" t="n">
        <v>1</v>
      </c>
      <c r="J275" s="0" t="n">
        <v>1.35</v>
      </c>
      <c r="K275" s="0" t="n">
        <v>0</v>
      </c>
      <c r="L275" s="0" t="n">
        <v>1.1</v>
      </c>
      <c r="M275" s="0" t="n">
        <v>1</v>
      </c>
      <c r="N275" s="0" t="n">
        <v>1.45</v>
      </c>
      <c r="O275" s="0" t="n">
        <v>0.15</v>
      </c>
      <c r="P275" s="0" t="n">
        <v>1.1</v>
      </c>
      <c r="Q275" s="0" t="n">
        <v>0</v>
      </c>
      <c r="R275" s="0" t="n">
        <v>1</v>
      </c>
      <c r="S275" s="0" t="n">
        <v>1</v>
      </c>
      <c r="T275" s="0" t="n">
        <v>0</v>
      </c>
    </row>
    <row r="276" customFormat="false" ht="12.75" hidden="false" customHeight="false" outlineLevel="0" collapsed="false">
      <c r="A276" s="317" t="n">
        <v>45352</v>
      </c>
      <c r="B276" s="141" t="n">
        <v>0</v>
      </c>
      <c r="C276" s="141" t="n">
        <v>0.8</v>
      </c>
      <c r="D276" s="0" t="n">
        <v>0.75</v>
      </c>
      <c r="E276" s="0" t="n">
        <v>0.75</v>
      </c>
      <c r="F276" s="0" t="n">
        <v>0.85</v>
      </c>
      <c r="G276" s="0" t="n">
        <v>1</v>
      </c>
      <c r="H276" s="0" t="n">
        <v>0.75</v>
      </c>
      <c r="I276" s="0" t="n">
        <v>0.75</v>
      </c>
      <c r="J276" s="0" t="n">
        <v>0.95</v>
      </c>
      <c r="K276" s="0" t="n">
        <v>0</v>
      </c>
      <c r="L276" s="0" t="n">
        <v>0.75</v>
      </c>
      <c r="M276" s="0" t="n">
        <v>0.75</v>
      </c>
      <c r="N276" s="0" t="n">
        <v>1</v>
      </c>
      <c r="O276" s="0" t="n">
        <v>0.15</v>
      </c>
      <c r="P276" s="0" t="n">
        <v>0.85</v>
      </c>
      <c r="Q276" s="0" t="n">
        <v>0</v>
      </c>
      <c r="R276" s="0" t="n">
        <v>0.75</v>
      </c>
      <c r="S276" s="0" t="n">
        <v>0.75</v>
      </c>
      <c r="T276" s="0" t="n">
        <v>0</v>
      </c>
    </row>
    <row r="277" customFormat="false" ht="12.75" hidden="false" customHeight="false" outlineLevel="0" collapsed="false">
      <c r="A277" s="317" t="n">
        <v>45383</v>
      </c>
      <c r="B277" s="141" t="n">
        <v>0</v>
      </c>
      <c r="C277" s="141" t="n">
        <v>0.45</v>
      </c>
      <c r="D277" s="0" t="n">
        <v>0.4</v>
      </c>
      <c r="E277" s="0" t="n">
        <v>0.45</v>
      </c>
      <c r="F277" s="0" t="n">
        <v>0.45</v>
      </c>
      <c r="G277" s="0" t="n">
        <v>0.45</v>
      </c>
      <c r="H277" s="0" t="n">
        <v>0.45</v>
      </c>
      <c r="I277" s="0" t="n">
        <v>0.45</v>
      </c>
      <c r="J277" s="0" t="n">
        <v>0.5</v>
      </c>
      <c r="K277" s="0" t="n">
        <v>0</v>
      </c>
      <c r="L277" s="0" t="n">
        <v>0.45</v>
      </c>
      <c r="M277" s="0" t="n">
        <v>0.4</v>
      </c>
      <c r="N277" s="0" t="n">
        <v>0.45</v>
      </c>
      <c r="O277" s="0" t="n">
        <v>0.15</v>
      </c>
      <c r="P277" s="0" t="n">
        <v>0.55</v>
      </c>
      <c r="Q277" s="0" t="n">
        <v>0</v>
      </c>
      <c r="R277" s="0" t="n">
        <v>0.4</v>
      </c>
      <c r="S277" s="0" t="n">
        <v>0.45</v>
      </c>
      <c r="T277" s="0" t="n">
        <v>0</v>
      </c>
    </row>
    <row r="278" customFormat="false" ht="12.75" hidden="false" customHeight="false" outlineLevel="0" collapsed="false">
      <c r="A278" s="317" t="n">
        <v>45413</v>
      </c>
      <c r="B278" s="141" t="n">
        <v>0</v>
      </c>
      <c r="C278" s="141" t="n">
        <v>0.5</v>
      </c>
      <c r="D278" s="0" t="n">
        <v>0.4</v>
      </c>
      <c r="E278" s="0" t="n">
        <v>0.4</v>
      </c>
      <c r="F278" s="0" t="n">
        <v>0.45</v>
      </c>
      <c r="G278" s="0" t="n">
        <v>0.5</v>
      </c>
      <c r="H278" s="0" t="n">
        <v>0.45</v>
      </c>
      <c r="I278" s="0" t="n">
        <v>0.4</v>
      </c>
      <c r="J278" s="0" t="n">
        <v>0.45</v>
      </c>
      <c r="K278" s="0" t="n">
        <v>0</v>
      </c>
      <c r="L278" s="0" t="n">
        <v>0.5</v>
      </c>
      <c r="M278" s="0" t="n">
        <v>0.45</v>
      </c>
      <c r="N278" s="0" t="n">
        <v>0.5</v>
      </c>
      <c r="O278" s="0" t="n">
        <v>0.15</v>
      </c>
      <c r="P278" s="0" t="n">
        <v>0.5</v>
      </c>
      <c r="Q278" s="0" t="n">
        <v>0</v>
      </c>
      <c r="R278" s="0" t="n">
        <v>0.4</v>
      </c>
      <c r="S278" s="0" t="n">
        <v>0.4</v>
      </c>
      <c r="T278" s="0" t="n">
        <v>0</v>
      </c>
    </row>
    <row r="279" customFormat="false" ht="12.75" hidden="false" customHeight="false" outlineLevel="0" collapsed="false">
      <c r="A279" s="317" t="n">
        <v>45444</v>
      </c>
      <c r="B279" s="141" t="n">
        <v>0</v>
      </c>
      <c r="C279" s="141" t="n">
        <v>0.5</v>
      </c>
      <c r="D279" s="0" t="n">
        <v>0.4</v>
      </c>
      <c r="E279" s="0" t="n">
        <v>0.5</v>
      </c>
      <c r="F279" s="0" t="n">
        <v>0.45</v>
      </c>
      <c r="G279" s="0" t="n">
        <v>0.5</v>
      </c>
      <c r="H279" s="0" t="n">
        <v>0.5</v>
      </c>
      <c r="I279" s="0" t="n">
        <v>0.5</v>
      </c>
      <c r="J279" s="0" t="n">
        <v>0.5</v>
      </c>
      <c r="K279" s="0" t="n">
        <v>0</v>
      </c>
      <c r="L279" s="0" t="n">
        <v>0.5</v>
      </c>
      <c r="M279" s="0" t="n">
        <v>0.45</v>
      </c>
      <c r="N279" s="0" t="n">
        <v>0.5</v>
      </c>
      <c r="O279" s="0" t="n">
        <v>0.15</v>
      </c>
      <c r="P279" s="0" t="n">
        <v>0.6</v>
      </c>
      <c r="Q279" s="0" t="n">
        <v>0</v>
      </c>
      <c r="R279" s="0" t="n">
        <v>0.4</v>
      </c>
      <c r="S279" s="0" t="n">
        <v>0.5</v>
      </c>
      <c r="T279" s="0" t="n">
        <v>0</v>
      </c>
    </row>
    <row r="280" customFormat="false" ht="12.75" hidden="false" customHeight="false" outlineLevel="0" collapsed="false">
      <c r="A280" s="317" t="n">
        <v>45474</v>
      </c>
      <c r="B280" s="141" t="n">
        <v>0</v>
      </c>
      <c r="C280" s="141" t="n">
        <v>0.5</v>
      </c>
      <c r="D280" s="0" t="n">
        <v>0.4</v>
      </c>
      <c r="E280" s="0" t="n">
        <v>0.5</v>
      </c>
      <c r="F280" s="0" t="n">
        <v>0.5</v>
      </c>
      <c r="G280" s="0" t="n">
        <v>0.5</v>
      </c>
      <c r="H280" s="0" t="n">
        <v>0.5</v>
      </c>
      <c r="I280" s="0" t="n">
        <v>0.5</v>
      </c>
      <c r="J280" s="0" t="n">
        <v>0.5</v>
      </c>
      <c r="K280" s="0" t="n">
        <v>0</v>
      </c>
      <c r="L280" s="0" t="n">
        <v>0.55</v>
      </c>
      <c r="M280" s="0" t="n">
        <v>0.5</v>
      </c>
      <c r="N280" s="0" t="n">
        <v>0.5</v>
      </c>
      <c r="O280" s="0" t="n">
        <v>0.15</v>
      </c>
      <c r="P280" s="0" t="n">
        <v>0.6</v>
      </c>
      <c r="Q280" s="0" t="n">
        <v>0</v>
      </c>
      <c r="R280" s="0" t="n">
        <v>0.4</v>
      </c>
      <c r="S280" s="0" t="n">
        <v>0.5</v>
      </c>
      <c r="T280" s="0" t="n">
        <v>0</v>
      </c>
    </row>
    <row r="281" customFormat="false" ht="12.75" hidden="false" customHeight="false" outlineLevel="0" collapsed="false">
      <c r="A281" s="317" t="n">
        <v>45505</v>
      </c>
      <c r="B281" s="141" t="n">
        <v>0</v>
      </c>
      <c r="C281" s="141" t="n">
        <v>0.55</v>
      </c>
      <c r="D281" s="0" t="n">
        <v>0.5</v>
      </c>
      <c r="E281" s="0" t="n">
        <v>0.6</v>
      </c>
      <c r="F281" s="0" t="n">
        <v>0.55</v>
      </c>
      <c r="G281" s="0" t="n">
        <v>0.6</v>
      </c>
      <c r="H281" s="0" t="n">
        <v>0.55</v>
      </c>
      <c r="I281" s="0" t="n">
        <v>0.6</v>
      </c>
      <c r="J281" s="0" t="n">
        <v>0.45</v>
      </c>
      <c r="K281" s="0" t="n">
        <v>0</v>
      </c>
      <c r="L281" s="0" t="n">
        <v>0.6</v>
      </c>
      <c r="M281" s="0" t="n">
        <v>0.55</v>
      </c>
      <c r="N281" s="0" t="n">
        <v>0.6</v>
      </c>
      <c r="O281" s="0" t="n">
        <v>0.15</v>
      </c>
      <c r="P281" s="0" t="n">
        <v>0.7</v>
      </c>
      <c r="Q281" s="0" t="n">
        <v>0</v>
      </c>
      <c r="R281" s="0" t="n">
        <v>0.5</v>
      </c>
      <c r="S281" s="0" t="n">
        <v>0.6</v>
      </c>
      <c r="T281" s="0" t="n">
        <v>0</v>
      </c>
    </row>
    <row r="282" customFormat="false" ht="12.75" hidden="false" customHeight="false" outlineLevel="0" collapsed="false">
      <c r="A282" s="317" t="n">
        <v>45536</v>
      </c>
      <c r="B282" s="141" t="n">
        <v>0</v>
      </c>
      <c r="C282" s="141" t="n">
        <v>0.55</v>
      </c>
      <c r="D282" s="0" t="n">
        <v>0.55</v>
      </c>
      <c r="E282" s="0" t="n">
        <v>0.55</v>
      </c>
      <c r="F282" s="0" t="n">
        <v>0.55</v>
      </c>
      <c r="G282" s="0" t="n">
        <v>0.6</v>
      </c>
      <c r="H282" s="0" t="n">
        <v>0.6</v>
      </c>
      <c r="I282" s="0" t="n">
        <v>0.55</v>
      </c>
      <c r="J282" s="0" t="n">
        <v>0.5</v>
      </c>
      <c r="K282" s="0" t="n">
        <v>0</v>
      </c>
      <c r="L282" s="0" t="n">
        <v>0.6</v>
      </c>
      <c r="M282" s="0" t="n">
        <v>0.55</v>
      </c>
      <c r="N282" s="0" t="n">
        <v>0.6</v>
      </c>
      <c r="O282" s="0" t="n">
        <v>0.15</v>
      </c>
      <c r="P282" s="0" t="n">
        <v>0.65</v>
      </c>
      <c r="Q282" s="0" t="n">
        <v>0</v>
      </c>
      <c r="R282" s="0" t="n">
        <v>0.55</v>
      </c>
      <c r="S282" s="0" t="n">
        <v>0.55</v>
      </c>
      <c r="T282" s="0" t="n">
        <v>0</v>
      </c>
    </row>
    <row r="283" customFormat="false" ht="12.75" hidden="false" customHeight="false" outlineLevel="0" collapsed="false">
      <c r="A283" s="317" t="n">
        <v>45566</v>
      </c>
      <c r="B283" s="141" t="n">
        <v>0</v>
      </c>
      <c r="C283" s="141" t="n">
        <v>0.6</v>
      </c>
      <c r="D283" s="0" t="n">
        <v>0.55</v>
      </c>
      <c r="E283" s="0" t="n">
        <v>0.6</v>
      </c>
      <c r="F283" s="0" t="n">
        <v>0.6</v>
      </c>
      <c r="G283" s="0" t="n">
        <v>0.65</v>
      </c>
      <c r="H283" s="0" t="n">
        <v>0.65</v>
      </c>
      <c r="I283" s="0" t="n">
        <v>0.6</v>
      </c>
      <c r="J283" s="0" t="n">
        <v>0.5</v>
      </c>
      <c r="K283" s="0" t="n">
        <v>0</v>
      </c>
      <c r="L283" s="0" t="n">
        <v>0.65</v>
      </c>
      <c r="M283" s="0" t="n">
        <v>0.6</v>
      </c>
      <c r="N283" s="0" t="n">
        <v>0.65</v>
      </c>
      <c r="O283" s="0" t="n">
        <v>0.15</v>
      </c>
      <c r="P283" s="0" t="n">
        <v>0.7</v>
      </c>
      <c r="Q283" s="0" t="n">
        <v>0</v>
      </c>
      <c r="R283" s="0" t="n">
        <v>0.55</v>
      </c>
      <c r="S283" s="0" t="n">
        <v>0.6</v>
      </c>
      <c r="T283" s="0" t="n">
        <v>0</v>
      </c>
    </row>
    <row r="284" customFormat="false" ht="12.75" hidden="false" customHeight="false" outlineLevel="0" collapsed="false">
      <c r="A284" s="317" t="n">
        <v>45597</v>
      </c>
      <c r="B284" s="141" t="n">
        <v>0</v>
      </c>
      <c r="C284" s="141" t="n">
        <v>0.85</v>
      </c>
      <c r="D284" s="0" t="n">
        <v>0.8</v>
      </c>
      <c r="E284" s="0" t="n">
        <v>0.8</v>
      </c>
      <c r="F284" s="0" t="n">
        <v>0.9</v>
      </c>
      <c r="G284" s="0" t="n">
        <v>0.95</v>
      </c>
      <c r="H284" s="0" t="n">
        <v>0.85</v>
      </c>
      <c r="I284" s="0" t="n">
        <v>0.8</v>
      </c>
      <c r="J284" s="0" t="n">
        <v>0.95</v>
      </c>
      <c r="K284" s="0" t="n">
        <v>0</v>
      </c>
      <c r="L284" s="0" t="n">
        <v>0.8</v>
      </c>
      <c r="M284" s="0" t="n">
        <v>0.8</v>
      </c>
      <c r="N284" s="0" t="n">
        <v>0.95</v>
      </c>
      <c r="O284" s="0" t="n">
        <v>0.15</v>
      </c>
      <c r="P284" s="0" t="n">
        <v>0.9</v>
      </c>
      <c r="Q284" s="0" t="n">
        <v>0</v>
      </c>
      <c r="R284" s="0" t="n">
        <v>0.8</v>
      </c>
      <c r="S284" s="0" t="n">
        <v>0.8</v>
      </c>
      <c r="T284" s="0" t="n">
        <v>0</v>
      </c>
    </row>
    <row r="285" customFormat="false" ht="12.75" hidden="false" customHeight="false" outlineLevel="0" collapsed="false">
      <c r="A285" s="317" t="n">
        <v>45627</v>
      </c>
      <c r="B285" s="141" t="n">
        <v>0</v>
      </c>
      <c r="C285" s="141" t="n">
        <v>1.05</v>
      </c>
      <c r="D285" s="0" t="n">
        <v>1</v>
      </c>
      <c r="E285" s="0" t="n">
        <v>1</v>
      </c>
      <c r="F285" s="0" t="n">
        <v>1.15</v>
      </c>
      <c r="G285" s="0" t="n">
        <v>1.25</v>
      </c>
      <c r="H285" s="0" t="n">
        <v>1.05</v>
      </c>
      <c r="I285" s="0" t="n">
        <v>1</v>
      </c>
      <c r="J285" s="0" t="n">
        <v>1.35</v>
      </c>
      <c r="K285" s="0" t="n">
        <v>0</v>
      </c>
      <c r="L285" s="0" t="n">
        <v>1.1</v>
      </c>
      <c r="M285" s="0" t="n">
        <v>1</v>
      </c>
      <c r="N285" s="0" t="n">
        <v>1.25</v>
      </c>
      <c r="O285" s="0" t="n">
        <v>0.15</v>
      </c>
      <c r="P285" s="0" t="n">
        <v>1.1</v>
      </c>
      <c r="Q285" s="0" t="n">
        <v>0</v>
      </c>
      <c r="R285" s="0" t="n">
        <v>1</v>
      </c>
      <c r="S285" s="0" t="n">
        <v>1</v>
      </c>
      <c r="T285" s="0" t="n">
        <v>0</v>
      </c>
    </row>
    <row r="286" customFormat="false" ht="12.75" hidden="false" customHeight="false" outlineLevel="0" collapsed="false">
      <c r="A286" s="317" t="n">
        <v>45658</v>
      </c>
      <c r="B286" s="141" t="n">
        <v>0</v>
      </c>
      <c r="C286" s="141" t="n">
        <v>1.05</v>
      </c>
      <c r="D286" s="0" t="n">
        <v>1</v>
      </c>
      <c r="E286" s="0" t="n">
        <v>1</v>
      </c>
      <c r="F286" s="0" t="n">
        <v>1.15</v>
      </c>
      <c r="G286" s="0" t="n">
        <v>1.45</v>
      </c>
      <c r="H286" s="0" t="n">
        <v>1.05</v>
      </c>
      <c r="I286" s="0" t="n">
        <v>1</v>
      </c>
      <c r="J286" s="0" t="n">
        <v>1.35</v>
      </c>
      <c r="K286" s="0" t="n">
        <v>0</v>
      </c>
      <c r="L286" s="0" t="n">
        <v>1.1</v>
      </c>
      <c r="M286" s="0" t="n">
        <v>1</v>
      </c>
      <c r="N286" s="0" t="n">
        <v>1.45</v>
      </c>
      <c r="O286" s="0" t="n">
        <v>0.15</v>
      </c>
      <c r="P286" s="0" t="n">
        <v>1.1</v>
      </c>
      <c r="Q286" s="0" t="n">
        <v>0</v>
      </c>
      <c r="R286" s="0" t="n">
        <v>1</v>
      </c>
      <c r="S286" s="0" t="n">
        <v>1</v>
      </c>
      <c r="T286" s="0" t="n">
        <v>0</v>
      </c>
    </row>
    <row r="287" customFormat="false" ht="12.75" hidden="false" customHeight="false" outlineLevel="0" collapsed="false">
      <c r="A287" s="317" t="n">
        <v>45689</v>
      </c>
      <c r="B287" s="141" t="n">
        <v>0</v>
      </c>
      <c r="C287" s="141" t="n">
        <v>1.05</v>
      </c>
      <c r="D287" s="0" t="n">
        <v>1</v>
      </c>
      <c r="E287" s="0" t="n">
        <v>1</v>
      </c>
      <c r="F287" s="0" t="n">
        <v>1.15</v>
      </c>
      <c r="G287" s="0" t="n">
        <v>1.45</v>
      </c>
      <c r="H287" s="0" t="n">
        <v>1.05</v>
      </c>
      <c r="I287" s="0" t="n">
        <v>1</v>
      </c>
      <c r="J287" s="0" t="n">
        <v>1.35</v>
      </c>
      <c r="K287" s="0" t="n">
        <v>0</v>
      </c>
      <c r="L287" s="0" t="n">
        <v>1.1</v>
      </c>
      <c r="M287" s="0" t="n">
        <v>1</v>
      </c>
      <c r="N287" s="0" t="n">
        <v>1.45</v>
      </c>
      <c r="O287" s="0" t="n">
        <v>0.15</v>
      </c>
      <c r="P287" s="0" t="n">
        <v>1.1</v>
      </c>
      <c r="Q287" s="0" t="n">
        <v>0</v>
      </c>
      <c r="R287" s="0" t="n">
        <v>1</v>
      </c>
      <c r="S287" s="0" t="n">
        <v>1</v>
      </c>
      <c r="T287" s="0" t="n">
        <v>0</v>
      </c>
    </row>
    <row r="288" customFormat="false" ht="12.75" hidden="false" customHeight="false" outlineLevel="0" collapsed="false">
      <c r="A288" s="317" t="n">
        <v>45717</v>
      </c>
      <c r="B288" s="141" t="n">
        <v>0</v>
      </c>
      <c r="C288" s="141" t="n">
        <v>0.8</v>
      </c>
      <c r="D288" s="0" t="n">
        <v>0.75</v>
      </c>
      <c r="E288" s="0" t="n">
        <v>0.75</v>
      </c>
      <c r="F288" s="0" t="n">
        <v>0.85</v>
      </c>
      <c r="G288" s="0" t="n">
        <v>1</v>
      </c>
      <c r="H288" s="0" t="n">
        <v>0.75</v>
      </c>
      <c r="I288" s="0" t="n">
        <v>0.75</v>
      </c>
      <c r="J288" s="0" t="n">
        <v>0.95</v>
      </c>
      <c r="K288" s="0" t="n">
        <v>0</v>
      </c>
      <c r="L288" s="0" t="n">
        <v>0.75</v>
      </c>
      <c r="M288" s="0" t="n">
        <v>0.75</v>
      </c>
      <c r="N288" s="0" t="n">
        <v>1</v>
      </c>
      <c r="O288" s="0" t="n">
        <v>0.15</v>
      </c>
      <c r="P288" s="0" t="n">
        <v>0.85</v>
      </c>
      <c r="Q288" s="0" t="n">
        <v>0</v>
      </c>
      <c r="R288" s="0" t="n">
        <v>0.75</v>
      </c>
      <c r="S288" s="0" t="n">
        <v>0.75</v>
      </c>
      <c r="T288" s="0" t="n">
        <v>0</v>
      </c>
    </row>
    <row r="289" customFormat="false" ht="12.75" hidden="false" customHeight="false" outlineLevel="0" collapsed="false">
      <c r="A289" s="317" t="n">
        <v>45748</v>
      </c>
      <c r="B289" s="141" t="n">
        <v>0</v>
      </c>
      <c r="C289" s="141" t="n">
        <v>0.45</v>
      </c>
      <c r="D289" s="0" t="n">
        <v>0.4</v>
      </c>
      <c r="E289" s="0" t="n">
        <v>0.45</v>
      </c>
      <c r="F289" s="0" t="n">
        <v>0.45</v>
      </c>
      <c r="G289" s="0" t="n">
        <v>0.45</v>
      </c>
      <c r="H289" s="0" t="n">
        <v>0.45</v>
      </c>
      <c r="I289" s="0" t="n">
        <v>0.45</v>
      </c>
      <c r="J289" s="0" t="n">
        <v>0.5</v>
      </c>
      <c r="K289" s="0" t="n">
        <v>0</v>
      </c>
      <c r="L289" s="0" t="n">
        <v>0.45</v>
      </c>
      <c r="M289" s="0" t="n">
        <v>0.4</v>
      </c>
      <c r="N289" s="0" t="n">
        <v>0.45</v>
      </c>
      <c r="O289" s="0" t="n">
        <v>0.15</v>
      </c>
      <c r="P289" s="0" t="n">
        <v>0.55</v>
      </c>
      <c r="Q289" s="0" t="n">
        <v>0</v>
      </c>
      <c r="R289" s="0" t="n">
        <v>0.4</v>
      </c>
      <c r="S289" s="0" t="n">
        <v>0.45</v>
      </c>
      <c r="T289" s="0" t="n">
        <v>0</v>
      </c>
    </row>
    <row r="290" customFormat="false" ht="12.75" hidden="false" customHeight="false" outlineLevel="0" collapsed="false">
      <c r="A290" s="317" t="n">
        <v>45778</v>
      </c>
      <c r="B290" s="141" t="n">
        <v>0</v>
      </c>
      <c r="C290" s="141" t="n">
        <v>0.5</v>
      </c>
      <c r="D290" s="0" t="n">
        <v>0.4</v>
      </c>
      <c r="E290" s="0" t="n">
        <v>0.4</v>
      </c>
      <c r="F290" s="0" t="n">
        <v>0.45</v>
      </c>
      <c r="G290" s="0" t="n">
        <v>0.5</v>
      </c>
      <c r="H290" s="0" t="n">
        <v>0.45</v>
      </c>
      <c r="I290" s="0" t="n">
        <v>0.4</v>
      </c>
      <c r="J290" s="0" t="n">
        <v>0.45</v>
      </c>
      <c r="K290" s="0" t="n">
        <v>0</v>
      </c>
      <c r="L290" s="0" t="n">
        <v>0.5</v>
      </c>
      <c r="M290" s="0" t="n">
        <v>0.45</v>
      </c>
      <c r="N290" s="0" t="n">
        <v>0.5</v>
      </c>
      <c r="O290" s="0" t="n">
        <v>0.15</v>
      </c>
      <c r="P290" s="0" t="n">
        <v>0.5</v>
      </c>
      <c r="Q290" s="0" t="n">
        <v>0</v>
      </c>
      <c r="R290" s="0" t="n">
        <v>0.4</v>
      </c>
      <c r="S290" s="0" t="n">
        <v>0.4</v>
      </c>
      <c r="T290" s="0" t="n">
        <v>0</v>
      </c>
    </row>
    <row r="291" customFormat="false" ht="12.75" hidden="false" customHeight="false" outlineLevel="0" collapsed="false">
      <c r="A291" s="317" t="n">
        <v>45809</v>
      </c>
      <c r="B291" s="141" t="n">
        <v>0</v>
      </c>
      <c r="C291" s="141" t="n">
        <v>0.5</v>
      </c>
      <c r="D291" s="0" t="n">
        <v>0.4</v>
      </c>
      <c r="E291" s="0" t="n">
        <v>0.5</v>
      </c>
      <c r="F291" s="0" t="n">
        <v>0.45</v>
      </c>
      <c r="G291" s="0" t="n">
        <v>0.5</v>
      </c>
      <c r="H291" s="0" t="n">
        <v>0.5</v>
      </c>
      <c r="I291" s="0" t="n">
        <v>0.5</v>
      </c>
      <c r="J291" s="0" t="n">
        <v>0.5</v>
      </c>
      <c r="K291" s="0" t="n">
        <v>0</v>
      </c>
      <c r="L291" s="0" t="n">
        <v>0.5</v>
      </c>
      <c r="M291" s="0" t="n">
        <v>0.45</v>
      </c>
      <c r="N291" s="0" t="n">
        <v>0.5</v>
      </c>
      <c r="O291" s="0" t="n">
        <v>0.15</v>
      </c>
      <c r="P291" s="0" t="n">
        <v>0.6</v>
      </c>
      <c r="Q291" s="0" t="n">
        <v>0</v>
      </c>
      <c r="R291" s="0" t="n">
        <v>0.4</v>
      </c>
      <c r="S291" s="0" t="n">
        <v>0.5</v>
      </c>
      <c r="T291" s="0" t="n">
        <v>0</v>
      </c>
    </row>
    <row r="292" customFormat="false" ht="12.75" hidden="false" customHeight="false" outlineLevel="0" collapsed="false">
      <c r="A292" s="317" t="n">
        <v>45839</v>
      </c>
      <c r="B292" s="141" t="n">
        <v>0</v>
      </c>
      <c r="C292" s="141" t="n">
        <v>0.5</v>
      </c>
      <c r="D292" s="0" t="n">
        <v>0.4</v>
      </c>
      <c r="E292" s="0" t="n">
        <v>0.5</v>
      </c>
      <c r="F292" s="0" t="n">
        <v>0.5</v>
      </c>
      <c r="G292" s="0" t="n">
        <v>0.5</v>
      </c>
      <c r="H292" s="0" t="n">
        <v>0.5</v>
      </c>
      <c r="I292" s="0" t="n">
        <v>0.5</v>
      </c>
      <c r="J292" s="0" t="n">
        <v>0.5</v>
      </c>
      <c r="K292" s="0" t="n">
        <v>0</v>
      </c>
      <c r="L292" s="0" t="n">
        <v>0.55</v>
      </c>
      <c r="M292" s="0" t="n">
        <v>0.5</v>
      </c>
      <c r="N292" s="0" t="n">
        <v>0.5</v>
      </c>
      <c r="O292" s="0" t="n">
        <v>0.15</v>
      </c>
      <c r="P292" s="0" t="n">
        <v>0.6</v>
      </c>
      <c r="Q292" s="0" t="n">
        <v>0</v>
      </c>
      <c r="R292" s="0" t="n">
        <v>0.4</v>
      </c>
      <c r="S292" s="0" t="n">
        <v>0.5</v>
      </c>
      <c r="T292" s="0" t="n">
        <v>0</v>
      </c>
    </row>
    <row r="293" customFormat="false" ht="12.75" hidden="false" customHeight="false" outlineLevel="0" collapsed="false">
      <c r="A293" s="317" t="n">
        <v>45870</v>
      </c>
      <c r="B293" s="141" t="n">
        <v>0</v>
      </c>
      <c r="C293" s="141" t="n">
        <v>0.55</v>
      </c>
      <c r="D293" s="0" t="n">
        <v>0.5</v>
      </c>
      <c r="E293" s="0" t="n">
        <v>0.6</v>
      </c>
      <c r="F293" s="0" t="n">
        <v>0.55</v>
      </c>
      <c r="G293" s="0" t="n">
        <v>0.6</v>
      </c>
      <c r="H293" s="0" t="n">
        <v>0.55</v>
      </c>
      <c r="I293" s="0" t="n">
        <v>0.6</v>
      </c>
      <c r="J293" s="0" t="n">
        <v>0.45</v>
      </c>
      <c r="K293" s="0" t="n">
        <v>0</v>
      </c>
      <c r="L293" s="0" t="n">
        <v>0.6</v>
      </c>
      <c r="M293" s="0" t="n">
        <v>0.55</v>
      </c>
      <c r="N293" s="0" t="n">
        <v>0.6</v>
      </c>
      <c r="O293" s="0" t="n">
        <v>0.15</v>
      </c>
      <c r="P293" s="0" t="n">
        <v>0.7</v>
      </c>
      <c r="Q293" s="0" t="n">
        <v>0</v>
      </c>
      <c r="R293" s="0" t="n">
        <v>0.5</v>
      </c>
      <c r="S293" s="0" t="n">
        <v>0.6</v>
      </c>
      <c r="T293" s="0" t="n">
        <v>0</v>
      </c>
    </row>
    <row r="294" customFormat="false" ht="12.75" hidden="false" customHeight="false" outlineLevel="0" collapsed="false">
      <c r="A294" s="317" t="n">
        <v>45901</v>
      </c>
      <c r="B294" s="141" t="n">
        <v>0</v>
      </c>
      <c r="C294" s="141" t="n">
        <v>0.55</v>
      </c>
      <c r="D294" s="0" t="n">
        <v>0.55</v>
      </c>
      <c r="E294" s="0" t="n">
        <v>0.55</v>
      </c>
      <c r="F294" s="0" t="n">
        <v>0.55</v>
      </c>
      <c r="G294" s="0" t="n">
        <v>0.6</v>
      </c>
      <c r="H294" s="0" t="n">
        <v>0.6</v>
      </c>
      <c r="I294" s="0" t="n">
        <v>0.55</v>
      </c>
      <c r="J294" s="0" t="n">
        <v>0.5</v>
      </c>
      <c r="K294" s="0" t="n">
        <v>0</v>
      </c>
      <c r="L294" s="0" t="n">
        <v>0.6</v>
      </c>
      <c r="M294" s="0" t="n">
        <v>0.55</v>
      </c>
      <c r="N294" s="0" t="n">
        <v>0.6</v>
      </c>
      <c r="O294" s="0" t="n">
        <v>0.15</v>
      </c>
      <c r="P294" s="0" t="n">
        <v>0.65</v>
      </c>
      <c r="Q294" s="0" t="n">
        <v>0</v>
      </c>
      <c r="R294" s="0" t="n">
        <v>0.55</v>
      </c>
      <c r="S294" s="0" t="n">
        <v>0.55</v>
      </c>
      <c r="T294" s="0" t="n">
        <v>0</v>
      </c>
    </row>
    <row r="295" customFormat="false" ht="12.75" hidden="false" customHeight="false" outlineLevel="0" collapsed="false">
      <c r="A295" s="317" t="n">
        <v>45931</v>
      </c>
      <c r="B295" s="141" t="n">
        <v>0</v>
      </c>
      <c r="C295" s="141" t="n">
        <v>0.6</v>
      </c>
      <c r="D295" s="0" t="n">
        <v>0.55</v>
      </c>
      <c r="E295" s="0" t="n">
        <v>0.6</v>
      </c>
      <c r="F295" s="0" t="n">
        <v>0.6</v>
      </c>
      <c r="G295" s="0" t="n">
        <v>0.65</v>
      </c>
      <c r="H295" s="0" t="n">
        <v>0.65</v>
      </c>
      <c r="I295" s="0" t="n">
        <v>0.6</v>
      </c>
      <c r="J295" s="0" t="n">
        <v>0.5</v>
      </c>
      <c r="K295" s="0" t="n">
        <v>0</v>
      </c>
      <c r="L295" s="0" t="n">
        <v>0.65</v>
      </c>
      <c r="M295" s="0" t="n">
        <v>0.6</v>
      </c>
      <c r="N295" s="0" t="n">
        <v>0.65</v>
      </c>
      <c r="O295" s="0" t="n">
        <v>0.15</v>
      </c>
      <c r="P295" s="0" t="n">
        <v>0.7</v>
      </c>
      <c r="Q295" s="0" t="n">
        <v>0</v>
      </c>
      <c r="R295" s="0" t="n">
        <v>0.55</v>
      </c>
      <c r="S295" s="0" t="n">
        <v>0.6</v>
      </c>
      <c r="T295" s="0" t="n">
        <v>0</v>
      </c>
    </row>
    <row r="296" customFormat="false" ht="12.75" hidden="false" customHeight="false" outlineLevel="0" collapsed="false">
      <c r="A296" s="317" t="n">
        <v>45962</v>
      </c>
      <c r="B296" s="141" t="n">
        <v>0</v>
      </c>
      <c r="C296" s="141" t="n">
        <v>0.85</v>
      </c>
      <c r="D296" s="0" t="n">
        <v>0.8</v>
      </c>
      <c r="E296" s="0" t="n">
        <v>0.8</v>
      </c>
      <c r="F296" s="0" t="n">
        <v>0.9</v>
      </c>
      <c r="G296" s="0" t="n">
        <v>0.95</v>
      </c>
      <c r="H296" s="0" t="n">
        <v>0.85</v>
      </c>
      <c r="I296" s="0" t="n">
        <v>0.8</v>
      </c>
      <c r="J296" s="0" t="n">
        <v>0.95</v>
      </c>
      <c r="K296" s="0" t="n">
        <v>0</v>
      </c>
      <c r="L296" s="0" t="n">
        <v>0.8</v>
      </c>
      <c r="M296" s="0" t="n">
        <v>0.8</v>
      </c>
      <c r="N296" s="0" t="n">
        <v>0.95</v>
      </c>
      <c r="O296" s="0" t="n">
        <v>0.15</v>
      </c>
      <c r="P296" s="0" t="n">
        <v>0.9</v>
      </c>
      <c r="Q296" s="0" t="n">
        <v>0</v>
      </c>
      <c r="R296" s="0" t="n">
        <v>0.8</v>
      </c>
      <c r="S296" s="0" t="n">
        <v>0.8</v>
      </c>
      <c r="T296" s="0" t="n">
        <v>0</v>
      </c>
    </row>
    <row r="297" customFormat="false" ht="12.75" hidden="false" customHeight="false" outlineLevel="0" collapsed="false">
      <c r="A297" s="317" t="n">
        <v>45992</v>
      </c>
      <c r="B297" s="141" t="n">
        <v>0</v>
      </c>
      <c r="C297" s="141" t="n">
        <v>1.05</v>
      </c>
      <c r="D297" s="0" t="n">
        <v>1</v>
      </c>
      <c r="E297" s="0" t="n">
        <v>1</v>
      </c>
      <c r="F297" s="0" t="n">
        <v>1.15</v>
      </c>
      <c r="G297" s="0" t="n">
        <v>1.25</v>
      </c>
      <c r="H297" s="0" t="n">
        <v>1.05</v>
      </c>
      <c r="I297" s="0" t="n">
        <v>1</v>
      </c>
      <c r="J297" s="0" t="n">
        <v>1.35</v>
      </c>
      <c r="K297" s="0" t="n">
        <v>0</v>
      </c>
      <c r="L297" s="0" t="n">
        <v>1.1</v>
      </c>
      <c r="M297" s="0" t="n">
        <v>1</v>
      </c>
      <c r="N297" s="0" t="n">
        <v>1.25</v>
      </c>
      <c r="O297" s="0" t="n">
        <v>0.15</v>
      </c>
      <c r="P297" s="0" t="n">
        <v>1.1</v>
      </c>
      <c r="Q297" s="0" t="n">
        <v>0</v>
      </c>
      <c r="R297" s="0" t="n">
        <v>1</v>
      </c>
      <c r="S297" s="0" t="n">
        <v>1</v>
      </c>
      <c r="T297" s="0" t="n">
        <v>0</v>
      </c>
    </row>
    <row r="298" customFormat="false" ht="12.75" hidden="false" customHeight="false" outlineLevel="0" collapsed="false">
      <c r="A298" s="317" t="n">
        <v>46023</v>
      </c>
      <c r="B298" s="141" t="n">
        <v>0</v>
      </c>
      <c r="C298" s="141" t="n">
        <v>1.05</v>
      </c>
      <c r="D298" s="0" t="n">
        <v>1</v>
      </c>
      <c r="E298" s="0" t="n">
        <v>1</v>
      </c>
      <c r="F298" s="0" t="n">
        <v>1.15</v>
      </c>
      <c r="G298" s="0" t="n">
        <v>1.45</v>
      </c>
      <c r="H298" s="0" t="n">
        <v>1.05</v>
      </c>
      <c r="I298" s="0" t="n">
        <v>1</v>
      </c>
      <c r="J298" s="0" t="n">
        <v>1.35</v>
      </c>
      <c r="K298" s="0" t="n">
        <v>0</v>
      </c>
      <c r="L298" s="0" t="n">
        <v>1.1</v>
      </c>
      <c r="M298" s="0" t="n">
        <v>1</v>
      </c>
      <c r="N298" s="0" t="n">
        <v>1.45</v>
      </c>
      <c r="O298" s="0" t="n">
        <v>0.15</v>
      </c>
      <c r="P298" s="0" t="n">
        <v>1.1</v>
      </c>
      <c r="Q298" s="0" t="n">
        <v>0</v>
      </c>
      <c r="R298" s="0" t="n">
        <v>1</v>
      </c>
      <c r="S298" s="0" t="n">
        <v>1</v>
      </c>
      <c r="T298" s="0" t="n">
        <v>0</v>
      </c>
    </row>
    <row r="299" customFormat="false" ht="12.75" hidden="false" customHeight="false" outlineLevel="0" collapsed="false">
      <c r="A299" s="317" t="n">
        <v>46054</v>
      </c>
      <c r="B299" s="141" t="n">
        <v>0</v>
      </c>
      <c r="C299" s="141" t="n">
        <v>1.05</v>
      </c>
      <c r="D299" s="0" t="n">
        <v>1</v>
      </c>
      <c r="E299" s="0" t="n">
        <v>1</v>
      </c>
      <c r="F299" s="0" t="n">
        <v>1.15</v>
      </c>
      <c r="G299" s="0" t="n">
        <v>1.45</v>
      </c>
      <c r="H299" s="0" t="n">
        <v>1.05</v>
      </c>
      <c r="I299" s="0" t="n">
        <v>1</v>
      </c>
      <c r="J299" s="0" t="n">
        <v>1.35</v>
      </c>
      <c r="K299" s="0" t="n">
        <v>0</v>
      </c>
      <c r="L299" s="0" t="n">
        <v>1.1</v>
      </c>
      <c r="M299" s="0" t="n">
        <v>1</v>
      </c>
      <c r="N299" s="0" t="n">
        <v>1.45</v>
      </c>
      <c r="O299" s="0" t="n">
        <v>0.15</v>
      </c>
      <c r="P299" s="0" t="n">
        <v>1.1</v>
      </c>
      <c r="Q299" s="0" t="n">
        <v>0</v>
      </c>
      <c r="R299" s="0" t="n">
        <v>1</v>
      </c>
      <c r="S299" s="0" t="n">
        <v>1</v>
      </c>
      <c r="T299" s="0" t="n">
        <v>0</v>
      </c>
    </row>
    <row r="300" customFormat="false" ht="12.75" hidden="false" customHeight="false" outlineLevel="0" collapsed="false">
      <c r="A300" s="317" t="n">
        <v>46082</v>
      </c>
      <c r="B300" s="141" t="n">
        <v>0</v>
      </c>
      <c r="C300" s="141" t="n">
        <v>0.8</v>
      </c>
      <c r="D300" s="0" t="n">
        <v>0.75</v>
      </c>
      <c r="E300" s="0" t="n">
        <v>0.75</v>
      </c>
      <c r="F300" s="0" t="n">
        <v>0.85</v>
      </c>
      <c r="G300" s="0" t="n">
        <v>1</v>
      </c>
      <c r="H300" s="0" t="n">
        <v>0.75</v>
      </c>
      <c r="I300" s="0" t="n">
        <v>0.75</v>
      </c>
      <c r="J300" s="0" t="n">
        <v>0.95</v>
      </c>
      <c r="K300" s="0" t="n">
        <v>0</v>
      </c>
      <c r="L300" s="0" t="n">
        <v>0.75</v>
      </c>
      <c r="M300" s="0" t="n">
        <v>0.75</v>
      </c>
      <c r="N300" s="0" t="n">
        <v>1</v>
      </c>
      <c r="O300" s="0" t="n">
        <v>0.15</v>
      </c>
      <c r="P300" s="0" t="n">
        <v>0.85</v>
      </c>
      <c r="Q300" s="0" t="n">
        <v>0</v>
      </c>
      <c r="R300" s="0" t="n">
        <v>0.75</v>
      </c>
      <c r="S300" s="0" t="n">
        <v>0.75</v>
      </c>
      <c r="T300" s="0" t="n">
        <v>0</v>
      </c>
    </row>
    <row r="301" customFormat="false" ht="12.75" hidden="false" customHeight="false" outlineLevel="0" collapsed="false">
      <c r="A301" s="317" t="n">
        <v>46113</v>
      </c>
      <c r="B301" s="141" t="n">
        <v>0</v>
      </c>
      <c r="C301" s="141" t="n">
        <v>0.45</v>
      </c>
      <c r="D301" s="0" t="n">
        <v>0.4</v>
      </c>
      <c r="E301" s="0" t="n">
        <v>0.45</v>
      </c>
      <c r="F301" s="0" t="n">
        <v>0.45</v>
      </c>
      <c r="G301" s="0" t="n">
        <v>0.45</v>
      </c>
      <c r="H301" s="0" t="n">
        <v>0.45</v>
      </c>
      <c r="I301" s="0" t="n">
        <v>0.45</v>
      </c>
      <c r="J301" s="0" t="n">
        <v>0.5</v>
      </c>
      <c r="K301" s="0" t="n">
        <v>0</v>
      </c>
      <c r="L301" s="0" t="n">
        <v>0.45</v>
      </c>
      <c r="M301" s="0" t="n">
        <v>0.4</v>
      </c>
      <c r="N301" s="0" t="n">
        <v>0.45</v>
      </c>
      <c r="O301" s="0" t="n">
        <v>0.15</v>
      </c>
      <c r="P301" s="0" t="n">
        <v>0.55</v>
      </c>
      <c r="Q301" s="0" t="n">
        <v>0</v>
      </c>
      <c r="R301" s="0" t="n">
        <v>0.4</v>
      </c>
      <c r="S301" s="0" t="n">
        <v>0.45</v>
      </c>
      <c r="T301" s="0" t="n">
        <v>0</v>
      </c>
    </row>
    <row r="302" customFormat="false" ht="12.75" hidden="false" customHeight="false" outlineLevel="0" collapsed="false">
      <c r="A302" s="317" t="n">
        <v>46143</v>
      </c>
      <c r="B302" s="141" t="n">
        <v>0</v>
      </c>
      <c r="C302" s="141" t="n">
        <v>0.5</v>
      </c>
      <c r="D302" s="0" t="n">
        <v>0.4</v>
      </c>
      <c r="E302" s="0" t="n">
        <v>0.4</v>
      </c>
      <c r="F302" s="0" t="n">
        <v>0.45</v>
      </c>
      <c r="G302" s="0" t="n">
        <v>0.5</v>
      </c>
      <c r="H302" s="0" t="n">
        <v>0.45</v>
      </c>
      <c r="I302" s="0" t="n">
        <v>0.4</v>
      </c>
      <c r="J302" s="0" t="n">
        <v>0.45</v>
      </c>
      <c r="K302" s="0" t="n">
        <v>0</v>
      </c>
      <c r="L302" s="0" t="n">
        <v>0.5</v>
      </c>
      <c r="M302" s="0" t="n">
        <v>0.45</v>
      </c>
      <c r="N302" s="0" t="n">
        <v>0.5</v>
      </c>
      <c r="O302" s="0" t="n">
        <v>0.15</v>
      </c>
      <c r="P302" s="0" t="n">
        <v>0.5</v>
      </c>
      <c r="Q302" s="0" t="n">
        <v>0</v>
      </c>
      <c r="R302" s="0" t="n">
        <v>0.4</v>
      </c>
      <c r="S302" s="0" t="n">
        <v>0.4</v>
      </c>
      <c r="T302" s="0" t="n">
        <v>0</v>
      </c>
    </row>
    <row r="303" customFormat="false" ht="12.75" hidden="false" customHeight="false" outlineLevel="0" collapsed="false">
      <c r="A303" s="317" t="n">
        <v>46174</v>
      </c>
      <c r="B303" s="141" t="n">
        <v>0</v>
      </c>
      <c r="C303" s="141" t="n">
        <v>0.5</v>
      </c>
      <c r="D303" s="0" t="n">
        <v>0.4</v>
      </c>
      <c r="E303" s="0" t="n">
        <v>0.5</v>
      </c>
      <c r="F303" s="0" t="n">
        <v>0.45</v>
      </c>
      <c r="G303" s="0" t="n">
        <v>0.5</v>
      </c>
      <c r="H303" s="0" t="n">
        <v>0.5</v>
      </c>
      <c r="I303" s="0" t="n">
        <v>0.5</v>
      </c>
      <c r="J303" s="0" t="n">
        <v>0.5</v>
      </c>
      <c r="K303" s="0" t="n">
        <v>0</v>
      </c>
      <c r="L303" s="0" t="n">
        <v>0.5</v>
      </c>
      <c r="M303" s="0" t="n">
        <v>0.45</v>
      </c>
      <c r="N303" s="0" t="n">
        <v>0.5</v>
      </c>
      <c r="O303" s="0" t="n">
        <v>0.15</v>
      </c>
      <c r="P303" s="0" t="n">
        <v>0.6</v>
      </c>
      <c r="Q303" s="0" t="n">
        <v>0</v>
      </c>
      <c r="R303" s="0" t="n">
        <v>0.4</v>
      </c>
      <c r="S303" s="0" t="n">
        <v>0.5</v>
      </c>
      <c r="T303" s="0" t="n">
        <v>0</v>
      </c>
    </row>
    <row r="304" customFormat="false" ht="12.75" hidden="false" customHeight="false" outlineLevel="0" collapsed="false">
      <c r="A304" s="317" t="n">
        <v>46204</v>
      </c>
      <c r="B304" s="141" t="n">
        <v>0</v>
      </c>
      <c r="C304" s="141" t="n">
        <v>0.5</v>
      </c>
      <c r="D304" s="0" t="n">
        <v>0.4</v>
      </c>
      <c r="E304" s="0" t="n">
        <v>0.5</v>
      </c>
      <c r="F304" s="0" t="n">
        <v>0.5</v>
      </c>
      <c r="G304" s="0" t="n">
        <v>0.5</v>
      </c>
      <c r="H304" s="0" t="n">
        <v>0.5</v>
      </c>
      <c r="I304" s="0" t="n">
        <v>0.5</v>
      </c>
      <c r="J304" s="0" t="n">
        <v>0.5</v>
      </c>
      <c r="K304" s="0" t="n">
        <v>0</v>
      </c>
      <c r="L304" s="0" t="n">
        <v>0.55</v>
      </c>
      <c r="M304" s="0" t="n">
        <v>0.5</v>
      </c>
      <c r="N304" s="0" t="n">
        <v>0.5</v>
      </c>
      <c r="O304" s="0" t="n">
        <v>0.15</v>
      </c>
      <c r="P304" s="0" t="n">
        <v>0.6</v>
      </c>
      <c r="Q304" s="0" t="n">
        <v>0</v>
      </c>
      <c r="R304" s="0" t="n">
        <v>0.4</v>
      </c>
      <c r="S304" s="0" t="n">
        <v>0.5</v>
      </c>
      <c r="T304" s="0" t="n">
        <v>0</v>
      </c>
    </row>
    <row r="305" customFormat="false" ht="12.75" hidden="false" customHeight="false" outlineLevel="0" collapsed="false">
      <c r="A305" s="317" t="n">
        <v>46235</v>
      </c>
      <c r="B305" s="141" t="n">
        <v>0</v>
      </c>
      <c r="C305" s="141" t="n">
        <v>0.55</v>
      </c>
      <c r="D305" s="0" t="n">
        <v>0.5</v>
      </c>
      <c r="E305" s="0" t="n">
        <v>0.6</v>
      </c>
      <c r="F305" s="0" t="n">
        <v>0.55</v>
      </c>
      <c r="G305" s="0" t="n">
        <v>0.6</v>
      </c>
      <c r="H305" s="0" t="n">
        <v>0.55</v>
      </c>
      <c r="I305" s="0" t="n">
        <v>0.6</v>
      </c>
      <c r="J305" s="0" t="n">
        <v>0.45</v>
      </c>
      <c r="K305" s="0" t="n">
        <v>0</v>
      </c>
      <c r="L305" s="0" t="n">
        <v>0.6</v>
      </c>
      <c r="M305" s="0" t="n">
        <v>0.55</v>
      </c>
      <c r="N305" s="0" t="n">
        <v>0.6</v>
      </c>
      <c r="O305" s="0" t="n">
        <v>0.15</v>
      </c>
      <c r="P305" s="0" t="n">
        <v>0.7</v>
      </c>
      <c r="Q305" s="0" t="n">
        <v>0</v>
      </c>
      <c r="R305" s="0" t="n">
        <v>0.5</v>
      </c>
      <c r="S305" s="0" t="n">
        <v>0.6</v>
      </c>
      <c r="T305" s="0" t="n">
        <v>0</v>
      </c>
    </row>
    <row r="306" customFormat="false" ht="12.75" hidden="false" customHeight="false" outlineLevel="0" collapsed="false">
      <c r="A306" s="317" t="n">
        <v>46266</v>
      </c>
      <c r="B306" s="141" t="n">
        <v>0</v>
      </c>
      <c r="C306" s="141" t="n">
        <v>0.55</v>
      </c>
      <c r="D306" s="0" t="n">
        <v>0.55</v>
      </c>
      <c r="E306" s="0" t="n">
        <v>0.55</v>
      </c>
      <c r="F306" s="0" t="n">
        <v>0.55</v>
      </c>
      <c r="G306" s="0" t="n">
        <v>0.6</v>
      </c>
      <c r="H306" s="0" t="n">
        <v>0.6</v>
      </c>
      <c r="I306" s="0" t="n">
        <v>0.55</v>
      </c>
      <c r="J306" s="0" t="n">
        <v>0.5</v>
      </c>
      <c r="K306" s="0" t="n">
        <v>0</v>
      </c>
      <c r="L306" s="0" t="n">
        <v>0.6</v>
      </c>
      <c r="M306" s="0" t="n">
        <v>0.55</v>
      </c>
      <c r="N306" s="0" t="n">
        <v>0.6</v>
      </c>
      <c r="O306" s="0" t="n">
        <v>0.15</v>
      </c>
      <c r="P306" s="0" t="n">
        <v>0.65</v>
      </c>
      <c r="Q306" s="0" t="n">
        <v>0</v>
      </c>
      <c r="R306" s="0" t="n">
        <v>0.55</v>
      </c>
      <c r="S306" s="0" t="n">
        <v>0.55</v>
      </c>
      <c r="T306" s="0" t="n">
        <v>0</v>
      </c>
    </row>
    <row r="307" customFormat="false" ht="12.75" hidden="false" customHeight="false" outlineLevel="0" collapsed="false">
      <c r="A307" s="317" t="n">
        <v>46296</v>
      </c>
      <c r="B307" s="141" t="n">
        <v>0</v>
      </c>
      <c r="C307" s="141" t="n">
        <v>0.6</v>
      </c>
      <c r="D307" s="0" t="n">
        <v>0.55</v>
      </c>
      <c r="E307" s="0" t="n">
        <v>0.6</v>
      </c>
      <c r="F307" s="0" t="n">
        <v>0.6</v>
      </c>
      <c r="G307" s="0" t="n">
        <v>0.65</v>
      </c>
      <c r="H307" s="0" t="n">
        <v>0.65</v>
      </c>
      <c r="I307" s="0" t="n">
        <v>0.6</v>
      </c>
      <c r="J307" s="0" t="n">
        <v>0.5</v>
      </c>
      <c r="K307" s="0" t="n">
        <v>0</v>
      </c>
      <c r="L307" s="0" t="n">
        <v>0.65</v>
      </c>
      <c r="M307" s="0" t="n">
        <v>0.6</v>
      </c>
      <c r="N307" s="0" t="n">
        <v>0.65</v>
      </c>
      <c r="O307" s="0" t="n">
        <v>0.15</v>
      </c>
      <c r="P307" s="0" t="n">
        <v>0.7</v>
      </c>
      <c r="Q307" s="0" t="n">
        <v>0</v>
      </c>
      <c r="R307" s="0" t="n">
        <v>0.55</v>
      </c>
      <c r="S307" s="0" t="n">
        <v>0.6</v>
      </c>
      <c r="T307" s="0" t="n">
        <v>0</v>
      </c>
    </row>
    <row r="308" customFormat="false" ht="12.75" hidden="false" customHeight="false" outlineLevel="0" collapsed="false">
      <c r="A308" s="317" t="n">
        <v>46327</v>
      </c>
      <c r="B308" s="141" t="n">
        <v>0</v>
      </c>
      <c r="C308" s="141" t="n">
        <v>0.85</v>
      </c>
      <c r="D308" s="0" t="n">
        <v>0.8</v>
      </c>
      <c r="E308" s="0" t="n">
        <v>0.8</v>
      </c>
      <c r="F308" s="0" t="n">
        <v>0.9</v>
      </c>
      <c r="G308" s="0" t="n">
        <v>0.95</v>
      </c>
      <c r="H308" s="0" t="n">
        <v>0.85</v>
      </c>
      <c r="I308" s="0" t="n">
        <v>0.8</v>
      </c>
      <c r="J308" s="0" t="n">
        <v>0.95</v>
      </c>
      <c r="K308" s="0" t="n">
        <v>0</v>
      </c>
      <c r="L308" s="0" t="n">
        <v>0.8</v>
      </c>
      <c r="M308" s="0" t="n">
        <v>0.8</v>
      </c>
      <c r="N308" s="0" t="n">
        <v>0.95</v>
      </c>
      <c r="O308" s="0" t="n">
        <v>0.15</v>
      </c>
      <c r="P308" s="0" t="n">
        <v>0.9</v>
      </c>
      <c r="Q308" s="0" t="n">
        <v>0</v>
      </c>
      <c r="R308" s="0" t="n">
        <v>0.8</v>
      </c>
      <c r="S308" s="0" t="n">
        <v>0.8</v>
      </c>
      <c r="T308" s="0" t="n">
        <v>0</v>
      </c>
    </row>
    <row r="309" customFormat="false" ht="12.75" hidden="false" customHeight="false" outlineLevel="0" collapsed="false">
      <c r="A309" s="317" t="n">
        <v>46357</v>
      </c>
      <c r="B309" s="141" t="n">
        <v>0</v>
      </c>
      <c r="C309" s="141" t="n">
        <v>1.05</v>
      </c>
      <c r="D309" s="0" t="n">
        <v>1</v>
      </c>
      <c r="E309" s="0" t="n">
        <v>1</v>
      </c>
      <c r="F309" s="0" t="n">
        <v>1.15</v>
      </c>
      <c r="G309" s="0" t="n">
        <v>1.25</v>
      </c>
      <c r="H309" s="0" t="n">
        <v>1.05</v>
      </c>
      <c r="I309" s="0" t="n">
        <v>1</v>
      </c>
      <c r="J309" s="0" t="n">
        <v>1.35</v>
      </c>
      <c r="K309" s="0" t="n">
        <v>0</v>
      </c>
      <c r="L309" s="0" t="n">
        <v>1.1</v>
      </c>
      <c r="M309" s="0" t="n">
        <v>1</v>
      </c>
      <c r="N309" s="0" t="n">
        <v>1.25</v>
      </c>
      <c r="O309" s="0" t="n">
        <v>0.15</v>
      </c>
      <c r="P309" s="0" t="n">
        <v>1.1</v>
      </c>
      <c r="Q309" s="0" t="n">
        <v>0</v>
      </c>
      <c r="R309" s="0" t="n">
        <v>1</v>
      </c>
      <c r="S309" s="0" t="n">
        <v>1</v>
      </c>
      <c r="T309" s="0" t="n">
        <v>0</v>
      </c>
    </row>
    <row r="310" customFormat="false" ht="12.75" hidden="false" customHeight="false" outlineLevel="0" collapsed="false">
      <c r="A310" s="317" t="n">
        <v>46388</v>
      </c>
      <c r="B310" s="141" t="n">
        <v>0</v>
      </c>
      <c r="C310" s="141" t="n">
        <v>1.05</v>
      </c>
      <c r="D310" s="0" t="n">
        <v>1</v>
      </c>
      <c r="E310" s="0" t="n">
        <v>1</v>
      </c>
      <c r="F310" s="0" t="n">
        <v>1.15</v>
      </c>
      <c r="G310" s="0" t="n">
        <v>1.45</v>
      </c>
      <c r="H310" s="0" t="n">
        <v>1.05</v>
      </c>
      <c r="I310" s="0" t="n">
        <v>1</v>
      </c>
      <c r="J310" s="0" t="n">
        <v>1.35</v>
      </c>
      <c r="K310" s="0" t="n">
        <v>0</v>
      </c>
      <c r="L310" s="0" t="n">
        <v>1.1</v>
      </c>
      <c r="M310" s="0" t="n">
        <v>1</v>
      </c>
      <c r="N310" s="0" t="n">
        <v>1.45</v>
      </c>
      <c r="O310" s="0" t="n">
        <v>0.15</v>
      </c>
      <c r="P310" s="0" t="n">
        <v>1.1</v>
      </c>
      <c r="Q310" s="0" t="n">
        <v>0</v>
      </c>
      <c r="R310" s="0" t="n">
        <v>1</v>
      </c>
      <c r="S310" s="0" t="n">
        <v>1</v>
      </c>
      <c r="T310" s="0" t="n">
        <v>0</v>
      </c>
    </row>
    <row r="311" customFormat="false" ht="12.75" hidden="false" customHeight="false" outlineLevel="0" collapsed="false">
      <c r="A311" s="317" t="n">
        <v>46419</v>
      </c>
      <c r="B311" s="141" t="n">
        <v>0</v>
      </c>
      <c r="C311" s="141" t="n">
        <v>1.05</v>
      </c>
      <c r="D311" s="0" t="n">
        <v>1</v>
      </c>
      <c r="E311" s="0" t="n">
        <v>1</v>
      </c>
      <c r="F311" s="0" t="n">
        <v>1.15</v>
      </c>
      <c r="G311" s="0" t="n">
        <v>1.45</v>
      </c>
      <c r="H311" s="0" t="n">
        <v>1.05</v>
      </c>
      <c r="I311" s="0" t="n">
        <v>1</v>
      </c>
      <c r="J311" s="0" t="n">
        <v>1.35</v>
      </c>
      <c r="K311" s="0" t="n">
        <v>0</v>
      </c>
      <c r="L311" s="0" t="n">
        <v>1.1</v>
      </c>
      <c r="M311" s="0" t="n">
        <v>1</v>
      </c>
      <c r="N311" s="0" t="n">
        <v>1.45</v>
      </c>
      <c r="O311" s="0" t="n">
        <v>0.15</v>
      </c>
      <c r="P311" s="0" t="n">
        <v>1.1</v>
      </c>
      <c r="Q311" s="0" t="n">
        <v>0</v>
      </c>
      <c r="R311" s="0" t="n">
        <v>1</v>
      </c>
      <c r="S311" s="0" t="n">
        <v>1</v>
      </c>
      <c r="T311" s="0" t="n">
        <v>0</v>
      </c>
    </row>
    <row r="312" customFormat="false" ht="12.75" hidden="false" customHeight="false" outlineLevel="0" collapsed="false">
      <c r="A312" s="317" t="n">
        <v>46447</v>
      </c>
      <c r="B312" s="141" t="n">
        <v>0</v>
      </c>
      <c r="C312" s="141" t="n">
        <v>0.8</v>
      </c>
      <c r="D312" s="0" t="n">
        <v>0.75</v>
      </c>
      <c r="E312" s="0" t="n">
        <v>0.75</v>
      </c>
      <c r="F312" s="0" t="n">
        <v>0.85</v>
      </c>
      <c r="G312" s="0" t="n">
        <v>1</v>
      </c>
      <c r="H312" s="0" t="n">
        <v>0.75</v>
      </c>
      <c r="I312" s="0" t="n">
        <v>0.75</v>
      </c>
      <c r="J312" s="0" t="n">
        <v>0.95</v>
      </c>
      <c r="K312" s="0" t="n">
        <v>0</v>
      </c>
      <c r="L312" s="0" t="n">
        <v>0.75</v>
      </c>
      <c r="M312" s="0" t="n">
        <v>0.75</v>
      </c>
      <c r="N312" s="0" t="n">
        <v>1</v>
      </c>
      <c r="O312" s="0" t="n">
        <v>0.15</v>
      </c>
      <c r="P312" s="0" t="n">
        <v>0.85</v>
      </c>
      <c r="Q312" s="0" t="n">
        <v>0</v>
      </c>
      <c r="R312" s="0" t="n">
        <v>0.75</v>
      </c>
      <c r="S312" s="0" t="n">
        <v>0.75</v>
      </c>
      <c r="T312" s="0" t="n">
        <v>0</v>
      </c>
    </row>
    <row r="313" customFormat="false" ht="12.75" hidden="false" customHeight="false" outlineLevel="0" collapsed="false">
      <c r="A313" s="317" t="n">
        <v>46478</v>
      </c>
      <c r="B313" s="141" t="n">
        <v>0</v>
      </c>
      <c r="C313" s="141" t="n">
        <v>0.45</v>
      </c>
      <c r="D313" s="0" t="n">
        <v>0.4</v>
      </c>
      <c r="E313" s="0" t="n">
        <v>0.45</v>
      </c>
      <c r="F313" s="0" t="n">
        <v>0.45</v>
      </c>
      <c r="G313" s="0" t="n">
        <v>0.45</v>
      </c>
      <c r="H313" s="0" t="n">
        <v>0.45</v>
      </c>
      <c r="I313" s="0" t="n">
        <v>0.45</v>
      </c>
      <c r="J313" s="0" t="n">
        <v>0.5</v>
      </c>
      <c r="K313" s="0" t="n">
        <v>0</v>
      </c>
      <c r="L313" s="0" t="n">
        <v>0.45</v>
      </c>
      <c r="M313" s="0" t="n">
        <v>0.4</v>
      </c>
      <c r="N313" s="0" t="n">
        <v>0.45</v>
      </c>
      <c r="O313" s="0" t="n">
        <v>0.15</v>
      </c>
      <c r="P313" s="0" t="n">
        <v>0.55</v>
      </c>
      <c r="Q313" s="0" t="n">
        <v>0</v>
      </c>
      <c r="R313" s="0" t="n">
        <v>0.4</v>
      </c>
      <c r="S313" s="0" t="n">
        <v>0.45</v>
      </c>
      <c r="T313" s="0" t="n">
        <v>0</v>
      </c>
    </row>
    <row r="314" customFormat="false" ht="12.75" hidden="false" customHeight="false" outlineLevel="0" collapsed="false">
      <c r="A314" s="317" t="n">
        <v>46508</v>
      </c>
      <c r="B314" s="141" t="n">
        <v>0</v>
      </c>
      <c r="C314" s="141" t="n">
        <v>0.5</v>
      </c>
      <c r="D314" s="0" t="n">
        <v>0.4</v>
      </c>
      <c r="E314" s="0" t="n">
        <v>0.4</v>
      </c>
      <c r="F314" s="0" t="n">
        <v>0.45</v>
      </c>
      <c r="G314" s="0" t="n">
        <v>0.5</v>
      </c>
      <c r="H314" s="0" t="n">
        <v>0.45</v>
      </c>
      <c r="I314" s="0" t="n">
        <v>0.4</v>
      </c>
      <c r="J314" s="0" t="n">
        <v>0.45</v>
      </c>
      <c r="K314" s="0" t="n">
        <v>0</v>
      </c>
      <c r="L314" s="0" t="n">
        <v>0.5</v>
      </c>
      <c r="M314" s="0" t="n">
        <v>0.45</v>
      </c>
      <c r="N314" s="0" t="n">
        <v>0.5</v>
      </c>
      <c r="O314" s="0" t="n">
        <v>0.15</v>
      </c>
      <c r="P314" s="0" t="n">
        <v>0.5</v>
      </c>
      <c r="Q314" s="0" t="n">
        <v>0</v>
      </c>
      <c r="R314" s="0" t="n">
        <v>0.4</v>
      </c>
      <c r="S314" s="0" t="n">
        <v>0.4</v>
      </c>
      <c r="T314" s="0" t="n">
        <v>0</v>
      </c>
    </row>
    <row r="315" customFormat="false" ht="12.75" hidden="false" customHeight="false" outlineLevel="0" collapsed="false">
      <c r="A315" s="317" t="n">
        <v>46539</v>
      </c>
      <c r="B315" s="141" t="n">
        <v>0</v>
      </c>
      <c r="C315" s="141" t="n">
        <v>0.5</v>
      </c>
      <c r="D315" s="0" t="n">
        <v>0.4</v>
      </c>
      <c r="E315" s="0" t="n">
        <v>0.5</v>
      </c>
      <c r="F315" s="0" t="n">
        <v>0.45</v>
      </c>
      <c r="G315" s="0" t="n">
        <v>0.5</v>
      </c>
      <c r="H315" s="0" t="n">
        <v>0.5</v>
      </c>
      <c r="I315" s="0" t="n">
        <v>0.5</v>
      </c>
      <c r="J315" s="0" t="n">
        <v>0.5</v>
      </c>
      <c r="K315" s="0" t="n">
        <v>0</v>
      </c>
      <c r="L315" s="0" t="n">
        <v>0.5</v>
      </c>
      <c r="M315" s="0" t="n">
        <v>0.45</v>
      </c>
      <c r="N315" s="0" t="n">
        <v>0.5</v>
      </c>
      <c r="O315" s="0" t="n">
        <v>0.15</v>
      </c>
      <c r="P315" s="0" t="n">
        <v>0.6</v>
      </c>
      <c r="Q315" s="0" t="n">
        <v>0</v>
      </c>
      <c r="R315" s="0" t="n">
        <v>0.4</v>
      </c>
      <c r="S315" s="0" t="n">
        <v>0.5</v>
      </c>
      <c r="T315" s="0" t="n">
        <v>0</v>
      </c>
    </row>
    <row r="316" customFormat="false" ht="12.75" hidden="false" customHeight="false" outlineLevel="0" collapsed="false">
      <c r="A316" s="317" t="n">
        <v>46569</v>
      </c>
      <c r="B316" s="141" t="n">
        <v>0</v>
      </c>
      <c r="C316" s="141" t="n">
        <v>0.5</v>
      </c>
      <c r="D316" s="0" t="n">
        <v>0.4</v>
      </c>
      <c r="E316" s="0" t="n">
        <v>0.5</v>
      </c>
      <c r="F316" s="0" t="n">
        <v>0.5</v>
      </c>
      <c r="G316" s="0" t="n">
        <v>0.5</v>
      </c>
      <c r="H316" s="0" t="n">
        <v>0.5</v>
      </c>
      <c r="I316" s="0" t="n">
        <v>0.5</v>
      </c>
      <c r="J316" s="0" t="n">
        <v>0.5</v>
      </c>
      <c r="K316" s="0" t="n">
        <v>0</v>
      </c>
      <c r="L316" s="0" t="n">
        <v>0.55</v>
      </c>
      <c r="M316" s="0" t="n">
        <v>0.5</v>
      </c>
      <c r="N316" s="0" t="n">
        <v>0.5</v>
      </c>
      <c r="O316" s="0" t="n">
        <v>0.15</v>
      </c>
      <c r="P316" s="0" t="n">
        <v>0.6</v>
      </c>
      <c r="Q316" s="0" t="n">
        <v>0</v>
      </c>
      <c r="R316" s="0" t="n">
        <v>0.4</v>
      </c>
      <c r="S316" s="0" t="n">
        <v>0.5</v>
      </c>
      <c r="T316" s="0" t="n">
        <v>0</v>
      </c>
    </row>
    <row r="317" customFormat="false" ht="12.75" hidden="false" customHeight="false" outlineLevel="0" collapsed="false">
      <c r="A317" s="317" t="n">
        <v>46600</v>
      </c>
      <c r="B317" s="141" t="n">
        <v>0</v>
      </c>
      <c r="C317" s="141" t="n">
        <v>0.55</v>
      </c>
      <c r="D317" s="0" t="n">
        <v>0.5</v>
      </c>
      <c r="E317" s="0" t="n">
        <v>0.6</v>
      </c>
      <c r="F317" s="0" t="n">
        <v>0.55</v>
      </c>
      <c r="G317" s="0" t="n">
        <v>0.6</v>
      </c>
      <c r="H317" s="0" t="n">
        <v>0.55</v>
      </c>
      <c r="I317" s="0" t="n">
        <v>0.6</v>
      </c>
      <c r="J317" s="0" t="n">
        <v>0.45</v>
      </c>
      <c r="K317" s="0" t="n">
        <v>0</v>
      </c>
      <c r="L317" s="0" t="n">
        <v>0.6</v>
      </c>
      <c r="M317" s="0" t="n">
        <v>0.55</v>
      </c>
      <c r="N317" s="0" t="n">
        <v>0.6</v>
      </c>
      <c r="O317" s="0" t="n">
        <v>0.15</v>
      </c>
      <c r="P317" s="0" t="n">
        <v>0.7</v>
      </c>
      <c r="Q317" s="0" t="n">
        <v>0</v>
      </c>
      <c r="R317" s="0" t="n">
        <v>0.5</v>
      </c>
      <c r="S317" s="0" t="n">
        <v>0.6</v>
      </c>
      <c r="T317" s="0" t="n">
        <v>0</v>
      </c>
    </row>
    <row r="318" customFormat="false" ht="12.75" hidden="false" customHeight="false" outlineLevel="0" collapsed="false">
      <c r="A318" s="317" t="n">
        <v>46631</v>
      </c>
      <c r="B318" s="141" t="n">
        <v>0</v>
      </c>
      <c r="C318" s="141" t="n">
        <v>0.55</v>
      </c>
      <c r="D318" s="0" t="n">
        <v>0.55</v>
      </c>
      <c r="E318" s="0" t="n">
        <v>0.55</v>
      </c>
      <c r="F318" s="0" t="n">
        <v>0.55</v>
      </c>
      <c r="G318" s="0" t="n">
        <v>0.6</v>
      </c>
      <c r="H318" s="0" t="n">
        <v>0.6</v>
      </c>
      <c r="I318" s="0" t="n">
        <v>0.55</v>
      </c>
      <c r="J318" s="0" t="n">
        <v>0.5</v>
      </c>
      <c r="K318" s="0" t="n">
        <v>0</v>
      </c>
      <c r="L318" s="0" t="n">
        <v>0.6</v>
      </c>
      <c r="M318" s="0" t="n">
        <v>0.55</v>
      </c>
      <c r="N318" s="0" t="n">
        <v>0.6</v>
      </c>
      <c r="O318" s="0" t="n">
        <v>0.15</v>
      </c>
      <c r="P318" s="0" t="n">
        <v>0.65</v>
      </c>
      <c r="Q318" s="0" t="n">
        <v>0</v>
      </c>
      <c r="R318" s="0" t="n">
        <v>0.55</v>
      </c>
      <c r="S318" s="0" t="n">
        <v>0.55</v>
      </c>
      <c r="T318" s="0" t="n">
        <v>0</v>
      </c>
    </row>
    <row r="319" customFormat="false" ht="12.75" hidden="false" customHeight="false" outlineLevel="0" collapsed="false">
      <c r="A319" s="317" t="n">
        <v>46661</v>
      </c>
      <c r="B319" s="141" t="n">
        <v>0</v>
      </c>
      <c r="C319" s="141" t="n">
        <v>0.6</v>
      </c>
      <c r="D319" s="0" t="n">
        <v>0.55</v>
      </c>
      <c r="E319" s="0" t="n">
        <v>0.6</v>
      </c>
      <c r="F319" s="0" t="n">
        <v>0.6</v>
      </c>
      <c r="G319" s="0" t="n">
        <v>0.65</v>
      </c>
      <c r="H319" s="0" t="n">
        <v>0.65</v>
      </c>
      <c r="I319" s="0" t="n">
        <v>0.6</v>
      </c>
      <c r="J319" s="0" t="n">
        <v>0.5</v>
      </c>
      <c r="K319" s="0" t="n">
        <v>0</v>
      </c>
      <c r="L319" s="0" t="n">
        <v>0.65</v>
      </c>
      <c r="M319" s="0" t="n">
        <v>0.6</v>
      </c>
      <c r="N319" s="0" t="n">
        <v>0.65</v>
      </c>
      <c r="O319" s="0" t="n">
        <v>0.15</v>
      </c>
      <c r="P319" s="0" t="n">
        <v>0.7</v>
      </c>
      <c r="Q319" s="0" t="n">
        <v>0</v>
      </c>
      <c r="R319" s="0" t="n">
        <v>0.55</v>
      </c>
      <c r="S319" s="0" t="n">
        <v>0.6</v>
      </c>
      <c r="T319" s="0" t="n">
        <v>0</v>
      </c>
    </row>
    <row r="320" customFormat="false" ht="12.75" hidden="false" customHeight="false" outlineLevel="0" collapsed="false">
      <c r="A320" s="317" t="n">
        <v>46692</v>
      </c>
      <c r="B320" s="141" t="n">
        <v>0</v>
      </c>
      <c r="C320" s="141" t="n">
        <v>0.85</v>
      </c>
      <c r="D320" s="0" t="n">
        <v>0.8</v>
      </c>
      <c r="E320" s="0" t="n">
        <v>0.8</v>
      </c>
      <c r="F320" s="0" t="n">
        <v>0.9</v>
      </c>
      <c r="G320" s="0" t="n">
        <v>0.95</v>
      </c>
      <c r="H320" s="0" t="n">
        <v>0.85</v>
      </c>
      <c r="I320" s="0" t="n">
        <v>0.8</v>
      </c>
      <c r="J320" s="0" t="n">
        <v>0.95</v>
      </c>
      <c r="K320" s="0" t="n">
        <v>0</v>
      </c>
      <c r="L320" s="0" t="n">
        <v>0.8</v>
      </c>
      <c r="M320" s="0" t="n">
        <v>0.8</v>
      </c>
      <c r="N320" s="0" t="n">
        <v>0.95</v>
      </c>
      <c r="O320" s="0" t="n">
        <v>0.15</v>
      </c>
      <c r="P320" s="0" t="n">
        <v>0.9</v>
      </c>
      <c r="Q320" s="0" t="n">
        <v>0</v>
      </c>
      <c r="R320" s="0" t="n">
        <v>0.8</v>
      </c>
      <c r="S320" s="0" t="n">
        <v>0.8</v>
      </c>
      <c r="T320" s="0" t="n">
        <v>0</v>
      </c>
    </row>
    <row r="321" customFormat="false" ht="12.75" hidden="false" customHeight="false" outlineLevel="0" collapsed="false">
      <c r="A321" s="317" t="n">
        <v>46722</v>
      </c>
      <c r="B321" s="141" t="n">
        <v>0</v>
      </c>
      <c r="C321" s="141" t="n">
        <v>1.05</v>
      </c>
      <c r="D321" s="0" t="n">
        <v>1</v>
      </c>
      <c r="E321" s="0" t="n">
        <v>1</v>
      </c>
      <c r="F321" s="0" t="n">
        <v>1.15</v>
      </c>
      <c r="G321" s="0" t="n">
        <v>1.25</v>
      </c>
      <c r="H321" s="0" t="n">
        <v>1.05</v>
      </c>
      <c r="I321" s="0" t="n">
        <v>1</v>
      </c>
      <c r="J321" s="0" t="n">
        <v>1.35</v>
      </c>
      <c r="K321" s="0" t="n">
        <v>0</v>
      </c>
      <c r="L321" s="0" t="n">
        <v>1.1</v>
      </c>
      <c r="M321" s="0" t="n">
        <v>1</v>
      </c>
      <c r="N321" s="0" t="n">
        <v>1.25</v>
      </c>
      <c r="O321" s="0" t="n">
        <v>0.15</v>
      </c>
      <c r="P321" s="0" t="n">
        <v>1.1</v>
      </c>
      <c r="Q321" s="0" t="n">
        <v>0</v>
      </c>
      <c r="R321" s="0" t="n">
        <v>1</v>
      </c>
      <c r="S321" s="0" t="n">
        <v>1</v>
      </c>
      <c r="T321" s="0" t="n">
        <v>0</v>
      </c>
    </row>
    <row r="322" customFormat="false" ht="12.75" hidden="false" customHeight="false" outlineLevel="0" collapsed="false">
      <c r="A322" s="317"/>
      <c r="B322" s="325" t="n">
        <v>0</v>
      </c>
      <c r="C322" s="325" t="n">
        <v>1.05</v>
      </c>
      <c r="D322" s="325" t="n">
        <v>1</v>
      </c>
      <c r="E322" s="325" t="n">
        <v>1</v>
      </c>
      <c r="F322" s="325" t="n">
        <v>1.15</v>
      </c>
      <c r="G322" s="325" t="n">
        <v>1.25</v>
      </c>
      <c r="H322" s="325" t="n">
        <v>1.05</v>
      </c>
      <c r="I322" s="325" t="n">
        <v>1</v>
      </c>
      <c r="J322" s="325" t="n">
        <v>1.35</v>
      </c>
      <c r="K322" s="325" t="n">
        <v>0.65</v>
      </c>
      <c r="L322" s="325" t="n">
        <v>1.1</v>
      </c>
      <c r="M322" s="325" t="n">
        <v>1</v>
      </c>
      <c r="N322" s="0" t="n">
        <v>1.25</v>
      </c>
      <c r="O322" s="0" t="n">
        <v>0.15</v>
      </c>
      <c r="P322" s="0" t="n">
        <v>1.1</v>
      </c>
      <c r="Q322" s="0" t="n">
        <v>0</v>
      </c>
    </row>
    <row r="323" customFormat="false" ht="12.75" hidden="false" customHeight="false" outlineLevel="0" collapsed="false">
      <c r="A323" s="317"/>
      <c r="B323" s="325"/>
      <c r="C323" s="325"/>
      <c r="D323" s="325"/>
      <c r="E323" s="325"/>
      <c r="F323" s="325"/>
      <c r="G323" s="325"/>
      <c r="H323" s="325"/>
      <c r="I323" s="325"/>
      <c r="J323" s="325"/>
      <c r="K323" s="325"/>
      <c r="L323" s="325"/>
      <c r="M323" s="325"/>
    </row>
    <row r="324" customFormat="false" ht="12.75" hidden="false" customHeight="false" outlineLevel="0" collapsed="false">
      <c r="A324" s="317"/>
      <c r="B324" s="325"/>
      <c r="C324" s="325"/>
      <c r="D324" s="325"/>
      <c r="E324" s="325"/>
      <c r="F324" s="325"/>
      <c r="G324" s="325"/>
      <c r="H324" s="325"/>
      <c r="I324" s="325"/>
      <c r="J324" s="325"/>
      <c r="K324" s="325"/>
      <c r="L324" s="325"/>
      <c r="M324" s="3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297" activePane="bottomRight" state="frozen"/>
      <selection pane="topLeft" activeCell="A1" activeCellId="0" sqref="A1"/>
      <selection pane="topRight" activeCell="B1" activeCellId="0" sqref="B1"/>
      <selection pane="bottomLeft" activeCell="A297" activeCellId="0" sqref="A297"/>
      <selection pane="bottomRight" activeCell="B9" activeCellId="0" sqref="B9:B3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0" width="14.85"/>
    <col collapsed="false" customWidth="true" hidden="false" outlineLevel="0" max="3" min="3" style="0" width="14.7"/>
    <col collapsed="false" customWidth="true" hidden="false" outlineLevel="0" max="4" min="4" style="0" width="15.99"/>
    <col collapsed="false" customWidth="true" hidden="false" outlineLevel="0" max="5" min="5" style="0" width="17.14"/>
    <col collapsed="false" customWidth="true" hidden="false" outlineLevel="0" max="6" min="6" style="0" width="13.56"/>
    <col collapsed="false" customWidth="true" hidden="false" outlineLevel="0" max="8" min="7" style="0" width="13.7"/>
    <col collapsed="false" customWidth="true" hidden="false" outlineLevel="0" max="9" min="9" style="0" width="15.41"/>
    <col collapsed="false" customWidth="true" hidden="false" outlineLevel="0" max="10" min="10" style="0" width="15.56"/>
    <col collapsed="false" customWidth="true" hidden="false" outlineLevel="0" max="11" min="11" style="0" width="16.7"/>
    <col collapsed="false" customWidth="true" hidden="false" outlineLevel="0" max="12" min="12" style="0" width="19.56"/>
    <col collapsed="false" customWidth="true" hidden="false" outlineLevel="0" max="13" min="13" style="0" width="18.99"/>
  </cols>
  <sheetData>
    <row r="1" customFormat="false" ht="12.75" hidden="false" customHeight="false" outlineLevel="0" collapsed="false">
      <c r="A1" s="307"/>
      <c r="B1" s="307"/>
      <c r="C1" s="307"/>
      <c r="D1" s="307"/>
      <c r="E1" s="307"/>
      <c r="F1" s="307"/>
      <c r="G1" s="307"/>
      <c r="H1" s="307"/>
    </row>
    <row r="4" customFormat="false" ht="12.75" hidden="false" customHeight="false" outlineLevel="0" collapsed="false">
      <c r="B4" s="9" t="s">
        <v>84</v>
      </c>
      <c r="C4" s="9" t="s">
        <v>16</v>
      </c>
      <c r="D4" s="9" t="s">
        <v>26</v>
      </c>
      <c r="E4" s="9" t="s">
        <v>116</v>
      </c>
      <c r="F4" s="9" t="s">
        <v>41</v>
      </c>
      <c r="G4" s="9" t="s">
        <v>81</v>
      </c>
      <c r="H4" s="9" t="s">
        <v>21</v>
      </c>
      <c r="I4" s="9" t="s">
        <v>28</v>
      </c>
      <c r="J4" s="9"/>
      <c r="K4" s="9"/>
      <c r="L4" s="9" t="s">
        <v>30</v>
      </c>
      <c r="M4" s="9"/>
      <c r="N4" s="9" t="s">
        <v>35</v>
      </c>
      <c r="O4" s="9" t="s">
        <v>33</v>
      </c>
      <c r="P4" s="9" t="s">
        <v>32</v>
      </c>
      <c r="Q4" s="9" t="s">
        <v>39</v>
      </c>
    </row>
    <row r="5" customFormat="false" ht="12.75" hidden="false" customHeight="false" outlineLevel="0" collapsed="false">
      <c r="B5" s="0" t="n">
        <v>2</v>
      </c>
      <c r="C5" s="0" t="n">
        <f aca="false">B5+1</f>
        <v>3</v>
      </c>
      <c r="D5" s="0" t="n">
        <f aca="false">C5+1</f>
        <v>4</v>
      </c>
      <c r="E5" s="0" t="n">
        <f aca="false">D5+1</f>
        <v>5</v>
      </c>
      <c r="F5" s="0" t="n">
        <f aca="false">E5+1</f>
        <v>6</v>
      </c>
      <c r="G5" s="0" t="n">
        <f aca="false">F5+1</f>
        <v>7</v>
      </c>
      <c r="H5" s="0" t="n">
        <f aca="false">G5+1</f>
        <v>8</v>
      </c>
      <c r="I5" s="0" t="n">
        <f aca="false">H5+1</f>
        <v>9</v>
      </c>
      <c r="J5" s="0" t="n">
        <f aca="false">I5+1</f>
        <v>10</v>
      </c>
      <c r="K5" s="0" t="n">
        <f aca="false">J5+1</f>
        <v>11</v>
      </c>
      <c r="L5" s="0" t="n">
        <f aca="false">K5+1</f>
        <v>12</v>
      </c>
      <c r="M5" s="0" t="n">
        <f aca="false">L5+1</f>
        <v>13</v>
      </c>
      <c r="N5" s="0" t="n">
        <f aca="false">M5+1</f>
        <v>14</v>
      </c>
      <c r="O5" s="0" t="n">
        <f aca="false">N5+1</f>
        <v>15</v>
      </c>
      <c r="P5" s="0" t="n">
        <f aca="false">O5+1</f>
        <v>16</v>
      </c>
      <c r="Q5" s="0" t="n">
        <f aca="false">P5+1</f>
        <v>17</v>
      </c>
    </row>
    <row r="6" customFormat="false" ht="13.5" hidden="false" customHeight="false" outlineLevel="0" collapsed="false">
      <c r="B6" s="0" t="s">
        <v>275</v>
      </c>
      <c r="C6" s="0" t="s">
        <v>276</v>
      </c>
      <c r="D6" s="0" t="s">
        <v>277</v>
      </c>
      <c r="E6" s="0" t="s">
        <v>278</v>
      </c>
      <c r="F6" s="0" t="s">
        <v>279</v>
      </c>
      <c r="G6" s="0" t="s">
        <v>280</v>
      </c>
      <c r="H6" s="0" t="s">
        <v>281</v>
      </c>
      <c r="I6" s="0" t="s">
        <v>282</v>
      </c>
      <c r="J6" s="0" t="s">
        <v>283</v>
      </c>
      <c r="K6" s="0" t="s">
        <v>284</v>
      </c>
      <c r="L6" s="0" t="s">
        <v>285</v>
      </c>
      <c r="M6" s="0" t="s">
        <v>286</v>
      </c>
      <c r="N6" s="0" t="s">
        <v>287</v>
      </c>
    </row>
    <row r="7" customFormat="false" ht="12.75" hidden="false" customHeight="false" outlineLevel="0" collapsed="false">
      <c r="A7" s="319"/>
      <c r="B7" s="320"/>
      <c r="C7" s="321"/>
      <c r="D7" s="321"/>
      <c r="E7" s="321"/>
      <c r="F7" s="321"/>
      <c r="G7" s="321"/>
      <c r="H7" s="321"/>
      <c r="I7" s="321"/>
      <c r="J7" s="321"/>
      <c r="K7" s="321"/>
      <c r="L7" s="321"/>
      <c r="M7" s="321"/>
    </row>
    <row r="8" customFormat="false" ht="12.75" hidden="false" customHeight="false" outlineLevel="0" collapsed="false">
      <c r="A8" s="322"/>
      <c r="B8" s="323"/>
      <c r="C8" s="323"/>
      <c r="D8" s="323"/>
      <c r="E8" s="323"/>
      <c r="F8" s="323"/>
      <c r="G8" s="323"/>
      <c r="H8" s="323"/>
      <c r="I8" s="323"/>
      <c r="J8" s="323"/>
      <c r="K8" s="323"/>
      <c r="L8" s="323"/>
      <c r="M8" s="323"/>
    </row>
    <row r="9" customFormat="false" ht="12.75" hidden="false" customHeight="false" outlineLevel="0" collapsed="false">
      <c r="A9" s="324" t="n">
        <v>37226</v>
      </c>
      <c r="B9" s="292" t="n">
        <f aca="false">STRADDLES!L31</f>
        <v>0.94</v>
      </c>
      <c r="C9" s="292" t="n">
        <f aca="false">'GAS DAILY VOL DOWNLOAD'!C9-'GAS DAILY VOL DOWNLOAD'!$B9+$B9</f>
        <v>0.965</v>
      </c>
      <c r="D9" s="292" t="n">
        <f aca="false">'GAS DAILY VOL DOWNLOAD'!D9-'GAS DAILY VOL DOWNLOAD'!$B9+$B9</f>
        <v>0.94</v>
      </c>
      <c r="E9" s="292" t="n">
        <f aca="false">'GAS DAILY VOL DOWNLOAD'!E9-'GAS DAILY VOL DOWNLOAD'!$B9+$B9</f>
        <v>0.94</v>
      </c>
      <c r="F9" s="292" t="n">
        <f aca="false">'GAS DAILY VOL DOWNLOAD'!F9-'GAS DAILY VOL DOWNLOAD'!$B9+$B9</f>
        <v>1.09</v>
      </c>
      <c r="G9" s="292" t="n">
        <f aca="false">'GAS DAILY VOL DOWNLOAD'!G9-'GAS DAILY VOL DOWNLOAD'!$B9+$B9</f>
        <v>1.19</v>
      </c>
      <c r="H9" s="292" t="n">
        <f aca="false">'GAS DAILY VOL DOWNLOAD'!H9-'GAS DAILY VOL DOWNLOAD'!$B9+$B9</f>
        <v>0.99</v>
      </c>
      <c r="I9" s="292" t="n">
        <f aca="false">'GAS DAILY VOL DOWNLOAD'!I9-'GAS DAILY VOL DOWNLOAD'!$B9+$B9</f>
        <v>0.94</v>
      </c>
      <c r="J9" s="292" t="n">
        <f aca="false">'GAS DAILY VOL DOWNLOAD'!J9-'GAS DAILY VOL DOWNLOAD'!$B9+$B9</f>
        <v>1.29</v>
      </c>
      <c r="K9" s="292" t="n">
        <f aca="false">'GAS DAILY VOL DOWNLOAD'!K9-'GAS DAILY VOL DOWNLOAD'!$B9+$B9</f>
        <v>0.94</v>
      </c>
      <c r="L9" s="292" t="n">
        <f aca="false">'GAS DAILY VOL DOWNLOAD'!L9-'GAS DAILY VOL DOWNLOAD'!$B9+$B9</f>
        <v>1.04</v>
      </c>
      <c r="M9" s="292" t="n">
        <f aca="false">'GAS DAILY VOL DOWNLOAD'!M9-'GAS DAILY VOL DOWNLOAD'!$B9+$B9</f>
        <v>0.94</v>
      </c>
      <c r="N9" s="292" t="n">
        <f aca="false">'GAS DAILY VOL DOWNLOAD'!N9-'GAS DAILY VOL DOWNLOAD'!$B9+$B9</f>
        <v>1.865</v>
      </c>
      <c r="O9" s="292" t="n">
        <f aca="false">'GAS DAILY VOL DOWNLOAD'!O9-'GAS DAILY VOL DOWNLOAD'!$B9+$B9</f>
        <v>1.09</v>
      </c>
      <c r="P9" s="292" t="n">
        <f aca="false">'GAS DAILY VOL DOWNLOAD'!P9-'GAS DAILY VOL DOWNLOAD'!$B9+$B9</f>
        <v>1.32</v>
      </c>
      <c r="Q9" s="292" t="n">
        <f aca="false">'GAS DAILY VOL DOWNLOAD'!Q9-'GAS DAILY VOL DOWNLOAD'!$B9+$B9</f>
        <v>1.94</v>
      </c>
    </row>
    <row r="10" customFormat="false" ht="12.75" hidden="false" customHeight="false" outlineLevel="0" collapsed="false">
      <c r="A10" s="324" t="n">
        <v>37257</v>
      </c>
      <c r="B10" s="292" t="n">
        <f aca="false">STRADDLES!L32</f>
        <v>0.99</v>
      </c>
      <c r="C10" s="292" t="n">
        <f aca="false">'GAS DAILY VOL DOWNLOAD'!C10-'GAS DAILY VOL DOWNLOAD'!$B10+$B10</f>
        <v>1.015</v>
      </c>
      <c r="D10" s="292" t="n">
        <f aca="false">'GAS DAILY VOL DOWNLOAD'!D10-'GAS DAILY VOL DOWNLOAD'!$B10+$B10</f>
        <v>0.99</v>
      </c>
      <c r="E10" s="292" t="n">
        <f aca="false">'GAS DAILY VOL DOWNLOAD'!E10-'GAS DAILY VOL DOWNLOAD'!$B10+$B10</f>
        <v>0.99</v>
      </c>
      <c r="F10" s="292" t="n">
        <f aca="false">'GAS DAILY VOL DOWNLOAD'!F10-'GAS DAILY VOL DOWNLOAD'!$B10+$B10</f>
        <v>1.14</v>
      </c>
      <c r="G10" s="292" t="n">
        <f aca="false">'GAS DAILY VOL DOWNLOAD'!G10-'GAS DAILY VOL DOWNLOAD'!$B10+$B10</f>
        <v>1.44</v>
      </c>
      <c r="H10" s="292" t="n">
        <f aca="false">'GAS DAILY VOL DOWNLOAD'!H10-'GAS DAILY VOL DOWNLOAD'!$B10+$B10</f>
        <v>1.04</v>
      </c>
      <c r="I10" s="292" t="n">
        <f aca="false">'GAS DAILY VOL DOWNLOAD'!I10-'GAS DAILY VOL DOWNLOAD'!$B10+$B10</f>
        <v>0.99</v>
      </c>
      <c r="J10" s="292" t="n">
        <f aca="false">'GAS DAILY VOL DOWNLOAD'!J10-'GAS DAILY VOL DOWNLOAD'!$B10+$B10</f>
        <v>1.34</v>
      </c>
      <c r="K10" s="292" t="n">
        <f aca="false">'GAS DAILY VOL DOWNLOAD'!K10-'GAS DAILY VOL DOWNLOAD'!$B10+$B10</f>
        <v>0.99</v>
      </c>
      <c r="L10" s="292" t="n">
        <f aca="false">'GAS DAILY VOL DOWNLOAD'!L10-'GAS DAILY VOL DOWNLOAD'!$B10+$B10</f>
        <v>1.09</v>
      </c>
      <c r="M10" s="292" t="n">
        <f aca="false">'GAS DAILY VOL DOWNLOAD'!M10-'GAS DAILY VOL DOWNLOAD'!$B10+$B10</f>
        <v>0.99</v>
      </c>
      <c r="N10" s="292" t="n">
        <f aca="false">'GAS DAILY VOL DOWNLOAD'!N10-'GAS DAILY VOL DOWNLOAD'!$B10+$B10</f>
        <v>2.865</v>
      </c>
      <c r="O10" s="292" t="n">
        <f aca="false">'GAS DAILY VOL DOWNLOAD'!O10-'GAS DAILY VOL DOWNLOAD'!$B10+$B10</f>
        <v>1.14</v>
      </c>
      <c r="P10" s="292" t="n">
        <f aca="false">'GAS DAILY VOL DOWNLOAD'!P10-'GAS DAILY VOL DOWNLOAD'!$B10+$B10</f>
        <v>1.12</v>
      </c>
      <c r="Q10" s="292" t="n">
        <f aca="false">'GAS DAILY VOL DOWNLOAD'!Q10-'GAS DAILY VOL DOWNLOAD'!$B10+$B10</f>
        <v>1.99</v>
      </c>
    </row>
    <row r="11" customFormat="false" ht="12.75" hidden="false" customHeight="false" outlineLevel="0" collapsed="false">
      <c r="A11" s="324" t="n">
        <v>37288</v>
      </c>
      <c r="B11" s="292" t="n">
        <f aca="false">STRADDLES!L33</f>
        <v>0.99</v>
      </c>
      <c r="C11" s="292" t="n">
        <f aca="false">'GAS DAILY VOL DOWNLOAD'!C11-'GAS DAILY VOL DOWNLOAD'!$B11+$B11</f>
        <v>1.015</v>
      </c>
      <c r="D11" s="292" t="n">
        <f aca="false">'GAS DAILY VOL DOWNLOAD'!D11-'GAS DAILY VOL DOWNLOAD'!$B11+$B11</f>
        <v>0.99</v>
      </c>
      <c r="E11" s="292" t="n">
        <f aca="false">'GAS DAILY VOL DOWNLOAD'!E11-'GAS DAILY VOL DOWNLOAD'!$B11+$B11</f>
        <v>0.99</v>
      </c>
      <c r="F11" s="292" t="n">
        <f aca="false">'GAS DAILY VOL DOWNLOAD'!F11-'GAS DAILY VOL DOWNLOAD'!$B11+$B11</f>
        <v>1.14</v>
      </c>
      <c r="G11" s="292" t="n">
        <f aca="false">'GAS DAILY VOL DOWNLOAD'!G11-'GAS DAILY VOL DOWNLOAD'!$B11+$B11</f>
        <v>1.44</v>
      </c>
      <c r="H11" s="292" t="n">
        <f aca="false">'GAS DAILY VOL DOWNLOAD'!H11-'GAS DAILY VOL DOWNLOAD'!$B11+$B11</f>
        <v>1.04</v>
      </c>
      <c r="I11" s="292" t="n">
        <f aca="false">'GAS DAILY VOL DOWNLOAD'!I11-'GAS DAILY VOL DOWNLOAD'!$B11+$B11</f>
        <v>0.99</v>
      </c>
      <c r="J11" s="292" t="n">
        <f aca="false">'GAS DAILY VOL DOWNLOAD'!J11-'GAS DAILY VOL DOWNLOAD'!$B11+$B11</f>
        <v>1.34</v>
      </c>
      <c r="K11" s="292" t="n">
        <f aca="false">'GAS DAILY VOL DOWNLOAD'!K11-'GAS DAILY VOL DOWNLOAD'!$B11+$B11</f>
        <v>0.99</v>
      </c>
      <c r="L11" s="292" t="n">
        <f aca="false">'GAS DAILY VOL DOWNLOAD'!L11-'GAS DAILY VOL DOWNLOAD'!$B11+$B11</f>
        <v>1.09</v>
      </c>
      <c r="M11" s="292" t="n">
        <f aca="false">'GAS DAILY VOL DOWNLOAD'!M11-'GAS DAILY VOL DOWNLOAD'!$B11+$B11</f>
        <v>0.99</v>
      </c>
      <c r="N11" s="292" t="n">
        <f aca="false">'GAS DAILY VOL DOWNLOAD'!N11-'GAS DAILY VOL DOWNLOAD'!$B11+$B11</f>
        <v>2.865</v>
      </c>
      <c r="O11" s="292" t="n">
        <f aca="false">'GAS DAILY VOL DOWNLOAD'!O11-'GAS DAILY VOL DOWNLOAD'!$B11+$B11</f>
        <v>1.14</v>
      </c>
      <c r="P11" s="292" t="n">
        <f aca="false">'GAS DAILY VOL DOWNLOAD'!P11-'GAS DAILY VOL DOWNLOAD'!$B11+$B11</f>
        <v>1.12</v>
      </c>
      <c r="Q11" s="292" t="n">
        <f aca="false">'GAS DAILY VOL DOWNLOAD'!Q11-'GAS DAILY VOL DOWNLOAD'!$B11+$B11</f>
        <v>1.99</v>
      </c>
    </row>
    <row r="12" customFormat="false" ht="12.75" hidden="false" customHeight="false" outlineLevel="0" collapsed="false">
      <c r="A12" s="324" t="n">
        <v>37316</v>
      </c>
      <c r="B12" s="292" t="n">
        <f aca="false">STRADDLES!L34</f>
        <v>0.74</v>
      </c>
      <c r="C12" s="292" t="n">
        <f aca="false">'GAS DAILY VOL DOWNLOAD'!C12-'GAS DAILY VOL DOWNLOAD'!$B12+$B12</f>
        <v>0.765</v>
      </c>
      <c r="D12" s="292" t="n">
        <f aca="false">'GAS DAILY VOL DOWNLOAD'!D12-'GAS DAILY VOL DOWNLOAD'!$B12+$B12</f>
        <v>0.74</v>
      </c>
      <c r="E12" s="292" t="n">
        <f aca="false">'GAS DAILY VOL DOWNLOAD'!E12-'GAS DAILY VOL DOWNLOAD'!$B12+$B12</f>
        <v>0.74</v>
      </c>
      <c r="F12" s="292" t="n">
        <f aca="false">'GAS DAILY VOL DOWNLOAD'!F12-'GAS DAILY VOL DOWNLOAD'!$B12+$B12</f>
        <v>0.84</v>
      </c>
      <c r="G12" s="292" t="n">
        <f aca="false">'GAS DAILY VOL DOWNLOAD'!G12-'GAS DAILY VOL DOWNLOAD'!$B12+$B12</f>
        <v>0.99</v>
      </c>
      <c r="H12" s="292" t="n">
        <f aca="false">'GAS DAILY VOL DOWNLOAD'!H12-'GAS DAILY VOL DOWNLOAD'!$B12+$B12</f>
        <v>0.74</v>
      </c>
      <c r="I12" s="292" t="n">
        <f aca="false">'GAS DAILY VOL DOWNLOAD'!I12-'GAS DAILY VOL DOWNLOAD'!$B12+$B12</f>
        <v>0.74</v>
      </c>
      <c r="J12" s="292" t="n">
        <f aca="false">'GAS DAILY VOL DOWNLOAD'!J12-'GAS DAILY VOL DOWNLOAD'!$B12+$B12</f>
        <v>0.94</v>
      </c>
      <c r="K12" s="292" t="n">
        <f aca="false">'GAS DAILY VOL DOWNLOAD'!K12-'GAS DAILY VOL DOWNLOAD'!$B12+$B12</f>
        <v>0.74</v>
      </c>
      <c r="L12" s="292" t="n">
        <f aca="false">'GAS DAILY VOL DOWNLOAD'!L12-'GAS DAILY VOL DOWNLOAD'!$B12+$B12</f>
        <v>0.74</v>
      </c>
      <c r="M12" s="292" t="n">
        <f aca="false">'GAS DAILY VOL DOWNLOAD'!M12-'GAS DAILY VOL DOWNLOAD'!$B12+$B12</f>
        <v>0.74</v>
      </c>
      <c r="N12" s="292" t="n">
        <f aca="false">'GAS DAILY VOL DOWNLOAD'!N12-'GAS DAILY VOL DOWNLOAD'!$B12+$B12</f>
        <v>1.465</v>
      </c>
      <c r="O12" s="292" t="n">
        <f aca="false">'GAS DAILY VOL DOWNLOAD'!O12-'GAS DAILY VOL DOWNLOAD'!$B12+$B12</f>
        <v>0.89</v>
      </c>
      <c r="P12" s="292" t="n">
        <f aca="false">'GAS DAILY VOL DOWNLOAD'!P12-'GAS DAILY VOL DOWNLOAD'!$B12+$B12</f>
        <v>0.87</v>
      </c>
      <c r="Q12" s="292" t="n">
        <f aca="false">'GAS DAILY VOL DOWNLOAD'!Q12-'GAS DAILY VOL DOWNLOAD'!$B12+$B12</f>
        <v>1.74</v>
      </c>
    </row>
    <row r="13" customFormat="false" ht="12.75" hidden="false" customHeight="false" outlineLevel="0" collapsed="false">
      <c r="A13" s="324" t="n">
        <v>37347</v>
      </c>
      <c r="B13" s="292" t="n">
        <f aca="false">STRADDLES!L35</f>
        <v>0.48</v>
      </c>
      <c r="C13" s="292" t="n">
        <f aca="false">'GAS DAILY VOL DOWNLOAD'!C13-'GAS DAILY VOL DOWNLOAD'!$B13+$B13</f>
        <v>0.53</v>
      </c>
      <c r="D13" s="292" t="n">
        <f aca="false">'GAS DAILY VOL DOWNLOAD'!D13-'GAS DAILY VOL DOWNLOAD'!$B13+$B13</f>
        <v>0.48</v>
      </c>
      <c r="E13" s="292" t="n">
        <f aca="false">'GAS DAILY VOL DOWNLOAD'!E13-'GAS DAILY VOL DOWNLOAD'!$B13+$B13</f>
        <v>0.53</v>
      </c>
      <c r="F13" s="292" t="n">
        <f aca="false">'GAS DAILY VOL DOWNLOAD'!F13-'GAS DAILY VOL DOWNLOAD'!$B13+$B13</f>
        <v>0.53</v>
      </c>
      <c r="G13" s="292" t="n">
        <f aca="false">'GAS DAILY VOL DOWNLOAD'!G13-'GAS DAILY VOL DOWNLOAD'!$B13+$B13</f>
        <v>0.53</v>
      </c>
      <c r="H13" s="292" t="n">
        <f aca="false">'GAS DAILY VOL DOWNLOAD'!H13-'GAS DAILY VOL DOWNLOAD'!$B13+$B13</f>
        <v>0.53</v>
      </c>
      <c r="I13" s="292" t="n">
        <f aca="false">'GAS DAILY VOL DOWNLOAD'!I13-'GAS DAILY VOL DOWNLOAD'!$B13+$B13</f>
        <v>0.53</v>
      </c>
      <c r="J13" s="292" t="n">
        <f aca="false">'GAS DAILY VOL DOWNLOAD'!J13-'GAS DAILY VOL DOWNLOAD'!$B13+$B13</f>
        <v>0.58</v>
      </c>
      <c r="K13" s="292" t="n">
        <f aca="false">'GAS DAILY VOL DOWNLOAD'!K13-'GAS DAILY VOL DOWNLOAD'!$B13+$B13</f>
        <v>0.48</v>
      </c>
      <c r="L13" s="292" t="n">
        <f aca="false">'GAS DAILY VOL DOWNLOAD'!L13-'GAS DAILY VOL DOWNLOAD'!$B13+$B13</f>
        <v>0.53</v>
      </c>
      <c r="M13" s="292" t="n">
        <f aca="false">'GAS DAILY VOL DOWNLOAD'!M13-'GAS DAILY VOL DOWNLOAD'!$B13+$B13</f>
        <v>0.48</v>
      </c>
      <c r="N13" s="292" t="n">
        <f aca="false">'GAS DAILY VOL DOWNLOAD'!N13-'GAS DAILY VOL DOWNLOAD'!$B13+$B13</f>
        <v>0.53</v>
      </c>
      <c r="O13" s="292" t="n">
        <f aca="false">'GAS DAILY VOL DOWNLOAD'!O13-'GAS DAILY VOL DOWNLOAD'!$B13+$B13</f>
        <v>0.63</v>
      </c>
      <c r="P13" s="292" t="n">
        <f aca="false">'GAS DAILY VOL DOWNLOAD'!P13-'GAS DAILY VOL DOWNLOAD'!$B13+$B13</f>
        <v>0.68</v>
      </c>
      <c r="Q13" s="292" t="n">
        <f aca="false">'GAS DAILY VOL DOWNLOAD'!Q13-'GAS DAILY VOL DOWNLOAD'!$B13+$B13</f>
        <v>0.48</v>
      </c>
    </row>
    <row r="14" customFormat="false" ht="12.75" hidden="false" customHeight="false" outlineLevel="0" collapsed="false">
      <c r="A14" s="324" t="n">
        <v>37377</v>
      </c>
      <c r="B14" s="292" t="n">
        <f aca="false">STRADDLES!L36</f>
        <v>0.53</v>
      </c>
      <c r="C14" s="292" t="n">
        <f aca="false">'GAS DAILY VOL DOWNLOAD'!C14-'GAS DAILY VOL DOWNLOAD'!$B14+$B14</f>
        <v>0.58</v>
      </c>
      <c r="D14" s="292" t="n">
        <f aca="false">'GAS DAILY VOL DOWNLOAD'!D14-'GAS DAILY VOL DOWNLOAD'!$B14+$B14</f>
        <v>0.48</v>
      </c>
      <c r="E14" s="292" t="n">
        <f aca="false">'GAS DAILY VOL DOWNLOAD'!E14-'GAS DAILY VOL DOWNLOAD'!$B14+$B14</f>
        <v>0.48</v>
      </c>
      <c r="F14" s="292" t="n">
        <f aca="false">'GAS DAILY VOL DOWNLOAD'!F14-'GAS DAILY VOL DOWNLOAD'!$B14+$B14</f>
        <v>0.53</v>
      </c>
      <c r="G14" s="292" t="n">
        <f aca="false">'GAS DAILY VOL DOWNLOAD'!G14-'GAS DAILY VOL DOWNLOAD'!$B14+$B14</f>
        <v>0.58</v>
      </c>
      <c r="H14" s="292" t="n">
        <f aca="false">'GAS DAILY VOL DOWNLOAD'!H14-'GAS DAILY VOL DOWNLOAD'!$B14+$B14</f>
        <v>0.53</v>
      </c>
      <c r="I14" s="292" t="n">
        <f aca="false">'GAS DAILY VOL DOWNLOAD'!I14-'GAS DAILY VOL DOWNLOAD'!$B14+$B14</f>
        <v>0.48</v>
      </c>
      <c r="J14" s="292" t="n">
        <f aca="false">'GAS DAILY VOL DOWNLOAD'!J14-'GAS DAILY VOL DOWNLOAD'!$B14+$B14</f>
        <v>0.53</v>
      </c>
      <c r="K14" s="292" t="n">
        <f aca="false">'GAS DAILY VOL DOWNLOAD'!K14-'GAS DAILY VOL DOWNLOAD'!$B14+$B14</f>
        <v>0.53</v>
      </c>
      <c r="L14" s="292" t="n">
        <f aca="false">'GAS DAILY VOL DOWNLOAD'!L14-'GAS DAILY VOL DOWNLOAD'!$B14+$B14</f>
        <v>0.58</v>
      </c>
      <c r="M14" s="292" t="n">
        <f aca="false">'GAS DAILY VOL DOWNLOAD'!M14-'GAS DAILY VOL DOWNLOAD'!$B14+$B14</f>
        <v>0.53</v>
      </c>
      <c r="N14" s="292" t="n">
        <f aca="false">'GAS DAILY VOL DOWNLOAD'!N14-'GAS DAILY VOL DOWNLOAD'!$B14+$B14</f>
        <v>0.58</v>
      </c>
      <c r="O14" s="292" t="n">
        <f aca="false">'GAS DAILY VOL DOWNLOAD'!O14-'GAS DAILY VOL DOWNLOAD'!$B14+$B14</f>
        <v>0.68</v>
      </c>
      <c r="P14" s="292" t="n">
        <f aca="false">'GAS DAILY VOL DOWNLOAD'!P14-'GAS DAILY VOL DOWNLOAD'!$B14+$B14</f>
        <v>0.63</v>
      </c>
      <c r="Q14" s="292" t="n">
        <f aca="false">'GAS DAILY VOL DOWNLOAD'!Q14-'GAS DAILY VOL DOWNLOAD'!$B14+$B14</f>
        <v>0.53</v>
      </c>
    </row>
    <row r="15" customFormat="false" ht="12.75" hidden="false" customHeight="false" outlineLevel="0" collapsed="false">
      <c r="A15" s="324" t="n">
        <v>37408</v>
      </c>
      <c r="B15" s="292" t="n">
        <f aca="false">STRADDLES!L37</f>
        <v>0.53</v>
      </c>
      <c r="C15" s="292" t="n">
        <f aca="false">'GAS DAILY VOL DOWNLOAD'!C15-'GAS DAILY VOL DOWNLOAD'!$B15+$B15</f>
        <v>0.58</v>
      </c>
      <c r="D15" s="292" t="n">
        <f aca="false">'GAS DAILY VOL DOWNLOAD'!D15-'GAS DAILY VOL DOWNLOAD'!$B15+$B15</f>
        <v>0.48</v>
      </c>
      <c r="E15" s="292" t="n">
        <f aca="false">'GAS DAILY VOL DOWNLOAD'!E15-'GAS DAILY VOL DOWNLOAD'!$B15+$B15</f>
        <v>0.58</v>
      </c>
      <c r="F15" s="292" t="n">
        <f aca="false">'GAS DAILY VOL DOWNLOAD'!F15-'GAS DAILY VOL DOWNLOAD'!$B15+$B15</f>
        <v>0.53</v>
      </c>
      <c r="G15" s="292" t="n">
        <f aca="false">'GAS DAILY VOL DOWNLOAD'!G15-'GAS DAILY VOL DOWNLOAD'!$B15+$B15</f>
        <v>0.58</v>
      </c>
      <c r="H15" s="292" t="n">
        <f aca="false">'GAS DAILY VOL DOWNLOAD'!H15-'GAS DAILY VOL DOWNLOAD'!$B15+$B15</f>
        <v>0.58</v>
      </c>
      <c r="I15" s="292" t="n">
        <f aca="false">'GAS DAILY VOL DOWNLOAD'!I15-'GAS DAILY VOL DOWNLOAD'!$B15+$B15</f>
        <v>0.58</v>
      </c>
      <c r="J15" s="292" t="n">
        <f aca="false">'GAS DAILY VOL DOWNLOAD'!J15-'GAS DAILY VOL DOWNLOAD'!$B15+$B15</f>
        <v>0.58</v>
      </c>
      <c r="K15" s="292" t="n">
        <f aca="false">'GAS DAILY VOL DOWNLOAD'!K15-'GAS DAILY VOL DOWNLOAD'!$B15+$B15</f>
        <v>0.53</v>
      </c>
      <c r="L15" s="292" t="n">
        <f aca="false">'GAS DAILY VOL DOWNLOAD'!L15-'GAS DAILY VOL DOWNLOAD'!$B15+$B15</f>
        <v>0.58</v>
      </c>
      <c r="M15" s="292" t="n">
        <f aca="false">'GAS DAILY VOL DOWNLOAD'!M15-'GAS DAILY VOL DOWNLOAD'!$B15+$B15</f>
        <v>0.53</v>
      </c>
      <c r="N15" s="292" t="n">
        <f aca="false">'GAS DAILY VOL DOWNLOAD'!N15-'GAS DAILY VOL DOWNLOAD'!$B15+$B15</f>
        <v>0.58</v>
      </c>
      <c r="O15" s="292" t="n">
        <f aca="false">'GAS DAILY VOL DOWNLOAD'!O15-'GAS DAILY VOL DOWNLOAD'!$B15+$B15</f>
        <v>0.68</v>
      </c>
      <c r="P15" s="292" t="n">
        <f aca="false">'GAS DAILY VOL DOWNLOAD'!P15-'GAS DAILY VOL DOWNLOAD'!$B15+$B15</f>
        <v>0.73</v>
      </c>
      <c r="Q15" s="292" t="n">
        <f aca="false">'GAS DAILY VOL DOWNLOAD'!Q15-'GAS DAILY VOL DOWNLOAD'!$B15+$B15</f>
        <v>0.53</v>
      </c>
    </row>
    <row r="16" customFormat="false" ht="12.75" hidden="false" customHeight="false" outlineLevel="0" collapsed="false">
      <c r="A16" s="324" t="n">
        <v>37438</v>
      </c>
      <c r="B16" s="292" t="n">
        <f aca="false">STRADDLES!L38</f>
        <v>0.58</v>
      </c>
      <c r="C16" s="292" t="n">
        <f aca="false">'GAS DAILY VOL DOWNLOAD'!C16-'GAS DAILY VOL DOWNLOAD'!$B16+$B16</f>
        <v>0.58</v>
      </c>
      <c r="D16" s="292" t="n">
        <f aca="false">'GAS DAILY VOL DOWNLOAD'!D16-'GAS DAILY VOL DOWNLOAD'!$B16+$B16</f>
        <v>0.48</v>
      </c>
      <c r="E16" s="292" t="n">
        <f aca="false">'GAS DAILY VOL DOWNLOAD'!E16-'GAS DAILY VOL DOWNLOAD'!$B16+$B16</f>
        <v>0.58</v>
      </c>
      <c r="F16" s="292" t="n">
        <f aca="false">'GAS DAILY VOL DOWNLOAD'!F16-'GAS DAILY VOL DOWNLOAD'!$B16+$B16</f>
        <v>0.58</v>
      </c>
      <c r="G16" s="292" t="n">
        <f aca="false">'GAS DAILY VOL DOWNLOAD'!G16-'GAS DAILY VOL DOWNLOAD'!$B16+$B16</f>
        <v>0.58</v>
      </c>
      <c r="H16" s="292" t="n">
        <f aca="false">'GAS DAILY VOL DOWNLOAD'!H16-'GAS DAILY VOL DOWNLOAD'!$B16+$B16</f>
        <v>0.58</v>
      </c>
      <c r="I16" s="292" t="n">
        <f aca="false">'GAS DAILY VOL DOWNLOAD'!I16-'GAS DAILY VOL DOWNLOAD'!$B16+$B16</f>
        <v>0.58</v>
      </c>
      <c r="J16" s="292" t="n">
        <f aca="false">'GAS DAILY VOL DOWNLOAD'!J16-'GAS DAILY VOL DOWNLOAD'!$B16+$B16</f>
        <v>0.58</v>
      </c>
      <c r="K16" s="292" t="n">
        <f aca="false">'GAS DAILY VOL DOWNLOAD'!K16-'GAS DAILY VOL DOWNLOAD'!$B16+$B16</f>
        <v>0.58</v>
      </c>
      <c r="L16" s="292" t="n">
        <f aca="false">'GAS DAILY VOL DOWNLOAD'!L16-'GAS DAILY VOL DOWNLOAD'!$B16+$B16</f>
        <v>0.63</v>
      </c>
      <c r="M16" s="292" t="n">
        <f aca="false">'GAS DAILY VOL DOWNLOAD'!M16-'GAS DAILY VOL DOWNLOAD'!$B16+$B16</f>
        <v>0.58</v>
      </c>
      <c r="N16" s="292" t="n">
        <f aca="false">'GAS DAILY VOL DOWNLOAD'!N16-'GAS DAILY VOL DOWNLOAD'!$B16+$B16</f>
        <v>0.58</v>
      </c>
      <c r="O16" s="292" t="n">
        <f aca="false">'GAS DAILY VOL DOWNLOAD'!O16-'GAS DAILY VOL DOWNLOAD'!$B16+$B16</f>
        <v>0.73</v>
      </c>
      <c r="P16" s="292" t="n">
        <f aca="false">'GAS DAILY VOL DOWNLOAD'!P16-'GAS DAILY VOL DOWNLOAD'!$B16+$B16</f>
        <v>0.73</v>
      </c>
      <c r="Q16" s="292" t="n">
        <f aca="false">'GAS DAILY VOL DOWNLOAD'!Q16-'GAS DAILY VOL DOWNLOAD'!$B16+$B16</f>
        <v>0.58</v>
      </c>
    </row>
    <row r="17" customFormat="false" ht="12.75" hidden="false" customHeight="false" outlineLevel="0" collapsed="false">
      <c r="A17" s="324" t="n">
        <v>37469</v>
      </c>
      <c r="B17" s="292" t="n">
        <f aca="false">STRADDLES!L39</f>
        <v>0.63</v>
      </c>
      <c r="C17" s="292" t="n">
        <f aca="false">'GAS DAILY VOL DOWNLOAD'!C17-'GAS DAILY VOL DOWNLOAD'!$B17+$B17</f>
        <v>0.63</v>
      </c>
      <c r="D17" s="292" t="n">
        <f aca="false">'GAS DAILY VOL DOWNLOAD'!D17-'GAS DAILY VOL DOWNLOAD'!$B17+$B17</f>
        <v>0.58</v>
      </c>
      <c r="E17" s="292" t="n">
        <f aca="false">'GAS DAILY VOL DOWNLOAD'!E17-'GAS DAILY VOL DOWNLOAD'!$B17+$B17</f>
        <v>0.68</v>
      </c>
      <c r="F17" s="292" t="n">
        <f aca="false">'GAS DAILY VOL DOWNLOAD'!F17-'GAS DAILY VOL DOWNLOAD'!$B17+$B17</f>
        <v>0.63</v>
      </c>
      <c r="G17" s="292" t="n">
        <f aca="false">'GAS DAILY VOL DOWNLOAD'!G17-'GAS DAILY VOL DOWNLOAD'!$B17+$B17</f>
        <v>0.68</v>
      </c>
      <c r="H17" s="292" t="n">
        <f aca="false">'GAS DAILY VOL DOWNLOAD'!H17-'GAS DAILY VOL DOWNLOAD'!$B17+$B17</f>
        <v>0.63</v>
      </c>
      <c r="I17" s="292" t="n">
        <f aca="false">'GAS DAILY VOL DOWNLOAD'!I17-'GAS DAILY VOL DOWNLOAD'!$B17+$B17</f>
        <v>0.68</v>
      </c>
      <c r="J17" s="292" t="n">
        <f aca="false">'GAS DAILY VOL DOWNLOAD'!J17-'GAS DAILY VOL DOWNLOAD'!$B17+$B17</f>
        <v>0.53</v>
      </c>
      <c r="K17" s="292" t="n">
        <f aca="false">'GAS DAILY VOL DOWNLOAD'!K17-'GAS DAILY VOL DOWNLOAD'!$B17+$B17</f>
        <v>0.63</v>
      </c>
      <c r="L17" s="292" t="n">
        <f aca="false">'GAS DAILY VOL DOWNLOAD'!L17-'GAS DAILY VOL DOWNLOAD'!$B17+$B17</f>
        <v>0.68</v>
      </c>
      <c r="M17" s="292" t="n">
        <f aca="false">'GAS DAILY VOL DOWNLOAD'!M17-'GAS DAILY VOL DOWNLOAD'!$B17+$B17</f>
        <v>0.63</v>
      </c>
      <c r="N17" s="292" t="n">
        <f aca="false">'GAS DAILY VOL DOWNLOAD'!N17-'GAS DAILY VOL DOWNLOAD'!$B17+$B17</f>
        <v>0.68</v>
      </c>
      <c r="O17" s="292" t="n">
        <f aca="false">'GAS DAILY VOL DOWNLOAD'!O17-'GAS DAILY VOL DOWNLOAD'!$B17+$B17</f>
        <v>0.78</v>
      </c>
      <c r="P17" s="292" t="n">
        <f aca="false">'GAS DAILY VOL DOWNLOAD'!P17-'GAS DAILY VOL DOWNLOAD'!$B17+$B17</f>
        <v>0.83</v>
      </c>
      <c r="Q17" s="292" t="n">
        <f aca="false">'GAS DAILY VOL DOWNLOAD'!Q17-'GAS DAILY VOL DOWNLOAD'!$B17+$B17</f>
        <v>0.63</v>
      </c>
    </row>
    <row r="18" customFormat="false" ht="12.75" hidden="false" customHeight="false" outlineLevel="0" collapsed="false">
      <c r="A18" s="324" t="n">
        <v>37500</v>
      </c>
      <c r="B18" s="292" t="n">
        <f aca="false">STRADDLES!L40</f>
        <v>0.63</v>
      </c>
      <c r="C18" s="292" t="n">
        <f aca="false">'GAS DAILY VOL DOWNLOAD'!C18-'GAS DAILY VOL DOWNLOAD'!$B18+$B18</f>
        <v>0.63</v>
      </c>
      <c r="D18" s="292" t="n">
        <f aca="false">'GAS DAILY VOL DOWNLOAD'!D18-'GAS DAILY VOL DOWNLOAD'!$B18+$B18</f>
        <v>0.63</v>
      </c>
      <c r="E18" s="292" t="n">
        <f aca="false">'GAS DAILY VOL DOWNLOAD'!E18-'GAS DAILY VOL DOWNLOAD'!$B18+$B18</f>
        <v>0.63</v>
      </c>
      <c r="F18" s="292" t="n">
        <f aca="false">'GAS DAILY VOL DOWNLOAD'!F18-'GAS DAILY VOL DOWNLOAD'!$B18+$B18</f>
        <v>0.63</v>
      </c>
      <c r="G18" s="292" t="n">
        <f aca="false">'GAS DAILY VOL DOWNLOAD'!G18-'GAS DAILY VOL DOWNLOAD'!$B18+$B18</f>
        <v>0.68</v>
      </c>
      <c r="H18" s="292" t="n">
        <f aca="false">'GAS DAILY VOL DOWNLOAD'!H18-'GAS DAILY VOL DOWNLOAD'!$B18+$B18</f>
        <v>0.68</v>
      </c>
      <c r="I18" s="292" t="n">
        <f aca="false">'GAS DAILY VOL DOWNLOAD'!I18-'GAS DAILY VOL DOWNLOAD'!$B18+$B18</f>
        <v>0.63</v>
      </c>
      <c r="J18" s="292" t="n">
        <f aca="false">'GAS DAILY VOL DOWNLOAD'!J18-'GAS DAILY VOL DOWNLOAD'!$B18+$B18</f>
        <v>0.58</v>
      </c>
      <c r="K18" s="292" t="n">
        <f aca="false">'GAS DAILY VOL DOWNLOAD'!K18-'GAS DAILY VOL DOWNLOAD'!$B18+$B18</f>
        <v>0.63</v>
      </c>
      <c r="L18" s="292" t="n">
        <f aca="false">'GAS DAILY VOL DOWNLOAD'!L18-'GAS DAILY VOL DOWNLOAD'!$B18+$B18</f>
        <v>0.68</v>
      </c>
      <c r="M18" s="292" t="n">
        <f aca="false">'GAS DAILY VOL DOWNLOAD'!M18-'GAS DAILY VOL DOWNLOAD'!$B18+$B18</f>
        <v>0.63</v>
      </c>
      <c r="N18" s="292" t="n">
        <f aca="false">'GAS DAILY VOL DOWNLOAD'!N18-'GAS DAILY VOL DOWNLOAD'!$B18+$B18</f>
        <v>0.68</v>
      </c>
      <c r="O18" s="292" t="n">
        <f aca="false">'GAS DAILY VOL DOWNLOAD'!O18-'GAS DAILY VOL DOWNLOAD'!$B18+$B18</f>
        <v>0.78</v>
      </c>
      <c r="P18" s="292" t="n">
        <f aca="false">'GAS DAILY VOL DOWNLOAD'!P18-'GAS DAILY VOL DOWNLOAD'!$B18+$B18</f>
        <v>0.78</v>
      </c>
      <c r="Q18" s="292" t="n">
        <f aca="false">'GAS DAILY VOL DOWNLOAD'!Q18-'GAS DAILY VOL DOWNLOAD'!$B18+$B18</f>
        <v>0.63</v>
      </c>
    </row>
    <row r="19" customFormat="false" ht="12.75" hidden="false" customHeight="false" outlineLevel="0" collapsed="false">
      <c r="A19" s="324" t="n">
        <v>37530</v>
      </c>
      <c r="B19" s="292" t="n">
        <f aca="false">STRADDLES!L41</f>
        <v>0.68</v>
      </c>
      <c r="C19" s="292" t="n">
        <f aca="false">'GAS DAILY VOL DOWNLOAD'!C19-'GAS DAILY VOL DOWNLOAD'!$B19+$B19</f>
        <v>0.68</v>
      </c>
      <c r="D19" s="292" t="n">
        <f aca="false">'GAS DAILY VOL DOWNLOAD'!D19-'GAS DAILY VOL DOWNLOAD'!$B19+$B19</f>
        <v>0.63</v>
      </c>
      <c r="E19" s="292" t="n">
        <f aca="false">'GAS DAILY VOL DOWNLOAD'!E19-'GAS DAILY VOL DOWNLOAD'!$B19+$B19</f>
        <v>0.68</v>
      </c>
      <c r="F19" s="292" t="n">
        <f aca="false">'GAS DAILY VOL DOWNLOAD'!F19-'GAS DAILY VOL DOWNLOAD'!$B19+$B19</f>
        <v>0.68</v>
      </c>
      <c r="G19" s="292" t="n">
        <f aca="false">'GAS DAILY VOL DOWNLOAD'!G19-'GAS DAILY VOL DOWNLOAD'!$B19+$B19</f>
        <v>0.73</v>
      </c>
      <c r="H19" s="292" t="n">
        <f aca="false">'GAS DAILY VOL DOWNLOAD'!H19-'GAS DAILY VOL DOWNLOAD'!$B19+$B19</f>
        <v>0.73</v>
      </c>
      <c r="I19" s="292" t="n">
        <f aca="false">'GAS DAILY VOL DOWNLOAD'!I19-'GAS DAILY VOL DOWNLOAD'!$B19+$B19</f>
        <v>0.68</v>
      </c>
      <c r="J19" s="292" t="n">
        <f aca="false">'GAS DAILY VOL DOWNLOAD'!J19-'GAS DAILY VOL DOWNLOAD'!$B19+$B19</f>
        <v>0.58</v>
      </c>
      <c r="K19" s="292" t="n">
        <f aca="false">'GAS DAILY VOL DOWNLOAD'!K19-'GAS DAILY VOL DOWNLOAD'!$B19+$B19</f>
        <v>0.68</v>
      </c>
      <c r="L19" s="292" t="n">
        <f aca="false">'GAS DAILY VOL DOWNLOAD'!L19-'GAS DAILY VOL DOWNLOAD'!$B19+$B19</f>
        <v>0.73</v>
      </c>
      <c r="M19" s="292" t="n">
        <f aca="false">'GAS DAILY VOL DOWNLOAD'!M19-'GAS DAILY VOL DOWNLOAD'!$B19+$B19</f>
        <v>0.68</v>
      </c>
      <c r="N19" s="292" t="n">
        <f aca="false">'GAS DAILY VOL DOWNLOAD'!N19-'GAS DAILY VOL DOWNLOAD'!$B19+$B19</f>
        <v>0.73</v>
      </c>
      <c r="O19" s="292" t="n">
        <f aca="false">'GAS DAILY VOL DOWNLOAD'!O19-'GAS DAILY VOL DOWNLOAD'!$B19+$B19</f>
        <v>0.83</v>
      </c>
      <c r="P19" s="292" t="n">
        <f aca="false">'GAS DAILY VOL DOWNLOAD'!P19-'GAS DAILY VOL DOWNLOAD'!$B19+$B19</f>
        <v>0.83</v>
      </c>
      <c r="Q19" s="292" t="n">
        <f aca="false">'GAS DAILY VOL DOWNLOAD'!Q19-'GAS DAILY VOL DOWNLOAD'!$B19+$B19</f>
        <v>0.68</v>
      </c>
    </row>
    <row r="20" customFormat="false" ht="12.75" hidden="false" customHeight="false" outlineLevel="0" collapsed="false">
      <c r="A20" s="324" t="n">
        <v>37561</v>
      </c>
      <c r="B20" s="292" t="n">
        <f aca="false">STRADDLES!L42</f>
        <v>0.85</v>
      </c>
      <c r="C20" s="292" t="n">
        <f aca="false">'GAS DAILY VOL DOWNLOAD'!C20-'GAS DAILY VOL DOWNLOAD'!$B20+$B20</f>
        <v>0.9</v>
      </c>
      <c r="D20" s="292" t="n">
        <f aca="false">'GAS DAILY VOL DOWNLOAD'!D20-'GAS DAILY VOL DOWNLOAD'!$B20+$B20</f>
        <v>0.85</v>
      </c>
      <c r="E20" s="292" t="n">
        <f aca="false">'GAS DAILY VOL DOWNLOAD'!E20-'GAS DAILY VOL DOWNLOAD'!$B20+$B20</f>
        <v>0.85</v>
      </c>
      <c r="F20" s="292" t="n">
        <f aca="false">'GAS DAILY VOL DOWNLOAD'!F20-'GAS DAILY VOL DOWNLOAD'!$B20+$B20</f>
        <v>0.95</v>
      </c>
      <c r="G20" s="292" t="n">
        <f aca="false">'GAS DAILY VOL DOWNLOAD'!G20-'GAS DAILY VOL DOWNLOAD'!$B20+$B20</f>
        <v>1</v>
      </c>
      <c r="H20" s="292" t="n">
        <f aca="false">'GAS DAILY VOL DOWNLOAD'!H20-'GAS DAILY VOL DOWNLOAD'!$B20+$B20</f>
        <v>0.9</v>
      </c>
      <c r="I20" s="292" t="n">
        <f aca="false">'GAS DAILY VOL DOWNLOAD'!I20-'GAS DAILY VOL DOWNLOAD'!$B20+$B20</f>
        <v>0.85</v>
      </c>
      <c r="J20" s="292" t="n">
        <f aca="false">'GAS DAILY VOL DOWNLOAD'!J20-'GAS DAILY VOL DOWNLOAD'!$B20+$B20</f>
        <v>1</v>
      </c>
      <c r="K20" s="292" t="n">
        <f aca="false">'GAS DAILY VOL DOWNLOAD'!K20-'GAS DAILY VOL DOWNLOAD'!$B20+$B20</f>
        <v>0.85</v>
      </c>
      <c r="L20" s="292" t="n">
        <f aca="false">'GAS DAILY VOL DOWNLOAD'!L20-'GAS DAILY VOL DOWNLOAD'!$B20+$B20</f>
        <v>0.85</v>
      </c>
      <c r="M20" s="292" t="n">
        <f aca="false">'GAS DAILY VOL DOWNLOAD'!M20-'GAS DAILY VOL DOWNLOAD'!$B20+$B20</f>
        <v>0.85</v>
      </c>
      <c r="N20" s="292" t="n">
        <f aca="false">'GAS DAILY VOL DOWNLOAD'!N20-'GAS DAILY VOL DOWNLOAD'!$B20+$B20</f>
        <v>1.8</v>
      </c>
      <c r="O20" s="292" t="n">
        <f aca="false">'GAS DAILY VOL DOWNLOAD'!O20-'GAS DAILY VOL DOWNLOAD'!$B20+$B20</f>
        <v>1</v>
      </c>
      <c r="P20" s="292" t="n">
        <f aca="false">'GAS DAILY VOL DOWNLOAD'!P20-'GAS DAILY VOL DOWNLOAD'!$B20+$B20</f>
        <v>0.95</v>
      </c>
      <c r="Q20" s="292" t="n">
        <f aca="false">'GAS DAILY VOL DOWNLOAD'!Q20-'GAS DAILY VOL DOWNLOAD'!$B20+$B20</f>
        <v>0.85</v>
      </c>
    </row>
    <row r="21" customFormat="false" ht="12.75" hidden="false" customHeight="false" outlineLevel="0" collapsed="false">
      <c r="A21" s="324" t="n">
        <v>37591</v>
      </c>
      <c r="B21" s="292" t="n">
        <f aca="false">STRADDLES!L43</f>
        <v>1.05</v>
      </c>
      <c r="C21" s="292" t="n">
        <f aca="false">'GAS DAILY VOL DOWNLOAD'!C21-'GAS DAILY VOL DOWNLOAD'!$B21+$B21</f>
        <v>1.1</v>
      </c>
      <c r="D21" s="292" t="n">
        <f aca="false">'GAS DAILY VOL DOWNLOAD'!D21-'GAS DAILY VOL DOWNLOAD'!$B21+$B21</f>
        <v>1.05</v>
      </c>
      <c r="E21" s="292" t="n">
        <f aca="false">'GAS DAILY VOL DOWNLOAD'!E21-'GAS DAILY VOL DOWNLOAD'!$B21+$B21</f>
        <v>1.05</v>
      </c>
      <c r="F21" s="292" t="n">
        <f aca="false">'GAS DAILY VOL DOWNLOAD'!F21-'GAS DAILY VOL DOWNLOAD'!$B21+$B21</f>
        <v>1.2</v>
      </c>
      <c r="G21" s="292" t="n">
        <f aca="false">'GAS DAILY VOL DOWNLOAD'!G21-'GAS DAILY VOL DOWNLOAD'!$B21+$B21</f>
        <v>1.3</v>
      </c>
      <c r="H21" s="292" t="n">
        <f aca="false">'GAS DAILY VOL DOWNLOAD'!H21-'GAS DAILY VOL DOWNLOAD'!$B21+$B21</f>
        <v>1.1</v>
      </c>
      <c r="I21" s="292" t="n">
        <f aca="false">'GAS DAILY VOL DOWNLOAD'!I21-'GAS DAILY VOL DOWNLOAD'!$B21+$B21</f>
        <v>1.05</v>
      </c>
      <c r="J21" s="292" t="n">
        <f aca="false">'GAS DAILY VOL DOWNLOAD'!J21-'GAS DAILY VOL DOWNLOAD'!$B21+$B21</f>
        <v>1.4</v>
      </c>
      <c r="K21" s="292" t="n">
        <f aca="false">'GAS DAILY VOL DOWNLOAD'!K21-'GAS DAILY VOL DOWNLOAD'!$B21+$B21</f>
        <v>1.05</v>
      </c>
      <c r="L21" s="292" t="n">
        <f aca="false">'GAS DAILY VOL DOWNLOAD'!L21-'GAS DAILY VOL DOWNLOAD'!$B21+$B21</f>
        <v>1.15</v>
      </c>
      <c r="M21" s="292" t="n">
        <f aca="false">'GAS DAILY VOL DOWNLOAD'!M21-'GAS DAILY VOL DOWNLOAD'!$B21+$B21</f>
        <v>1.05</v>
      </c>
      <c r="N21" s="292" t="n">
        <f aca="false">'GAS DAILY VOL DOWNLOAD'!N21-'GAS DAILY VOL DOWNLOAD'!$B21+$B21</f>
        <v>2.1</v>
      </c>
      <c r="O21" s="292" t="n">
        <f aca="false">'GAS DAILY VOL DOWNLOAD'!O21-'GAS DAILY VOL DOWNLOAD'!$B21+$B21</f>
        <v>1.2</v>
      </c>
      <c r="P21" s="292" t="n">
        <f aca="false">'GAS DAILY VOL DOWNLOAD'!P21-'GAS DAILY VOL DOWNLOAD'!$B21+$B21</f>
        <v>1.15</v>
      </c>
      <c r="Q21" s="292" t="n">
        <f aca="false">'GAS DAILY VOL DOWNLOAD'!Q21-'GAS DAILY VOL DOWNLOAD'!$B21+$B21</f>
        <v>1.05</v>
      </c>
    </row>
    <row r="22" customFormat="false" ht="12.75" hidden="false" customHeight="false" outlineLevel="0" collapsed="false">
      <c r="A22" s="324" t="n">
        <v>37622</v>
      </c>
      <c r="B22" s="292" t="n">
        <f aca="false">STRADDLES!L44</f>
        <v>1.08</v>
      </c>
      <c r="C22" s="292" t="n">
        <f aca="false">'GAS DAILY VOL DOWNLOAD'!C22-'GAS DAILY VOL DOWNLOAD'!$B22+$B22</f>
        <v>1.13</v>
      </c>
      <c r="D22" s="292" t="n">
        <f aca="false">'GAS DAILY VOL DOWNLOAD'!D22-'GAS DAILY VOL DOWNLOAD'!$B22+$B22</f>
        <v>1.08</v>
      </c>
      <c r="E22" s="292" t="n">
        <f aca="false">'GAS DAILY VOL DOWNLOAD'!E22-'GAS DAILY VOL DOWNLOAD'!$B22+$B22</f>
        <v>1.08</v>
      </c>
      <c r="F22" s="292" t="n">
        <f aca="false">'GAS DAILY VOL DOWNLOAD'!F22-'GAS DAILY VOL DOWNLOAD'!$B22+$B22</f>
        <v>1.23</v>
      </c>
      <c r="G22" s="292" t="n">
        <f aca="false">'GAS DAILY VOL DOWNLOAD'!G22-'GAS DAILY VOL DOWNLOAD'!$B22+$B22</f>
        <v>1.53</v>
      </c>
      <c r="H22" s="292" t="n">
        <f aca="false">'GAS DAILY VOL DOWNLOAD'!H22-'GAS DAILY VOL DOWNLOAD'!$B22+$B22</f>
        <v>1.13</v>
      </c>
      <c r="I22" s="292" t="n">
        <f aca="false">'GAS DAILY VOL DOWNLOAD'!I22-'GAS DAILY VOL DOWNLOAD'!$B22+$B22</f>
        <v>1.08</v>
      </c>
      <c r="J22" s="292" t="n">
        <f aca="false">'GAS DAILY VOL DOWNLOAD'!J22-'GAS DAILY VOL DOWNLOAD'!$B22+$B22</f>
        <v>1.43</v>
      </c>
      <c r="K22" s="292" t="n">
        <f aca="false">'GAS DAILY VOL DOWNLOAD'!K22-'GAS DAILY VOL DOWNLOAD'!$B22+$B22</f>
        <v>1.08</v>
      </c>
      <c r="L22" s="292" t="n">
        <f aca="false">'GAS DAILY VOL DOWNLOAD'!L22-'GAS DAILY VOL DOWNLOAD'!$B22+$B22</f>
        <v>1.18</v>
      </c>
      <c r="M22" s="292" t="n">
        <f aca="false">'GAS DAILY VOL DOWNLOAD'!M22-'GAS DAILY VOL DOWNLOAD'!$B22+$B22</f>
        <v>1.08</v>
      </c>
      <c r="N22" s="292" t="n">
        <f aca="false">'GAS DAILY VOL DOWNLOAD'!N22-'GAS DAILY VOL DOWNLOAD'!$B22+$B22</f>
        <v>2.33</v>
      </c>
      <c r="O22" s="292" t="n">
        <f aca="false">'GAS DAILY VOL DOWNLOAD'!O22-'GAS DAILY VOL DOWNLOAD'!$B22+$B22</f>
        <v>1.23</v>
      </c>
      <c r="P22" s="292" t="n">
        <f aca="false">'GAS DAILY VOL DOWNLOAD'!P22-'GAS DAILY VOL DOWNLOAD'!$B22+$B22</f>
        <v>1.18</v>
      </c>
      <c r="Q22" s="292" t="n">
        <f aca="false">'GAS DAILY VOL DOWNLOAD'!Q22-'GAS DAILY VOL DOWNLOAD'!$B22+$B22</f>
        <v>1.08</v>
      </c>
    </row>
    <row r="23" customFormat="false" ht="12.75" hidden="false" customHeight="false" outlineLevel="0" collapsed="false">
      <c r="A23" s="324" t="n">
        <v>37653</v>
      </c>
      <c r="B23" s="292" t="n">
        <f aca="false">STRADDLES!L45</f>
        <v>1.08</v>
      </c>
      <c r="C23" s="292" t="n">
        <f aca="false">'GAS DAILY VOL DOWNLOAD'!C23-'GAS DAILY VOL DOWNLOAD'!$B23+$B23</f>
        <v>1.13</v>
      </c>
      <c r="D23" s="292" t="n">
        <f aca="false">'GAS DAILY VOL DOWNLOAD'!D23-'GAS DAILY VOL DOWNLOAD'!$B23+$B23</f>
        <v>1.08</v>
      </c>
      <c r="E23" s="292" t="n">
        <f aca="false">'GAS DAILY VOL DOWNLOAD'!E23-'GAS DAILY VOL DOWNLOAD'!$B23+$B23</f>
        <v>1.08</v>
      </c>
      <c r="F23" s="292" t="n">
        <f aca="false">'GAS DAILY VOL DOWNLOAD'!F23-'GAS DAILY VOL DOWNLOAD'!$B23+$B23</f>
        <v>1.23</v>
      </c>
      <c r="G23" s="292" t="n">
        <f aca="false">'GAS DAILY VOL DOWNLOAD'!G23-'GAS DAILY VOL DOWNLOAD'!$B23+$B23</f>
        <v>1.53</v>
      </c>
      <c r="H23" s="292" t="n">
        <f aca="false">'GAS DAILY VOL DOWNLOAD'!H23-'GAS DAILY VOL DOWNLOAD'!$B23+$B23</f>
        <v>1.13</v>
      </c>
      <c r="I23" s="292" t="n">
        <f aca="false">'GAS DAILY VOL DOWNLOAD'!I23-'GAS DAILY VOL DOWNLOAD'!$B23+$B23</f>
        <v>1.08</v>
      </c>
      <c r="J23" s="292" t="n">
        <f aca="false">'GAS DAILY VOL DOWNLOAD'!J23-'GAS DAILY VOL DOWNLOAD'!$B23+$B23</f>
        <v>1.43</v>
      </c>
      <c r="K23" s="292" t="n">
        <f aca="false">'GAS DAILY VOL DOWNLOAD'!K23-'GAS DAILY VOL DOWNLOAD'!$B23+$B23</f>
        <v>1.08</v>
      </c>
      <c r="L23" s="292" t="n">
        <f aca="false">'GAS DAILY VOL DOWNLOAD'!L23-'GAS DAILY VOL DOWNLOAD'!$B23+$B23</f>
        <v>1.18</v>
      </c>
      <c r="M23" s="292" t="n">
        <f aca="false">'GAS DAILY VOL DOWNLOAD'!M23-'GAS DAILY VOL DOWNLOAD'!$B23+$B23</f>
        <v>1.08</v>
      </c>
      <c r="N23" s="292" t="n">
        <f aca="false">'GAS DAILY VOL DOWNLOAD'!N23-'GAS DAILY VOL DOWNLOAD'!$B23+$B23</f>
        <v>2.33</v>
      </c>
      <c r="O23" s="292" t="n">
        <f aca="false">'GAS DAILY VOL DOWNLOAD'!O23-'GAS DAILY VOL DOWNLOAD'!$B23+$B23</f>
        <v>1.23</v>
      </c>
      <c r="P23" s="292" t="n">
        <f aca="false">'GAS DAILY VOL DOWNLOAD'!P23-'GAS DAILY VOL DOWNLOAD'!$B23+$B23</f>
        <v>1.18</v>
      </c>
      <c r="Q23" s="292" t="n">
        <f aca="false">'GAS DAILY VOL DOWNLOAD'!Q23-'GAS DAILY VOL DOWNLOAD'!$B23+$B23</f>
        <v>1.08</v>
      </c>
    </row>
    <row r="24" customFormat="false" ht="12.75" hidden="false" customHeight="false" outlineLevel="0" collapsed="false">
      <c r="A24" s="317" t="n">
        <v>37681</v>
      </c>
      <c r="B24" s="292" t="n">
        <f aca="false">STRADDLES!L46</f>
        <v>0.83</v>
      </c>
      <c r="C24" s="292" t="n">
        <f aca="false">'GAS DAILY VOL DOWNLOAD'!C24-'GAS DAILY VOL DOWNLOAD'!$B24+$B24</f>
        <v>0.88</v>
      </c>
      <c r="D24" s="292" t="n">
        <f aca="false">'GAS DAILY VOL DOWNLOAD'!D24-'GAS DAILY VOL DOWNLOAD'!$B24+$B24</f>
        <v>0.83</v>
      </c>
      <c r="E24" s="292" t="n">
        <f aca="false">'GAS DAILY VOL DOWNLOAD'!E24-'GAS DAILY VOL DOWNLOAD'!$B24+$B24</f>
        <v>0.83</v>
      </c>
      <c r="F24" s="292" t="n">
        <f aca="false">'GAS DAILY VOL DOWNLOAD'!F24-'GAS DAILY VOL DOWNLOAD'!$B24+$B24</f>
        <v>0.93</v>
      </c>
      <c r="G24" s="292" t="n">
        <f aca="false">'GAS DAILY VOL DOWNLOAD'!G24-'GAS DAILY VOL DOWNLOAD'!$B24+$B24</f>
        <v>1.08</v>
      </c>
      <c r="H24" s="292" t="n">
        <f aca="false">'GAS DAILY VOL DOWNLOAD'!H24-'GAS DAILY VOL DOWNLOAD'!$B24+$B24</f>
        <v>0.83</v>
      </c>
      <c r="I24" s="292" t="n">
        <f aca="false">'GAS DAILY VOL DOWNLOAD'!I24-'GAS DAILY VOL DOWNLOAD'!$B24+$B24</f>
        <v>0.83</v>
      </c>
      <c r="J24" s="292" t="n">
        <f aca="false">'GAS DAILY VOL DOWNLOAD'!J24-'GAS DAILY VOL DOWNLOAD'!$B24+$B24</f>
        <v>1.03</v>
      </c>
      <c r="K24" s="292" t="n">
        <f aca="false">'GAS DAILY VOL DOWNLOAD'!K24-'GAS DAILY VOL DOWNLOAD'!$B24+$B24</f>
        <v>0.83</v>
      </c>
      <c r="L24" s="292" t="n">
        <f aca="false">'GAS DAILY VOL DOWNLOAD'!L24-'GAS DAILY VOL DOWNLOAD'!$B24+$B24</f>
        <v>0.83</v>
      </c>
      <c r="M24" s="292" t="n">
        <f aca="false">'GAS DAILY VOL DOWNLOAD'!M24-'GAS DAILY VOL DOWNLOAD'!$B24+$B24</f>
        <v>0.83</v>
      </c>
      <c r="N24" s="292" t="n">
        <f aca="false">'GAS DAILY VOL DOWNLOAD'!N24-'GAS DAILY VOL DOWNLOAD'!$B24+$B24</f>
        <v>1.88</v>
      </c>
      <c r="O24" s="292" t="n">
        <f aca="false">'GAS DAILY VOL DOWNLOAD'!O24-'GAS DAILY VOL DOWNLOAD'!$B24+$B24</f>
        <v>0.98</v>
      </c>
      <c r="P24" s="292" t="n">
        <f aca="false">'GAS DAILY VOL DOWNLOAD'!P24-'GAS DAILY VOL DOWNLOAD'!$B24+$B24</f>
        <v>0.93</v>
      </c>
      <c r="Q24" s="292" t="n">
        <f aca="false">'GAS DAILY VOL DOWNLOAD'!Q24-'GAS DAILY VOL DOWNLOAD'!$B24+$B24</f>
        <v>0.83</v>
      </c>
    </row>
    <row r="25" customFormat="false" ht="12.75" hidden="false" customHeight="false" outlineLevel="0" collapsed="false">
      <c r="A25" s="317" t="n">
        <v>37712</v>
      </c>
      <c r="B25" s="292" t="n">
        <f aca="false">STRADDLES!L47</f>
        <v>0.43</v>
      </c>
      <c r="C25" s="292" t="n">
        <f aca="false">'GAS DAILY VOL DOWNLOAD'!C25-'GAS DAILY VOL DOWNLOAD'!$B25+$B25</f>
        <v>0.48</v>
      </c>
      <c r="D25" s="292" t="n">
        <f aca="false">'GAS DAILY VOL DOWNLOAD'!D25-'GAS DAILY VOL DOWNLOAD'!$B25+$B25</f>
        <v>0.43</v>
      </c>
      <c r="E25" s="292" t="n">
        <f aca="false">'GAS DAILY VOL DOWNLOAD'!E25-'GAS DAILY VOL DOWNLOAD'!$B25+$B25</f>
        <v>0.48</v>
      </c>
      <c r="F25" s="292" t="n">
        <f aca="false">'GAS DAILY VOL DOWNLOAD'!F25-'GAS DAILY VOL DOWNLOAD'!$B25+$B25</f>
        <v>0.48</v>
      </c>
      <c r="G25" s="292" t="n">
        <f aca="false">'GAS DAILY VOL DOWNLOAD'!G25-'GAS DAILY VOL DOWNLOAD'!$B25+$B25</f>
        <v>0.48</v>
      </c>
      <c r="H25" s="292" t="n">
        <f aca="false">'GAS DAILY VOL DOWNLOAD'!H25-'GAS DAILY VOL DOWNLOAD'!$B25+$B25</f>
        <v>0.48</v>
      </c>
      <c r="I25" s="292" t="n">
        <f aca="false">'GAS DAILY VOL DOWNLOAD'!I25-'GAS DAILY VOL DOWNLOAD'!$B25+$B25</f>
        <v>0.48</v>
      </c>
      <c r="J25" s="292" t="n">
        <f aca="false">'GAS DAILY VOL DOWNLOAD'!J25-'GAS DAILY VOL DOWNLOAD'!$B25+$B25</f>
        <v>0.53</v>
      </c>
      <c r="K25" s="292" t="n">
        <f aca="false">'GAS DAILY VOL DOWNLOAD'!K25-'GAS DAILY VOL DOWNLOAD'!$B25+$B25</f>
        <v>0.43</v>
      </c>
      <c r="L25" s="292" t="n">
        <f aca="false">'GAS DAILY VOL DOWNLOAD'!L25-'GAS DAILY VOL DOWNLOAD'!$B25+$B25</f>
        <v>0.48</v>
      </c>
      <c r="M25" s="292" t="n">
        <f aca="false">'GAS DAILY VOL DOWNLOAD'!M25-'GAS DAILY VOL DOWNLOAD'!$B25+$B25</f>
        <v>0.43</v>
      </c>
      <c r="N25" s="292" t="n">
        <f aca="false">'GAS DAILY VOL DOWNLOAD'!N25-'GAS DAILY VOL DOWNLOAD'!$B25+$B25</f>
        <v>0.48</v>
      </c>
      <c r="O25" s="292" t="n">
        <f aca="false">'GAS DAILY VOL DOWNLOAD'!O25-'GAS DAILY VOL DOWNLOAD'!$B25+$B25</f>
        <v>0.58</v>
      </c>
      <c r="P25" s="292" t="n">
        <f aca="false">'GAS DAILY VOL DOWNLOAD'!P25-'GAS DAILY VOL DOWNLOAD'!$B25+$B25</f>
        <v>0.58</v>
      </c>
      <c r="Q25" s="292" t="n">
        <f aca="false">'GAS DAILY VOL DOWNLOAD'!Q25-'GAS DAILY VOL DOWNLOAD'!$B25+$B25</f>
        <v>0.43</v>
      </c>
    </row>
    <row r="26" customFormat="false" ht="12.75" hidden="false" customHeight="false" outlineLevel="0" collapsed="false">
      <c r="A26" s="317" t="n">
        <v>37742</v>
      </c>
      <c r="B26" s="292" t="n">
        <f aca="false">STRADDLES!L48</f>
        <v>0.48</v>
      </c>
      <c r="C26" s="292" t="n">
        <f aca="false">'GAS DAILY VOL DOWNLOAD'!C26-'GAS DAILY VOL DOWNLOAD'!$B26+$B26</f>
        <v>0.53</v>
      </c>
      <c r="D26" s="292" t="n">
        <f aca="false">'GAS DAILY VOL DOWNLOAD'!D26-'GAS DAILY VOL DOWNLOAD'!$B26+$B26</f>
        <v>0.43</v>
      </c>
      <c r="E26" s="292" t="n">
        <f aca="false">'GAS DAILY VOL DOWNLOAD'!E26-'GAS DAILY VOL DOWNLOAD'!$B26+$B26</f>
        <v>0.43</v>
      </c>
      <c r="F26" s="292" t="n">
        <f aca="false">'GAS DAILY VOL DOWNLOAD'!F26-'GAS DAILY VOL DOWNLOAD'!$B26+$B26</f>
        <v>0.48</v>
      </c>
      <c r="G26" s="292" t="n">
        <f aca="false">'GAS DAILY VOL DOWNLOAD'!G26-'GAS DAILY VOL DOWNLOAD'!$B26+$B26</f>
        <v>0.53</v>
      </c>
      <c r="H26" s="292" t="n">
        <f aca="false">'GAS DAILY VOL DOWNLOAD'!H26-'GAS DAILY VOL DOWNLOAD'!$B26+$B26</f>
        <v>0.48</v>
      </c>
      <c r="I26" s="292" t="n">
        <f aca="false">'GAS DAILY VOL DOWNLOAD'!I26-'GAS DAILY VOL DOWNLOAD'!$B26+$B26</f>
        <v>0.43</v>
      </c>
      <c r="J26" s="292" t="n">
        <f aca="false">'GAS DAILY VOL DOWNLOAD'!J26-'GAS DAILY VOL DOWNLOAD'!$B26+$B26</f>
        <v>0.48</v>
      </c>
      <c r="K26" s="292" t="n">
        <f aca="false">'GAS DAILY VOL DOWNLOAD'!K26-'GAS DAILY VOL DOWNLOAD'!$B26+$B26</f>
        <v>0.48</v>
      </c>
      <c r="L26" s="292" t="n">
        <f aca="false">'GAS DAILY VOL DOWNLOAD'!L26-'GAS DAILY VOL DOWNLOAD'!$B26+$B26</f>
        <v>0.53</v>
      </c>
      <c r="M26" s="292" t="n">
        <f aca="false">'GAS DAILY VOL DOWNLOAD'!M26-'GAS DAILY VOL DOWNLOAD'!$B26+$B26</f>
        <v>0.48</v>
      </c>
      <c r="N26" s="292" t="n">
        <f aca="false">'GAS DAILY VOL DOWNLOAD'!N26-'GAS DAILY VOL DOWNLOAD'!$B26+$B26</f>
        <v>0.53</v>
      </c>
      <c r="O26" s="292" t="n">
        <f aca="false">'GAS DAILY VOL DOWNLOAD'!O26-'GAS DAILY VOL DOWNLOAD'!$B26+$B26</f>
        <v>0.63</v>
      </c>
      <c r="P26" s="292" t="n">
        <f aca="false">'GAS DAILY VOL DOWNLOAD'!P26-'GAS DAILY VOL DOWNLOAD'!$B26+$B26</f>
        <v>0.53</v>
      </c>
      <c r="Q26" s="292" t="n">
        <f aca="false">'GAS DAILY VOL DOWNLOAD'!Q26-'GAS DAILY VOL DOWNLOAD'!$B26+$B26</f>
        <v>0.48</v>
      </c>
    </row>
    <row r="27" customFormat="false" ht="12.75" hidden="false" customHeight="false" outlineLevel="0" collapsed="false">
      <c r="A27" s="317" t="n">
        <v>37773</v>
      </c>
      <c r="B27" s="292" t="n">
        <f aca="false">STRADDLES!L49</f>
        <v>0.48</v>
      </c>
      <c r="C27" s="292" t="n">
        <f aca="false">'GAS DAILY VOL DOWNLOAD'!C27-'GAS DAILY VOL DOWNLOAD'!$B27+$B27</f>
        <v>0.53</v>
      </c>
      <c r="D27" s="292" t="n">
        <f aca="false">'GAS DAILY VOL DOWNLOAD'!D27-'GAS DAILY VOL DOWNLOAD'!$B27+$B27</f>
        <v>0.43</v>
      </c>
      <c r="E27" s="292" t="n">
        <f aca="false">'GAS DAILY VOL DOWNLOAD'!E27-'GAS DAILY VOL DOWNLOAD'!$B27+$B27</f>
        <v>0.53</v>
      </c>
      <c r="F27" s="292" t="n">
        <f aca="false">'GAS DAILY VOL DOWNLOAD'!F27-'GAS DAILY VOL DOWNLOAD'!$B27+$B27</f>
        <v>0.48</v>
      </c>
      <c r="G27" s="292" t="n">
        <f aca="false">'GAS DAILY VOL DOWNLOAD'!G27-'GAS DAILY VOL DOWNLOAD'!$B27+$B27</f>
        <v>0.53</v>
      </c>
      <c r="H27" s="292" t="n">
        <f aca="false">'GAS DAILY VOL DOWNLOAD'!H27-'GAS DAILY VOL DOWNLOAD'!$B27+$B27</f>
        <v>0.53</v>
      </c>
      <c r="I27" s="292" t="n">
        <f aca="false">'GAS DAILY VOL DOWNLOAD'!I27-'GAS DAILY VOL DOWNLOAD'!$B27+$B27</f>
        <v>0.53</v>
      </c>
      <c r="J27" s="292" t="n">
        <f aca="false">'GAS DAILY VOL DOWNLOAD'!J27-'GAS DAILY VOL DOWNLOAD'!$B27+$B27</f>
        <v>0.53</v>
      </c>
      <c r="K27" s="292" t="n">
        <f aca="false">'GAS DAILY VOL DOWNLOAD'!K27-'GAS DAILY VOL DOWNLOAD'!$B27+$B27</f>
        <v>0.48</v>
      </c>
      <c r="L27" s="292" t="n">
        <f aca="false">'GAS DAILY VOL DOWNLOAD'!L27-'GAS DAILY VOL DOWNLOAD'!$B27+$B27</f>
        <v>0.53</v>
      </c>
      <c r="M27" s="292" t="n">
        <f aca="false">'GAS DAILY VOL DOWNLOAD'!M27-'GAS DAILY VOL DOWNLOAD'!$B27+$B27</f>
        <v>0.48</v>
      </c>
      <c r="N27" s="292" t="n">
        <f aca="false">'GAS DAILY VOL DOWNLOAD'!N27-'GAS DAILY VOL DOWNLOAD'!$B27+$B27</f>
        <v>0.53</v>
      </c>
      <c r="O27" s="292" t="n">
        <f aca="false">'GAS DAILY VOL DOWNLOAD'!O27-'GAS DAILY VOL DOWNLOAD'!$B27+$B27</f>
        <v>0.63</v>
      </c>
      <c r="P27" s="292" t="n">
        <f aca="false">'GAS DAILY VOL DOWNLOAD'!P27-'GAS DAILY VOL DOWNLOAD'!$B27+$B27</f>
        <v>0.63</v>
      </c>
      <c r="Q27" s="292" t="n">
        <f aca="false">'GAS DAILY VOL DOWNLOAD'!Q27-'GAS DAILY VOL DOWNLOAD'!$B27+$B27</f>
        <v>0.48</v>
      </c>
    </row>
    <row r="28" customFormat="false" ht="12.75" hidden="false" customHeight="false" outlineLevel="0" collapsed="false">
      <c r="A28" s="317" t="n">
        <v>37803</v>
      </c>
      <c r="B28" s="292" t="n">
        <f aca="false">STRADDLES!L50</f>
        <v>0.53</v>
      </c>
      <c r="C28" s="292" t="n">
        <f aca="false">'GAS DAILY VOL DOWNLOAD'!C28-'GAS DAILY VOL DOWNLOAD'!$B28+$B28</f>
        <v>0.53</v>
      </c>
      <c r="D28" s="292" t="n">
        <f aca="false">'GAS DAILY VOL DOWNLOAD'!D28-'GAS DAILY VOL DOWNLOAD'!$B28+$B28</f>
        <v>0.43</v>
      </c>
      <c r="E28" s="292" t="n">
        <f aca="false">'GAS DAILY VOL DOWNLOAD'!E28-'GAS DAILY VOL DOWNLOAD'!$B28+$B28</f>
        <v>0.53</v>
      </c>
      <c r="F28" s="292" t="n">
        <f aca="false">'GAS DAILY VOL DOWNLOAD'!F28-'GAS DAILY VOL DOWNLOAD'!$B28+$B28</f>
        <v>0.53</v>
      </c>
      <c r="G28" s="292" t="n">
        <f aca="false">'GAS DAILY VOL DOWNLOAD'!G28-'GAS DAILY VOL DOWNLOAD'!$B28+$B28</f>
        <v>0.53</v>
      </c>
      <c r="H28" s="292" t="n">
        <f aca="false">'GAS DAILY VOL DOWNLOAD'!H28-'GAS DAILY VOL DOWNLOAD'!$B28+$B28</f>
        <v>0.53</v>
      </c>
      <c r="I28" s="292" t="n">
        <f aca="false">'GAS DAILY VOL DOWNLOAD'!I28-'GAS DAILY VOL DOWNLOAD'!$B28+$B28</f>
        <v>0.53</v>
      </c>
      <c r="J28" s="292" t="n">
        <f aca="false">'GAS DAILY VOL DOWNLOAD'!J28-'GAS DAILY VOL DOWNLOAD'!$B28+$B28</f>
        <v>0.53</v>
      </c>
      <c r="K28" s="292" t="n">
        <f aca="false">'GAS DAILY VOL DOWNLOAD'!K28-'GAS DAILY VOL DOWNLOAD'!$B28+$B28</f>
        <v>0.53</v>
      </c>
      <c r="L28" s="292" t="n">
        <f aca="false">'GAS DAILY VOL DOWNLOAD'!L28-'GAS DAILY VOL DOWNLOAD'!$B28+$B28</f>
        <v>0.58</v>
      </c>
      <c r="M28" s="292" t="n">
        <f aca="false">'GAS DAILY VOL DOWNLOAD'!M28-'GAS DAILY VOL DOWNLOAD'!$B28+$B28</f>
        <v>0.53</v>
      </c>
      <c r="N28" s="292" t="n">
        <f aca="false">'GAS DAILY VOL DOWNLOAD'!N28-'GAS DAILY VOL DOWNLOAD'!$B28+$B28</f>
        <v>0.53</v>
      </c>
      <c r="O28" s="292" t="n">
        <f aca="false">'GAS DAILY VOL DOWNLOAD'!O28-'GAS DAILY VOL DOWNLOAD'!$B28+$B28</f>
        <v>0.68</v>
      </c>
      <c r="P28" s="292" t="n">
        <f aca="false">'GAS DAILY VOL DOWNLOAD'!P28-'GAS DAILY VOL DOWNLOAD'!$B28+$B28</f>
        <v>0.63</v>
      </c>
      <c r="Q28" s="292" t="n">
        <f aca="false">'GAS DAILY VOL DOWNLOAD'!Q28-'GAS DAILY VOL DOWNLOAD'!$B28+$B28</f>
        <v>0.53</v>
      </c>
    </row>
    <row r="29" customFormat="false" ht="12.75" hidden="false" customHeight="false" outlineLevel="0" collapsed="false">
      <c r="A29" s="317" t="n">
        <v>37834</v>
      </c>
      <c r="B29" s="292" t="n">
        <f aca="false">STRADDLES!L51</f>
        <v>0.58</v>
      </c>
      <c r="C29" s="292" t="n">
        <f aca="false">'GAS DAILY VOL DOWNLOAD'!C29-'GAS DAILY VOL DOWNLOAD'!$B29+$B29</f>
        <v>0.58</v>
      </c>
      <c r="D29" s="292" t="n">
        <f aca="false">'GAS DAILY VOL DOWNLOAD'!D29-'GAS DAILY VOL DOWNLOAD'!$B29+$B29</f>
        <v>0.53</v>
      </c>
      <c r="E29" s="292" t="n">
        <f aca="false">'GAS DAILY VOL DOWNLOAD'!E29-'GAS DAILY VOL DOWNLOAD'!$B29+$B29</f>
        <v>0.63</v>
      </c>
      <c r="F29" s="292" t="n">
        <f aca="false">'GAS DAILY VOL DOWNLOAD'!F29-'GAS DAILY VOL DOWNLOAD'!$B29+$B29</f>
        <v>0.58</v>
      </c>
      <c r="G29" s="292" t="n">
        <f aca="false">'GAS DAILY VOL DOWNLOAD'!G29-'GAS DAILY VOL DOWNLOAD'!$B29+$B29</f>
        <v>0.63</v>
      </c>
      <c r="H29" s="292" t="n">
        <f aca="false">'GAS DAILY VOL DOWNLOAD'!H29-'GAS DAILY VOL DOWNLOAD'!$B29+$B29</f>
        <v>0.58</v>
      </c>
      <c r="I29" s="292" t="n">
        <f aca="false">'GAS DAILY VOL DOWNLOAD'!I29-'GAS DAILY VOL DOWNLOAD'!$B29+$B29</f>
        <v>0.63</v>
      </c>
      <c r="J29" s="292" t="n">
        <f aca="false">'GAS DAILY VOL DOWNLOAD'!J29-'GAS DAILY VOL DOWNLOAD'!$B29+$B29</f>
        <v>0.48</v>
      </c>
      <c r="K29" s="292" t="n">
        <f aca="false">'GAS DAILY VOL DOWNLOAD'!K29-'GAS DAILY VOL DOWNLOAD'!$B29+$B29</f>
        <v>0.58</v>
      </c>
      <c r="L29" s="292" t="n">
        <f aca="false">'GAS DAILY VOL DOWNLOAD'!L29-'GAS DAILY VOL DOWNLOAD'!$B29+$B29</f>
        <v>0.63</v>
      </c>
      <c r="M29" s="292" t="n">
        <f aca="false">'GAS DAILY VOL DOWNLOAD'!M29-'GAS DAILY VOL DOWNLOAD'!$B29+$B29</f>
        <v>0.58</v>
      </c>
      <c r="N29" s="292" t="n">
        <f aca="false">'GAS DAILY VOL DOWNLOAD'!N29-'GAS DAILY VOL DOWNLOAD'!$B29+$B29</f>
        <v>0.63</v>
      </c>
      <c r="O29" s="292" t="n">
        <f aca="false">'GAS DAILY VOL DOWNLOAD'!O29-'GAS DAILY VOL DOWNLOAD'!$B29+$B29</f>
        <v>0.73</v>
      </c>
      <c r="P29" s="292" t="n">
        <f aca="false">'GAS DAILY VOL DOWNLOAD'!P29-'GAS DAILY VOL DOWNLOAD'!$B29+$B29</f>
        <v>0.73</v>
      </c>
      <c r="Q29" s="292" t="n">
        <f aca="false">'GAS DAILY VOL DOWNLOAD'!Q29-'GAS DAILY VOL DOWNLOAD'!$B29+$B29</f>
        <v>0.58</v>
      </c>
    </row>
    <row r="30" customFormat="false" ht="12.75" hidden="false" customHeight="false" outlineLevel="0" collapsed="false">
      <c r="A30" s="317" t="n">
        <v>37865</v>
      </c>
      <c r="B30" s="292" t="n">
        <f aca="false">STRADDLES!L52</f>
        <v>0.58</v>
      </c>
      <c r="C30" s="292" t="n">
        <f aca="false">'GAS DAILY VOL DOWNLOAD'!C30-'GAS DAILY VOL DOWNLOAD'!$B30+$B30</f>
        <v>0.58</v>
      </c>
      <c r="D30" s="292" t="n">
        <f aca="false">'GAS DAILY VOL DOWNLOAD'!D30-'GAS DAILY VOL DOWNLOAD'!$B30+$B30</f>
        <v>0.58</v>
      </c>
      <c r="E30" s="292" t="n">
        <f aca="false">'GAS DAILY VOL DOWNLOAD'!E30-'GAS DAILY VOL DOWNLOAD'!$B30+$B30</f>
        <v>0.58</v>
      </c>
      <c r="F30" s="292" t="n">
        <f aca="false">'GAS DAILY VOL DOWNLOAD'!F30-'GAS DAILY VOL DOWNLOAD'!$B30+$B30</f>
        <v>0.58</v>
      </c>
      <c r="G30" s="292" t="n">
        <f aca="false">'GAS DAILY VOL DOWNLOAD'!G30-'GAS DAILY VOL DOWNLOAD'!$B30+$B30</f>
        <v>0.63</v>
      </c>
      <c r="H30" s="292" t="n">
        <f aca="false">'GAS DAILY VOL DOWNLOAD'!H30-'GAS DAILY VOL DOWNLOAD'!$B30+$B30</f>
        <v>0.63</v>
      </c>
      <c r="I30" s="292" t="n">
        <f aca="false">'GAS DAILY VOL DOWNLOAD'!I30-'GAS DAILY VOL DOWNLOAD'!$B30+$B30</f>
        <v>0.58</v>
      </c>
      <c r="J30" s="292" t="n">
        <f aca="false">'GAS DAILY VOL DOWNLOAD'!J30-'GAS DAILY VOL DOWNLOAD'!$B30+$B30</f>
        <v>0.53</v>
      </c>
      <c r="K30" s="292" t="n">
        <f aca="false">'GAS DAILY VOL DOWNLOAD'!K30-'GAS DAILY VOL DOWNLOAD'!$B30+$B30</f>
        <v>0.58</v>
      </c>
      <c r="L30" s="292" t="n">
        <f aca="false">'GAS DAILY VOL DOWNLOAD'!L30-'GAS DAILY VOL DOWNLOAD'!$B30+$B30</f>
        <v>0.63</v>
      </c>
      <c r="M30" s="292" t="n">
        <f aca="false">'GAS DAILY VOL DOWNLOAD'!M30-'GAS DAILY VOL DOWNLOAD'!$B30+$B30</f>
        <v>0.58</v>
      </c>
      <c r="N30" s="292" t="n">
        <f aca="false">'GAS DAILY VOL DOWNLOAD'!N30-'GAS DAILY VOL DOWNLOAD'!$B30+$B30</f>
        <v>0.63</v>
      </c>
      <c r="O30" s="292" t="n">
        <f aca="false">'GAS DAILY VOL DOWNLOAD'!O30-'GAS DAILY VOL DOWNLOAD'!$B30+$B30</f>
        <v>0.73</v>
      </c>
      <c r="P30" s="292" t="n">
        <f aca="false">'GAS DAILY VOL DOWNLOAD'!P30-'GAS DAILY VOL DOWNLOAD'!$B30+$B30</f>
        <v>0.68</v>
      </c>
      <c r="Q30" s="292" t="n">
        <f aca="false">'GAS DAILY VOL DOWNLOAD'!Q30-'GAS DAILY VOL DOWNLOAD'!$B30+$B30</f>
        <v>0.58</v>
      </c>
    </row>
    <row r="31" customFormat="false" ht="12.75" hidden="false" customHeight="false" outlineLevel="0" collapsed="false">
      <c r="A31" s="317" t="n">
        <v>37895</v>
      </c>
      <c r="B31" s="292" t="n">
        <f aca="false">STRADDLES!L53</f>
        <v>0.63</v>
      </c>
      <c r="C31" s="292" t="n">
        <f aca="false">'GAS DAILY VOL DOWNLOAD'!C31-'GAS DAILY VOL DOWNLOAD'!$B31+$B31</f>
        <v>0.63</v>
      </c>
      <c r="D31" s="292" t="n">
        <f aca="false">'GAS DAILY VOL DOWNLOAD'!D31-'GAS DAILY VOL DOWNLOAD'!$B31+$B31</f>
        <v>0.58</v>
      </c>
      <c r="E31" s="292" t="n">
        <f aca="false">'GAS DAILY VOL DOWNLOAD'!E31-'GAS DAILY VOL DOWNLOAD'!$B31+$B31</f>
        <v>0.63</v>
      </c>
      <c r="F31" s="292" t="n">
        <f aca="false">'GAS DAILY VOL DOWNLOAD'!F31-'GAS DAILY VOL DOWNLOAD'!$B31+$B31</f>
        <v>0.63</v>
      </c>
      <c r="G31" s="292" t="n">
        <f aca="false">'GAS DAILY VOL DOWNLOAD'!G31-'GAS DAILY VOL DOWNLOAD'!$B31+$B31</f>
        <v>0.68</v>
      </c>
      <c r="H31" s="292" t="n">
        <f aca="false">'GAS DAILY VOL DOWNLOAD'!H31-'GAS DAILY VOL DOWNLOAD'!$B31+$B31</f>
        <v>0.68</v>
      </c>
      <c r="I31" s="292" t="n">
        <f aca="false">'GAS DAILY VOL DOWNLOAD'!I31-'GAS DAILY VOL DOWNLOAD'!$B31+$B31</f>
        <v>0.63</v>
      </c>
      <c r="J31" s="292" t="n">
        <f aca="false">'GAS DAILY VOL DOWNLOAD'!J31-'GAS DAILY VOL DOWNLOAD'!$B31+$B31</f>
        <v>0.53</v>
      </c>
      <c r="K31" s="292" t="n">
        <f aca="false">'GAS DAILY VOL DOWNLOAD'!K31-'GAS DAILY VOL DOWNLOAD'!$B31+$B31</f>
        <v>0.63</v>
      </c>
      <c r="L31" s="292" t="n">
        <f aca="false">'GAS DAILY VOL DOWNLOAD'!L31-'GAS DAILY VOL DOWNLOAD'!$B31+$B31</f>
        <v>0.68</v>
      </c>
      <c r="M31" s="292" t="n">
        <f aca="false">'GAS DAILY VOL DOWNLOAD'!M31-'GAS DAILY VOL DOWNLOAD'!$B31+$B31</f>
        <v>0.63</v>
      </c>
      <c r="N31" s="292" t="n">
        <f aca="false">'GAS DAILY VOL DOWNLOAD'!N31-'GAS DAILY VOL DOWNLOAD'!$B31+$B31</f>
        <v>0.68</v>
      </c>
      <c r="O31" s="292" t="n">
        <f aca="false">'GAS DAILY VOL DOWNLOAD'!O31-'GAS DAILY VOL DOWNLOAD'!$B31+$B31</f>
        <v>0.78</v>
      </c>
      <c r="P31" s="292" t="n">
        <f aca="false">'GAS DAILY VOL DOWNLOAD'!P31-'GAS DAILY VOL DOWNLOAD'!$B31+$B31</f>
        <v>0.73</v>
      </c>
      <c r="Q31" s="292" t="n">
        <f aca="false">'GAS DAILY VOL DOWNLOAD'!Q31-'GAS DAILY VOL DOWNLOAD'!$B31+$B31</f>
        <v>0.63</v>
      </c>
    </row>
    <row r="32" customFormat="false" ht="12.75" hidden="false" customHeight="false" outlineLevel="0" collapsed="false">
      <c r="A32" s="317" t="n">
        <v>37926</v>
      </c>
      <c r="B32" s="292" t="n">
        <f aca="false">STRADDLES!L54</f>
        <v>0.83</v>
      </c>
      <c r="C32" s="292" t="n">
        <f aca="false">'GAS DAILY VOL DOWNLOAD'!C32-'GAS DAILY VOL DOWNLOAD'!$B32+$B32</f>
        <v>0.88</v>
      </c>
      <c r="D32" s="292" t="n">
        <f aca="false">'GAS DAILY VOL DOWNLOAD'!D32-'GAS DAILY VOL DOWNLOAD'!$B32+$B32</f>
        <v>0.83</v>
      </c>
      <c r="E32" s="292" t="n">
        <f aca="false">'GAS DAILY VOL DOWNLOAD'!E32-'GAS DAILY VOL DOWNLOAD'!$B32+$B32</f>
        <v>0.83</v>
      </c>
      <c r="F32" s="292" t="n">
        <f aca="false">'GAS DAILY VOL DOWNLOAD'!F32-'GAS DAILY VOL DOWNLOAD'!$B32+$B32</f>
        <v>0.93</v>
      </c>
      <c r="G32" s="292" t="n">
        <f aca="false">'GAS DAILY VOL DOWNLOAD'!G32-'GAS DAILY VOL DOWNLOAD'!$B32+$B32</f>
        <v>0.98</v>
      </c>
      <c r="H32" s="292" t="n">
        <f aca="false">'GAS DAILY VOL DOWNLOAD'!H32-'GAS DAILY VOL DOWNLOAD'!$B32+$B32</f>
        <v>0.88</v>
      </c>
      <c r="I32" s="292" t="n">
        <f aca="false">'GAS DAILY VOL DOWNLOAD'!I32-'GAS DAILY VOL DOWNLOAD'!$B32+$B32</f>
        <v>0.83</v>
      </c>
      <c r="J32" s="292" t="n">
        <f aca="false">'GAS DAILY VOL DOWNLOAD'!J32-'GAS DAILY VOL DOWNLOAD'!$B32+$B32</f>
        <v>0.98</v>
      </c>
      <c r="K32" s="292" t="n">
        <f aca="false">'GAS DAILY VOL DOWNLOAD'!K32-'GAS DAILY VOL DOWNLOAD'!$B32+$B32</f>
        <v>0.83</v>
      </c>
      <c r="L32" s="292" t="n">
        <f aca="false">'GAS DAILY VOL DOWNLOAD'!L32-'GAS DAILY VOL DOWNLOAD'!$B32+$B32</f>
        <v>0.83</v>
      </c>
      <c r="M32" s="292" t="n">
        <f aca="false">'GAS DAILY VOL DOWNLOAD'!M32-'GAS DAILY VOL DOWNLOAD'!$B32+$B32</f>
        <v>0.83</v>
      </c>
      <c r="N32" s="292" t="n">
        <f aca="false">'GAS DAILY VOL DOWNLOAD'!N32-'GAS DAILY VOL DOWNLOAD'!$B32+$B32</f>
        <v>0.98</v>
      </c>
      <c r="O32" s="292" t="n">
        <f aca="false">'GAS DAILY VOL DOWNLOAD'!O32-'GAS DAILY VOL DOWNLOAD'!$B32+$B32</f>
        <v>0.98</v>
      </c>
      <c r="P32" s="292" t="n">
        <f aca="false">'GAS DAILY VOL DOWNLOAD'!P32-'GAS DAILY VOL DOWNLOAD'!$B32+$B32</f>
        <v>0.93</v>
      </c>
      <c r="Q32" s="292" t="n">
        <f aca="false">'GAS DAILY VOL DOWNLOAD'!Q32-'GAS DAILY VOL DOWNLOAD'!$B32+$B32</f>
        <v>0.83</v>
      </c>
    </row>
    <row r="33" customFormat="false" ht="12.75" hidden="false" customHeight="false" outlineLevel="0" collapsed="false">
      <c r="A33" s="317" t="n">
        <v>37956</v>
      </c>
      <c r="B33" s="292" t="n">
        <f aca="false">STRADDLES!L55</f>
        <v>1.03</v>
      </c>
      <c r="C33" s="292" t="n">
        <f aca="false">'GAS DAILY VOL DOWNLOAD'!C33-'GAS DAILY VOL DOWNLOAD'!$B33+$B33</f>
        <v>1.08</v>
      </c>
      <c r="D33" s="292" t="n">
        <f aca="false">'GAS DAILY VOL DOWNLOAD'!D33-'GAS DAILY VOL DOWNLOAD'!$B33+$B33</f>
        <v>1.03</v>
      </c>
      <c r="E33" s="292" t="n">
        <f aca="false">'GAS DAILY VOL DOWNLOAD'!E33-'GAS DAILY VOL DOWNLOAD'!$B33+$B33</f>
        <v>1.03</v>
      </c>
      <c r="F33" s="292" t="n">
        <f aca="false">'GAS DAILY VOL DOWNLOAD'!F33-'GAS DAILY VOL DOWNLOAD'!$B33+$B33</f>
        <v>1.18</v>
      </c>
      <c r="G33" s="292" t="n">
        <f aca="false">'GAS DAILY VOL DOWNLOAD'!G33-'GAS DAILY VOL DOWNLOAD'!$B33+$B33</f>
        <v>1.28</v>
      </c>
      <c r="H33" s="292" t="n">
        <f aca="false">'GAS DAILY VOL DOWNLOAD'!H33-'GAS DAILY VOL DOWNLOAD'!$B33+$B33</f>
        <v>1.08</v>
      </c>
      <c r="I33" s="292" t="n">
        <f aca="false">'GAS DAILY VOL DOWNLOAD'!I33-'GAS DAILY VOL DOWNLOAD'!$B33+$B33</f>
        <v>1.03</v>
      </c>
      <c r="J33" s="292" t="n">
        <f aca="false">'GAS DAILY VOL DOWNLOAD'!J33-'GAS DAILY VOL DOWNLOAD'!$B33+$B33</f>
        <v>1.38</v>
      </c>
      <c r="K33" s="292" t="n">
        <f aca="false">'GAS DAILY VOL DOWNLOAD'!K33-'GAS DAILY VOL DOWNLOAD'!$B33+$B33</f>
        <v>1.03</v>
      </c>
      <c r="L33" s="292" t="n">
        <f aca="false">'GAS DAILY VOL DOWNLOAD'!L33-'GAS DAILY VOL DOWNLOAD'!$B33+$B33</f>
        <v>1.13</v>
      </c>
      <c r="M33" s="292" t="n">
        <f aca="false">'GAS DAILY VOL DOWNLOAD'!M33-'GAS DAILY VOL DOWNLOAD'!$B33+$B33</f>
        <v>1.03</v>
      </c>
      <c r="N33" s="292" t="n">
        <f aca="false">'GAS DAILY VOL DOWNLOAD'!N33-'GAS DAILY VOL DOWNLOAD'!$B33+$B33</f>
        <v>1.28</v>
      </c>
      <c r="O33" s="292" t="n">
        <f aca="false">'GAS DAILY VOL DOWNLOAD'!O33-'GAS DAILY VOL DOWNLOAD'!$B33+$B33</f>
        <v>1.18</v>
      </c>
      <c r="P33" s="292" t="n">
        <f aca="false">'GAS DAILY VOL DOWNLOAD'!P33-'GAS DAILY VOL DOWNLOAD'!$B33+$B33</f>
        <v>1.13</v>
      </c>
      <c r="Q33" s="292" t="n">
        <f aca="false">'GAS DAILY VOL DOWNLOAD'!Q33-'GAS DAILY VOL DOWNLOAD'!$B33+$B33</f>
        <v>1.03</v>
      </c>
    </row>
    <row r="34" customFormat="false" ht="12.75" hidden="false" customHeight="false" outlineLevel="0" collapsed="false">
      <c r="A34" s="317" t="n">
        <v>37987</v>
      </c>
      <c r="B34" s="292" t="n">
        <f aca="false">STRADDLES!L56</f>
        <v>1</v>
      </c>
      <c r="C34" s="292" t="n">
        <f aca="false">'GAS DAILY VOL DOWNLOAD'!C34-'GAS DAILY VOL DOWNLOAD'!$B34+$B34</f>
        <v>1.05</v>
      </c>
      <c r="D34" s="292" t="n">
        <f aca="false">'GAS DAILY VOL DOWNLOAD'!D34-'GAS DAILY VOL DOWNLOAD'!$B34+$B34</f>
        <v>1</v>
      </c>
      <c r="E34" s="292" t="n">
        <f aca="false">'GAS DAILY VOL DOWNLOAD'!E34-'GAS DAILY VOL DOWNLOAD'!$B34+$B34</f>
        <v>1</v>
      </c>
      <c r="F34" s="292" t="n">
        <f aca="false">'GAS DAILY VOL DOWNLOAD'!F34-'GAS DAILY VOL DOWNLOAD'!$B34+$B34</f>
        <v>1.15</v>
      </c>
      <c r="G34" s="292" t="n">
        <f aca="false">'GAS DAILY VOL DOWNLOAD'!G34-'GAS DAILY VOL DOWNLOAD'!$B34+$B34</f>
        <v>1.45</v>
      </c>
      <c r="H34" s="292" t="n">
        <f aca="false">'GAS DAILY VOL DOWNLOAD'!H34-'GAS DAILY VOL DOWNLOAD'!$B34+$B34</f>
        <v>1.05</v>
      </c>
      <c r="I34" s="292" t="n">
        <f aca="false">'GAS DAILY VOL DOWNLOAD'!I34-'GAS DAILY VOL DOWNLOAD'!$B34+$B34</f>
        <v>1</v>
      </c>
      <c r="J34" s="292" t="n">
        <f aca="false">'GAS DAILY VOL DOWNLOAD'!J34-'GAS DAILY VOL DOWNLOAD'!$B34+$B34</f>
        <v>1.35</v>
      </c>
      <c r="K34" s="292" t="n">
        <f aca="false">'GAS DAILY VOL DOWNLOAD'!K34-'GAS DAILY VOL DOWNLOAD'!$B34+$B34</f>
        <v>1</v>
      </c>
      <c r="L34" s="292" t="n">
        <f aca="false">'GAS DAILY VOL DOWNLOAD'!L34-'GAS DAILY VOL DOWNLOAD'!$B34+$B34</f>
        <v>1.1</v>
      </c>
      <c r="M34" s="292" t="n">
        <f aca="false">'GAS DAILY VOL DOWNLOAD'!M34-'GAS DAILY VOL DOWNLOAD'!$B34+$B34</f>
        <v>1</v>
      </c>
      <c r="N34" s="292" t="n">
        <f aca="false">'GAS DAILY VOL DOWNLOAD'!N34-'GAS DAILY VOL DOWNLOAD'!$B34+$B34</f>
        <v>1.45</v>
      </c>
      <c r="O34" s="292" t="n">
        <f aca="false">'GAS DAILY VOL DOWNLOAD'!O34-'GAS DAILY VOL DOWNLOAD'!$B34+$B34</f>
        <v>1.15</v>
      </c>
      <c r="P34" s="292" t="n">
        <f aca="false">'GAS DAILY VOL DOWNLOAD'!P34-'GAS DAILY VOL DOWNLOAD'!$B34+$B34</f>
        <v>1.1</v>
      </c>
      <c r="Q34" s="292" t="n">
        <f aca="false">'GAS DAILY VOL DOWNLOAD'!Q34-'GAS DAILY VOL DOWNLOAD'!$B34+$B34</f>
        <v>1</v>
      </c>
    </row>
    <row r="35" customFormat="false" ht="12.75" hidden="false" customHeight="false" outlineLevel="0" collapsed="false">
      <c r="A35" s="317" t="n">
        <v>38018</v>
      </c>
      <c r="B35" s="292" t="n">
        <f aca="false">STRADDLES!L57</f>
        <v>1</v>
      </c>
      <c r="C35" s="292" t="n">
        <f aca="false">'GAS DAILY VOL DOWNLOAD'!C35-'GAS DAILY VOL DOWNLOAD'!$B35+$B35</f>
        <v>1.05</v>
      </c>
      <c r="D35" s="292" t="n">
        <f aca="false">'GAS DAILY VOL DOWNLOAD'!D35-'GAS DAILY VOL DOWNLOAD'!$B35+$B35</f>
        <v>1</v>
      </c>
      <c r="E35" s="292" t="n">
        <f aca="false">'GAS DAILY VOL DOWNLOAD'!E35-'GAS DAILY VOL DOWNLOAD'!$B35+$B35</f>
        <v>1</v>
      </c>
      <c r="F35" s="292" t="n">
        <f aca="false">'GAS DAILY VOL DOWNLOAD'!F35-'GAS DAILY VOL DOWNLOAD'!$B35+$B35</f>
        <v>1.15</v>
      </c>
      <c r="G35" s="292" t="n">
        <f aca="false">'GAS DAILY VOL DOWNLOAD'!G35-'GAS DAILY VOL DOWNLOAD'!$B35+$B35</f>
        <v>1.45</v>
      </c>
      <c r="H35" s="292" t="n">
        <f aca="false">'GAS DAILY VOL DOWNLOAD'!H35-'GAS DAILY VOL DOWNLOAD'!$B35+$B35</f>
        <v>1.05</v>
      </c>
      <c r="I35" s="292" t="n">
        <f aca="false">'GAS DAILY VOL DOWNLOAD'!I35-'GAS DAILY VOL DOWNLOAD'!$B35+$B35</f>
        <v>1</v>
      </c>
      <c r="J35" s="292" t="n">
        <f aca="false">'GAS DAILY VOL DOWNLOAD'!J35-'GAS DAILY VOL DOWNLOAD'!$B35+$B35</f>
        <v>1.35</v>
      </c>
      <c r="K35" s="292" t="n">
        <f aca="false">'GAS DAILY VOL DOWNLOAD'!K35-'GAS DAILY VOL DOWNLOAD'!$B35+$B35</f>
        <v>1</v>
      </c>
      <c r="L35" s="292" t="n">
        <f aca="false">'GAS DAILY VOL DOWNLOAD'!L35-'GAS DAILY VOL DOWNLOAD'!$B35+$B35</f>
        <v>1.1</v>
      </c>
      <c r="M35" s="292" t="n">
        <f aca="false">'GAS DAILY VOL DOWNLOAD'!M35-'GAS DAILY VOL DOWNLOAD'!$B35+$B35</f>
        <v>1</v>
      </c>
      <c r="N35" s="292" t="n">
        <f aca="false">'GAS DAILY VOL DOWNLOAD'!N35-'GAS DAILY VOL DOWNLOAD'!$B35+$B35</f>
        <v>1.45</v>
      </c>
      <c r="O35" s="292" t="n">
        <f aca="false">'GAS DAILY VOL DOWNLOAD'!O35-'GAS DAILY VOL DOWNLOAD'!$B35+$B35</f>
        <v>1.15</v>
      </c>
      <c r="P35" s="292" t="n">
        <f aca="false">'GAS DAILY VOL DOWNLOAD'!P35-'GAS DAILY VOL DOWNLOAD'!$B35+$B35</f>
        <v>1.1</v>
      </c>
      <c r="Q35" s="292" t="n">
        <f aca="false">'GAS DAILY VOL DOWNLOAD'!Q35-'GAS DAILY VOL DOWNLOAD'!$B35+$B35</f>
        <v>1</v>
      </c>
    </row>
    <row r="36" customFormat="false" ht="12.75" hidden="false" customHeight="false" outlineLevel="0" collapsed="false">
      <c r="A36" s="317" t="n">
        <v>38047</v>
      </c>
      <c r="B36" s="292" t="n">
        <f aca="false">STRADDLES!L58</f>
        <v>0.75</v>
      </c>
      <c r="C36" s="292" t="n">
        <f aca="false">'GAS DAILY VOL DOWNLOAD'!C36-'GAS DAILY VOL DOWNLOAD'!$B36+$B36</f>
        <v>0.8</v>
      </c>
      <c r="D36" s="292" t="n">
        <f aca="false">'GAS DAILY VOL DOWNLOAD'!D36-'GAS DAILY VOL DOWNLOAD'!$B36+$B36</f>
        <v>0.75</v>
      </c>
      <c r="E36" s="292" t="n">
        <f aca="false">'GAS DAILY VOL DOWNLOAD'!E36-'GAS DAILY VOL DOWNLOAD'!$B36+$B36</f>
        <v>0.75</v>
      </c>
      <c r="F36" s="292" t="n">
        <f aca="false">'GAS DAILY VOL DOWNLOAD'!F36-'GAS DAILY VOL DOWNLOAD'!$B36+$B36</f>
        <v>0.85</v>
      </c>
      <c r="G36" s="292" t="n">
        <f aca="false">'GAS DAILY VOL DOWNLOAD'!G36-'GAS DAILY VOL DOWNLOAD'!$B36+$B36</f>
        <v>1</v>
      </c>
      <c r="H36" s="292" t="n">
        <f aca="false">'GAS DAILY VOL DOWNLOAD'!H36-'GAS DAILY VOL DOWNLOAD'!$B36+$B36</f>
        <v>0.75</v>
      </c>
      <c r="I36" s="292" t="n">
        <f aca="false">'GAS DAILY VOL DOWNLOAD'!I36-'GAS DAILY VOL DOWNLOAD'!$B36+$B36</f>
        <v>0.75</v>
      </c>
      <c r="J36" s="292" t="n">
        <f aca="false">'GAS DAILY VOL DOWNLOAD'!J36-'GAS DAILY VOL DOWNLOAD'!$B36+$B36</f>
        <v>0.95</v>
      </c>
      <c r="K36" s="292" t="n">
        <f aca="false">'GAS DAILY VOL DOWNLOAD'!K36-'GAS DAILY VOL DOWNLOAD'!$B36+$B36</f>
        <v>0.75</v>
      </c>
      <c r="L36" s="292" t="n">
        <f aca="false">'GAS DAILY VOL DOWNLOAD'!L36-'GAS DAILY VOL DOWNLOAD'!$B36+$B36</f>
        <v>0.75</v>
      </c>
      <c r="M36" s="292" t="n">
        <f aca="false">'GAS DAILY VOL DOWNLOAD'!M36-'GAS DAILY VOL DOWNLOAD'!$B36+$B36</f>
        <v>0.75</v>
      </c>
      <c r="N36" s="292" t="n">
        <f aca="false">'GAS DAILY VOL DOWNLOAD'!N36-'GAS DAILY VOL DOWNLOAD'!$B36+$B36</f>
        <v>1</v>
      </c>
      <c r="O36" s="292" t="n">
        <f aca="false">'GAS DAILY VOL DOWNLOAD'!O36-'GAS DAILY VOL DOWNLOAD'!$B36+$B36</f>
        <v>0.9</v>
      </c>
      <c r="P36" s="292" t="n">
        <f aca="false">'GAS DAILY VOL DOWNLOAD'!P36-'GAS DAILY VOL DOWNLOAD'!$B36+$B36</f>
        <v>0.85</v>
      </c>
      <c r="Q36" s="292" t="n">
        <f aca="false">'GAS DAILY VOL DOWNLOAD'!Q36-'GAS DAILY VOL DOWNLOAD'!$B36+$B36</f>
        <v>0.75</v>
      </c>
    </row>
    <row r="37" customFormat="false" ht="12.75" hidden="false" customHeight="false" outlineLevel="0" collapsed="false">
      <c r="A37" s="317" t="n">
        <v>38078</v>
      </c>
      <c r="B37" s="292" t="n">
        <f aca="false">STRADDLES!L59</f>
        <v>0.4</v>
      </c>
      <c r="C37" s="292" t="n">
        <f aca="false">'GAS DAILY VOL DOWNLOAD'!C37-'GAS DAILY VOL DOWNLOAD'!$B37+$B37</f>
        <v>0.45</v>
      </c>
      <c r="D37" s="292" t="n">
        <f aca="false">'GAS DAILY VOL DOWNLOAD'!D37-'GAS DAILY VOL DOWNLOAD'!$B37+$B37</f>
        <v>0.4</v>
      </c>
      <c r="E37" s="292" t="n">
        <f aca="false">'GAS DAILY VOL DOWNLOAD'!E37-'GAS DAILY VOL DOWNLOAD'!$B37+$B37</f>
        <v>0.45</v>
      </c>
      <c r="F37" s="292" t="n">
        <f aca="false">'GAS DAILY VOL DOWNLOAD'!F37-'GAS DAILY VOL DOWNLOAD'!$B37+$B37</f>
        <v>0.45</v>
      </c>
      <c r="G37" s="292" t="n">
        <f aca="false">'GAS DAILY VOL DOWNLOAD'!G37-'GAS DAILY VOL DOWNLOAD'!$B37+$B37</f>
        <v>0.45</v>
      </c>
      <c r="H37" s="292" t="n">
        <f aca="false">'GAS DAILY VOL DOWNLOAD'!H37-'GAS DAILY VOL DOWNLOAD'!$B37+$B37</f>
        <v>0.45</v>
      </c>
      <c r="I37" s="292" t="n">
        <f aca="false">'GAS DAILY VOL DOWNLOAD'!I37-'GAS DAILY VOL DOWNLOAD'!$B37+$B37</f>
        <v>0.45</v>
      </c>
      <c r="J37" s="292" t="n">
        <f aca="false">'GAS DAILY VOL DOWNLOAD'!J37-'GAS DAILY VOL DOWNLOAD'!$B37+$B37</f>
        <v>0.5</v>
      </c>
      <c r="K37" s="292" t="n">
        <f aca="false">'GAS DAILY VOL DOWNLOAD'!K37-'GAS DAILY VOL DOWNLOAD'!$B37+$B37</f>
        <v>0.4</v>
      </c>
      <c r="L37" s="292" t="n">
        <f aca="false">'GAS DAILY VOL DOWNLOAD'!L37-'GAS DAILY VOL DOWNLOAD'!$B37+$B37</f>
        <v>0.45</v>
      </c>
      <c r="M37" s="292" t="n">
        <f aca="false">'GAS DAILY VOL DOWNLOAD'!M37-'GAS DAILY VOL DOWNLOAD'!$B37+$B37</f>
        <v>0.4</v>
      </c>
      <c r="N37" s="292" t="n">
        <f aca="false">'GAS DAILY VOL DOWNLOAD'!N37-'GAS DAILY VOL DOWNLOAD'!$B37+$B37</f>
        <v>0.45</v>
      </c>
      <c r="O37" s="292" t="n">
        <f aca="false">'GAS DAILY VOL DOWNLOAD'!O37-'GAS DAILY VOL DOWNLOAD'!$B37+$B37</f>
        <v>0.55</v>
      </c>
      <c r="P37" s="292" t="n">
        <f aca="false">'GAS DAILY VOL DOWNLOAD'!P37-'GAS DAILY VOL DOWNLOAD'!$B37+$B37</f>
        <v>0.55</v>
      </c>
      <c r="Q37" s="292" t="n">
        <f aca="false">'GAS DAILY VOL DOWNLOAD'!Q37-'GAS DAILY VOL DOWNLOAD'!$B37+$B37</f>
        <v>0.4</v>
      </c>
    </row>
    <row r="38" customFormat="false" ht="12.75" hidden="false" customHeight="false" outlineLevel="0" collapsed="false">
      <c r="A38" s="317" t="n">
        <v>38108</v>
      </c>
      <c r="B38" s="292" t="n">
        <f aca="false">STRADDLES!L60</f>
        <v>0.45</v>
      </c>
      <c r="C38" s="292" t="n">
        <f aca="false">'GAS DAILY VOL DOWNLOAD'!C38-'GAS DAILY VOL DOWNLOAD'!$B38+$B38</f>
        <v>0.5</v>
      </c>
      <c r="D38" s="292" t="n">
        <f aca="false">'GAS DAILY VOL DOWNLOAD'!D38-'GAS DAILY VOL DOWNLOAD'!$B38+$B38</f>
        <v>0.4</v>
      </c>
      <c r="E38" s="292" t="n">
        <f aca="false">'GAS DAILY VOL DOWNLOAD'!E38-'GAS DAILY VOL DOWNLOAD'!$B38+$B38</f>
        <v>0.4</v>
      </c>
      <c r="F38" s="292" t="n">
        <f aca="false">'GAS DAILY VOL DOWNLOAD'!F38-'GAS DAILY VOL DOWNLOAD'!$B38+$B38</f>
        <v>0.45</v>
      </c>
      <c r="G38" s="292" t="n">
        <f aca="false">'GAS DAILY VOL DOWNLOAD'!G38-'GAS DAILY VOL DOWNLOAD'!$B38+$B38</f>
        <v>0.5</v>
      </c>
      <c r="H38" s="292" t="n">
        <f aca="false">'GAS DAILY VOL DOWNLOAD'!H38-'GAS DAILY VOL DOWNLOAD'!$B38+$B38</f>
        <v>0.45</v>
      </c>
      <c r="I38" s="292" t="n">
        <f aca="false">'GAS DAILY VOL DOWNLOAD'!I38-'GAS DAILY VOL DOWNLOAD'!$B38+$B38</f>
        <v>0.4</v>
      </c>
      <c r="J38" s="292" t="n">
        <f aca="false">'GAS DAILY VOL DOWNLOAD'!J38-'GAS DAILY VOL DOWNLOAD'!$B38+$B38</f>
        <v>0.45</v>
      </c>
      <c r="K38" s="292" t="n">
        <f aca="false">'GAS DAILY VOL DOWNLOAD'!K38-'GAS DAILY VOL DOWNLOAD'!$B38+$B38</f>
        <v>0.45</v>
      </c>
      <c r="L38" s="292" t="n">
        <f aca="false">'GAS DAILY VOL DOWNLOAD'!L38-'GAS DAILY VOL DOWNLOAD'!$B38+$B38</f>
        <v>0.5</v>
      </c>
      <c r="M38" s="292" t="n">
        <f aca="false">'GAS DAILY VOL DOWNLOAD'!M38-'GAS DAILY VOL DOWNLOAD'!$B38+$B38</f>
        <v>0.45</v>
      </c>
      <c r="N38" s="292" t="n">
        <f aca="false">'GAS DAILY VOL DOWNLOAD'!N38-'GAS DAILY VOL DOWNLOAD'!$B38+$B38</f>
        <v>0.5</v>
      </c>
      <c r="O38" s="292" t="n">
        <f aca="false">'GAS DAILY VOL DOWNLOAD'!O38-'GAS DAILY VOL DOWNLOAD'!$B38+$B38</f>
        <v>0.6</v>
      </c>
      <c r="P38" s="292" t="n">
        <f aca="false">'GAS DAILY VOL DOWNLOAD'!P38-'GAS DAILY VOL DOWNLOAD'!$B38+$B38</f>
        <v>0.5</v>
      </c>
      <c r="Q38" s="292" t="n">
        <f aca="false">'GAS DAILY VOL DOWNLOAD'!Q38-'GAS DAILY VOL DOWNLOAD'!$B38+$B38</f>
        <v>0.45</v>
      </c>
    </row>
    <row r="39" customFormat="false" ht="12.75" hidden="false" customHeight="false" outlineLevel="0" collapsed="false">
      <c r="A39" s="317" t="n">
        <v>38139</v>
      </c>
      <c r="B39" s="292" t="n">
        <f aca="false">STRADDLES!L61</f>
        <v>0.45</v>
      </c>
      <c r="C39" s="292" t="n">
        <f aca="false">'GAS DAILY VOL DOWNLOAD'!C39-'GAS DAILY VOL DOWNLOAD'!$B39+$B39</f>
        <v>0.5</v>
      </c>
      <c r="D39" s="292" t="n">
        <f aca="false">'GAS DAILY VOL DOWNLOAD'!D39-'GAS DAILY VOL DOWNLOAD'!$B39+$B39</f>
        <v>0.4</v>
      </c>
      <c r="E39" s="292" t="n">
        <f aca="false">'GAS DAILY VOL DOWNLOAD'!E39-'GAS DAILY VOL DOWNLOAD'!$B39+$B39</f>
        <v>0.5</v>
      </c>
      <c r="F39" s="292" t="n">
        <f aca="false">'GAS DAILY VOL DOWNLOAD'!F39-'GAS DAILY VOL DOWNLOAD'!$B39+$B39</f>
        <v>0.45</v>
      </c>
      <c r="G39" s="292" t="n">
        <f aca="false">'GAS DAILY VOL DOWNLOAD'!G39-'GAS DAILY VOL DOWNLOAD'!$B39+$B39</f>
        <v>0.5</v>
      </c>
      <c r="H39" s="292" t="n">
        <f aca="false">'GAS DAILY VOL DOWNLOAD'!H39-'GAS DAILY VOL DOWNLOAD'!$B39+$B39</f>
        <v>0.5</v>
      </c>
      <c r="I39" s="292" t="n">
        <f aca="false">'GAS DAILY VOL DOWNLOAD'!I39-'GAS DAILY VOL DOWNLOAD'!$B39+$B39</f>
        <v>0.5</v>
      </c>
      <c r="J39" s="292" t="n">
        <f aca="false">'GAS DAILY VOL DOWNLOAD'!J39-'GAS DAILY VOL DOWNLOAD'!$B39+$B39</f>
        <v>0.5</v>
      </c>
      <c r="K39" s="292" t="n">
        <f aca="false">'GAS DAILY VOL DOWNLOAD'!K39-'GAS DAILY VOL DOWNLOAD'!$B39+$B39</f>
        <v>0.45</v>
      </c>
      <c r="L39" s="292" t="n">
        <f aca="false">'GAS DAILY VOL DOWNLOAD'!L39-'GAS DAILY VOL DOWNLOAD'!$B39+$B39</f>
        <v>0.5</v>
      </c>
      <c r="M39" s="292" t="n">
        <f aca="false">'GAS DAILY VOL DOWNLOAD'!M39-'GAS DAILY VOL DOWNLOAD'!$B39+$B39</f>
        <v>0.45</v>
      </c>
      <c r="N39" s="292" t="n">
        <f aca="false">'GAS DAILY VOL DOWNLOAD'!N39-'GAS DAILY VOL DOWNLOAD'!$B39+$B39</f>
        <v>0.5</v>
      </c>
      <c r="O39" s="292" t="n">
        <f aca="false">'GAS DAILY VOL DOWNLOAD'!O39-'GAS DAILY VOL DOWNLOAD'!$B39+$B39</f>
        <v>0.6</v>
      </c>
      <c r="P39" s="292" t="n">
        <f aca="false">'GAS DAILY VOL DOWNLOAD'!P39-'GAS DAILY VOL DOWNLOAD'!$B39+$B39</f>
        <v>0.6</v>
      </c>
      <c r="Q39" s="292" t="n">
        <f aca="false">'GAS DAILY VOL DOWNLOAD'!Q39-'GAS DAILY VOL DOWNLOAD'!$B39+$B39</f>
        <v>0.45</v>
      </c>
    </row>
    <row r="40" customFormat="false" ht="12.75" hidden="false" customHeight="false" outlineLevel="0" collapsed="false">
      <c r="A40" s="317" t="n">
        <v>38169</v>
      </c>
      <c r="B40" s="292" t="n">
        <f aca="false">STRADDLES!L62</f>
        <v>0.5</v>
      </c>
      <c r="C40" s="292" t="n">
        <f aca="false">'GAS DAILY VOL DOWNLOAD'!C40-'GAS DAILY VOL DOWNLOAD'!$B40+$B40</f>
        <v>0.5</v>
      </c>
      <c r="D40" s="292" t="n">
        <f aca="false">'GAS DAILY VOL DOWNLOAD'!D40-'GAS DAILY VOL DOWNLOAD'!$B40+$B40</f>
        <v>0.4</v>
      </c>
      <c r="E40" s="292" t="n">
        <f aca="false">'GAS DAILY VOL DOWNLOAD'!E40-'GAS DAILY VOL DOWNLOAD'!$B40+$B40</f>
        <v>0.5</v>
      </c>
      <c r="F40" s="292" t="n">
        <f aca="false">'GAS DAILY VOL DOWNLOAD'!F40-'GAS DAILY VOL DOWNLOAD'!$B40+$B40</f>
        <v>0.5</v>
      </c>
      <c r="G40" s="292" t="n">
        <f aca="false">'GAS DAILY VOL DOWNLOAD'!G40-'GAS DAILY VOL DOWNLOAD'!$B40+$B40</f>
        <v>0.5</v>
      </c>
      <c r="H40" s="292" t="n">
        <f aca="false">'GAS DAILY VOL DOWNLOAD'!H40-'GAS DAILY VOL DOWNLOAD'!$B40+$B40</f>
        <v>0.5</v>
      </c>
      <c r="I40" s="292" t="n">
        <f aca="false">'GAS DAILY VOL DOWNLOAD'!I40-'GAS DAILY VOL DOWNLOAD'!$B40+$B40</f>
        <v>0.5</v>
      </c>
      <c r="J40" s="292" t="n">
        <f aca="false">'GAS DAILY VOL DOWNLOAD'!J40-'GAS DAILY VOL DOWNLOAD'!$B40+$B40</f>
        <v>0.5</v>
      </c>
      <c r="K40" s="292" t="n">
        <f aca="false">'GAS DAILY VOL DOWNLOAD'!K40-'GAS DAILY VOL DOWNLOAD'!$B40+$B40</f>
        <v>0.5</v>
      </c>
      <c r="L40" s="292" t="n">
        <f aca="false">'GAS DAILY VOL DOWNLOAD'!L40-'GAS DAILY VOL DOWNLOAD'!$B40+$B40</f>
        <v>0.55</v>
      </c>
      <c r="M40" s="292" t="n">
        <f aca="false">'GAS DAILY VOL DOWNLOAD'!M40-'GAS DAILY VOL DOWNLOAD'!$B40+$B40</f>
        <v>0.5</v>
      </c>
      <c r="N40" s="292" t="n">
        <f aca="false">'GAS DAILY VOL DOWNLOAD'!N40-'GAS DAILY VOL DOWNLOAD'!$B40+$B40</f>
        <v>0.5</v>
      </c>
      <c r="O40" s="292" t="n">
        <f aca="false">'GAS DAILY VOL DOWNLOAD'!O40-'GAS DAILY VOL DOWNLOAD'!$B40+$B40</f>
        <v>0.65</v>
      </c>
      <c r="P40" s="292" t="n">
        <f aca="false">'GAS DAILY VOL DOWNLOAD'!P40-'GAS DAILY VOL DOWNLOAD'!$B40+$B40</f>
        <v>0.6</v>
      </c>
      <c r="Q40" s="292" t="n">
        <f aca="false">'GAS DAILY VOL DOWNLOAD'!Q40-'GAS DAILY VOL DOWNLOAD'!$B40+$B40</f>
        <v>0.5</v>
      </c>
    </row>
    <row r="41" customFormat="false" ht="12.75" hidden="false" customHeight="false" outlineLevel="0" collapsed="false">
      <c r="A41" s="317" t="n">
        <v>38200</v>
      </c>
      <c r="B41" s="292" t="n">
        <f aca="false">STRADDLES!L63</f>
        <v>0.55</v>
      </c>
      <c r="C41" s="292" t="n">
        <f aca="false">'GAS DAILY VOL DOWNLOAD'!C41-'GAS DAILY VOL DOWNLOAD'!$B41+$B41</f>
        <v>0.55</v>
      </c>
      <c r="D41" s="292" t="n">
        <f aca="false">'GAS DAILY VOL DOWNLOAD'!D41-'GAS DAILY VOL DOWNLOAD'!$B41+$B41</f>
        <v>0.5</v>
      </c>
      <c r="E41" s="292" t="n">
        <f aca="false">'GAS DAILY VOL DOWNLOAD'!E41-'GAS DAILY VOL DOWNLOAD'!$B41+$B41</f>
        <v>0.6</v>
      </c>
      <c r="F41" s="292" t="n">
        <f aca="false">'GAS DAILY VOL DOWNLOAD'!F41-'GAS DAILY VOL DOWNLOAD'!$B41+$B41</f>
        <v>0.55</v>
      </c>
      <c r="G41" s="292" t="n">
        <f aca="false">'GAS DAILY VOL DOWNLOAD'!G41-'GAS DAILY VOL DOWNLOAD'!$B41+$B41</f>
        <v>0.6</v>
      </c>
      <c r="H41" s="292" t="n">
        <f aca="false">'GAS DAILY VOL DOWNLOAD'!H41-'GAS DAILY VOL DOWNLOAD'!$B41+$B41</f>
        <v>0.55</v>
      </c>
      <c r="I41" s="292" t="n">
        <f aca="false">'GAS DAILY VOL DOWNLOAD'!I41-'GAS DAILY VOL DOWNLOAD'!$B41+$B41</f>
        <v>0.6</v>
      </c>
      <c r="J41" s="292" t="n">
        <f aca="false">'GAS DAILY VOL DOWNLOAD'!J41-'GAS DAILY VOL DOWNLOAD'!$B41+$B41</f>
        <v>0.45</v>
      </c>
      <c r="K41" s="292" t="n">
        <f aca="false">'GAS DAILY VOL DOWNLOAD'!K41-'GAS DAILY VOL DOWNLOAD'!$B41+$B41</f>
        <v>0.55</v>
      </c>
      <c r="L41" s="292" t="n">
        <f aca="false">'GAS DAILY VOL DOWNLOAD'!L41-'GAS DAILY VOL DOWNLOAD'!$B41+$B41</f>
        <v>0.6</v>
      </c>
      <c r="M41" s="292" t="n">
        <f aca="false">'GAS DAILY VOL DOWNLOAD'!M41-'GAS DAILY VOL DOWNLOAD'!$B41+$B41</f>
        <v>0.55</v>
      </c>
      <c r="N41" s="292" t="n">
        <f aca="false">'GAS DAILY VOL DOWNLOAD'!N41-'GAS DAILY VOL DOWNLOAD'!$B41+$B41</f>
        <v>0.6</v>
      </c>
      <c r="O41" s="292" t="n">
        <f aca="false">'GAS DAILY VOL DOWNLOAD'!O41-'GAS DAILY VOL DOWNLOAD'!$B41+$B41</f>
        <v>0.7</v>
      </c>
      <c r="P41" s="292" t="n">
        <f aca="false">'GAS DAILY VOL DOWNLOAD'!P41-'GAS DAILY VOL DOWNLOAD'!$B41+$B41</f>
        <v>0.7</v>
      </c>
      <c r="Q41" s="292" t="n">
        <f aca="false">'GAS DAILY VOL DOWNLOAD'!Q41-'GAS DAILY VOL DOWNLOAD'!$B41+$B41</f>
        <v>0.55</v>
      </c>
    </row>
    <row r="42" customFormat="false" ht="12.75" hidden="false" customHeight="false" outlineLevel="0" collapsed="false">
      <c r="A42" s="317" t="n">
        <v>38231</v>
      </c>
      <c r="B42" s="292" t="n">
        <f aca="false">STRADDLES!L64</f>
        <v>0.55</v>
      </c>
      <c r="C42" s="292" t="n">
        <f aca="false">'GAS DAILY VOL DOWNLOAD'!C42-'GAS DAILY VOL DOWNLOAD'!$B42+$B42</f>
        <v>0.55</v>
      </c>
      <c r="D42" s="292" t="n">
        <f aca="false">'GAS DAILY VOL DOWNLOAD'!D42-'GAS DAILY VOL DOWNLOAD'!$B42+$B42</f>
        <v>0.55</v>
      </c>
      <c r="E42" s="292" t="n">
        <f aca="false">'GAS DAILY VOL DOWNLOAD'!E42-'GAS DAILY VOL DOWNLOAD'!$B42+$B42</f>
        <v>0.55</v>
      </c>
      <c r="F42" s="292" t="n">
        <f aca="false">'GAS DAILY VOL DOWNLOAD'!F42-'GAS DAILY VOL DOWNLOAD'!$B42+$B42</f>
        <v>0.55</v>
      </c>
      <c r="G42" s="292" t="n">
        <f aca="false">'GAS DAILY VOL DOWNLOAD'!G42-'GAS DAILY VOL DOWNLOAD'!$B42+$B42</f>
        <v>0.6</v>
      </c>
      <c r="H42" s="292" t="n">
        <f aca="false">'GAS DAILY VOL DOWNLOAD'!H42-'GAS DAILY VOL DOWNLOAD'!$B42+$B42</f>
        <v>0.6</v>
      </c>
      <c r="I42" s="292" t="n">
        <f aca="false">'GAS DAILY VOL DOWNLOAD'!I42-'GAS DAILY VOL DOWNLOAD'!$B42+$B42</f>
        <v>0.55</v>
      </c>
      <c r="J42" s="292" t="n">
        <f aca="false">'GAS DAILY VOL DOWNLOAD'!J42-'GAS DAILY VOL DOWNLOAD'!$B42+$B42</f>
        <v>0.5</v>
      </c>
      <c r="K42" s="292" t="n">
        <f aca="false">'GAS DAILY VOL DOWNLOAD'!K42-'GAS DAILY VOL DOWNLOAD'!$B42+$B42</f>
        <v>0.55</v>
      </c>
      <c r="L42" s="292" t="n">
        <f aca="false">'GAS DAILY VOL DOWNLOAD'!L42-'GAS DAILY VOL DOWNLOAD'!$B42+$B42</f>
        <v>0.6</v>
      </c>
      <c r="M42" s="292" t="n">
        <f aca="false">'GAS DAILY VOL DOWNLOAD'!M42-'GAS DAILY VOL DOWNLOAD'!$B42+$B42</f>
        <v>0.55</v>
      </c>
      <c r="N42" s="292" t="n">
        <f aca="false">'GAS DAILY VOL DOWNLOAD'!N42-'GAS DAILY VOL DOWNLOAD'!$B42+$B42</f>
        <v>0.6</v>
      </c>
      <c r="O42" s="292" t="n">
        <f aca="false">'GAS DAILY VOL DOWNLOAD'!O42-'GAS DAILY VOL DOWNLOAD'!$B42+$B42</f>
        <v>0.7</v>
      </c>
      <c r="P42" s="292" t="n">
        <f aca="false">'GAS DAILY VOL DOWNLOAD'!P42-'GAS DAILY VOL DOWNLOAD'!$B42+$B42</f>
        <v>0.65</v>
      </c>
      <c r="Q42" s="292" t="n">
        <f aca="false">'GAS DAILY VOL DOWNLOAD'!Q42-'GAS DAILY VOL DOWNLOAD'!$B42+$B42</f>
        <v>0.55</v>
      </c>
    </row>
    <row r="43" customFormat="false" ht="12.75" hidden="false" customHeight="false" outlineLevel="0" collapsed="false">
      <c r="A43" s="317" t="n">
        <v>38261</v>
      </c>
      <c r="B43" s="292" t="n">
        <f aca="false">STRADDLES!L65</f>
        <v>0.6</v>
      </c>
      <c r="C43" s="292" t="n">
        <f aca="false">'GAS DAILY VOL DOWNLOAD'!C43-'GAS DAILY VOL DOWNLOAD'!$B43+$B43</f>
        <v>0.6</v>
      </c>
      <c r="D43" s="292" t="n">
        <f aca="false">'GAS DAILY VOL DOWNLOAD'!D43-'GAS DAILY VOL DOWNLOAD'!$B43+$B43</f>
        <v>0.55</v>
      </c>
      <c r="E43" s="292" t="n">
        <f aca="false">'GAS DAILY VOL DOWNLOAD'!E43-'GAS DAILY VOL DOWNLOAD'!$B43+$B43</f>
        <v>0.6</v>
      </c>
      <c r="F43" s="292" t="n">
        <f aca="false">'GAS DAILY VOL DOWNLOAD'!F43-'GAS DAILY VOL DOWNLOAD'!$B43+$B43</f>
        <v>0.6</v>
      </c>
      <c r="G43" s="292" t="n">
        <f aca="false">'GAS DAILY VOL DOWNLOAD'!G43-'GAS DAILY VOL DOWNLOAD'!$B43+$B43</f>
        <v>0.65</v>
      </c>
      <c r="H43" s="292" t="n">
        <f aca="false">'GAS DAILY VOL DOWNLOAD'!H43-'GAS DAILY VOL DOWNLOAD'!$B43+$B43</f>
        <v>0.65</v>
      </c>
      <c r="I43" s="292" t="n">
        <f aca="false">'GAS DAILY VOL DOWNLOAD'!I43-'GAS DAILY VOL DOWNLOAD'!$B43+$B43</f>
        <v>0.6</v>
      </c>
      <c r="J43" s="292" t="n">
        <f aca="false">'GAS DAILY VOL DOWNLOAD'!J43-'GAS DAILY VOL DOWNLOAD'!$B43+$B43</f>
        <v>0.5</v>
      </c>
      <c r="K43" s="292" t="n">
        <f aca="false">'GAS DAILY VOL DOWNLOAD'!K43-'GAS DAILY VOL DOWNLOAD'!$B43+$B43</f>
        <v>0.6</v>
      </c>
      <c r="L43" s="292" t="n">
        <f aca="false">'GAS DAILY VOL DOWNLOAD'!L43-'GAS DAILY VOL DOWNLOAD'!$B43+$B43</f>
        <v>0.65</v>
      </c>
      <c r="M43" s="292" t="n">
        <f aca="false">'GAS DAILY VOL DOWNLOAD'!M43-'GAS DAILY VOL DOWNLOAD'!$B43+$B43</f>
        <v>0.6</v>
      </c>
      <c r="N43" s="292" t="n">
        <f aca="false">'GAS DAILY VOL DOWNLOAD'!N43-'GAS DAILY VOL DOWNLOAD'!$B43+$B43</f>
        <v>0.65</v>
      </c>
      <c r="O43" s="292" t="n">
        <f aca="false">'GAS DAILY VOL DOWNLOAD'!O43-'GAS DAILY VOL DOWNLOAD'!$B43+$B43</f>
        <v>0.75</v>
      </c>
      <c r="P43" s="292" t="n">
        <f aca="false">'GAS DAILY VOL DOWNLOAD'!P43-'GAS DAILY VOL DOWNLOAD'!$B43+$B43</f>
        <v>0.7</v>
      </c>
      <c r="Q43" s="292" t="n">
        <f aca="false">'GAS DAILY VOL DOWNLOAD'!Q43-'GAS DAILY VOL DOWNLOAD'!$B43+$B43</f>
        <v>0.6</v>
      </c>
    </row>
    <row r="44" customFormat="false" ht="12.75" hidden="false" customHeight="false" outlineLevel="0" collapsed="false">
      <c r="A44" s="317" t="n">
        <v>38292</v>
      </c>
      <c r="B44" s="292" t="n">
        <f aca="false">STRADDLES!L66</f>
        <v>0.8</v>
      </c>
      <c r="C44" s="292" t="n">
        <f aca="false">'GAS DAILY VOL DOWNLOAD'!C44-'GAS DAILY VOL DOWNLOAD'!$B44+$B44</f>
        <v>0.85</v>
      </c>
      <c r="D44" s="292" t="n">
        <f aca="false">'GAS DAILY VOL DOWNLOAD'!D44-'GAS DAILY VOL DOWNLOAD'!$B44+$B44</f>
        <v>0.8</v>
      </c>
      <c r="E44" s="292" t="n">
        <f aca="false">'GAS DAILY VOL DOWNLOAD'!E44-'GAS DAILY VOL DOWNLOAD'!$B44+$B44</f>
        <v>0.8</v>
      </c>
      <c r="F44" s="292" t="n">
        <f aca="false">'GAS DAILY VOL DOWNLOAD'!F44-'GAS DAILY VOL DOWNLOAD'!$B44+$B44</f>
        <v>0.9</v>
      </c>
      <c r="G44" s="292" t="n">
        <f aca="false">'GAS DAILY VOL DOWNLOAD'!G44-'GAS DAILY VOL DOWNLOAD'!$B44+$B44</f>
        <v>0.95</v>
      </c>
      <c r="H44" s="292" t="n">
        <f aca="false">'GAS DAILY VOL DOWNLOAD'!H44-'GAS DAILY VOL DOWNLOAD'!$B44+$B44</f>
        <v>0.85</v>
      </c>
      <c r="I44" s="292" t="n">
        <f aca="false">'GAS DAILY VOL DOWNLOAD'!I44-'GAS DAILY VOL DOWNLOAD'!$B44+$B44</f>
        <v>0.8</v>
      </c>
      <c r="J44" s="292" t="n">
        <f aca="false">'GAS DAILY VOL DOWNLOAD'!J44-'GAS DAILY VOL DOWNLOAD'!$B44+$B44</f>
        <v>0.95</v>
      </c>
      <c r="K44" s="292" t="n">
        <f aca="false">'GAS DAILY VOL DOWNLOAD'!K44-'GAS DAILY VOL DOWNLOAD'!$B44+$B44</f>
        <v>0.8</v>
      </c>
      <c r="L44" s="292" t="n">
        <f aca="false">'GAS DAILY VOL DOWNLOAD'!L44-'GAS DAILY VOL DOWNLOAD'!$B44+$B44</f>
        <v>0.8</v>
      </c>
      <c r="M44" s="292" t="n">
        <f aca="false">'GAS DAILY VOL DOWNLOAD'!M44-'GAS DAILY VOL DOWNLOAD'!$B44+$B44</f>
        <v>0.8</v>
      </c>
      <c r="N44" s="292" t="n">
        <f aca="false">'GAS DAILY VOL DOWNLOAD'!N44-'GAS DAILY VOL DOWNLOAD'!$B44+$B44</f>
        <v>0.95</v>
      </c>
      <c r="O44" s="292" t="n">
        <f aca="false">'GAS DAILY VOL DOWNLOAD'!O44-'GAS DAILY VOL DOWNLOAD'!$B44+$B44</f>
        <v>0.95</v>
      </c>
      <c r="P44" s="292" t="n">
        <f aca="false">'GAS DAILY VOL DOWNLOAD'!P44-'GAS DAILY VOL DOWNLOAD'!$B44+$B44</f>
        <v>0.9</v>
      </c>
      <c r="Q44" s="292" t="n">
        <f aca="false">'GAS DAILY VOL DOWNLOAD'!Q44-'GAS DAILY VOL DOWNLOAD'!$B44+$B44</f>
        <v>0.8</v>
      </c>
    </row>
    <row r="45" customFormat="false" ht="12.75" hidden="false" customHeight="false" outlineLevel="0" collapsed="false">
      <c r="A45" s="317" t="n">
        <v>38322</v>
      </c>
      <c r="B45" s="292" t="n">
        <f aca="false">STRADDLES!L67</f>
        <v>1</v>
      </c>
      <c r="C45" s="292" t="n">
        <f aca="false">'GAS DAILY VOL DOWNLOAD'!C45-'GAS DAILY VOL DOWNLOAD'!$B45+$B45</f>
        <v>1.05</v>
      </c>
      <c r="D45" s="292" t="n">
        <f aca="false">'GAS DAILY VOL DOWNLOAD'!D45-'GAS DAILY VOL DOWNLOAD'!$B45+$B45</f>
        <v>1</v>
      </c>
      <c r="E45" s="292" t="n">
        <f aca="false">'GAS DAILY VOL DOWNLOAD'!E45-'GAS DAILY VOL DOWNLOAD'!$B45+$B45</f>
        <v>1</v>
      </c>
      <c r="F45" s="292" t="n">
        <f aca="false">'GAS DAILY VOL DOWNLOAD'!F45-'GAS DAILY VOL DOWNLOAD'!$B45+$B45</f>
        <v>1.15</v>
      </c>
      <c r="G45" s="292" t="n">
        <f aca="false">'GAS DAILY VOL DOWNLOAD'!G45-'GAS DAILY VOL DOWNLOAD'!$B45+$B45</f>
        <v>1.25</v>
      </c>
      <c r="H45" s="292" t="n">
        <f aca="false">'GAS DAILY VOL DOWNLOAD'!H45-'GAS DAILY VOL DOWNLOAD'!$B45+$B45</f>
        <v>1.05</v>
      </c>
      <c r="I45" s="292" t="n">
        <f aca="false">'GAS DAILY VOL DOWNLOAD'!I45-'GAS DAILY VOL DOWNLOAD'!$B45+$B45</f>
        <v>1</v>
      </c>
      <c r="J45" s="292" t="n">
        <f aca="false">'GAS DAILY VOL DOWNLOAD'!J45-'GAS DAILY VOL DOWNLOAD'!$B45+$B45</f>
        <v>1.35</v>
      </c>
      <c r="K45" s="292" t="n">
        <f aca="false">'GAS DAILY VOL DOWNLOAD'!K45-'GAS DAILY VOL DOWNLOAD'!$B45+$B45</f>
        <v>1</v>
      </c>
      <c r="L45" s="292" t="n">
        <f aca="false">'GAS DAILY VOL DOWNLOAD'!L45-'GAS DAILY VOL DOWNLOAD'!$B45+$B45</f>
        <v>1.1</v>
      </c>
      <c r="M45" s="292" t="n">
        <f aca="false">'GAS DAILY VOL DOWNLOAD'!M45-'GAS DAILY VOL DOWNLOAD'!$B45+$B45</f>
        <v>1</v>
      </c>
      <c r="N45" s="292" t="n">
        <f aca="false">'GAS DAILY VOL DOWNLOAD'!N45-'GAS DAILY VOL DOWNLOAD'!$B45+$B45</f>
        <v>1.25</v>
      </c>
      <c r="O45" s="292" t="n">
        <f aca="false">'GAS DAILY VOL DOWNLOAD'!O45-'GAS DAILY VOL DOWNLOAD'!$B45+$B45</f>
        <v>1.15</v>
      </c>
      <c r="P45" s="292" t="n">
        <f aca="false">'GAS DAILY VOL DOWNLOAD'!P45-'GAS DAILY VOL DOWNLOAD'!$B45+$B45</f>
        <v>1.1</v>
      </c>
      <c r="Q45" s="292" t="n">
        <f aca="false">'GAS DAILY VOL DOWNLOAD'!Q45-'GAS DAILY VOL DOWNLOAD'!$B45+$B45</f>
        <v>1</v>
      </c>
    </row>
    <row r="46" customFormat="false" ht="12.75" hidden="false" customHeight="false" outlineLevel="0" collapsed="false">
      <c r="A46" s="317" t="n">
        <v>38353</v>
      </c>
      <c r="B46" s="292" t="n">
        <f aca="false">STRADDLES!L68</f>
        <v>1</v>
      </c>
      <c r="C46" s="292" t="n">
        <f aca="false">'GAS DAILY VOL DOWNLOAD'!C46-'GAS DAILY VOL DOWNLOAD'!$B46+$B46</f>
        <v>1.05</v>
      </c>
      <c r="D46" s="292" t="n">
        <f aca="false">'GAS DAILY VOL DOWNLOAD'!D46-'GAS DAILY VOL DOWNLOAD'!$B46+$B46</f>
        <v>1</v>
      </c>
      <c r="E46" s="292" t="n">
        <f aca="false">'GAS DAILY VOL DOWNLOAD'!E46-'GAS DAILY VOL DOWNLOAD'!$B46+$B46</f>
        <v>1</v>
      </c>
      <c r="F46" s="292" t="n">
        <f aca="false">'GAS DAILY VOL DOWNLOAD'!F46-'GAS DAILY VOL DOWNLOAD'!$B46+$B46</f>
        <v>1.15</v>
      </c>
      <c r="G46" s="292" t="n">
        <f aca="false">'GAS DAILY VOL DOWNLOAD'!G46-'GAS DAILY VOL DOWNLOAD'!$B46+$B46</f>
        <v>1.45</v>
      </c>
      <c r="H46" s="292" t="n">
        <f aca="false">'GAS DAILY VOL DOWNLOAD'!H46-'GAS DAILY VOL DOWNLOAD'!$B46+$B46</f>
        <v>1.05</v>
      </c>
      <c r="I46" s="292" t="n">
        <f aca="false">'GAS DAILY VOL DOWNLOAD'!I46-'GAS DAILY VOL DOWNLOAD'!$B46+$B46</f>
        <v>1</v>
      </c>
      <c r="J46" s="292" t="n">
        <f aca="false">'GAS DAILY VOL DOWNLOAD'!J46-'GAS DAILY VOL DOWNLOAD'!$B46+$B46</f>
        <v>1.35</v>
      </c>
      <c r="K46" s="292" t="n">
        <f aca="false">'GAS DAILY VOL DOWNLOAD'!K46-'GAS DAILY VOL DOWNLOAD'!$B46+$B46</f>
        <v>1</v>
      </c>
      <c r="L46" s="292" t="n">
        <f aca="false">'GAS DAILY VOL DOWNLOAD'!L46-'GAS DAILY VOL DOWNLOAD'!$B46+$B46</f>
        <v>1.1</v>
      </c>
      <c r="M46" s="292" t="n">
        <f aca="false">'GAS DAILY VOL DOWNLOAD'!M46-'GAS DAILY VOL DOWNLOAD'!$B46+$B46</f>
        <v>1</v>
      </c>
      <c r="N46" s="292" t="n">
        <f aca="false">'GAS DAILY VOL DOWNLOAD'!N46-'GAS DAILY VOL DOWNLOAD'!$B46+$B46</f>
        <v>1.45</v>
      </c>
      <c r="O46" s="292" t="n">
        <f aca="false">'GAS DAILY VOL DOWNLOAD'!O46-'GAS DAILY VOL DOWNLOAD'!$B46+$B46</f>
        <v>1.15</v>
      </c>
      <c r="P46" s="292" t="n">
        <f aca="false">'GAS DAILY VOL DOWNLOAD'!P46-'GAS DAILY VOL DOWNLOAD'!$B46+$B46</f>
        <v>1.1</v>
      </c>
      <c r="Q46" s="292" t="n">
        <f aca="false">'GAS DAILY VOL DOWNLOAD'!Q46-'GAS DAILY VOL DOWNLOAD'!$B46+$B46</f>
        <v>1</v>
      </c>
    </row>
    <row r="47" customFormat="false" ht="12.75" hidden="false" customHeight="false" outlineLevel="0" collapsed="false">
      <c r="A47" s="317" t="n">
        <v>38384</v>
      </c>
      <c r="B47" s="292" t="n">
        <f aca="false">STRADDLES!L69</f>
        <v>1</v>
      </c>
      <c r="C47" s="292" t="n">
        <f aca="false">'GAS DAILY VOL DOWNLOAD'!C47-'GAS DAILY VOL DOWNLOAD'!$B47+$B47</f>
        <v>1.05</v>
      </c>
      <c r="D47" s="292" t="n">
        <f aca="false">'GAS DAILY VOL DOWNLOAD'!D47-'GAS DAILY VOL DOWNLOAD'!$B47+$B47</f>
        <v>1</v>
      </c>
      <c r="E47" s="292" t="n">
        <f aca="false">'GAS DAILY VOL DOWNLOAD'!E47-'GAS DAILY VOL DOWNLOAD'!$B47+$B47</f>
        <v>1</v>
      </c>
      <c r="F47" s="292" t="n">
        <f aca="false">'GAS DAILY VOL DOWNLOAD'!F47-'GAS DAILY VOL DOWNLOAD'!$B47+$B47</f>
        <v>1.15</v>
      </c>
      <c r="G47" s="292" t="n">
        <f aca="false">'GAS DAILY VOL DOWNLOAD'!G47-'GAS DAILY VOL DOWNLOAD'!$B47+$B47</f>
        <v>1.45</v>
      </c>
      <c r="H47" s="292" t="n">
        <f aca="false">'GAS DAILY VOL DOWNLOAD'!H47-'GAS DAILY VOL DOWNLOAD'!$B47+$B47</f>
        <v>1.05</v>
      </c>
      <c r="I47" s="292" t="n">
        <f aca="false">'GAS DAILY VOL DOWNLOAD'!I47-'GAS DAILY VOL DOWNLOAD'!$B47+$B47</f>
        <v>1</v>
      </c>
      <c r="J47" s="292" t="n">
        <f aca="false">'GAS DAILY VOL DOWNLOAD'!J47-'GAS DAILY VOL DOWNLOAD'!$B47+$B47</f>
        <v>1.35</v>
      </c>
      <c r="K47" s="292" t="n">
        <f aca="false">'GAS DAILY VOL DOWNLOAD'!K47-'GAS DAILY VOL DOWNLOAD'!$B47+$B47</f>
        <v>1</v>
      </c>
      <c r="L47" s="292" t="n">
        <f aca="false">'GAS DAILY VOL DOWNLOAD'!L47-'GAS DAILY VOL DOWNLOAD'!$B47+$B47</f>
        <v>1.1</v>
      </c>
      <c r="M47" s="292" t="n">
        <f aca="false">'GAS DAILY VOL DOWNLOAD'!M47-'GAS DAILY VOL DOWNLOAD'!$B47+$B47</f>
        <v>1</v>
      </c>
      <c r="N47" s="292" t="n">
        <f aca="false">'GAS DAILY VOL DOWNLOAD'!N47-'GAS DAILY VOL DOWNLOAD'!$B47+$B47</f>
        <v>1.45</v>
      </c>
      <c r="O47" s="292" t="n">
        <f aca="false">'GAS DAILY VOL DOWNLOAD'!O47-'GAS DAILY VOL DOWNLOAD'!$B47+$B47</f>
        <v>1.15</v>
      </c>
      <c r="P47" s="292" t="n">
        <f aca="false">'GAS DAILY VOL DOWNLOAD'!P47-'GAS DAILY VOL DOWNLOAD'!$B47+$B47</f>
        <v>1.1</v>
      </c>
      <c r="Q47" s="292" t="n">
        <f aca="false">'GAS DAILY VOL DOWNLOAD'!Q47-'GAS DAILY VOL DOWNLOAD'!$B47+$B47</f>
        <v>1</v>
      </c>
    </row>
    <row r="48" customFormat="false" ht="12.75" hidden="false" customHeight="false" outlineLevel="0" collapsed="false">
      <c r="A48" s="317" t="n">
        <v>38412</v>
      </c>
      <c r="B48" s="292" t="n">
        <f aca="false">STRADDLES!L70</f>
        <v>0.75</v>
      </c>
      <c r="C48" s="292" t="n">
        <f aca="false">'GAS DAILY VOL DOWNLOAD'!C48-'GAS DAILY VOL DOWNLOAD'!$B48+$B48</f>
        <v>0.8</v>
      </c>
      <c r="D48" s="292" t="n">
        <f aca="false">'GAS DAILY VOL DOWNLOAD'!D48-'GAS DAILY VOL DOWNLOAD'!$B48+$B48</f>
        <v>0.75</v>
      </c>
      <c r="E48" s="292" t="n">
        <f aca="false">'GAS DAILY VOL DOWNLOAD'!E48-'GAS DAILY VOL DOWNLOAD'!$B48+$B48</f>
        <v>0.75</v>
      </c>
      <c r="F48" s="292" t="n">
        <f aca="false">'GAS DAILY VOL DOWNLOAD'!F48-'GAS DAILY VOL DOWNLOAD'!$B48+$B48</f>
        <v>0.85</v>
      </c>
      <c r="G48" s="292" t="n">
        <f aca="false">'GAS DAILY VOL DOWNLOAD'!G48-'GAS DAILY VOL DOWNLOAD'!$B48+$B48</f>
        <v>1</v>
      </c>
      <c r="H48" s="292" t="n">
        <f aca="false">'GAS DAILY VOL DOWNLOAD'!H48-'GAS DAILY VOL DOWNLOAD'!$B48+$B48</f>
        <v>0.75</v>
      </c>
      <c r="I48" s="292" t="n">
        <f aca="false">'GAS DAILY VOL DOWNLOAD'!I48-'GAS DAILY VOL DOWNLOAD'!$B48+$B48</f>
        <v>0.75</v>
      </c>
      <c r="J48" s="292" t="n">
        <f aca="false">'GAS DAILY VOL DOWNLOAD'!J48-'GAS DAILY VOL DOWNLOAD'!$B48+$B48</f>
        <v>0.95</v>
      </c>
      <c r="K48" s="292" t="n">
        <f aca="false">'GAS DAILY VOL DOWNLOAD'!K48-'GAS DAILY VOL DOWNLOAD'!$B48+$B48</f>
        <v>0.75</v>
      </c>
      <c r="L48" s="292" t="n">
        <f aca="false">'GAS DAILY VOL DOWNLOAD'!L48-'GAS DAILY VOL DOWNLOAD'!$B48+$B48</f>
        <v>0.75</v>
      </c>
      <c r="M48" s="292" t="n">
        <f aca="false">'GAS DAILY VOL DOWNLOAD'!M48-'GAS DAILY VOL DOWNLOAD'!$B48+$B48</f>
        <v>0.75</v>
      </c>
      <c r="N48" s="292" t="n">
        <f aca="false">'GAS DAILY VOL DOWNLOAD'!N48-'GAS DAILY VOL DOWNLOAD'!$B48+$B48</f>
        <v>1</v>
      </c>
      <c r="O48" s="292" t="n">
        <f aca="false">'GAS DAILY VOL DOWNLOAD'!O48-'GAS DAILY VOL DOWNLOAD'!$B48+$B48</f>
        <v>0.9</v>
      </c>
      <c r="P48" s="292" t="n">
        <f aca="false">'GAS DAILY VOL DOWNLOAD'!P48-'GAS DAILY VOL DOWNLOAD'!$B48+$B48</f>
        <v>0.85</v>
      </c>
      <c r="Q48" s="292" t="n">
        <f aca="false">'GAS DAILY VOL DOWNLOAD'!Q48-'GAS DAILY VOL DOWNLOAD'!$B48+$B48</f>
        <v>0.75</v>
      </c>
    </row>
    <row r="49" customFormat="false" ht="12.75" hidden="false" customHeight="false" outlineLevel="0" collapsed="false">
      <c r="A49" s="317" t="n">
        <v>38443</v>
      </c>
      <c r="B49" s="292" t="n">
        <f aca="false">STRADDLES!L71</f>
        <v>0.4</v>
      </c>
      <c r="C49" s="292" t="n">
        <f aca="false">'GAS DAILY VOL DOWNLOAD'!C49-'GAS DAILY VOL DOWNLOAD'!$B49+$B49</f>
        <v>0.45</v>
      </c>
      <c r="D49" s="292" t="n">
        <f aca="false">'GAS DAILY VOL DOWNLOAD'!D49-'GAS DAILY VOL DOWNLOAD'!$B49+$B49</f>
        <v>0.4</v>
      </c>
      <c r="E49" s="292" t="n">
        <f aca="false">'GAS DAILY VOL DOWNLOAD'!E49-'GAS DAILY VOL DOWNLOAD'!$B49+$B49</f>
        <v>0.45</v>
      </c>
      <c r="F49" s="292" t="n">
        <f aca="false">'GAS DAILY VOL DOWNLOAD'!F49-'GAS DAILY VOL DOWNLOAD'!$B49+$B49</f>
        <v>0.45</v>
      </c>
      <c r="G49" s="292" t="n">
        <f aca="false">'GAS DAILY VOL DOWNLOAD'!G49-'GAS DAILY VOL DOWNLOAD'!$B49+$B49</f>
        <v>0.45</v>
      </c>
      <c r="H49" s="292" t="n">
        <f aca="false">'GAS DAILY VOL DOWNLOAD'!H49-'GAS DAILY VOL DOWNLOAD'!$B49+$B49</f>
        <v>0.45</v>
      </c>
      <c r="I49" s="292" t="n">
        <f aca="false">'GAS DAILY VOL DOWNLOAD'!I49-'GAS DAILY VOL DOWNLOAD'!$B49+$B49</f>
        <v>0.45</v>
      </c>
      <c r="J49" s="292" t="n">
        <f aca="false">'GAS DAILY VOL DOWNLOAD'!J49-'GAS DAILY VOL DOWNLOAD'!$B49+$B49</f>
        <v>0.5</v>
      </c>
      <c r="K49" s="292" t="n">
        <f aca="false">'GAS DAILY VOL DOWNLOAD'!K49-'GAS DAILY VOL DOWNLOAD'!$B49+$B49</f>
        <v>0.4</v>
      </c>
      <c r="L49" s="292" t="n">
        <f aca="false">'GAS DAILY VOL DOWNLOAD'!L49-'GAS DAILY VOL DOWNLOAD'!$B49+$B49</f>
        <v>0.45</v>
      </c>
      <c r="M49" s="292" t="n">
        <f aca="false">'GAS DAILY VOL DOWNLOAD'!M49-'GAS DAILY VOL DOWNLOAD'!$B49+$B49</f>
        <v>0.4</v>
      </c>
      <c r="N49" s="292" t="n">
        <f aca="false">'GAS DAILY VOL DOWNLOAD'!N49-'GAS DAILY VOL DOWNLOAD'!$B49+$B49</f>
        <v>0.45</v>
      </c>
      <c r="O49" s="292" t="n">
        <f aca="false">'GAS DAILY VOL DOWNLOAD'!O49-'GAS DAILY VOL DOWNLOAD'!$B49+$B49</f>
        <v>0.55</v>
      </c>
      <c r="P49" s="292" t="n">
        <f aca="false">'GAS DAILY VOL DOWNLOAD'!P49-'GAS DAILY VOL DOWNLOAD'!$B49+$B49</f>
        <v>0.55</v>
      </c>
      <c r="Q49" s="292" t="n">
        <f aca="false">'GAS DAILY VOL DOWNLOAD'!Q49-'GAS DAILY VOL DOWNLOAD'!$B49+$B49</f>
        <v>0.4</v>
      </c>
    </row>
    <row r="50" customFormat="false" ht="12.75" hidden="false" customHeight="false" outlineLevel="0" collapsed="false">
      <c r="A50" s="317" t="n">
        <v>38473</v>
      </c>
      <c r="B50" s="292" t="n">
        <f aca="false">STRADDLES!L72</f>
        <v>0.45</v>
      </c>
      <c r="C50" s="292" t="n">
        <f aca="false">'GAS DAILY VOL DOWNLOAD'!C50-'GAS DAILY VOL DOWNLOAD'!$B50+$B50</f>
        <v>0.5</v>
      </c>
      <c r="D50" s="292" t="n">
        <f aca="false">'GAS DAILY VOL DOWNLOAD'!D50-'GAS DAILY VOL DOWNLOAD'!$B50+$B50</f>
        <v>0.4</v>
      </c>
      <c r="E50" s="292" t="n">
        <f aca="false">'GAS DAILY VOL DOWNLOAD'!E50-'GAS DAILY VOL DOWNLOAD'!$B50+$B50</f>
        <v>0.4</v>
      </c>
      <c r="F50" s="292" t="n">
        <f aca="false">'GAS DAILY VOL DOWNLOAD'!F50-'GAS DAILY VOL DOWNLOAD'!$B50+$B50</f>
        <v>0.45</v>
      </c>
      <c r="G50" s="292" t="n">
        <f aca="false">'GAS DAILY VOL DOWNLOAD'!G50-'GAS DAILY VOL DOWNLOAD'!$B50+$B50</f>
        <v>0.5</v>
      </c>
      <c r="H50" s="292" t="n">
        <f aca="false">'GAS DAILY VOL DOWNLOAD'!H50-'GAS DAILY VOL DOWNLOAD'!$B50+$B50</f>
        <v>0.45</v>
      </c>
      <c r="I50" s="292" t="n">
        <f aca="false">'GAS DAILY VOL DOWNLOAD'!I50-'GAS DAILY VOL DOWNLOAD'!$B50+$B50</f>
        <v>0.4</v>
      </c>
      <c r="J50" s="292" t="n">
        <f aca="false">'GAS DAILY VOL DOWNLOAD'!J50-'GAS DAILY VOL DOWNLOAD'!$B50+$B50</f>
        <v>0.45</v>
      </c>
      <c r="K50" s="292" t="n">
        <f aca="false">'GAS DAILY VOL DOWNLOAD'!K50-'GAS DAILY VOL DOWNLOAD'!$B50+$B50</f>
        <v>0.45</v>
      </c>
      <c r="L50" s="292" t="n">
        <f aca="false">'GAS DAILY VOL DOWNLOAD'!L50-'GAS DAILY VOL DOWNLOAD'!$B50+$B50</f>
        <v>0.5</v>
      </c>
      <c r="M50" s="292" t="n">
        <f aca="false">'GAS DAILY VOL DOWNLOAD'!M50-'GAS DAILY VOL DOWNLOAD'!$B50+$B50</f>
        <v>0.45</v>
      </c>
      <c r="N50" s="292" t="n">
        <f aca="false">'GAS DAILY VOL DOWNLOAD'!N50-'GAS DAILY VOL DOWNLOAD'!$B50+$B50</f>
        <v>0.5</v>
      </c>
      <c r="O50" s="292" t="n">
        <f aca="false">'GAS DAILY VOL DOWNLOAD'!O50-'GAS DAILY VOL DOWNLOAD'!$B50+$B50</f>
        <v>0.6</v>
      </c>
      <c r="P50" s="292" t="n">
        <f aca="false">'GAS DAILY VOL DOWNLOAD'!P50-'GAS DAILY VOL DOWNLOAD'!$B50+$B50</f>
        <v>0.5</v>
      </c>
      <c r="Q50" s="292" t="n">
        <f aca="false">'GAS DAILY VOL DOWNLOAD'!Q50-'GAS DAILY VOL DOWNLOAD'!$B50+$B50</f>
        <v>0.45</v>
      </c>
    </row>
    <row r="51" customFormat="false" ht="12.75" hidden="false" customHeight="false" outlineLevel="0" collapsed="false">
      <c r="A51" s="317" t="n">
        <v>38504</v>
      </c>
      <c r="B51" s="292" t="n">
        <f aca="false">STRADDLES!L73</f>
        <v>0.45</v>
      </c>
      <c r="C51" s="292" t="n">
        <f aca="false">'GAS DAILY VOL DOWNLOAD'!C51-'GAS DAILY VOL DOWNLOAD'!$B51+$B51</f>
        <v>0.5</v>
      </c>
      <c r="D51" s="292" t="n">
        <f aca="false">'GAS DAILY VOL DOWNLOAD'!D51-'GAS DAILY VOL DOWNLOAD'!$B51+$B51</f>
        <v>0.4</v>
      </c>
      <c r="E51" s="292" t="n">
        <f aca="false">'GAS DAILY VOL DOWNLOAD'!E51-'GAS DAILY VOL DOWNLOAD'!$B51+$B51</f>
        <v>0.5</v>
      </c>
      <c r="F51" s="292" t="n">
        <f aca="false">'GAS DAILY VOL DOWNLOAD'!F51-'GAS DAILY VOL DOWNLOAD'!$B51+$B51</f>
        <v>0.45</v>
      </c>
      <c r="G51" s="292" t="n">
        <f aca="false">'GAS DAILY VOL DOWNLOAD'!G51-'GAS DAILY VOL DOWNLOAD'!$B51+$B51</f>
        <v>0.5</v>
      </c>
      <c r="H51" s="292" t="n">
        <f aca="false">'GAS DAILY VOL DOWNLOAD'!H51-'GAS DAILY VOL DOWNLOAD'!$B51+$B51</f>
        <v>0.5</v>
      </c>
      <c r="I51" s="292" t="n">
        <f aca="false">'GAS DAILY VOL DOWNLOAD'!I51-'GAS DAILY VOL DOWNLOAD'!$B51+$B51</f>
        <v>0.5</v>
      </c>
      <c r="J51" s="292" t="n">
        <f aca="false">'GAS DAILY VOL DOWNLOAD'!J51-'GAS DAILY VOL DOWNLOAD'!$B51+$B51</f>
        <v>0.5</v>
      </c>
      <c r="K51" s="292" t="n">
        <f aca="false">'GAS DAILY VOL DOWNLOAD'!K51-'GAS DAILY VOL DOWNLOAD'!$B51+$B51</f>
        <v>0.45</v>
      </c>
      <c r="L51" s="292" t="n">
        <f aca="false">'GAS DAILY VOL DOWNLOAD'!L51-'GAS DAILY VOL DOWNLOAD'!$B51+$B51</f>
        <v>0.5</v>
      </c>
      <c r="M51" s="292" t="n">
        <f aca="false">'GAS DAILY VOL DOWNLOAD'!M51-'GAS DAILY VOL DOWNLOAD'!$B51+$B51</f>
        <v>0.45</v>
      </c>
      <c r="N51" s="292" t="n">
        <f aca="false">'GAS DAILY VOL DOWNLOAD'!N51-'GAS DAILY VOL DOWNLOAD'!$B51+$B51</f>
        <v>0.5</v>
      </c>
      <c r="O51" s="292" t="n">
        <f aca="false">'GAS DAILY VOL DOWNLOAD'!O51-'GAS DAILY VOL DOWNLOAD'!$B51+$B51</f>
        <v>0.6</v>
      </c>
      <c r="P51" s="292" t="n">
        <f aca="false">'GAS DAILY VOL DOWNLOAD'!P51-'GAS DAILY VOL DOWNLOAD'!$B51+$B51</f>
        <v>0.6</v>
      </c>
      <c r="Q51" s="292" t="n">
        <f aca="false">'GAS DAILY VOL DOWNLOAD'!Q51-'GAS DAILY VOL DOWNLOAD'!$B51+$B51</f>
        <v>0.45</v>
      </c>
    </row>
    <row r="52" customFormat="false" ht="12.75" hidden="false" customHeight="false" outlineLevel="0" collapsed="false">
      <c r="A52" s="317" t="n">
        <v>38534</v>
      </c>
      <c r="B52" s="292" t="n">
        <f aca="false">STRADDLES!L74</f>
        <v>0.5</v>
      </c>
      <c r="C52" s="292" t="n">
        <f aca="false">'GAS DAILY VOL DOWNLOAD'!C52-'GAS DAILY VOL DOWNLOAD'!$B52+$B52</f>
        <v>0.5</v>
      </c>
      <c r="D52" s="292" t="n">
        <f aca="false">'GAS DAILY VOL DOWNLOAD'!D52-'GAS DAILY VOL DOWNLOAD'!$B52+$B52</f>
        <v>0.4</v>
      </c>
      <c r="E52" s="292" t="n">
        <f aca="false">'GAS DAILY VOL DOWNLOAD'!E52-'GAS DAILY VOL DOWNLOAD'!$B52+$B52</f>
        <v>0.5</v>
      </c>
      <c r="F52" s="292" t="n">
        <f aca="false">'GAS DAILY VOL DOWNLOAD'!F52-'GAS DAILY VOL DOWNLOAD'!$B52+$B52</f>
        <v>0.5</v>
      </c>
      <c r="G52" s="292" t="n">
        <f aca="false">'GAS DAILY VOL DOWNLOAD'!G52-'GAS DAILY VOL DOWNLOAD'!$B52+$B52</f>
        <v>0.5</v>
      </c>
      <c r="H52" s="292" t="n">
        <f aca="false">'GAS DAILY VOL DOWNLOAD'!H52-'GAS DAILY VOL DOWNLOAD'!$B52+$B52</f>
        <v>0.5</v>
      </c>
      <c r="I52" s="292" t="n">
        <f aca="false">'GAS DAILY VOL DOWNLOAD'!I52-'GAS DAILY VOL DOWNLOAD'!$B52+$B52</f>
        <v>0.5</v>
      </c>
      <c r="J52" s="292" t="n">
        <f aca="false">'GAS DAILY VOL DOWNLOAD'!J52-'GAS DAILY VOL DOWNLOAD'!$B52+$B52</f>
        <v>0.5</v>
      </c>
      <c r="K52" s="292" t="n">
        <f aca="false">'GAS DAILY VOL DOWNLOAD'!K52-'GAS DAILY VOL DOWNLOAD'!$B52+$B52</f>
        <v>0.5</v>
      </c>
      <c r="L52" s="292" t="n">
        <f aca="false">'GAS DAILY VOL DOWNLOAD'!L52-'GAS DAILY VOL DOWNLOAD'!$B52+$B52</f>
        <v>0.55</v>
      </c>
      <c r="M52" s="292" t="n">
        <f aca="false">'GAS DAILY VOL DOWNLOAD'!M52-'GAS DAILY VOL DOWNLOAD'!$B52+$B52</f>
        <v>0.5</v>
      </c>
      <c r="N52" s="292" t="n">
        <f aca="false">'GAS DAILY VOL DOWNLOAD'!N52-'GAS DAILY VOL DOWNLOAD'!$B52+$B52</f>
        <v>0.5</v>
      </c>
      <c r="O52" s="292" t="n">
        <f aca="false">'GAS DAILY VOL DOWNLOAD'!O52-'GAS DAILY VOL DOWNLOAD'!$B52+$B52</f>
        <v>0.65</v>
      </c>
      <c r="P52" s="292" t="n">
        <f aca="false">'GAS DAILY VOL DOWNLOAD'!P52-'GAS DAILY VOL DOWNLOAD'!$B52+$B52</f>
        <v>0.6</v>
      </c>
      <c r="Q52" s="292" t="n">
        <f aca="false">'GAS DAILY VOL DOWNLOAD'!Q52-'GAS DAILY VOL DOWNLOAD'!$B52+$B52</f>
        <v>0.5</v>
      </c>
    </row>
    <row r="53" customFormat="false" ht="12.75" hidden="false" customHeight="false" outlineLevel="0" collapsed="false">
      <c r="A53" s="317" t="n">
        <v>38565</v>
      </c>
      <c r="B53" s="292" t="n">
        <f aca="false">STRADDLES!L75</f>
        <v>0.55</v>
      </c>
      <c r="C53" s="292" t="n">
        <f aca="false">'GAS DAILY VOL DOWNLOAD'!C53-'GAS DAILY VOL DOWNLOAD'!$B53+$B53</f>
        <v>0.55</v>
      </c>
      <c r="D53" s="292" t="n">
        <f aca="false">'GAS DAILY VOL DOWNLOAD'!D53-'GAS DAILY VOL DOWNLOAD'!$B53+$B53</f>
        <v>0.5</v>
      </c>
      <c r="E53" s="292" t="n">
        <f aca="false">'GAS DAILY VOL DOWNLOAD'!E53-'GAS DAILY VOL DOWNLOAD'!$B53+$B53</f>
        <v>0.6</v>
      </c>
      <c r="F53" s="292" t="n">
        <f aca="false">'GAS DAILY VOL DOWNLOAD'!F53-'GAS DAILY VOL DOWNLOAD'!$B53+$B53</f>
        <v>0.55</v>
      </c>
      <c r="G53" s="292" t="n">
        <f aca="false">'GAS DAILY VOL DOWNLOAD'!G53-'GAS DAILY VOL DOWNLOAD'!$B53+$B53</f>
        <v>0.6</v>
      </c>
      <c r="H53" s="292" t="n">
        <f aca="false">'GAS DAILY VOL DOWNLOAD'!H53-'GAS DAILY VOL DOWNLOAD'!$B53+$B53</f>
        <v>0.55</v>
      </c>
      <c r="I53" s="292" t="n">
        <f aca="false">'GAS DAILY VOL DOWNLOAD'!I53-'GAS DAILY VOL DOWNLOAD'!$B53+$B53</f>
        <v>0.6</v>
      </c>
      <c r="J53" s="292" t="n">
        <f aca="false">'GAS DAILY VOL DOWNLOAD'!J53-'GAS DAILY VOL DOWNLOAD'!$B53+$B53</f>
        <v>0.45</v>
      </c>
      <c r="K53" s="292" t="n">
        <f aca="false">'GAS DAILY VOL DOWNLOAD'!K53-'GAS DAILY VOL DOWNLOAD'!$B53+$B53</f>
        <v>0.55</v>
      </c>
      <c r="L53" s="292" t="n">
        <f aca="false">'GAS DAILY VOL DOWNLOAD'!L53-'GAS DAILY VOL DOWNLOAD'!$B53+$B53</f>
        <v>0.6</v>
      </c>
      <c r="M53" s="292" t="n">
        <f aca="false">'GAS DAILY VOL DOWNLOAD'!M53-'GAS DAILY VOL DOWNLOAD'!$B53+$B53</f>
        <v>0.55</v>
      </c>
      <c r="N53" s="292" t="n">
        <f aca="false">'GAS DAILY VOL DOWNLOAD'!N53-'GAS DAILY VOL DOWNLOAD'!$B53+$B53</f>
        <v>0.6</v>
      </c>
      <c r="O53" s="292" t="n">
        <f aca="false">'GAS DAILY VOL DOWNLOAD'!O53-'GAS DAILY VOL DOWNLOAD'!$B53+$B53</f>
        <v>0.7</v>
      </c>
      <c r="P53" s="292" t="n">
        <f aca="false">'GAS DAILY VOL DOWNLOAD'!P53-'GAS DAILY VOL DOWNLOAD'!$B53+$B53</f>
        <v>0.7</v>
      </c>
      <c r="Q53" s="292" t="n">
        <f aca="false">'GAS DAILY VOL DOWNLOAD'!Q53-'GAS DAILY VOL DOWNLOAD'!$B53+$B53</f>
        <v>0.55</v>
      </c>
    </row>
    <row r="54" customFormat="false" ht="12.75" hidden="false" customHeight="false" outlineLevel="0" collapsed="false">
      <c r="A54" s="317" t="n">
        <v>38596</v>
      </c>
      <c r="B54" s="292" t="n">
        <f aca="false">STRADDLES!L76</f>
        <v>0.55</v>
      </c>
      <c r="C54" s="292" t="n">
        <f aca="false">'GAS DAILY VOL DOWNLOAD'!C54-'GAS DAILY VOL DOWNLOAD'!$B54+$B54</f>
        <v>0.55</v>
      </c>
      <c r="D54" s="292" t="n">
        <f aca="false">'GAS DAILY VOL DOWNLOAD'!D54-'GAS DAILY VOL DOWNLOAD'!$B54+$B54</f>
        <v>0.55</v>
      </c>
      <c r="E54" s="292" t="n">
        <f aca="false">'GAS DAILY VOL DOWNLOAD'!E54-'GAS DAILY VOL DOWNLOAD'!$B54+$B54</f>
        <v>0.55</v>
      </c>
      <c r="F54" s="292" t="n">
        <f aca="false">'GAS DAILY VOL DOWNLOAD'!F54-'GAS DAILY VOL DOWNLOAD'!$B54+$B54</f>
        <v>0.55</v>
      </c>
      <c r="G54" s="292" t="n">
        <f aca="false">'GAS DAILY VOL DOWNLOAD'!G54-'GAS DAILY VOL DOWNLOAD'!$B54+$B54</f>
        <v>0.6</v>
      </c>
      <c r="H54" s="292" t="n">
        <f aca="false">'GAS DAILY VOL DOWNLOAD'!H54-'GAS DAILY VOL DOWNLOAD'!$B54+$B54</f>
        <v>0.6</v>
      </c>
      <c r="I54" s="292" t="n">
        <f aca="false">'GAS DAILY VOL DOWNLOAD'!I54-'GAS DAILY VOL DOWNLOAD'!$B54+$B54</f>
        <v>0.55</v>
      </c>
      <c r="J54" s="292" t="n">
        <f aca="false">'GAS DAILY VOL DOWNLOAD'!J54-'GAS DAILY VOL DOWNLOAD'!$B54+$B54</f>
        <v>0.5</v>
      </c>
      <c r="K54" s="292" t="n">
        <f aca="false">'GAS DAILY VOL DOWNLOAD'!K54-'GAS DAILY VOL DOWNLOAD'!$B54+$B54</f>
        <v>0.55</v>
      </c>
      <c r="L54" s="292" t="n">
        <f aca="false">'GAS DAILY VOL DOWNLOAD'!L54-'GAS DAILY VOL DOWNLOAD'!$B54+$B54</f>
        <v>0.6</v>
      </c>
      <c r="M54" s="292" t="n">
        <f aca="false">'GAS DAILY VOL DOWNLOAD'!M54-'GAS DAILY VOL DOWNLOAD'!$B54+$B54</f>
        <v>0.55</v>
      </c>
      <c r="N54" s="292" t="n">
        <f aca="false">'GAS DAILY VOL DOWNLOAD'!N54-'GAS DAILY VOL DOWNLOAD'!$B54+$B54</f>
        <v>0.6</v>
      </c>
      <c r="O54" s="292" t="n">
        <f aca="false">'GAS DAILY VOL DOWNLOAD'!O54-'GAS DAILY VOL DOWNLOAD'!$B54+$B54</f>
        <v>0.7</v>
      </c>
      <c r="P54" s="292" t="n">
        <f aca="false">'GAS DAILY VOL DOWNLOAD'!P54-'GAS DAILY VOL DOWNLOAD'!$B54+$B54</f>
        <v>0.65</v>
      </c>
      <c r="Q54" s="292" t="n">
        <f aca="false">'GAS DAILY VOL DOWNLOAD'!Q54-'GAS DAILY VOL DOWNLOAD'!$B54+$B54</f>
        <v>0.55</v>
      </c>
    </row>
    <row r="55" customFormat="false" ht="12.75" hidden="false" customHeight="false" outlineLevel="0" collapsed="false">
      <c r="A55" s="317" t="n">
        <v>38626</v>
      </c>
      <c r="B55" s="292" t="n">
        <f aca="false">STRADDLES!L77</f>
        <v>0.6</v>
      </c>
      <c r="C55" s="292" t="n">
        <f aca="false">'GAS DAILY VOL DOWNLOAD'!C55-'GAS DAILY VOL DOWNLOAD'!$B55+$B55</f>
        <v>0.6</v>
      </c>
      <c r="D55" s="292" t="n">
        <f aca="false">'GAS DAILY VOL DOWNLOAD'!D55-'GAS DAILY VOL DOWNLOAD'!$B55+$B55</f>
        <v>0.55</v>
      </c>
      <c r="E55" s="292" t="n">
        <f aca="false">'GAS DAILY VOL DOWNLOAD'!E55-'GAS DAILY VOL DOWNLOAD'!$B55+$B55</f>
        <v>0.6</v>
      </c>
      <c r="F55" s="292" t="n">
        <f aca="false">'GAS DAILY VOL DOWNLOAD'!F55-'GAS DAILY VOL DOWNLOAD'!$B55+$B55</f>
        <v>0.6</v>
      </c>
      <c r="G55" s="292" t="n">
        <f aca="false">'GAS DAILY VOL DOWNLOAD'!G55-'GAS DAILY VOL DOWNLOAD'!$B55+$B55</f>
        <v>0.65</v>
      </c>
      <c r="H55" s="292" t="n">
        <f aca="false">'GAS DAILY VOL DOWNLOAD'!H55-'GAS DAILY VOL DOWNLOAD'!$B55+$B55</f>
        <v>0.65</v>
      </c>
      <c r="I55" s="292" t="n">
        <f aca="false">'GAS DAILY VOL DOWNLOAD'!I55-'GAS DAILY VOL DOWNLOAD'!$B55+$B55</f>
        <v>0.6</v>
      </c>
      <c r="J55" s="292" t="n">
        <f aca="false">'GAS DAILY VOL DOWNLOAD'!J55-'GAS DAILY VOL DOWNLOAD'!$B55+$B55</f>
        <v>0.5</v>
      </c>
      <c r="K55" s="292" t="n">
        <f aca="false">'GAS DAILY VOL DOWNLOAD'!K55-'GAS DAILY VOL DOWNLOAD'!$B55+$B55</f>
        <v>0.6</v>
      </c>
      <c r="L55" s="292" t="n">
        <f aca="false">'GAS DAILY VOL DOWNLOAD'!L55-'GAS DAILY VOL DOWNLOAD'!$B55+$B55</f>
        <v>0.65</v>
      </c>
      <c r="M55" s="292" t="n">
        <f aca="false">'GAS DAILY VOL DOWNLOAD'!M55-'GAS DAILY VOL DOWNLOAD'!$B55+$B55</f>
        <v>0.6</v>
      </c>
      <c r="N55" s="292" t="n">
        <f aca="false">'GAS DAILY VOL DOWNLOAD'!N55-'GAS DAILY VOL DOWNLOAD'!$B55+$B55</f>
        <v>0.65</v>
      </c>
      <c r="O55" s="292" t="n">
        <f aca="false">'GAS DAILY VOL DOWNLOAD'!O55-'GAS DAILY VOL DOWNLOAD'!$B55+$B55</f>
        <v>0.75</v>
      </c>
      <c r="P55" s="292" t="n">
        <f aca="false">'GAS DAILY VOL DOWNLOAD'!P55-'GAS DAILY VOL DOWNLOAD'!$B55+$B55</f>
        <v>0.7</v>
      </c>
      <c r="Q55" s="292" t="n">
        <f aca="false">'GAS DAILY VOL DOWNLOAD'!Q55-'GAS DAILY VOL DOWNLOAD'!$B55+$B55</f>
        <v>0.6</v>
      </c>
    </row>
    <row r="56" customFormat="false" ht="12.75" hidden="false" customHeight="false" outlineLevel="0" collapsed="false">
      <c r="A56" s="317" t="n">
        <v>38657</v>
      </c>
      <c r="B56" s="292" t="n">
        <f aca="false">STRADDLES!L78</f>
        <v>0.8</v>
      </c>
      <c r="C56" s="292" t="n">
        <f aca="false">'GAS DAILY VOL DOWNLOAD'!C56-'GAS DAILY VOL DOWNLOAD'!$B56+$B56</f>
        <v>0.85</v>
      </c>
      <c r="D56" s="292" t="n">
        <f aca="false">'GAS DAILY VOL DOWNLOAD'!D56-'GAS DAILY VOL DOWNLOAD'!$B56+$B56</f>
        <v>0.8</v>
      </c>
      <c r="E56" s="292" t="n">
        <f aca="false">'GAS DAILY VOL DOWNLOAD'!E56-'GAS DAILY VOL DOWNLOAD'!$B56+$B56</f>
        <v>0.8</v>
      </c>
      <c r="F56" s="292" t="n">
        <f aca="false">'GAS DAILY VOL DOWNLOAD'!F56-'GAS DAILY VOL DOWNLOAD'!$B56+$B56</f>
        <v>0.9</v>
      </c>
      <c r="G56" s="292" t="n">
        <f aca="false">'GAS DAILY VOL DOWNLOAD'!G56-'GAS DAILY VOL DOWNLOAD'!$B56+$B56</f>
        <v>0.95</v>
      </c>
      <c r="H56" s="292" t="n">
        <f aca="false">'GAS DAILY VOL DOWNLOAD'!H56-'GAS DAILY VOL DOWNLOAD'!$B56+$B56</f>
        <v>0.85</v>
      </c>
      <c r="I56" s="292" t="n">
        <f aca="false">'GAS DAILY VOL DOWNLOAD'!I56-'GAS DAILY VOL DOWNLOAD'!$B56+$B56</f>
        <v>0.8</v>
      </c>
      <c r="J56" s="292" t="n">
        <f aca="false">'GAS DAILY VOL DOWNLOAD'!J56-'GAS DAILY VOL DOWNLOAD'!$B56+$B56</f>
        <v>0.95</v>
      </c>
      <c r="K56" s="292" t="n">
        <f aca="false">'GAS DAILY VOL DOWNLOAD'!K56-'GAS DAILY VOL DOWNLOAD'!$B56+$B56</f>
        <v>0.8</v>
      </c>
      <c r="L56" s="292" t="n">
        <f aca="false">'GAS DAILY VOL DOWNLOAD'!L56-'GAS DAILY VOL DOWNLOAD'!$B56+$B56</f>
        <v>0.8</v>
      </c>
      <c r="M56" s="292" t="n">
        <f aca="false">'GAS DAILY VOL DOWNLOAD'!M56-'GAS DAILY VOL DOWNLOAD'!$B56+$B56</f>
        <v>0.8</v>
      </c>
      <c r="N56" s="292" t="n">
        <f aca="false">'GAS DAILY VOL DOWNLOAD'!N56-'GAS DAILY VOL DOWNLOAD'!$B56+$B56</f>
        <v>0.95</v>
      </c>
      <c r="O56" s="292" t="n">
        <f aca="false">'GAS DAILY VOL DOWNLOAD'!O56-'GAS DAILY VOL DOWNLOAD'!$B56+$B56</f>
        <v>0.95</v>
      </c>
      <c r="P56" s="292" t="n">
        <f aca="false">'GAS DAILY VOL DOWNLOAD'!P56-'GAS DAILY VOL DOWNLOAD'!$B56+$B56</f>
        <v>0.9</v>
      </c>
      <c r="Q56" s="292" t="n">
        <f aca="false">'GAS DAILY VOL DOWNLOAD'!Q56-'GAS DAILY VOL DOWNLOAD'!$B56+$B56</f>
        <v>0.8</v>
      </c>
    </row>
    <row r="57" customFormat="false" ht="12.75" hidden="false" customHeight="false" outlineLevel="0" collapsed="false">
      <c r="A57" s="317" t="n">
        <v>38687</v>
      </c>
      <c r="B57" s="292" t="n">
        <f aca="false">STRADDLES!L79</f>
        <v>1</v>
      </c>
      <c r="C57" s="292" t="n">
        <f aca="false">'GAS DAILY VOL DOWNLOAD'!C57-'GAS DAILY VOL DOWNLOAD'!$B57+$B57</f>
        <v>1.05</v>
      </c>
      <c r="D57" s="292" t="n">
        <f aca="false">'GAS DAILY VOL DOWNLOAD'!D57-'GAS DAILY VOL DOWNLOAD'!$B57+$B57</f>
        <v>1</v>
      </c>
      <c r="E57" s="292" t="n">
        <f aca="false">'GAS DAILY VOL DOWNLOAD'!E57-'GAS DAILY VOL DOWNLOAD'!$B57+$B57</f>
        <v>1</v>
      </c>
      <c r="F57" s="292" t="n">
        <f aca="false">'GAS DAILY VOL DOWNLOAD'!F57-'GAS DAILY VOL DOWNLOAD'!$B57+$B57</f>
        <v>1.15</v>
      </c>
      <c r="G57" s="292" t="n">
        <f aca="false">'GAS DAILY VOL DOWNLOAD'!G57-'GAS DAILY VOL DOWNLOAD'!$B57+$B57</f>
        <v>1.25</v>
      </c>
      <c r="H57" s="292" t="n">
        <f aca="false">'GAS DAILY VOL DOWNLOAD'!H57-'GAS DAILY VOL DOWNLOAD'!$B57+$B57</f>
        <v>1.05</v>
      </c>
      <c r="I57" s="292" t="n">
        <f aca="false">'GAS DAILY VOL DOWNLOAD'!I57-'GAS DAILY VOL DOWNLOAD'!$B57+$B57</f>
        <v>1</v>
      </c>
      <c r="J57" s="292" t="n">
        <f aca="false">'GAS DAILY VOL DOWNLOAD'!J57-'GAS DAILY VOL DOWNLOAD'!$B57+$B57</f>
        <v>1.35</v>
      </c>
      <c r="K57" s="292" t="n">
        <f aca="false">'GAS DAILY VOL DOWNLOAD'!K57-'GAS DAILY VOL DOWNLOAD'!$B57+$B57</f>
        <v>1</v>
      </c>
      <c r="L57" s="292" t="n">
        <f aca="false">'GAS DAILY VOL DOWNLOAD'!L57-'GAS DAILY VOL DOWNLOAD'!$B57+$B57</f>
        <v>1.1</v>
      </c>
      <c r="M57" s="292" t="n">
        <f aca="false">'GAS DAILY VOL DOWNLOAD'!M57-'GAS DAILY VOL DOWNLOAD'!$B57+$B57</f>
        <v>1</v>
      </c>
      <c r="N57" s="292" t="n">
        <f aca="false">'GAS DAILY VOL DOWNLOAD'!N57-'GAS DAILY VOL DOWNLOAD'!$B57+$B57</f>
        <v>1.25</v>
      </c>
      <c r="O57" s="292" t="n">
        <f aca="false">'GAS DAILY VOL DOWNLOAD'!O57-'GAS DAILY VOL DOWNLOAD'!$B57+$B57</f>
        <v>1.15</v>
      </c>
      <c r="P57" s="292" t="n">
        <f aca="false">'GAS DAILY VOL DOWNLOAD'!P57-'GAS DAILY VOL DOWNLOAD'!$B57+$B57</f>
        <v>1.1</v>
      </c>
      <c r="Q57" s="292" t="n">
        <f aca="false">'GAS DAILY VOL DOWNLOAD'!Q57-'GAS DAILY VOL DOWNLOAD'!$B57+$B57</f>
        <v>1</v>
      </c>
    </row>
    <row r="58" customFormat="false" ht="12.75" hidden="false" customHeight="false" outlineLevel="0" collapsed="false">
      <c r="A58" s="317" t="n">
        <v>38718</v>
      </c>
      <c r="B58" s="292" t="n">
        <f aca="false">STRADDLES!L80</f>
        <v>1</v>
      </c>
      <c r="C58" s="292" t="n">
        <f aca="false">'GAS DAILY VOL DOWNLOAD'!C58-'GAS DAILY VOL DOWNLOAD'!$B58+$B58</f>
        <v>1.05</v>
      </c>
      <c r="D58" s="292" t="n">
        <f aca="false">'GAS DAILY VOL DOWNLOAD'!D58-'GAS DAILY VOL DOWNLOAD'!$B58+$B58</f>
        <v>1</v>
      </c>
      <c r="E58" s="292" t="n">
        <f aca="false">'GAS DAILY VOL DOWNLOAD'!E58-'GAS DAILY VOL DOWNLOAD'!$B58+$B58</f>
        <v>1</v>
      </c>
      <c r="F58" s="292" t="n">
        <f aca="false">'GAS DAILY VOL DOWNLOAD'!F58-'GAS DAILY VOL DOWNLOAD'!$B58+$B58</f>
        <v>1.15</v>
      </c>
      <c r="G58" s="292" t="n">
        <f aca="false">'GAS DAILY VOL DOWNLOAD'!G58-'GAS DAILY VOL DOWNLOAD'!$B58+$B58</f>
        <v>1.45</v>
      </c>
      <c r="H58" s="292" t="n">
        <f aca="false">'GAS DAILY VOL DOWNLOAD'!H58-'GAS DAILY VOL DOWNLOAD'!$B58+$B58</f>
        <v>1.05</v>
      </c>
      <c r="I58" s="292" t="n">
        <f aca="false">'GAS DAILY VOL DOWNLOAD'!I58-'GAS DAILY VOL DOWNLOAD'!$B58+$B58</f>
        <v>1</v>
      </c>
      <c r="J58" s="292" t="n">
        <f aca="false">'GAS DAILY VOL DOWNLOAD'!J58-'GAS DAILY VOL DOWNLOAD'!$B58+$B58</f>
        <v>1.35</v>
      </c>
      <c r="K58" s="292" t="n">
        <f aca="false">'GAS DAILY VOL DOWNLOAD'!K58-'GAS DAILY VOL DOWNLOAD'!$B58+$B58</f>
        <v>1</v>
      </c>
      <c r="L58" s="292" t="n">
        <f aca="false">'GAS DAILY VOL DOWNLOAD'!L58-'GAS DAILY VOL DOWNLOAD'!$B58+$B58</f>
        <v>1.1</v>
      </c>
      <c r="M58" s="292" t="n">
        <f aca="false">'GAS DAILY VOL DOWNLOAD'!M58-'GAS DAILY VOL DOWNLOAD'!$B58+$B58</f>
        <v>1</v>
      </c>
      <c r="N58" s="292" t="n">
        <f aca="false">'GAS DAILY VOL DOWNLOAD'!N58-'GAS DAILY VOL DOWNLOAD'!$B58+$B58</f>
        <v>1.45</v>
      </c>
      <c r="O58" s="292" t="n">
        <f aca="false">'GAS DAILY VOL DOWNLOAD'!O58-'GAS DAILY VOL DOWNLOAD'!$B58+$B58</f>
        <v>1.15</v>
      </c>
      <c r="P58" s="292" t="n">
        <f aca="false">'GAS DAILY VOL DOWNLOAD'!P58-'GAS DAILY VOL DOWNLOAD'!$B58+$B58</f>
        <v>1.1</v>
      </c>
      <c r="Q58" s="292" t="n">
        <f aca="false">'GAS DAILY VOL DOWNLOAD'!Q58-'GAS DAILY VOL DOWNLOAD'!$B58+$B58</f>
        <v>1</v>
      </c>
    </row>
    <row r="59" customFormat="false" ht="12.75" hidden="false" customHeight="false" outlineLevel="0" collapsed="false">
      <c r="A59" s="317" t="n">
        <v>38749</v>
      </c>
      <c r="B59" s="292" t="n">
        <f aca="false">STRADDLES!L81</f>
        <v>1</v>
      </c>
      <c r="C59" s="292" t="n">
        <f aca="false">'GAS DAILY VOL DOWNLOAD'!C59-'GAS DAILY VOL DOWNLOAD'!$B59+$B59</f>
        <v>1.05</v>
      </c>
      <c r="D59" s="292" t="n">
        <f aca="false">'GAS DAILY VOL DOWNLOAD'!D59-'GAS DAILY VOL DOWNLOAD'!$B59+$B59</f>
        <v>1</v>
      </c>
      <c r="E59" s="292" t="n">
        <f aca="false">'GAS DAILY VOL DOWNLOAD'!E59-'GAS DAILY VOL DOWNLOAD'!$B59+$B59</f>
        <v>1</v>
      </c>
      <c r="F59" s="292" t="n">
        <f aca="false">'GAS DAILY VOL DOWNLOAD'!F59-'GAS DAILY VOL DOWNLOAD'!$B59+$B59</f>
        <v>1.15</v>
      </c>
      <c r="G59" s="292" t="n">
        <f aca="false">'GAS DAILY VOL DOWNLOAD'!G59-'GAS DAILY VOL DOWNLOAD'!$B59+$B59</f>
        <v>1.45</v>
      </c>
      <c r="H59" s="292" t="n">
        <f aca="false">'GAS DAILY VOL DOWNLOAD'!H59-'GAS DAILY VOL DOWNLOAD'!$B59+$B59</f>
        <v>1.05</v>
      </c>
      <c r="I59" s="292" t="n">
        <f aca="false">'GAS DAILY VOL DOWNLOAD'!I59-'GAS DAILY VOL DOWNLOAD'!$B59+$B59</f>
        <v>1</v>
      </c>
      <c r="J59" s="292" t="n">
        <f aca="false">'GAS DAILY VOL DOWNLOAD'!J59-'GAS DAILY VOL DOWNLOAD'!$B59+$B59</f>
        <v>1.35</v>
      </c>
      <c r="K59" s="292" t="n">
        <f aca="false">'GAS DAILY VOL DOWNLOAD'!K59-'GAS DAILY VOL DOWNLOAD'!$B59+$B59</f>
        <v>1</v>
      </c>
      <c r="L59" s="292" t="n">
        <f aca="false">'GAS DAILY VOL DOWNLOAD'!L59-'GAS DAILY VOL DOWNLOAD'!$B59+$B59</f>
        <v>1.1</v>
      </c>
      <c r="M59" s="292" t="n">
        <f aca="false">'GAS DAILY VOL DOWNLOAD'!M59-'GAS DAILY VOL DOWNLOAD'!$B59+$B59</f>
        <v>1</v>
      </c>
      <c r="N59" s="292" t="n">
        <f aca="false">'GAS DAILY VOL DOWNLOAD'!N59-'GAS DAILY VOL DOWNLOAD'!$B59+$B59</f>
        <v>1.45</v>
      </c>
      <c r="O59" s="292" t="n">
        <f aca="false">'GAS DAILY VOL DOWNLOAD'!O59-'GAS DAILY VOL DOWNLOAD'!$B59+$B59</f>
        <v>1.15</v>
      </c>
      <c r="P59" s="292" t="n">
        <f aca="false">'GAS DAILY VOL DOWNLOAD'!P59-'GAS DAILY VOL DOWNLOAD'!$B59+$B59</f>
        <v>1.1</v>
      </c>
      <c r="Q59" s="292" t="n">
        <f aca="false">'GAS DAILY VOL DOWNLOAD'!Q59-'GAS DAILY VOL DOWNLOAD'!$B59+$B59</f>
        <v>1</v>
      </c>
    </row>
    <row r="60" customFormat="false" ht="12.75" hidden="false" customHeight="false" outlineLevel="0" collapsed="false">
      <c r="A60" s="317" t="n">
        <v>38777</v>
      </c>
      <c r="B60" s="292" t="n">
        <f aca="false">STRADDLES!L82</f>
        <v>0.75</v>
      </c>
      <c r="C60" s="292" t="n">
        <f aca="false">'GAS DAILY VOL DOWNLOAD'!C60-'GAS DAILY VOL DOWNLOAD'!$B60+$B60</f>
        <v>0.8</v>
      </c>
      <c r="D60" s="292" t="n">
        <f aca="false">'GAS DAILY VOL DOWNLOAD'!D60-'GAS DAILY VOL DOWNLOAD'!$B60+$B60</f>
        <v>0.75</v>
      </c>
      <c r="E60" s="292" t="n">
        <f aca="false">'GAS DAILY VOL DOWNLOAD'!E60-'GAS DAILY VOL DOWNLOAD'!$B60+$B60</f>
        <v>0.75</v>
      </c>
      <c r="F60" s="292" t="n">
        <f aca="false">'GAS DAILY VOL DOWNLOAD'!F60-'GAS DAILY VOL DOWNLOAD'!$B60+$B60</f>
        <v>0.85</v>
      </c>
      <c r="G60" s="292" t="n">
        <f aca="false">'GAS DAILY VOL DOWNLOAD'!G60-'GAS DAILY VOL DOWNLOAD'!$B60+$B60</f>
        <v>1</v>
      </c>
      <c r="H60" s="292" t="n">
        <f aca="false">'GAS DAILY VOL DOWNLOAD'!H60-'GAS DAILY VOL DOWNLOAD'!$B60+$B60</f>
        <v>0.75</v>
      </c>
      <c r="I60" s="292" t="n">
        <f aca="false">'GAS DAILY VOL DOWNLOAD'!I60-'GAS DAILY VOL DOWNLOAD'!$B60+$B60</f>
        <v>0.75</v>
      </c>
      <c r="J60" s="292" t="n">
        <f aca="false">'GAS DAILY VOL DOWNLOAD'!J60-'GAS DAILY VOL DOWNLOAD'!$B60+$B60</f>
        <v>0.95</v>
      </c>
      <c r="K60" s="292" t="n">
        <f aca="false">'GAS DAILY VOL DOWNLOAD'!K60-'GAS DAILY VOL DOWNLOAD'!$B60+$B60</f>
        <v>0.75</v>
      </c>
      <c r="L60" s="292" t="n">
        <f aca="false">'GAS DAILY VOL DOWNLOAD'!L60-'GAS DAILY VOL DOWNLOAD'!$B60+$B60</f>
        <v>0.75</v>
      </c>
      <c r="M60" s="292" t="n">
        <f aca="false">'GAS DAILY VOL DOWNLOAD'!M60-'GAS DAILY VOL DOWNLOAD'!$B60+$B60</f>
        <v>0.75</v>
      </c>
      <c r="N60" s="292" t="n">
        <f aca="false">'GAS DAILY VOL DOWNLOAD'!N60-'GAS DAILY VOL DOWNLOAD'!$B60+$B60</f>
        <v>1</v>
      </c>
      <c r="O60" s="292" t="n">
        <f aca="false">'GAS DAILY VOL DOWNLOAD'!O60-'GAS DAILY VOL DOWNLOAD'!$B60+$B60</f>
        <v>0.9</v>
      </c>
      <c r="P60" s="292" t="n">
        <f aca="false">'GAS DAILY VOL DOWNLOAD'!P60-'GAS DAILY VOL DOWNLOAD'!$B60+$B60</f>
        <v>0.85</v>
      </c>
      <c r="Q60" s="292" t="n">
        <f aca="false">'GAS DAILY VOL DOWNLOAD'!Q60-'GAS DAILY VOL DOWNLOAD'!$B60+$B60</f>
        <v>0.75</v>
      </c>
    </row>
    <row r="61" customFormat="false" ht="12.75" hidden="false" customHeight="false" outlineLevel="0" collapsed="false">
      <c r="A61" s="317" t="n">
        <v>38808</v>
      </c>
      <c r="B61" s="292" t="n">
        <f aca="false">STRADDLES!L83</f>
        <v>0.4</v>
      </c>
      <c r="C61" s="292" t="n">
        <f aca="false">'GAS DAILY VOL DOWNLOAD'!C61-'GAS DAILY VOL DOWNLOAD'!$B61+$B61</f>
        <v>0.45</v>
      </c>
      <c r="D61" s="292" t="n">
        <f aca="false">'GAS DAILY VOL DOWNLOAD'!D61-'GAS DAILY VOL DOWNLOAD'!$B61+$B61</f>
        <v>0.4</v>
      </c>
      <c r="E61" s="292" t="n">
        <f aca="false">'GAS DAILY VOL DOWNLOAD'!E61-'GAS DAILY VOL DOWNLOAD'!$B61+$B61</f>
        <v>0.45</v>
      </c>
      <c r="F61" s="292" t="n">
        <f aca="false">'GAS DAILY VOL DOWNLOAD'!F61-'GAS DAILY VOL DOWNLOAD'!$B61+$B61</f>
        <v>0.45</v>
      </c>
      <c r="G61" s="292" t="n">
        <f aca="false">'GAS DAILY VOL DOWNLOAD'!G61-'GAS DAILY VOL DOWNLOAD'!$B61+$B61</f>
        <v>0.45</v>
      </c>
      <c r="H61" s="292" t="n">
        <f aca="false">'GAS DAILY VOL DOWNLOAD'!H61-'GAS DAILY VOL DOWNLOAD'!$B61+$B61</f>
        <v>0.45</v>
      </c>
      <c r="I61" s="292" t="n">
        <f aca="false">'GAS DAILY VOL DOWNLOAD'!I61-'GAS DAILY VOL DOWNLOAD'!$B61+$B61</f>
        <v>0.45</v>
      </c>
      <c r="J61" s="292" t="n">
        <f aca="false">'GAS DAILY VOL DOWNLOAD'!J61-'GAS DAILY VOL DOWNLOAD'!$B61+$B61</f>
        <v>0.5</v>
      </c>
      <c r="K61" s="292" t="n">
        <f aca="false">'GAS DAILY VOL DOWNLOAD'!K61-'GAS DAILY VOL DOWNLOAD'!$B61+$B61</f>
        <v>0.4</v>
      </c>
      <c r="L61" s="292" t="n">
        <f aca="false">'GAS DAILY VOL DOWNLOAD'!L61-'GAS DAILY VOL DOWNLOAD'!$B61+$B61</f>
        <v>0.45</v>
      </c>
      <c r="M61" s="292" t="n">
        <f aca="false">'GAS DAILY VOL DOWNLOAD'!M61-'GAS DAILY VOL DOWNLOAD'!$B61+$B61</f>
        <v>0.4</v>
      </c>
      <c r="N61" s="292" t="n">
        <f aca="false">'GAS DAILY VOL DOWNLOAD'!N61-'GAS DAILY VOL DOWNLOAD'!$B61+$B61</f>
        <v>0.45</v>
      </c>
      <c r="O61" s="292" t="n">
        <f aca="false">'GAS DAILY VOL DOWNLOAD'!O61-'GAS DAILY VOL DOWNLOAD'!$B61+$B61</f>
        <v>0.55</v>
      </c>
      <c r="P61" s="292" t="n">
        <f aca="false">'GAS DAILY VOL DOWNLOAD'!P61-'GAS DAILY VOL DOWNLOAD'!$B61+$B61</f>
        <v>0.55</v>
      </c>
      <c r="Q61" s="292" t="n">
        <f aca="false">'GAS DAILY VOL DOWNLOAD'!Q61-'GAS DAILY VOL DOWNLOAD'!$B61+$B61</f>
        <v>0.4</v>
      </c>
    </row>
    <row r="62" customFormat="false" ht="12.75" hidden="false" customHeight="false" outlineLevel="0" collapsed="false">
      <c r="A62" s="317" t="n">
        <v>38838</v>
      </c>
      <c r="B62" s="292" t="n">
        <f aca="false">STRADDLES!L84</f>
        <v>0.45</v>
      </c>
      <c r="C62" s="292" t="n">
        <f aca="false">'GAS DAILY VOL DOWNLOAD'!C62-'GAS DAILY VOL DOWNLOAD'!$B62+$B62</f>
        <v>0.5</v>
      </c>
      <c r="D62" s="292" t="n">
        <f aca="false">'GAS DAILY VOL DOWNLOAD'!D62-'GAS DAILY VOL DOWNLOAD'!$B62+$B62</f>
        <v>0.4</v>
      </c>
      <c r="E62" s="292" t="n">
        <f aca="false">'GAS DAILY VOL DOWNLOAD'!E62-'GAS DAILY VOL DOWNLOAD'!$B62+$B62</f>
        <v>0.4</v>
      </c>
      <c r="F62" s="292" t="n">
        <f aca="false">'GAS DAILY VOL DOWNLOAD'!F62-'GAS DAILY VOL DOWNLOAD'!$B62+$B62</f>
        <v>0.45</v>
      </c>
      <c r="G62" s="292" t="n">
        <f aca="false">'GAS DAILY VOL DOWNLOAD'!G62-'GAS DAILY VOL DOWNLOAD'!$B62+$B62</f>
        <v>0.5</v>
      </c>
      <c r="H62" s="292" t="n">
        <f aca="false">'GAS DAILY VOL DOWNLOAD'!H62-'GAS DAILY VOL DOWNLOAD'!$B62+$B62</f>
        <v>0.45</v>
      </c>
      <c r="I62" s="292" t="n">
        <f aca="false">'GAS DAILY VOL DOWNLOAD'!I62-'GAS DAILY VOL DOWNLOAD'!$B62+$B62</f>
        <v>0.4</v>
      </c>
      <c r="J62" s="292" t="n">
        <f aca="false">'GAS DAILY VOL DOWNLOAD'!J62-'GAS DAILY VOL DOWNLOAD'!$B62+$B62</f>
        <v>0.45</v>
      </c>
      <c r="K62" s="292" t="n">
        <f aca="false">'GAS DAILY VOL DOWNLOAD'!K62-'GAS DAILY VOL DOWNLOAD'!$B62+$B62</f>
        <v>0.45</v>
      </c>
      <c r="L62" s="292" t="n">
        <f aca="false">'GAS DAILY VOL DOWNLOAD'!L62-'GAS DAILY VOL DOWNLOAD'!$B62+$B62</f>
        <v>0.5</v>
      </c>
      <c r="M62" s="292" t="n">
        <f aca="false">'GAS DAILY VOL DOWNLOAD'!M62-'GAS DAILY VOL DOWNLOAD'!$B62+$B62</f>
        <v>0.45</v>
      </c>
      <c r="N62" s="292" t="n">
        <f aca="false">'GAS DAILY VOL DOWNLOAD'!N62-'GAS DAILY VOL DOWNLOAD'!$B62+$B62</f>
        <v>0.5</v>
      </c>
      <c r="O62" s="292" t="n">
        <f aca="false">'GAS DAILY VOL DOWNLOAD'!O62-'GAS DAILY VOL DOWNLOAD'!$B62+$B62</f>
        <v>0.6</v>
      </c>
      <c r="P62" s="292" t="n">
        <f aca="false">'GAS DAILY VOL DOWNLOAD'!P62-'GAS DAILY VOL DOWNLOAD'!$B62+$B62</f>
        <v>0.5</v>
      </c>
      <c r="Q62" s="292" t="n">
        <f aca="false">'GAS DAILY VOL DOWNLOAD'!Q62-'GAS DAILY VOL DOWNLOAD'!$B62+$B62</f>
        <v>0.45</v>
      </c>
    </row>
    <row r="63" customFormat="false" ht="12.75" hidden="false" customHeight="false" outlineLevel="0" collapsed="false">
      <c r="A63" s="317" t="n">
        <v>38869</v>
      </c>
      <c r="B63" s="292" t="n">
        <f aca="false">STRADDLES!L85</f>
        <v>0.45</v>
      </c>
      <c r="C63" s="292" t="n">
        <f aca="false">'GAS DAILY VOL DOWNLOAD'!C63-'GAS DAILY VOL DOWNLOAD'!$B63+$B63</f>
        <v>0.5</v>
      </c>
      <c r="D63" s="292" t="n">
        <f aca="false">'GAS DAILY VOL DOWNLOAD'!D63-'GAS DAILY VOL DOWNLOAD'!$B63+$B63</f>
        <v>0.4</v>
      </c>
      <c r="E63" s="292" t="n">
        <f aca="false">'GAS DAILY VOL DOWNLOAD'!E63-'GAS DAILY VOL DOWNLOAD'!$B63+$B63</f>
        <v>0.5</v>
      </c>
      <c r="F63" s="292" t="n">
        <f aca="false">'GAS DAILY VOL DOWNLOAD'!F63-'GAS DAILY VOL DOWNLOAD'!$B63+$B63</f>
        <v>0.45</v>
      </c>
      <c r="G63" s="292" t="n">
        <f aca="false">'GAS DAILY VOL DOWNLOAD'!G63-'GAS DAILY VOL DOWNLOAD'!$B63+$B63</f>
        <v>0.5</v>
      </c>
      <c r="H63" s="292" t="n">
        <f aca="false">'GAS DAILY VOL DOWNLOAD'!H63-'GAS DAILY VOL DOWNLOAD'!$B63+$B63</f>
        <v>0.5</v>
      </c>
      <c r="I63" s="292" t="n">
        <f aca="false">'GAS DAILY VOL DOWNLOAD'!I63-'GAS DAILY VOL DOWNLOAD'!$B63+$B63</f>
        <v>0.5</v>
      </c>
      <c r="J63" s="292" t="n">
        <f aca="false">'GAS DAILY VOL DOWNLOAD'!J63-'GAS DAILY VOL DOWNLOAD'!$B63+$B63</f>
        <v>0.5</v>
      </c>
      <c r="K63" s="292" t="n">
        <f aca="false">'GAS DAILY VOL DOWNLOAD'!K63-'GAS DAILY VOL DOWNLOAD'!$B63+$B63</f>
        <v>0.45</v>
      </c>
      <c r="L63" s="292" t="n">
        <f aca="false">'GAS DAILY VOL DOWNLOAD'!L63-'GAS DAILY VOL DOWNLOAD'!$B63+$B63</f>
        <v>0.5</v>
      </c>
      <c r="M63" s="292" t="n">
        <f aca="false">'GAS DAILY VOL DOWNLOAD'!M63-'GAS DAILY VOL DOWNLOAD'!$B63+$B63</f>
        <v>0.45</v>
      </c>
      <c r="N63" s="292" t="n">
        <f aca="false">'GAS DAILY VOL DOWNLOAD'!N63-'GAS DAILY VOL DOWNLOAD'!$B63+$B63</f>
        <v>0.5</v>
      </c>
      <c r="O63" s="292" t="n">
        <f aca="false">'GAS DAILY VOL DOWNLOAD'!O63-'GAS DAILY VOL DOWNLOAD'!$B63+$B63</f>
        <v>0.6</v>
      </c>
      <c r="P63" s="292" t="n">
        <f aca="false">'GAS DAILY VOL DOWNLOAD'!P63-'GAS DAILY VOL DOWNLOAD'!$B63+$B63</f>
        <v>0.6</v>
      </c>
      <c r="Q63" s="292" t="n">
        <f aca="false">'GAS DAILY VOL DOWNLOAD'!Q63-'GAS DAILY VOL DOWNLOAD'!$B63+$B63</f>
        <v>0.45</v>
      </c>
    </row>
    <row r="64" customFormat="false" ht="12.75" hidden="false" customHeight="false" outlineLevel="0" collapsed="false">
      <c r="A64" s="317" t="n">
        <v>38899</v>
      </c>
      <c r="B64" s="292" t="n">
        <f aca="false">STRADDLES!L86</f>
        <v>0.5</v>
      </c>
      <c r="C64" s="292" t="n">
        <f aca="false">'GAS DAILY VOL DOWNLOAD'!C64-'GAS DAILY VOL DOWNLOAD'!$B64+$B64</f>
        <v>0.5</v>
      </c>
      <c r="D64" s="292" t="n">
        <f aca="false">'GAS DAILY VOL DOWNLOAD'!D64-'GAS DAILY VOL DOWNLOAD'!$B64+$B64</f>
        <v>0.4</v>
      </c>
      <c r="E64" s="292" t="n">
        <f aca="false">'GAS DAILY VOL DOWNLOAD'!E64-'GAS DAILY VOL DOWNLOAD'!$B64+$B64</f>
        <v>0.5</v>
      </c>
      <c r="F64" s="292" t="n">
        <f aca="false">'GAS DAILY VOL DOWNLOAD'!F64-'GAS DAILY VOL DOWNLOAD'!$B64+$B64</f>
        <v>0.5</v>
      </c>
      <c r="G64" s="292" t="n">
        <f aca="false">'GAS DAILY VOL DOWNLOAD'!G64-'GAS DAILY VOL DOWNLOAD'!$B64+$B64</f>
        <v>0.5</v>
      </c>
      <c r="H64" s="292" t="n">
        <f aca="false">'GAS DAILY VOL DOWNLOAD'!H64-'GAS DAILY VOL DOWNLOAD'!$B64+$B64</f>
        <v>0.5</v>
      </c>
      <c r="I64" s="292" t="n">
        <f aca="false">'GAS DAILY VOL DOWNLOAD'!I64-'GAS DAILY VOL DOWNLOAD'!$B64+$B64</f>
        <v>0.5</v>
      </c>
      <c r="J64" s="292" t="n">
        <f aca="false">'GAS DAILY VOL DOWNLOAD'!J64-'GAS DAILY VOL DOWNLOAD'!$B64+$B64</f>
        <v>0.5</v>
      </c>
      <c r="K64" s="292" t="n">
        <f aca="false">'GAS DAILY VOL DOWNLOAD'!K64-'GAS DAILY VOL DOWNLOAD'!$B64+$B64</f>
        <v>0.5</v>
      </c>
      <c r="L64" s="292" t="n">
        <f aca="false">'GAS DAILY VOL DOWNLOAD'!L64-'GAS DAILY VOL DOWNLOAD'!$B64+$B64</f>
        <v>0.55</v>
      </c>
      <c r="M64" s="292" t="n">
        <f aca="false">'GAS DAILY VOL DOWNLOAD'!M64-'GAS DAILY VOL DOWNLOAD'!$B64+$B64</f>
        <v>0.5</v>
      </c>
      <c r="N64" s="292" t="n">
        <f aca="false">'GAS DAILY VOL DOWNLOAD'!N64-'GAS DAILY VOL DOWNLOAD'!$B64+$B64</f>
        <v>0.5</v>
      </c>
      <c r="O64" s="292" t="n">
        <f aca="false">'GAS DAILY VOL DOWNLOAD'!O64-'GAS DAILY VOL DOWNLOAD'!$B64+$B64</f>
        <v>0.65</v>
      </c>
      <c r="P64" s="292" t="n">
        <f aca="false">'GAS DAILY VOL DOWNLOAD'!P64-'GAS DAILY VOL DOWNLOAD'!$B64+$B64</f>
        <v>0.6</v>
      </c>
      <c r="Q64" s="292" t="n">
        <f aca="false">'GAS DAILY VOL DOWNLOAD'!Q64-'GAS DAILY VOL DOWNLOAD'!$B64+$B64</f>
        <v>0.5</v>
      </c>
    </row>
    <row r="65" customFormat="false" ht="12.75" hidden="false" customHeight="false" outlineLevel="0" collapsed="false">
      <c r="A65" s="317" t="n">
        <v>38930</v>
      </c>
      <c r="B65" s="292" t="n">
        <f aca="false">STRADDLES!L87</f>
        <v>0.55</v>
      </c>
      <c r="C65" s="292" t="n">
        <f aca="false">'GAS DAILY VOL DOWNLOAD'!C65-'GAS DAILY VOL DOWNLOAD'!$B65+$B65</f>
        <v>0.55</v>
      </c>
      <c r="D65" s="292" t="n">
        <f aca="false">'GAS DAILY VOL DOWNLOAD'!D65-'GAS DAILY VOL DOWNLOAD'!$B65+$B65</f>
        <v>0.5</v>
      </c>
      <c r="E65" s="292" t="n">
        <f aca="false">'GAS DAILY VOL DOWNLOAD'!E65-'GAS DAILY VOL DOWNLOAD'!$B65+$B65</f>
        <v>0.6</v>
      </c>
      <c r="F65" s="292" t="n">
        <f aca="false">'GAS DAILY VOL DOWNLOAD'!F65-'GAS DAILY VOL DOWNLOAD'!$B65+$B65</f>
        <v>0.55</v>
      </c>
      <c r="G65" s="292" t="n">
        <f aca="false">'GAS DAILY VOL DOWNLOAD'!G65-'GAS DAILY VOL DOWNLOAD'!$B65+$B65</f>
        <v>0.6</v>
      </c>
      <c r="H65" s="292" t="n">
        <f aca="false">'GAS DAILY VOL DOWNLOAD'!H65-'GAS DAILY VOL DOWNLOAD'!$B65+$B65</f>
        <v>0.55</v>
      </c>
      <c r="I65" s="292" t="n">
        <f aca="false">'GAS DAILY VOL DOWNLOAD'!I65-'GAS DAILY VOL DOWNLOAD'!$B65+$B65</f>
        <v>0.6</v>
      </c>
      <c r="J65" s="292" t="n">
        <f aca="false">'GAS DAILY VOL DOWNLOAD'!J65-'GAS DAILY VOL DOWNLOAD'!$B65+$B65</f>
        <v>0.45</v>
      </c>
      <c r="K65" s="292" t="n">
        <f aca="false">'GAS DAILY VOL DOWNLOAD'!K65-'GAS DAILY VOL DOWNLOAD'!$B65+$B65</f>
        <v>0.55</v>
      </c>
      <c r="L65" s="292" t="n">
        <f aca="false">'GAS DAILY VOL DOWNLOAD'!L65-'GAS DAILY VOL DOWNLOAD'!$B65+$B65</f>
        <v>0.6</v>
      </c>
      <c r="M65" s="292" t="n">
        <f aca="false">'GAS DAILY VOL DOWNLOAD'!M65-'GAS DAILY VOL DOWNLOAD'!$B65+$B65</f>
        <v>0.55</v>
      </c>
      <c r="N65" s="292" t="n">
        <f aca="false">'GAS DAILY VOL DOWNLOAD'!N65-'GAS DAILY VOL DOWNLOAD'!$B65+$B65</f>
        <v>0.6</v>
      </c>
      <c r="O65" s="292" t="n">
        <f aca="false">'GAS DAILY VOL DOWNLOAD'!O65-'GAS DAILY VOL DOWNLOAD'!$B65+$B65</f>
        <v>0.7</v>
      </c>
      <c r="P65" s="292" t="n">
        <f aca="false">'GAS DAILY VOL DOWNLOAD'!P65-'GAS DAILY VOL DOWNLOAD'!$B65+$B65</f>
        <v>0.7</v>
      </c>
      <c r="Q65" s="292" t="n">
        <f aca="false">'GAS DAILY VOL DOWNLOAD'!Q65-'GAS DAILY VOL DOWNLOAD'!$B65+$B65</f>
        <v>0.55</v>
      </c>
    </row>
    <row r="66" customFormat="false" ht="12.75" hidden="false" customHeight="false" outlineLevel="0" collapsed="false">
      <c r="A66" s="317" t="n">
        <v>38961</v>
      </c>
      <c r="B66" s="292" t="n">
        <f aca="false">STRADDLES!L88</f>
        <v>0.55</v>
      </c>
      <c r="C66" s="292" t="n">
        <f aca="false">'GAS DAILY VOL DOWNLOAD'!C66-'GAS DAILY VOL DOWNLOAD'!$B66+$B66</f>
        <v>0.55</v>
      </c>
      <c r="D66" s="292" t="n">
        <f aca="false">'GAS DAILY VOL DOWNLOAD'!D66-'GAS DAILY VOL DOWNLOAD'!$B66+$B66</f>
        <v>0.55</v>
      </c>
      <c r="E66" s="292" t="n">
        <f aca="false">'GAS DAILY VOL DOWNLOAD'!E66-'GAS DAILY VOL DOWNLOAD'!$B66+$B66</f>
        <v>0.55</v>
      </c>
      <c r="F66" s="292" t="n">
        <f aca="false">'GAS DAILY VOL DOWNLOAD'!F66-'GAS DAILY VOL DOWNLOAD'!$B66+$B66</f>
        <v>0.55</v>
      </c>
      <c r="G66" s="292" t="n">
        <f aca="false">'GAS DAILY VOL DOWNLOAD'!G66-'GAS DAILY VOL DOWNLOAD'!$B66+$B66</f>
        <v>0.6</v>
      </c>
      <c r="H66" s="292" t="n">
        <f aca="false">'GAS DAILY VOL DOWNLOAD'!H66-'GAS DAILY VOL DOWNLOAD'!$B66+$B66</f>
        <v>0.6</v>
      </c>
      <c r="I66" s="292" t="n">
        <f aca="false">'GAS DAILY VOL DOWNLOAD'!I66-'GAS DAILY VOL DOWNLOAD'!$B66+$B66</f>
        <v>0.55</v>
      </c>
      <c r="J66" s="292" t="n">
        <f aca="false">'GAS DAILY VOL DOWNLOAD'!J66-'GAS DAILY VOL DOWNLOAD'!$B66+$B66</f>
        <v>0.5</v>
      </c>
      <c r="K66" s="292" t="n">
        <f aca="false">'GAS DAILY VOL DOWNLOAD'!K66-'GAS DAILY VOL DOWNLOAD'!$B66+$B66</f>
        <v>0.55</v>
      </c>
      <c r="L66" s="292" t="n">
        <f aca="false">'GAS DAILY VOL DOWNLOAD'!L66-'GAS DAILY VOL DOWNLOAD'!$B66+$B66</f>
        <v>0.6</v>
      </c>
      <c r="M66" s="292" t="n">
        <f aca="false">'GAS DAILY VOL DOWNLOAD'!M66-'GAS DAILY VOL DOWNLOAD'!$B66+$B66</f>
        <v>0.55</v>
      </c>
      <c r="N66" s="292" t="n">
        <f aca="false">'GAS DAILY VOL DOWNLOAD'!N66-'GAS DAILY VOL DOWNLOAD'!$B66+$B66</f>
        <v>0.6</v>
      </c>
      <c r="O66" s="292" t="n">
        <f aca="false">'GAS DAILY VOL DOWNLOAD'!O66-'GAS DAILY VOL DOWNLOAD'!$B66+$B66</f>
        <v>0.7</v>
      </c>
      <c r="P66" s="292" t="n">
        <f aca="false">'GAS DAILY VOL DOWNLOAD'!P66-'GAS DAILY VOL DOWNLOAD'!$B66+$B66</f>
        <v>0.65</v>
      </c>
      <c r="Q66" s="292" t="n">
        <f aca="false">'GAS DAILY VOL DOWNLOAD'!Q66-'GAS DAILY VOL DOWNLOAD'!$B66+$B66</f>
        <v>0.55</v>
      </c>
    </row>
    <row r="67" customFormat="false" ht="12.75" hidden="false" customHeight="false" outlineLevel="0" collapsed="false">
      <c r="A67" s="317" t="n">
        <v>38991</v>
      </c>
      <c r="B67" s="292" t="n">
        <f aca="false">STRADDLES!L89</f>
        <v>0.6</v>
      </c>
      <c r="C67" s="292" t="n">
        <f aca="false">'GAS DAILY VOL DOWNLOAD'!C67-'GAS DAILY VOL DOWNLOAD'!$B67+$B67</f>
        <v>0.6</v>
      </c>
      <c r="D67" s="292" t="n">
        <f aca="false">'GAS DAILY VOL DOWNLOAD'!D67-'GAS DAILY VOL DOWNLOAD'!$B67+$B67</f>
        <v>0.55</v>
      </c>
      <c r="E67" s="292" t="n">
        <f aca="false">'GAS DAILY VOL DOWNLOAD'!E67-'GAS DAILY VOL DOWNLOAD'!$B67+$B67</f>
        <v>0.6</v>
      </c>
      <c r="F67" s="292" t="n">
        <f aca="false">'GAS DAILY VOL DOWNLOAD'!F67-'GAS DAILY VOL DOWNLOAD'!$B67+$B67</f>
        <v>0.6</v>
      </c>
      <c r="G67" s="292" t="n">
        <f aca="false">'GAS DAILY VOL DOWNLOAD'!G67-'GAS DAILY VOL DOWNLOAD'!$B67+$B67</f>
        <v>0.65</v>
      </c>
      <c r="H67" s="292" t="n">
        <f aca="false">'GAS DAILY VOL DOWNLOAD'!H67-'GAS DAILY VOL DOWNLOAD'!$B67+$B67</f>
        <v>0.65</v>
      </c>
      <c r="I67" s="292" t="n">
        <f aca="false">'GAS DAILY VOL DOWNLOAD'!I67-'GAS DAILY VOL DOWNLOAD'!$B67+$B67</f>
        <v>0.6</v>
      </c>
      <c r="J67" s="292" t="n">
        <f aca="false">'GAS DAILY VOL DOWNLOAD'!J67-'GAS DAILY VOL DOWNLOAD'!$B67+$B67</f>
        <v>0.5</v>
      </c>
      <c r="K67" s="292" t="n">
        <f aca="false">'GAS DAILY VOL DOWNLOAD'!K67-'GAS DAILY VOL DOWNLOAD'!$B67+$B67</f>
        <v>0.6</v>
      </c>
      <c r="L67" s="292" t="n">
        <f aca="false">'GAS DAILY VOL DOWNLOAD'!L67-'GAS DAILY VOL DOWNLOAD'!$B67+$B67</f>
        <v>0.65</v>
      </c>
      <c r="M67" s="292" t="n">
        <f aca="false">'GAS DAILY VOL DOWNLOAD'!M67-'GAS DAILY VOL DOWNLOAD'!$B67+$B67</f>
        <v>0.6</v>
      </c>
      <c r="N67" s="292" t="n">
        <f aca="false">'GAS DAILY VOL DOWNLOAD'!N67-'GAS DAILY VOL DOWNLOAD'!$B67+$B67</f>
        <v>0.65</v>
      </c>
      <c r="O67" s="292" t="n">
        <f aca="false">'GAS DAILY VOL DOWNLOAD'!O67-'GAS DAILY VOL DOWNLOAD'!$B67+$B67</f>
        <v>0.75</v>
      </c>
      <c r="P67" s="292" t="n">
        <f aca="false">'GAS DAILY VOL DOWNLOAD'!P67-'GAS DAILY VOL DOWNLOAD'!$B67+$B67</f>
        <v>0.7</v>
      </c>
      <c r="Q67" s="292" t="n">
        <f aca="false">'GAS DAILY VOL DOWNLOAD'!Q67-'GAS DAILY VOL DOWNLOAD'!$B67+$B67</f>
        <v>0.6</v>
      </c>
    </row>
    <row r="68" customFormat="false" ht="12.75" hidden="false" customHeight="false" outlineLevel="0" collapsed="false">
      <c r="A68" s="317" t="n">
        <v>39022</v>
      </c>
      <c r="B68" s="292" t="n">
        <f aca="false">STRADDLES!L90</f>
        <v>0.8</v>
      </c>
      <c r="C68" s="292" t="n">
        <f aca="false">'GAS DAILY VOL DOWNLOAD'!C68-'GAS DAILY VOL DOWNLOAD'!$B68+$B68</f>
        <v>0.85</v>
      </c>
      <c r="D68" s="292" t="n">
        <f aca="false">'GAS DAILY VOL DOWNLOAD'!D68-'GAS DAILY VOL DOWNLOAD'!$B68+$B68</f>
        <v>0.8</v>
      </c>
      <c r="E68" s="292" t="n">
        <f aca="false">'GAS DAILY VOL DOWNLOAD'!E68-'GAS DAILY VOL DOWNLOAD'!$B68+$B68</f>
        <v>0.8</v>
      </c>
      <c r="F68" s="292" t="n">
        <f aca="false">'GAS DAILY VOL DOWNLOAD'!F68-'GAS DAILY VOL DOWNLOAD'!$B68+$B68</f>
        <v>0.9</v>
      </c>
      <c r="G68" s="292" t="n">
        <f aca="false">'GAS DAILY VOL DOWNLOAD'!G68-'GAS DAILY VOL DOWNLOAD'!$B68+$B68</f>
        <v>0.95</v>
      </c>
      <c r="H68" s="292" t="n">
        <f aca="false">'GAS DAILY VOL DOWNLOAD'!H68-'GAS DAILY VOL DOWNLOAD'!$B68+$B68</f>
        <v>0.85</v>
      </c>
      <c r="I68" s="292" t="n">
        <f aca="false">'GAS DAILY VOL DOWNLOAD'!I68-'GAS DAILY VOL DOWNLOAD'!$B68+$B68</f>
        <v>0.8</v>
      </c>
      <c r="J68" s="292" t="n">
        <f aca="false">'GAS DAILY VOL DOWNLOAD'!J68-'GAS DAILY VOL DOWNLOAD'!$B68+$B68</f>
        <v>0.95</v>
      </c>
      <c r="K68" s="292" t="n">
        <f aca="false">'GAS DAILY VOL DOWNLOAD'!K68-'GAS DAILY VOL DOWNLOAD'!$B68+$B68</f>
        <v>0.8</v>
      </c>
      <c r="L68" s="292" t="n">
        <f aca="false">'GAS DAILY VOL DOWNLOAD'!L68-'GAS DAILY VOL DOWNLOAD'!$B68+$B68</f>
        <v>0.8</v>
      </c>
      <c r="M68" s="292" t="n">
        <f aca="false">'GAS DAILY VOL DOWNLOAD'!M68-'GAS DAILY VOL DOWNLOAD'!$B68+$B68</f>
        <v>0.8</v>
      </c>
      <c r="N68" s="292" t="n">
        <f aca="false">'GAS DAILY VOL DOWNLOAD'!N68-'GAS DAILY VOL DOWNLOAD'!$B68+$B68</f>
        <v>0.95</v>
      </c>
      <c r="O68" s="292" t="n">
        <f aca="false">'GAS DAILY VOL DOWNLOAD'!O68-'GAS DAILY VOL DOWNLOAD'!$B68+$B68</f>
        <v>0.95</v>
      </c>
      <c r="P68" s="292" t="n">
        <f aca="false">'GAS DAILY VOL DOWNLOAD'!P68-'GAS DAILY VOL DOWNLOAD'!$B68+$B68</f>
        <v>0.9</v>
      </c>
      <c r="Q68" s="292" t="n">
        <f aca="false">'GAS DAILY VOL DOWNLOAD'!Q68-'GAS DAILY VOL DOWNLOAD'!$B68+$B68</f>
        <v>0.8</v>
      </c>
    </row>
    <row r="69" customFormat="false" ht="12.75" hidden="false" customHeight="false" outlineLevel="0" collapsed="false">
      <c r="A69" s="317" t="n">
        <v>39052</v>
      </c>
      <c r="B69" s="292" t="n">
        <f aca="false">STRADDLES!L91</f>
        <v>1</v>
      </c>
      <c r="C69" s="292" t="n">
        <f aca="false">'GAS DAILY VOL DOWNLOAD'!C69-'GAS DAILY VOL DOWNLOAD'!$B69+$B69</f>
        <v>1.05</v>
      </c>
      <c r="D69" s="292" t="n">
        <f aca="false">'GAS DAILY VOL DOWNLOAD'!D69-'GAS DAILY VOL DOWNLOAD'!$B69+$B69</f>
        <v>1</v>
      </c>
      <c r="E69" s="292" t="n">
        <f aca="false">'GAS DAILY VOL DOWNLOAD'!E69-'GAS DAILY VOL DOWNLOAD'!$B69+$B69</f>
        <v>1</v>
      </c>
      <c r="F69" s="292" t="n">
        <f aca="false">'GAS DAILY VOL DOWNLOAD'!F69-'GAS DAILY VOL DOWNLOAD'!$B69+$B69</f>
        <v>1.15</v>
      </c>
      <c r="G69" s="292" t="n">
        <f aca="false">'GAS DAILY VOL DOWNLOAD'!G69-'GAS DAILY VOL DOWNLOAD'!$B69+$B69</f>
        <v>1.25</v>
      </c>
      <c r="H69" s="292" t="n">
        <f aca="false">'GAS DAILY VOL DOWNLOAD'!H69-'GAS DAILY VOL DOWNLOAD'!$B69+$B69</f>
        <v>1.05</v>
      </c>
      <c r="I69" s="292" t="n">
        <f aca="false">'GAS DAILY VOL DOWNLOAD'!I69-'GAS DAILY VOL DOWNLOAD'!$B69+$B69</f>
        <v>1</v>
      </c>
      <c r="J69" s="292" t="n">
        <f aca="false">'GAS DAILY VOL DOWNLOAD'!J69-'GAS DAILY VOL DOWNLOAD'!$B69+$B69</f>
        <v>1.35</v>
      </c>
      <c r="K69" s="292" t="n">
        <f aca="false">'GAS DAILY VOL DOWNLOAD'!K69-'GAS DAILY VOL DOWNLOAD'!$B69+$B69</f>
        <v>1</v>
      </c>
      <c r="L69" s="292" t="n">
        <f aca="false">'GAS DAILY VOL DOWNLOAD'!L69-'GAS DAILY VOL DOWNLOAD'!$B69+$B69</f>
        <v>1.1</v>
      </c>
      <c r="M69" s="292" t="n">
        <f aca="false">'GAS DAILY VOL DOWNLOAD'!M69-'GAS DAILY VOL DOWNLOAD'!$B69+$B69</f>
        <v>1</v>
      </c>
      <c r="N69" s="292" t="n">
        <f aca="false">'GAS DAILY VOL DOWNLOAD'!N69-'GAS DAILY VOL DOWNLOAD'!$B69+$B69</f>
        <v>1.25</v>
      </c>
      <c r="O69" s="292" t="n">
        <f aca="false">'GAS DAILY VOL DOWNLOAD'!O69-'GAS DAILY VOL DOWNLOAD'!$B69+$B69</f>
        <v>1.15</v>
      </c>
      <c r="P69" s="292" t="n">
        <f aca="false">'GAS DAILY VOL DOWNLOAD'!P69-'GAS DAILY VOL DOWNLOAD'!$B69+$B69</f>
        <v>1.1</v>
      </c>
      <c r="Q69" s="292" t="n">
        <f aca="false">'GAS DAILY VOL DOWNLOAD'!Q69-'GAS DAILY VOL DOWNLOAD'!$B69+$B69</f>
        <v>1</v>
      </c>
    </row>
    <row r="70" customFormat="false" ht="12.75" hidden="false" customHeight="false" outlineLevel="0" collapsed="false">
      <c r="A70" s="317" t="n">
        <v>39083</v>
      </c>
      <c r="B70" s="292" t="n">
        <f aca="false">STRADDLES!L92</f>
        <v>1</v>
      </c>
      <c r="C70" s="292" t="n">
        <f aca="false">'GAS DAILY VOL DOWNLOAD'!C70-'GAS DAILY VOL DOWNLOAD'!$B70+$B70</f>
        <v>1.05</v>
      </c>
      <c r="D70" s="292" t="n">
        <f aca="false">'GAS DAILY VOL DOWNLOAD'!D70-'GAS DAILY VOL DOWNLOAD'!$B70+$B70</f>
        <v>1</v>
      </c>
      <c r="E70" s="292" t="n">
        <f aca="false">'GAS DAILY VOL DOWNLOAD'!E70-'GAS DAILY VOL DOWNLOAD'!$B70+$B70</f>
        <v>1</v>
      </c>
      <c r="F70" s="292" t="n">
        <f aca="false">'GAS DAILY VOL DOWNLOAD'!F70-'GAS DAILY VOL DOWNLOAD'!$B70+$B70</f>
        <v>1.15</v>
      </c>
      <c r="G70" s="292" t="n">
        <f aca="false">'GAS DAILY VOL DOWNLOAD'!G70-'GAS DAILY VOL DOWNLOAD'!$B70+$B70</f>
        <v>1.45</v>
      </c>
      <c r="H70" s="292" t="n">
        <f aca="false">'GAS DAILY VOL DOWNLOAD'!H70-'GAS DAILY VOL DOWNLOAD'!$B70+$B70</f>
        <v>1.05</v>
      </c>
      <c r="I70" s="292" t="n">
        <f aca="false">'GAS DAILY VOL DOWNLOAD'!I70-'GAS DAILY VOL DOWNLOAD'!$B70+$B70</f>
        <v>1</v>
      </c>
      <c r="J70" s="292" t="n">
        <f aca="false">'GAS DAILY VOL DOWNLOAD'!J70-'GAS DAILY VOL DOWNLOAD'!$B70+$B70</f>
        <v>1.35</v>
      </c>
      <c r="K70" s="292" t="n">
        <f aca="false">'GAS DAILY VOL DOWNLOAD'!K70-'GAS DAILY VOL DOWNLOAD'!$B70+$B70</f>
        <v>1</v>
      </c>
      <c r="L70" s="292" t="n">
        <f aca="false">'GAS DAILY VOL DOWNLOAD'!L70-'GAS DAILY VOL DOWNLOAD'!$B70+$B70</f>
        <v>1.1</v>
      </c>
      <c r="M70" s="292" t="n">
        <f aca="false">'GAS DAILY VOL DOWNLOAD'!M70-'GAS DAILY VOL DOWNLOAD'!$B70+$B70</f>
        <v>1</v>
      </c>
      <c r="N70" s="292" t="n">
        <f aca="false">'GAS DAILY VOL DOWNLOAD'!N70-'GAS DAILY VOL DOWNLOAD'!$B70+$B70</f>
        <v>1.45</v>
      </c>
      <c r="O70" s="292" t="n">
        <f aca="false">'GAS DAILY VOL DOWNLOAD'!O70-'GAS DAILY VOL DOWNLOAD'!$B70+$B70</f>
        <v>1.15</v>
      </c>
      <c r="P70" s="292" t="n">
        <f aca="false">'GAS DAILY VOL DOWNLOAD'!P70-'GAS DAILY VOL DOWNLOAD'!$B70+$B70</f>
        <v>1.1</v>
      </c>
      <c r="Q70" s="292" t="n">
        <f aca="false">'GAS DAILY VOL DOWNLOAD'!Q70-'GAS DAILY VOL DOWNLOAD'!$B70+$B70</f>
        <v>1</v>
      </c>
    </row>
    <row r="71" customFormat="false" ht="12.75" hidden="false" customHeight="false" outlineLevel="0" collapsed="false">
      <c r="A71" s="317" t="n">
        <v>39114</v>
      </c>
      <c r="B71" s="292" t="n">
        <f aca="false">STRADDLES!L93</f>
        <v>1</v>
      </c>
      <c r="C71" s="292" t="n">
        <f aca="false">'GAS DAILY VOL DOWNLOAD'!C71-'GAS DAILY VOL DOWNLOAD'!$B71+$B71</f>
        <v>1.05</v>
      </c>
      <c r="D71" s="292" t="n">
        <f aca="false">'GAS DAILY VOL DOWNLOAD'!D71-'GAS DAILY VOL DOWNLOAD'!$B71+$B71</f>
        <v>1</v>
      </c>
      <c r="E71" s="292" t="n">
        <f aca="false">'GAS DAILY VOL DOWNLOAD'!E71-'GAS DAILY VOL DOWNLOAD'!$B71+$B71</f>
        <v>1</v>
      </c>
      <c r="F71" s="292" t="n">
        <f aca="false">'GAS DAILY VOL DOWNLOAD'!F71-'GAS DAILY VOL DOWNLOAD'!$B71+$B71</f>
        <v>1.15</v>
      </c>
      <c r="G71" s="292" t="n">
        <f aca="false">'GAS DAILY VOL DOWNLOAD'!G71-'GAS DAILY VOL DOWNLOAD'!$B71+$B71</f>
        <v>1.45</v>
      </c>
      <c r="H71" s="292" t="n">
        <f aca="false">'GAS DAILY VOL DOWNLOAD'!H71-'GAS DAILY VOL DOWNLOAD'!$B71+$B71</f>
        <v>1.05</v>
      </c>
      <c r="I71" s="292" t="n">
        <f aca="false">'GAS DAILY VOL DOWNLOAD'!I71-'GAS DAILY VOL DOWNLOAD'!$B71+$B71</f>
        <v>1</v>
      </c>
      <c r="J71" s="292" t="n">
        <f aca="false">'GAS DAILY VOL DOWNLOAD'!J71-'GAS DAILY VOL DOWNLOAD'!$B71+$B71</f>
        <v>1.35</v>
      </c>
      <c r="K71" s="292" t="n">
        <f aca="false">'GAS DAILY VOL DOWNLOAD'!K71-'GAS DAILY VOL DOWNLOAD'!$B71+$B71</f>
        <v>1</v>
      </c>
      <c r="L71" s="292" t="n">
        <f aca="false">'GAS DAILY VOL DOWNLOAD'!L71-'GAS DAILY VOL DOWNLOAD'!$B71+$B71</f>
        <v>1.1</v>
      </c>
      <c r="M71" s="292" t="n">
        <f aca="false">'GAS DAILY VOL DOWNLOAD'!M71-'GAS DAILY VOL DOWNLOAD'!$B71+$B71</f>
        <v>1</v>
      </c>
      <c r="N71" s="292" t="n">
        <f aca="false">'GAS DAILY VOL DOWNLOAD'!N71-'GAS DAILY VOL DOWNLOAD'!$B71+$B71</f>
        <v>1.45</v>
      </c>
      <c r="O71" s="292" t="n">
        <f aca="false">'GAS DAILY VOL DOWNLOAD'!O71-'GAS DAILY VOL DOWNLOAD'!$B71+$B71</f>
        <v>1.15</v>
      </c>
      <c r="P71" s="292" t="n">
        <f aca="false">'GAS DAILY VOL DOWNLOAD'!P71-'GAS DAILY VOL DOWNLOAD'!$B71+$B71</f>
        <v>1.1</v>
      </c>
      <c r="Q71" s="292" t="n">
        <f aca="false">'GAS DAILY VOL DOWNLOAD'!Q71-'GAS DAILY VOL DOWNLOAD'!$B71+$B71</f>
        <v>1</v>
      </c>
    </row>
    <row r="72" customFormat="false" ht="12.75" hidden="false" customHeight="false" outlineLevel="0" collapsed="false">
      <c r="A72" s="317" t="n">
        <v>39142</v>
      </c>
      <c r="B72" s="292" t="n">
        <f aca="false">STRADDLES!L94</f>
        <v>0.75</v>
      </c>
      <c r="C72" s="292" t="n">
        <f aca="false">'GAS DAILY VOL DOWNLOAD'!C72-'GAS DAILY VOL DOWNLOAD'!$B72+$B72</f>
        <v>0.8</v>
      </c>
      <c r="D72" s="292" t="n">
        <f aca="false">'GAS DAILY VOL DOWNLOAD'!D72-'GAS DAILY VOL DOWNLOAD'!$B72+$B72</f>
        <v>0.75</v>
      </c>
      <c r="E72" s="292" t="n">
        <f aca="false">'GAS DAILY VOL DOWNLOAD'!E72-'GAS DAILY VOL DOWNLOAD'!$B72+$B72</f>
        <v>0.75</v>
      </c>
      <c r="F72" s="292" t="n">
        <f aca="false">'GAS DAILY VOL DOWNLOAD'!F72-'GAS DAILY VOL DOWNLOAD'!$B72+$B72</f>
        <v>0.85</v>
      </c>
      <c r="G72" s="292" t="n">
        <f aca="false">'GAS DAILY VOL DOWNLOAD'!G72-'GAS DAILY VOL DOWNLOAD'!$B72+$B72</f>
        <v>1</v>
      </c>
      <c r="H72" s="292" t="n">
        <f aca="false">'GAS DAILY VOL DOWNLOAD'!H72-'GAS DAILY VOL DOWNLOAD'!$B72+$B72</f>
        <v>0.75</v>
      </c>
      <c r="I72" s="292" t="n">
        <f aca="false">'GAS DAILY VOL DOWNLOAD'!I72-'GAS DAILY VOL DOWNLOAD'!$B72+$B72</f>
        <v>0.75</v>
      </c>
      <c r="J72" s="292" t="n">
        <f aca="false">'GAS DAILY VOL DOWNLOAD'!J72-'GAS DAILY VOL DOWNLOAD'!$B72+$B72</f>
        <v>0.95</v>
      </c>
      <c r="K72" s="292" t="n">
        <f aca="false">'GAS DAILY VOL DOWNLOAD'!K72-'GAS DAILY VOL DOWNLOAD'!$B72+$B72</f>
        <v>0.75</v>
      </c>
      <c r="L72" s="292" t="n">
        <f aca="false">'GAS DAILY VOL DOWNLOAD'!L72-'GAS DAILY VOL DOWNLOAD'!$B72+$B72</f>
        <v>0.75</v>
      </c>
      <c r="M72" s="292" t="n">
        <f aca="false">'GAS DAILY VOL DOWNLOAD'!M72-'GAS DAILY VOL DOWNLOAD'!$B72+$B72</f>
        <v>0.75</v>
      </c>
      <c r="N72" s="292" t="n">
        <f aca="false">'GAS DAILY VOL DOWNLOAD'!N72-'GAS DAILY VOL DOWNLOAD'!$B72+$B72</f>
        <v>1</v>
      </c>
      <c r="O72" s="292" t="n">
        <f aca="false">'GAS DAILY VOL DOWNLOAD'!O72-'GAS DAILY VOL DOWNLOAD'!$B72+$B72</f>
        <v>0.9</v>
      </c>
      <c r="P72" s="292" t="n">
        <f aca="false">'GAS DAILY VOL DOWNLOAD'!P72-'GAS DAILY VOL DOWNLOAD'!$B72+$B72</f>
        <v>0.85</v>
      </c>
      <c r="Q72" s="292" t="n">
        <f aca="false">'GAS DAILY VOL DOWNLOAD'!Q72-'GAS DAILY VOL DOWNLOAD'!$B72+$B72</f>
        <v>0.75</v>
      </c>
    </row>
    <row r="73" customFormat="false" ht="12.75" hidden="false" customHeight="false" outlineLevel="0" collapsed="false">
      <c r="A73" s="317" t="n">
        <v>39173</v>
      </c>
      <c r="B73" s="292" t="n">
        <f aca="false">STRADDLES!L95</f>
        <v>0.4</v>
      </c>
      <c r="C73" s="292" t="n">
        <f aca="false">'GAS DAILY VOL DOWNLOAD'!C73-'GAS DAILY VOL DOWNLOAD'!$B73+$B73</f>
        <v>0.45</v>
      </c>
      <c r="D73" s="292" t="n">
        <f aca="false">'GAS DAILY VOL DOWNLOAD'!D73-'GAS DAILY VOL DOWNLOAD'!$B73+$B73</f>
        <v>0.4</v>
      </c>
      <c r="E73" s="292" t="n">
        <f aca="false">'GAS DAILY VOL DOWNLOAD'!E73-'GAS DAILY VOL DOWNLOAD'!$B73+$B73</f>
        <v>0.45</v>
      </c>
      <c r="F73" s="292" t="n">
        <f aca="false">'GAS DAILY VOL DOWNLOAD'!F73-'GAS DAILY VOL DOWNLOAD'!$B73+$B73</f>
        <v>0.45</v>
      </c>
      <c r="G73" s="292" t="n">
        <f aca="false">'GAS DAILY VOL DOWNLOAD'!G73-'GAS DAILY VOL DOWNLOAD'!$B73+$B73</f>
        <v>0.45</v>
      </c>
      <c r="H73" s="292" t="n">
        <f aca="false">'GAS DAILY VOL DOWNLOAD'!H73-'GAS DAILY VOL DOWNLOAD'!$B73+$B73</f>
        <v>0.45</v>
      </c>
      <c r="I73" s="292" t="n">
        <f aca="false">'GAS DAILY VOL DOWNLOAD'!I73-'GAS DAILY VOL DOWNLOAD'!$B73+$B73</f>
        <v>0.45</v>
      </c>
      <c r="J73" s="292" t="n">
        <f aca="false">'GAS DAILY VOL DOWNLOAD'!J73-'GAS DAILY VOL DOWNLOAD'!$B73+$B73</f>
        <v>0.5</v>
      </c>
      <c r="K73" s="292" t="n">
        <f aca="false">'GAS DAILY VOL DOWNLOAD'!K73-'GAS DAILY VOL DOWNLOAD'!$B73+$B73</f>
        <v>0.4</v>
      </c>
      <c r="L73" s="292" t="n">
        <f aca="false">'GAS DAILY VOL DOWNLOAD'!L73-'GAS DAILY VOL DOWNLOAD'!$B73+$B73</f>
        <v>0.45</v>
      </c>
      <c r="M73" s="292" t="n">
        <f aca="false">'GAS DAILY VOL DOWNLOAD'!M73-'GAS DAILY VOL DOWNLOAD'!$B73+$B73</f>
        <v>0.4</v>
      </c>
      <c r="N73" s="292" t="n">
        <f aca="false">'GAS DAILY VOL DOWNLOAD'!N73-'GAS DAILY VOL DOWNLOAD'!$B73+$B73</f>
        <v>0.45</v>
      </c>
      <c r="O73" s="292" t="n">
        <f aca="false">'GAS DAILY VOL DOWNLOAD'!O73-'GAS DAILY VOL DOWNLOAD'!$B73+$B73</f>
        <v>0.55</v>
      </c>
      <c r="P73" s="292" t="n">
        <f aca="false">'GAS DAILY VOL DOWNLOAD'!P73-'GAS DAILY VOL DOWNLOAD'!$B73+$B73</f>
        <v>0.55</v>
      </c>
      <c r="Q73" s="292" t="n">
        <f aca="false">'GAS DAILY VOL DOWNLOAD'!Q73-'GAS DAILY VOL DOWNLOAD'!$B73+$B73</f>
        <v>0.4</v>
      </c>
    </row>
    <row r="74" customFormat="false" ht="12.75" hidden="false" customHeight="false" outlineLevel="0" collapsed="false">
      <c r="A74" s="317" t="n">
        <v>39203</v>
      </c>
      <c r="B74" s="292" t="n">
        <f aca="false">STRADDLES!L96</f>
        <v>0.45</v>
      </c>
      <c r="C74" s="292" t="n">
        <f aca="false">'GAS DAILY VOL DOWNLOAD'!C74-'GAS DAILY VOL DOWNLOAD'!$B74+$B74</f>
        <v>0.5</v>
      </c>
      <c r="D74" s="292" t="n">
        <f aca="false">'GAS DAILY VOL DOWNLOAD'!D74-'GAS DAILY VOL DOWNLOAD'!$B74+$B74</f>
        <v>0.4</v>
      </c>
      <c r="E74" s="292" t="n">
        <f aca="false">'GAS DAILY VOL DOWNLOAD'!E74-'GAS DAILY VOL DOWNLOAD'!$B74+$B74</f>
        <v>0.4</v>
      </c>
      <c r="F74" s="292" t="n">
        <f aca="false">'GAS DAILY VOL DOWNLOAD'!F74-'GAS DAILY VOL DOWNLOAD'!$B74+$B74</f>
        <v>0.45</v>
      </c>
      <c r="G74" s="292" t="n">
        <f aca="false">'GAS DAILY VOL DOWNLOAD'!G74-'GAS DAILY VOL DOWNLOAD'!$B74+$B74</f>
        <v>0.5</v>
      </c>
      <c r="H74" s="292" t="n">
        <f aca="false">'GAS DAILY VOL DOWNLOAD'!H74-'GAS DAILY VOL DOWNLOAD'!$B74+$B74</f>
        <v>0.45</v>
      </c>
      <c r="I74" s="292" t="n">
        <f aca="false">'GAS DAILY VOL DOWNLOAD'!I74-'GAS DAILY VOL DOWNLOAD'!$B74+$B74</f>
        <v>0.4</v>
      </c>
      <c r="J74" s="292" t="n">
        <f aca="false">'GAS DAILY VOL DOWNLOAD'!J74-'GAS DAILY VOL DOWNLOAD'!$B74+$B74</f>
        <v>0.45</v>
      </c>
      <c r="K74" s="292" t="n">
        <f aca="false">'GAS DAILY VOL DOWNLOAD'!K74-'GAS DAILY VOL DOWNLOAD'!$B74+$B74</f>
        <v>0.45</v>
      </c>
      <c r="L74" s="292" t="n">
        <f aca="false">'GAS DAILY VOL DOWNLOAD'!L74-'GAS DAILY VOL DOWNLOAD'!$B74+$B74</f>
        <v>0.5</v>
      </c>
      <c r="M74" s="292" t="n">
        <f aca="false">'GAS DAILY VOL DOWNLOAD'!M74-'GAS DAILY VOL DOWNLOAD'!$B74+$B74</f>
        <v>0.45</v>
      </c>
      <c r="N74" s="292" t="n">
        <f aca="false">'GAS DAILY VOL DOWNLOAD'!N74-'GAS DAILY VOL DOWNLOAD'!$B74+$B74</f>
        <v>0.5</v>
      </c>
      <c r="O74" s="292" t="n">
        <f aca="false">'GAS DAILY VOL DOWNLOAD'!O74-'GAS DAILY VOL DOWNLOAD'!$B74+$B74</f>
        <v>0.6</v>
      </c>
      <c r="P74" s="292" t="n">
        <f aca="false">'GAS DAILY VOL DOWNLOAD'!P74-'GAS DAILY VOL DOWNLOAD'!$B74+$B74</f>
        <v>0.5</v>
      </c>
      <c r="Q74" s="292" t="n">
        <f aca="false">'GAS DAILY VOL DOWNLOAD'!Q74-'GAS DAILY VOL DOWNLOAD'!$B74+$B74</f>
        <v>0.45</v>
      </c>
    </row>
    <row r="75" customFormat="false" ht="12.75" hidden="false" customHeight="false" outlineLevel="0" collapsed="false">
      <c r="A75" s="317" t="n">
        <v>39234</v>
      </c>
      <c r="B75" s="292" t="n">
        <f aca="false">STRADDLES!L97</f>
        <v>0.45</v>
      </c>
      <c r="C75" s="292" t="n">
        <f aca="false">'GAS DAILY VOL DOWNLOAD'!C75-'GAS DAILY VOL DOWNLOAD'!$B75+$B75</f>
        <v>0.5</v>
      </c>
      <c r="D75" s="292" t="n">
        <f aca="false">'GAS DAILY VOL DOWNLOAD'!D75-'GAS DAILY VOL DOWNLOAD'!$B75+$B75</f>
        <v>0.4</v>
      </c>
      <c r="E75" s="292" t="n">
        <f aca="false">'GAS DAILY VOL DOWNLOAD'!E75-'GAS DAILY VOL DOWNLOAD'!$B75+$B75</f>
        <v>0.5</v>
      </c>
      <c r="F75" s="292" t="n">
        <f aca="false">'GAS DAILY VOL DOWNLOAD'!F75-'GAS DAILY VOL DOWNLOAD'!$B75+$B75</f>
        <v>0.45</v>
      </c>
      <c r="G75" s="292" t="n">
        <f aca="false">'GAS DAILY VOL DOWNLOAD'!G75-'GAS DAILY VOL DOWNLOAD'!$B75+$B75</f>
        <v>0.5</v>
      </c>
      <c r="H75" s="292" t="n">
        <f aca="false">'GAS DAILY VOL DOWNLOAD'!H75-'GAS DAILY VOL DOWNLOAD'!$B75+$B75</f>
        <v>0.5</v>
      </c>
      <c r="I75" s="292" t="n">
        <f aca="false">'GAS DAILY VOL DOWNLOAD'!I75-'GAS DAILY VOL DOWNLOAD'!$B75+$B75</f>
        <v>0.5</v>
      </c>
      <c r="J75" s="292" t="n">
        <f aca="false">'GAS DAILY VOL DOWNLOAD'!J75-'GAS DAILY VOL DOWNLOAD'!$B75+$B75</f>
        <v>0.5</v>
      </c>
      <c r="K75" s="292" t="n">
        <f aca="false">'GAS DAILY VOL DOWNLOAD'!K75-'GAS DAILY VOL DOWNLOAD'!$B75+$B75</f>
        <v>0.45</v>
      </c>
      <c r="L75" s="292" t="n">
        <f aca="false">'GAS DAILY VOL DOWNLOAD'!L75-'GAS DAILY VOL DOWNLOAD'!$B75+$B75</f>
        <v>0.5</v>
      </c>
      <c r="M75" s="292" t="n">
        <f aca="false">'GAS DAILY VOL DOWNLOAD'!M75-'GAS DAILY VOL DOWNLOAD'!$B75+$B75</f>
        <v>0.45</v>
      </c>
      <c r="N75" s="292" t="n">
        <f aca="false">'GAS DAILY VOL DOWNLOAD'!N75-'GAS DAILY VOL DOWNLOAD'!$B75+$B75</f>
        <v>0.5</v>
      </c>
      <c r="O75" s="292" t="n">
        <f aca="false">'GAS DAILY VOL DOWNLOAD'!O75-'GAS DAILY VOL DOWNLOAD'!$B75+$B75</f>
        <v>0.6</v>
      </c>
      <c r="P75" s="292" t="n">
        <f aca="false">'GAS DAILY VOL DOWNLOAD'!P75-'GAS DAILY VOL DOWNLOAD'!$B75+$B75</f>
        <v>0.6</v>
      </c>
      <c r="Q75" s="292" t="n">
        <f aca="false">'GAS DAILY VOL DOWNLOAD'!Q75-'GAS DAILY VOL DOWNLOAD'!$B75+$B75</f>
        <v>0.45</v>
      </c>
    </row>
    <row r="76" customFormat="false" ht="12.75" hidden="false" customHeight="false" outlineLevel="0" collapsed="false">
      <c r="A76" s="317" t="n">
        <v>39264</v>
      </c>
      <c r="B76" s="292" t="n">
        <f aca="false">STRADDLES!L98</f>
        <v>0.5</v>
      </c>
      <c r="C76" s="292" t="n">
        <f aca="false">'GAS DAILY VOL DOWNLOAD'!C76-'GAS DAILY VOL DOWNLOAD'!$B76+$B76</f>
        <v>0.5</v>
      </c>
      <c r="D76" s="292" t="n">
        <f aca="false">'GAS DAILY VOL DOWNLOAD'!D76-'GAS DAILY VOL DOWNLOAD'!$B76+$B76</f>
        <v>0.4</v>
      </c>
      <c r="E76" s="292" t="n">
        <f aca="false">'GAS DAILY VOL DOWNLOAD'!E76-'GAS DAILY VOL DOWNLOAD'!$B76+$B76</f>
        <v>0.5</v>
      </c>
      <c r="F76" s="292" t="n">
        <f aca="false">'GAS DAILY VOL DOWNLOAD'!F76-'GAS DAILY VOL DOWNLOAD'!$B76+$B76</f>
        <v>0.5</v>
      </c>
      <c r="G76" s="292" t="n">
        <f aca="false">'GAS DAILY VOL DOWNLOAD'!G76-'GAS DAILY VOL DOWNLOAD'!$B76+$B76</f>
        <v>0.5</v>
      </c>
      <c r="H76" s="292" t="n">
        <f aca="false">'GAS DAILY VOL DOWNLOAD'!H76-'GAS DAILY VOL DOWNLOAD'!$B76+$B76</f>
        <v>0.5</v>
      </c>
      <c r="I76" s="292" t="n">
        <f aca="false">'GAS DAILY VOL DOWNLOAD'!I76-'GAS DAILY VOL DOWNLOAD'!$B76+$B76</f>
        <v>0.5</v>
      </c>
      <c r="J76" s="292" t="n">
        <f aca="false">'GAS DAILY VOL DOWNLOAD'!J76-'GAS DAILY VOL DOWNLOAD'!$B76+$B76</f>
        <v>0.5</v>
      </c>
      <c r="K76" s="292" t="n">
        <f aca="false">'GAS DAILY VOL DOWNLOAD'!K76-'GAS DAILY VOL DOWNLOAD'!$B76+$B76</f>
        <v>0.5</v>
      </c>
      <c r="L76" s="292" t="n">
        <f aca="false">'GAS DAILY VOL DOWNLOAD'!L76-'GAS DAILY VOL DOWNLOAD'!$B76+$B76</f>
        <v>0.55</v>
      </c>
      <c r="M76" s="292" t="n">
        <f aca="false">'GAS DAILY VOL DOWNLOAD'!M76-'GAS DAILY VOL DOWNLOAD'!$B76+$B76</f>
        <v>0.5</v>
      </c>
      <c r="N76" s="292" t="n">
        <f aca="false">'GAS DAILY VOL DOWNLOAD'!N76-'GAS DAILY VOL DOWNLOAD'!$B76+$B76</f>
        <v>0.5</v>
      </c>
      <c r="O76" s="292" t="n">
        <f aca="false">'GAS DAILY VOL DOWNLOAD'!O76-'GAS DAILY VOL DOWNLOAD'!$B76+$B76</f>
        <v>0.65</v>
      </c>
      <c r="P76" s="292" t="n">
        <f aca="false">'GAS DAILY VOL DOWNLOAD'!P76-'GAS DAILY VOL DOWNLOAD'!$B76+$B76</f>
        <v>0.6</v>
      </c>
      <c r="Q76" s="292" t="n">
        <f aca="false">'GAS DAILY VOL DOWNLOAD'!Q76-'GAS DAILY VOL DOWNLOAD'!$B76+$B76</f>
        <v>0.5</v>
      </c>
    </row>
    <row r="77" customFormat="false" ht="12.75" hidden="false" customHeight="false" outlineLevel="0" collapsed="false">
      <c r="A77" s="317" t="n">
        <v>39295</v>
      </c>
      <c r="B77" s="292" t="n">
        <f aca="false">STRADDLES!L99</f>
        <v>0.55</v>
      </c>
      <c r="C77" s="292" t="n">
        <f aca="false">'GAS DAILY VOL DOWNLOAD'!C77-'GAS DAILY VOL DOWNLOAD'!$B77+$B77</f>
        <v>0.55</v>
      </c>
      <c r="D77" s="292" t="n">
        <f aca="false">'GAS DAILY VOL DOWNLOAD'!D77-'GAS DAILY VOL DOWNLOAD'!$B77+$B77</f>
        <v>0.5</v>
      </c>
      <c r="E77" s="292" t="n">
        <f aca="false">'GAS DAILY VOL DOWNLOAD'!E77-'GAS DAILY VOL DOWNLOAD'!$B77+$B77</f>
        <v>0.6</v>
      </c>
      <c r="F77" s="292" t="n">
        <f aca="false">'GAS DAILY VOL DOWNLOAD'!F77-'GAS DAILY VOL DOWNLOAD'!$B77+$B77</f>
        <v>0.55</v>
      </c>
      <c r="G77" s="292" t="n">
        <f aca="false">'GAS DAILY VOL DOWNLOAD'!G77-'GAS DAILY VOL DOWNLOAD'!$B77+$B77</f>
        <v>0.6</v>
      </c>
      <c r="H77" s="292" t="n">
        <f aca="false">'GAS DAILY VOL DOWNLOAD'!H77-'GAS DAILY VOL DOWNLOAD'!$B77+$B77</f>
        <v>0.55</v>
      </c>
      <c r="I77" s="292" t="n">
        <f aca="false">'GAS DAILY VOL DOWNLOAD'!I77-'GAS DAILY VOL DOWNLOAD'!$B77+$B77</f>
        <v>0.6</v>
      </c>
      <c r="J77" s="292" t="n">
        <f aca="false">'GAS DAILY VOL DOWNLOAD'!J77-'GAS DAILY VOL DOWNLOAD'!$B77+$B77</f>
        <v>0.45</v>
      </c>
      <c r="K77" s="292" t="n">
        <f aca="false">'GAS DAILY VOL DOWNLOAD'!K77-'GAS DAILY VOL DOWNLOAD'!$B77+$B77</f>
        <v>0.55</v>
      </c>
      <c r="L77" s="292" t="n">
        <f aca="false">'GAS DAILY VOL DOWNLOAD'!L77-'GAS DAILY VOL DOWNLOAD'!$B77+$B77</f>
        <v>0.6</v>
      </c>
      <c r="M77" s="292" t="n">
        <f aca="false">'GAS DAILY VOL DOWNLOAD'!M77-'GAS DAILY VOL DOWNLOAD'!$B77+$B77</f>
        <v>0.55</v>
      </c>
      <c r="N77" s="292" t="n">
        <f aca="false">'GAS DAILY VOL DOWNLOAD'!N77-'GAS DAILY VOL DOWNLOAD'!$B77+$B77</f>
        <v>0.6</v>
      </c>
      <c r="O77" s="292" t="n">
        <f aca="false">'GAS DAILY VOL DOWNLOAD'!O77-'GAS DAILY VOL DOWNLOAD'!$B77+$B77</f>
        <v>0.7</v>
      </c>
      <c r="P77" s="292" t="n">
        <f aca="false">'GAS DAILY VOL DOWNLOAD'!P77-'GAS DAILY VOL DOWNLOAD'!$B77+$B77</f>
        <v>0.7</v>
      </c>
      <c r="Q77" s="292" t="n">
        <f aca="false">'GAS DAILY VOL DOWNLOAD'!Q77-'GAS DAILY VOL DOWNLOAD'!$B77+$B77</f>
        <v>0.55</v>
      </c>
    </row>
    <row r="78" customFormat="false" ht="12.75" hidden="false" customHeight="false" outlineLevel="0" collapsed="false">
      <c r="A78" s="317" t="n">
        <v>39326</v>
      </c>
      <c r="B78" s="292" t="n">
        <f aca="false">STRADDLES!L100</f>
        <v>0.55</v>
      </c>
      <c r="C78" s="292" t="n">
        <f aca="false">'GAS DAILY VOL DOWNLOAD'!C78-'GAS DAILY VOL DOWNLOAD'!$B78+$B78</f>
        <v>0.55</v>
      </c>
      <c r="D78" s="292" t="n">
        <f aca="false">'GAS DAILY VOL DOWNLOAD'!D78-'GAS DAILY VOL DOWNLOAD'!$B78+$B78</f>
        <v>0.55</v>
      </c>
      <c r="E78" s="292" t="n">
        <f aca="false">'GAS DAILY VOL DOWNLOAD'!E78-'GAS DAILY VOL DOWNLOAD'!$B78+$B78</f>
        <v>0.55</v>
      </c>
      <c r="F78" s="292" t="n">
        <f aca="false">'GAS DAILY VOL DOWNLOAD'!F78-'GAS DAILY VOL DOWNLOAD'!$B78+$B78</f>
        <v>0.55</v>
      </c>
      <c r="G78" s="292" t="n">
        <f aca="false">'GAS DAILY VOL DOWNLOAD'!G78-'GAS DAILY VOL DOWNLOAD'!$B78+$B78</f>
        <v>0.6</v>
      </c>
      <c r="H78" s="292" t="n">
        <f aca="false">'GAS DAILY VOL DOWNLOAD'!H78-'GAS DAILY VOL DOWNLOAD'!$B78+$B78</f>
        <v>0.6</v>
      </c>
      <c r="I78" s="292" t="n">
        <f aca="false">'GAS DAILY VOL DOWNLOAD'!I78-'GAS DAILY VOL DOWNLOAD'!$B78+$B78</f>
        <v>0.55</v>
      </c>
      <c r="J78" s="292" t="n">
        <f aca="false">'GAS DAILY VOL DOWNLOAD'!J78-'GAS DAILY VOL DOWNLOAD'!$B78+$B78</f>
        <v>0.5</v>
      </c>
      <c r="K78" s="292" t="n">
        <f aca="false">'GAS DAILY VOL DOWNLOAD'!K78-'GAS DAILY VOL DOWNLOAD'!$B78+$B78</f>
        <v>0.55</v>
      </c>
      <c r="L78" s="292" t="n">
        <f aca="false">'GAS DAILY VOL DOWNLOAD'!L78-'GAS DAILY VOL DOWNLOAD'!$B78+$B78</f>
        <v>0.6</v>
      </c>
      <c r="M78" s="292" t="n">
        <f aca="false">'GAS DAILY VOL DOWNLOAD'!M78-'GAS DAILY VOL DOWNLOAD'!$B78+$B78</f>
        <v>0.55</v>
      </c>
      <c r="N78" s="292" t="n">
        <f aca="false">'GAS DAILY VOL DOWNLOAD'!N78-'GAS DAILY VOL DOWNLOAD'!$B78+$B78</f>
        <v>0.6</v>
      </c>
      <c r="O78" s="292" t="n">
        <f aca="false">'GAS DAILY VOL DOWNLOAD'!O78-'GAS DAILY VOL DOWNLOAD'!$B78+$B78</f>
        <v>0.7</v>
      </c>
      <c r="P78" s="292" t="n">
        <f aca="false">'GAS DAILY VOL DOWNLOAD'!P78-'GAS DAILY VOL DOWNLOAD'!$B78+$B78</f>
        <v>0.65</v>
      </c>
      <c r="Q78" s="292" t="n">
        <f aca="false">'GAS DAILY VOL DOWNLOAD'!Q78-'GAS DAILY VOL DOWNLOAD'!$B78+$B78</f>
        <v>0.55</v>
      </c>
    </row>
    <row r="79" customFormat="false" ht="12.75" hidden="false" customHeight="false" outlineLevel="0" collapsed="false">
      <c r="A79" s="317" t="n">
        <v>39356</v>
      </c>
      <c r="B79" s="292" t="n">
        <f aca="false">STRADDLES!L101</f>
        <v>0.6</v>
      </c>
      <c r="C79" s="292" t="n">
        <f aca="false">'GAS DAILY VOL DOWNLOAD'!C79-'GAS DAILY VOL DOWNLOAD'!$B79+$B79</f>
        <v>0.6</v>
      </c>
      <c r="D79" s="292" t="n">
        <f aca="false">'GAS DAILY VOL DOWNLOAD'!D79-'GAS DAILY VOL DOWNLOAD'!$B79+$B79</f>
        <v>0.55</v>
      </c>
      <c r="E79" s="292" t="n">
        <f aca="false">'GAS DAILY VOL DOWNLOAD'!E79-'GAS DAILY VOL DOWNLOAD'!$B79+$B79</f>
        <v>0.6</v>
      </c>
      <c r="F79" s="292" t="n">
        <f aca="false">'GAS DAILY VOL DOWNLOAD'!F79-'GAS DAILY VOL DOWNLOAD'!$B79+$B79</f>
        <v>0.6</v>
      </c>
      <c r="G79" s="292" t="n">
        <f aca="false">'GAS DAILY VOL DOWNLOAD'!G79-'GAS DAILY VOL DOWNLOAD'!$B79+$B79</f>
        <v>0.65</v>
      </c>
      <c r="H79" s="292" t="n">
        <f aca="false">'GAS DAILY VOL DOWNLOAD'!H79-'GAS DAILY VOL DOWNLOAD'!$B79+$B79</f>
        <v>0.65</v>
      </c>
      <c r="I79" s="292" t="n">
        <f aca="false">'GAS DAILY VOL DOWNLOAD'!I79-'GAS DAILY VOL DOWNLOAD'!$B79+$B79</f>
        <v>0.6</v>
      </c>
      <c r="J79" s="292" t="n">
        <f aca="false">'GAS DAILY VOL DOWNLOAD'!J79-'GAS DAILY VOL DOWNLOAD'!$B79+$B79</f>
        <v>0.5</v>
      </c>
      <c r="K79" s="292" t="n">
        <f aca="false">'GAS DAILY VOL DOWNLOAD'!K79-'GAS DAILY VOL DOWNLOAD'!$B79+$B79</f>
        <v>0.6</v>
      </c>
      <c r="L79" s="292" t="n">
        <f aca="false">'GAS DAILY VOL DOWNLOAD'!L79-'GAS DAILY VOL DOWNLOAD'!$B79+$B79</f>
        <v>0.65</v>
      </c>
      <c r="M79" s="292" t="n">
        <f aca="false">'GAS DAILY VOL DOWNLOAD'!M79-'GAS DAILY VOL DOWNLOAD'!$B79+$B79</f>
        <v>0.6</v>
      </c>
      <c r="N79" s="292" t="n">
        <f aca="false">'GAS DAILY VOL DOWNLOAD'!N79-'GAS DAILY VOL DOWNLOAD'!$B79+$B79</f>
        <v>0.65</v>
      </c>
      <c r="O79" s="292" t="n">
        <f aca="false">'GAS DAILY VOL DOWNLOAD'!O79-'GAS DAILY VOL DOWNLOAD'!$B79+$B79</f>
        <v>0.75</v>
      </c>
      <c r="P79" s="292" t="n">
        <f aca="false">'GAS DAILY VOL DOWNLOAD'!P79-'GAS DAILY VOL DOWNLOAD'!$B79+$B79</f>
        <v>0.7</v>
      </c>
      <c r="Q79" s="292" t="n">
        <f aca="false">'GAS DAILY VOL DOWNLOAD'!Q79-'GAS DAILY VOL DOWNLOAD'!$B79+$B79</f>
        <v>0.6</v>
      </c>
    </row>
    <row r="80" customFormat="false" ht="12.75" hidden="false" customHeight="false" outlineLevel="0" collapsed="false">
      <c r="A80" s="317" t="n">
        <v>39387</v>
      </c>
      <c r="B80" s="292" t="n">
        <f aca="false">STRADDLES!L102</f>
        <v>0.8</v>
      </c>
      <c r="C80" s="292" t="n">
        <f aca="false">'GAS DAILY VOL DOWNLOAD'!C80-'GAS DAILY VOL DOWNLOAD'!$B80+$B80</f>
        <v>0.85</v>
      </c>
      <c r="D80" s="292" t="n">
        <f aca="false">'GAS DAILY VOL DOWNLOAD'!D80-'GAS DAILY VOL DOWNLOAD'!$B80+$B80</f>
        <v>0.8</v>
      </c>
      <c r="E80" s="292" t="n">
        <f aca="false">'GAS DAILY VOL DOWNLOAD'!E80-'GAS DAILY VOL DOWNLOAD'!$B80+$B80</f>
        <v>0.8</v>
      </c>
      <c r="F80" s="292" t="n">
        <f aca="false">'GAS DAILY VOL DOWNLOAD'!F80-'GAS DAILY VOL DOWNLOAD'!$B80+$B80</f>
        <v>0.9</v>
      </c>
      <c r="G80" s="292" t="n">
        <f aca="false">'GAS DAILY VOL DOWNLOAD'!G80-'GAS DAILY VOL DOWNLOAD'!$B80+$B80</f>
        <v>0.95</v>
      </c>
      <c r="H80" s="292" t="n">
        <f aca="false">'GAS DAILY VOL DOWNLOAD'!H80-'GAS DAILY VOL DOWNLOAD'!$B80+$B80</f>
        <v>0.85</v>
      </c>
      <c r="I80" s="292" t="n">
        <f aca="false">'GAS DAILY VOL DOWNLOAD'!I80-'GAS DAILY VOL DOWNLOAD'!$B80+$B80</f>
        <v>0.8</v>
      </c>
      <c r="J80" s="292" t="n">
        <f aca="false">'GAS DAILY VOL DOWNLOAD'!J80-'GAS DAILY VOL DOWNLOAD'!$B80+$B80</f>
        <v>0.95</v>
      </c>
      <c r="K80" s="292" t="n">
        <f aca="false">'GAS DAILY VOL DOWNLOAD'!K80-'GAS DAILY VOL DOWNLOAD'!$B80+$B80</f>
        <v>0.8</v>
      </c>
      <c r="L80" s="292" t="n">
        <f aca="false">'GAS DAILY VOL DOWNLOAD'!L80-'GAS DAILY VOL DOWNLOAD'!$B80+$B80</f>
        <v>0.8</v>
      </c>
      <c r="M80" s="292" t="n">
        <f aca="false">'GAS DAILY VOL DOWNLOAD'!M80-'GAS DAILY VOL DOWNLOAD'!$B80+$B80</f>
        <v>0.8</v>
      </c>
      <c r="N80" s="292" t="n">
        <f aca="false">'GAS DAILY VOL DOWNLOAD'!N80-'GAS DAILY VOL DOWNLOAD'!$B80+$B80</f>
        <v>0.95</v>
      </c>
      <c r="O80" s="292" t="n">
        <f aca="false">'GAS DAILY VOL DOWNLOAD'!O80-'GAS DAILY VOL DOWNLOAD'!$B80+$B80</f>
        <v>0.95</v>
      </c>
      <c r="P80" s="292" t="n">
        <f aca="false">'GAS DAILY VOL DOWNLOAD'!P80-'GAS DAILY VOL DOWNLOAD'!$B80+$B80</f>
        <v>0.9</v>
      </c>
      <c r="Q80" s="292" t="n">
        <f aca="false">'GAS DAILY VOL DOWNLOAD'!Q80-'GAS DAILY VOL DOWNLOAD'!$B80+$B80</f>
        <v>0.8</v>
      </c>
    </row>
    <row r="81" customFormat="false" ht="12.75" hidden="false" customHeight="false" outlineLevel="0" collapsed="false">
      <c r="A81" s="317" t="n">
        <v>39417</v>
      </c>
      <c r="B81" s="292" t="n">
        <f aca="false">STRADDLES!L103</f>
        <v>1</v>
      </c>
      <c r="C81" s="292" t="n">
        <f aca="false">'GAS DAILY VOL DOWNLOAD'!C81-'GAS DAILY VOL DOWNLOAD'!$B81+$B81</f>
        <v>1.05</v>
      </c>
      <c r="D81" s="292" t="n">
        <f aca="false">'GAS DAILY VOL DOWNLOAD'!D81-'GAS DAILY VOL DOWNLOAD'!$B81+$B81</f>
        <v>1</v>
      </c>
      <c r="E81" s="292" t="n">
        <f aca="false">'GAS DAILY VOL DOWNLOAD'!E81-'GAS DAILY VOL DOWNLOAD'!$B81+$B81</f>
        <v>1</v>
      </c>
      <c r="F81" s="292" t="n">
        <f aca="false">'GAS DAILY VOL DOWNLOAD'!F81-'GAS DAILY VOL DOWNLOAD'!$B81+$B81</f>
        <v>1.15</v>
      </c>
      <c r="G81" s="292" t="n">
        <f aca="false">'GAS DAILY VOL DOWNLOAD'!G81-'GAS DAILY VOL DOWNLOAD'!$B81+$B81</f>
        <v>1.25</v>
      </c>
      <c r="H81" s="292" t="n">
        <f aca="false">'GAS DAILY VOL DOWNLOAD'!H81-'GAS DAILY VOL DOWNLOAD'!$B81+$B81</f>
        <v>1.05</v>
      </c>
      <c r="I81" s="292" t="n">
        <f aca="false">'GAS DAILY VOL DOWNLOAD'!I81-'GAS DAILY VOL DOWNLOAD'!$B81+$B81</f>
        <v>1</v>
      </c>
      <c r="J81" s="292" t="n">
        <f aca="false">'GAS DAILY VOL DOWNLOAD'!J81-'GAS DAILY VOL DOWNLOAD'!$B81+$B81</f>
        <v>1.35</v>
      </c>
      <c r="K81" s="292" t="n">
        <f aca="false">'GAS DAILY VOL DOWNLOAD'!K81-'GAS DAILY VOL DOWNLOAD'!$B81+$B81</f>
        <v>1</v>
      </c>
      <c r="L81" s="292" t="n">
        <f aca="false">'GAS DAILY VOL DOWNLOAD'!L81-'GAS DAILY VOL DOWNLOAD'!$B81+$B81</f>
        <v>1.1</v>
      </c>
      <c r="M81" s="292" t="n">
        <f aca="false">'GAS DAILY VOL DOWNLOAD'!M81-'GAS DAILY VOL DOWNLOAD'!$B81+$B81</f>
        <v>1</v>
      </c>
      <c r="N81" s="292" t="n">
        <f aca="false">'GAS DAILY VOL DOWNLOAD'!N81-'GAS DAILY VOL DOWNLOAD'!$B81+$B81</f>
        <v>1.25</v>
      </c>
      <c r="O81" s="292" t="n">
        <f aca="false">'GAS DAILY VOL DOWNLOAD'!O81-'GAS DAILY VOL DOWNLOAD'!$B81+$B81</f>
        <v>1.15</v>
      </c>
      <c r="P81" s="292" t="n">
        <f aca="false">'GAS DAILY VOL DOWNLOAD'!P81-'GAS DAILY VOL DOWNLOAD'!$B81+$B81</f>
        <v>1.1</v>
      </c>
      <c r="Q81" s="292" t="n">
        <f aca="false">'GAS DAILY VOL DOWNLOAD'!Q81-'GAS DAILY VOL DOWNLOAD'!$B81+$B81</f>
        <v>1</v>
      </c>
    </row>
    <row r="82" customFormat="false" ht="12.75" hidden="false" customHeight="false" outlineLevel="0" collapsed="false">
      <c r="A82" s="317" t="n">
        <v>39448</v>
      </c>
      <c r="B82" s="292" t="n">
        <f aca="false">STRADDLES!L104</f>
        <v>1</v>
      </c>
      <c r="C82" s="292" t="n">
        <f aca="false">'GAS DAILY VOL DOWNLOAD'!C82-'GAS DAILY VOL DOWNLOAD'!$B82+$B82</f>
        <v>1.05</v>
      </c>
      <c r="D82" s="292" t="n">
        <f aca="false">'GAS DAILY VOL DOWNLOAD'!D82-'GAS DAILY VOL DOWNLOAD'!$B82+$B82</f>
        <v>1</v>
      </c>
      <c r="E82" s="292" t="n">
        <f aca="false">'GAS DAILY VOL DOWNLOAD'!E82-'GAS DAILY VOL DOWNLOAD'!$B82+$B82</f>
        <v>1</v>
      </c>
      <c r="F82" s="292" t="n">
        <f aca="false">'GAS DAILY VOL DOWNLOAD'!F82-'GAS DAILY VOL DOWNLOAD'!$B82+$B82</f>
        <v>1.15</v>
      </c>
      <c r="G82" s="292" t="n">
        <f aca="false">'GAS DAILY VOL DOWNLOAD'!G82-'GAS DAILY VOL DOWNLOAD'!$B82+$B82</f>
        <v>1.45</v>
      </c>
      <c r="H82" s="292" t="n">
        <f aca="false">'GAS DAILY VOL DOWNLOAD'!H82-'GAS DAILY VOL DOWNLOAD'!$B82+$B82</f>
        <v>1.05</v>
      </c>
      <c r="I82" s="292" t="n">
        <f aca="false">'GAS DAILY VOL DOWNLOAD'!I82-'GAS DAILY VOL DOWNLOAD'!$B82+$B82</f>
        <v>1</v>
      </c>
      <c r="J82" s="292" t="n">
        <f aca="false">'GAS DAILY VOL DOWNLOAD'!J82-'GAS DAILY VOL DOWNLOAD'!$B82+$B82</f>
        <v>1.35</v>
      </c>
      <c r="K82" s="292" t="n">
        <f aca="false">'GAS DAILY VOL DOWNLOAD'!K82-'GAS DAILY VOL DOWNLOAD'!$B82+$B82</f>
        <v>1</v>
      </c>
      <c r="L82" s="292" t="n">
        <f aca="false">'GAS DAILY VOL DOWNLOAD'!L82-'GAS DAILY VOL DOWNLOAD'!$B82+$B82</f>
        <v>1.1</v>
      </c>
      <c r="M82" s="292" t="n">
        <f aca="false">'GAS DAILY VOL DOWNLOAD'!M82-'GAS DAILY VOL DOWNLOAD'!$B82+$B82</f>
        <v>1</v>
      </c>
      <c r="N82" s="292" t="n">
        <f aca="false">'GAS DAILY VOL DOWNLOAD'!N82-'GAS DAILY VOL DOWNLOAD'!$B82+$B82</f>
        <v>1.45</v>
      </c>
      <c r="O82" s="292" t="n">
        <f aca="false">'GAS DAILY VOL DOWNLOAD'!O82-'GAS DAILY VOL DOWNLOAD'!$B82+$B82</f>
        <v>1.15</v>
      </c>
      <c r="P82" s="292" t="n">
        <f aca="false">'GAS DAILY VOL DOWNLOAD'!P82-'GAS DAILY VOL DOWNLOAD'!$B82+$B82</f>
        <v>1.1</v>
      </c>
      <c r="Q82" s="292" t="n">
        <f aca="false">'GAS DAILY VOL DOWNLOAD'!Q82-'GAS DAILY VOL DOWNLOAD'!$B82+$B82</f>
        <v>1</v>
      </c>
    </row>
    <row r="83" customFormat="false" ht="12.75" hidden="false" customHeight="false" outlineLevel="0" collapsed="false">
      <c r="A83" s="317" t="n">
        <v>39479</v>
      </c>
      <c r="B83" s="292" t="n">
        <f aca="false">STRADDLES!L105</f>
        <v>1</v>
      </c>
      <c r="C83" s="292" t="n">
        <f aca="false">'GAS DAILY VOL DOWNLOAD'!C83-'GAS DAILY VOL DOWNLOAD'!$B83+$B83</f>
        <v>1.05</v>
      </c>
      <c r="D83" s="292" t="n">
        <f aca="false">'GAS DAILY VOL DOWNLOAD'!D83-'GAS DAILY VOL DOWNLOAD'!$B83+$B83</f>
        <v>1</v>
      </c>
      <c r="E83" s="292" t="n">
        <f aca="false">'GAS DAILY VOL DOWNLOAD'!E83-'GAS DAILY VOL DOWNLOAD'!$B83+$B83</f>
        <v>1</v>
      </c>
      <c r="F83" s="292" t="n">
        <f aca="false">'GAS DAILY VOL DOWNLOAD'!F83-'GAS DAILY VOL DOWNLOAD'!$B83+$B83</f>
        <v>1.15</v>
      </c>
      <c r="G83" s="292" t="n">
        <f aca="false">'GAS DAILY VOL DOWNLOAD'!G83-'GAS DAILY VOL DOWNLOAD'!$B83+$B83</f>
        <v>1.45</v>
      </c>
      <c r="H83" s="292" t="n">
        <f aca="false">'GAS DAILY VOL DOWNLOAD'!H83-'GAS DAILY VOL DOWNLOAD'!$B83+$B83</f>
        <v>1.05</v>
      </c>
      <c r="I83" s="292" t="n">
        <f aca="false">'GAS DAILY VOL DOWNLOAD'!I83-'GAS DAILY VOL DOWNLOAD'!$B83+$B83</f>
        <v>1</v>
      </c>
      <c r="J83" s="292" t="n">
        <f aca="false">'GAS DAILY VOL DOWNLOAD'!J83-'GAS DAILY VOL DOWNLOAD'!$B83+$B83</f>
        <v>1.35</v>
      </c>
      <c r="K83" s="292" t="n">
        <f aca="false">'GAS DAILY VOL DOWNLOAD'!K83-'GAS DAILY VOL DOWNLOAD'!$B83+$B83</f>
        <v>1</v>
      </c>
      <c r="L83" s="292" t="n">
        <f aca="false">'GAS DAILY VOL DOWNLOAD'!L83-'GAS DAILY VOL DOWNLOAD'!$B83+$B83</f>
        <v>1.1</v>
      </c>
      <c r="M83" s="292" t="n">
        <f aca="false">'GAS DAILY VOL DOWNLOAD'!M83-'GAS DAILY VOL DOWNLOAD'!$B83+$B83</f>
        <v>1</v>
      </c>
      <c r="N83" s="292" t="n">
        <f aca="false">'GAS DAILY VOL DOWNLOAD'!N83-'GAS DAILY VOL DOWNLOAD'!$B83+$B83</f>
        <v>1.45</v>
      </c>
      <c r="O83" s="292" t="n">
        <f aca="false">'GAS DAILY VOL DOWNLOAD'!O83-'GAS DAILY VOL DOWNLOAD'!$B83+$B83</f>
        <v>1.15</v>
      </c>
      <c r="P83" s="292" t="n">
        <f aca="false">'GAS DAILY VOL DOWNLOAD'!P83-'GAS DAILY VOL DOWNLOAD'!$B83+$B83</f>
        <v>1.1</v>
      </c>
      <c r="Q83" s="292" t="n">
        <f aca="false">'GAS DAILY VOL DOWNLOAD'!Q83-'GAS DAILY VOL DOWNLOAD'!$B83+$B83</f>
        <v>1</v>
      </c>
    </row>
    <row r="84" customFormat="false" ht="12.75" hidden="false" customHeight="false" outlineLevel="0" collapsed="false">
      <c r="A84" s="317" t="n">
        <v>39508</v>
      </c>
      <c r="B84" s="292" t="n">
        <f aca="false">STRADDLES!L106</f>
        <v>0.75</v>
      </c>
      <c r="C84" s="292" t="n">
        <f aca="false">'GAS DAILY VOL DOWNLOAD'!C84-'GAS DAILY VOL DOWNLOAD'!$B84+$B84</f>
        <v>0.8</v>
      </c>
      <c r="D84" s="292" t="n">
        <f aca="false">'GAS DAILY VOL DOWNLOAD'!D84-'GAS DAILY VOL DOWNLOAD'!$B84+$B84</f>
        <v>0.75</v>
      </c>
      <c r="E84" s="292" t="n">
        <f aca="false">'GAS DAILY VOL DOWNLOAD'!E84-'GAS DAILY VOL DOWNLOAD'!$B84+$B84</f>
        <v>0.75</v>
      </c>
      <c r="F84" s="292" t="n">
        <f aca="false">'GAS DAILY VOL DOWNLOAD'!F84-'GAS DAILY VOL DOWNLOAD'!$B84+$B84</f>
        <v>0.85</v>
      </c>
      <c r="G84" s="292" t="n">
        <f aca="false">'GAS DAILY VOL DOWNLOAD'!G84-'GAS DAILY VOL DOWNLOAD'!$B84+$B84</f>
        <v>1</v>
      </c>
      <c r="H84" s="292" t="n">
        <f aca="false">'GAS DAILY VOL DOWNLOAD'!H84-'GAS DAILY VOL DOWNLOAD'!$B84+$B84</f>
        <v>0.75</v>
      </c>
      <c r="I84" s="292" t="n">
        <f aca="false">'GAS DAILY VOL DOWNLOAD'!I84-'GAS DAILY VOL DOWNLOAD'!$B84+$B84</f>
        <v>0.75</v>
      </c>
      <c r="J84" s="292" t="n">
        <f aca="false">'GAS DAILY VOL DOWNLOAD'!J84-'GAS DAILY VOL DOWNLOAD'!$B84+$B84</f>
        <v>0.95</v>
      </c>
      <c r="K84" s="292" t="n">
        <f aca="false">'GAS DAILY VOL DOWNLOAD'!K84-'GAS DAILY VOL DOWNLOAD'!$B84+$B84</f>
        <v>0.75</v>
      </c>
      <c r="L84" s="292" t="n">
        <f aca="false">'GAS DAILY VOL DOWNLOAD'!L84-'GAS DAILY VOL DOWNLOAD'!$B84+$B84</f>
        <v>0.75</v>
      </c>
      <c r="M84" s="292" t="n">
        <f aca="false">'GAS DAILY VOL DOWNLOAD'!M84-'GAS DAILY VOL DOWNLOAD'!$B84+$B84</f>
        <v>0.75</v>
      </c>
      <c r="N84" s="292" t="n">
        <f aca="false">'GAS DAILY VOL DOWNLOAD'!N84-'GAS DAILY VOL DOWNLOAD'!$B84+$B84</f>
        <v>1</v>
      </c>
      <c r="O84" s="292" t="n">
        <f aca="false">'GAS DAILY VOL DOWNLOAD'!O84-'GAS DAILY VOL DOWNLOAD'!$B84+$B84</f>
        <v>0.9</v>
      </c>
      <c r="P84" s="292" t="n">
        <f aca="false">'GAS DAILY VOL DOWNLOAD'!P84-'GAS DAILY VOL DOWNLOAD'!$B84+$B84</f>
        <v>0.85</v>
      </c>
      <c r="Q84" s="292" t="n">
        <f aca="false">'GAS DAILY VOL DOWNLOAD'!Q84-'GAS DAILY VOL DOWNLOAD'!$B84+$B84</f>
        <v>0.75</v>
      </c>
    </row>
    <row r="85" customFormat="false" ht="12.75" hidden="false" customHeight="false" outlineLevel="0" collapsed="false">
      <c r="A85" s="317" t="n">
        <v>39539</v>
      </c>
      <c r="B85" s="292" t="n">
        <f aca="false">STRADDLES!L107</f>
        <v>0.4</v>
      </c>
      <c r="C85" s="292" t="n">
        <f aca="false">'GAS DAILY VOL DOWNLOAD'!C85-'GAS DAILY VOL DOWNLOAD'!$B85+$B85</f>
        <v>0.45</v>
      </c>
      <c r="D85" s="292" t="n">
        <f aca="false">'GAS DAILY VOL DOWNLOAD'!D85-'GAS DAILY VOL DOWNLOAD'!$B85+$B85</f>
        <v>0.4</v>
      </c>
      <c r="E85" s="292" t="n">
        <f aca="false">'GAS DAILY VOL DOWNLOAD'!E85-'GAS DAILY VOL DOWNLOAD'!$B85+$B85</f>
        <v>0.45</v>
      </c>
      <c r="F85" s="292" t="n">
        <f aca="false">'GAS DAILY VOL DOWNLOAD'!F85-'GAS DAILY VOL DOWNLOAD'!$B85+$B85</f>
        <v>0.45</v>
      </c>
      <c r="G85" s="292" t="n">
        <f aca="false">'GAS DAILY VOL DOWNLOAD'!G85-'GAS DAILY VOL DOWNLOAD'!$B85+$B85</f>
        <v>0.45</v>
      </c>
      <c r="H85" s="292" t="n">
        <f aca="false">'GAS DAILY VOL DOWNLOAD'!H85-'GAS DAILY VOL DOWNLOAD'!$B85+$B85</f>
        <v>0.45</v>
      </c>
      <c r="I85" s="292" t="n">
        <f aca="false">'GAS DAILY VOL DOWNLOAD'!I85-'GAS DAILY VOL DOWNLOAD'!$B85+$B85</f>
        <v>0.45</v>
      </c>
      <c r="J85" s="292" t="n">
        <f aca="false">'GAS DAILY VOL DOWNLOAD'!J85-'GAS DAILY VOL DOWNLOAD'!$B85+$B85</f>
        <v>0.5</v>
      </c>
      <c r="K85" s="292" t="n">
        <f aca="false">'GAS DAILY VOL DOWNLOAD'!K85-'GAS DAILY VOL DOWNLOAD'!$B85+$B85</f>
        <v>0.4</v>
      </c>
      <c r="L85" s="292" t="n">
        <f aca="false">'GAS DAILY VOL DOWNLOAD'!L85-'GAS DAILY VOL DOWNLOAD'!$B85+$B85</f>
        <v>0.45</v>
      </c>
      <c r="M85" s="292" t="n">
        <f aca="false">'GAS DAILY VOL DOWNLOAD'!M85-'GAS DAILY VOL DOWNLOAD'!$B85+$B85</f>
        <v>0.4</v>
      </c>
      <c r="N85" s="292" t="n">
        <f aca="false">'GAS DAILY VOL DOWNLOAD'!N85-'GAS DAILY VOL DOWNLOAD'!$B85+$B85</f>
        <v>0.45</v>
      </c>
      <c r="O85" s="292" t="n">
        <f aca="false">'GAS DAILY VOL DOWNLOAD'!O85-'GAS DAILY VOL DOWNLOAD'!$B85+$B85</f>
        <v>0.55</v>
      </c>
      <c r="P85" s="292" t="n">
        <f aca="false">'GAS DAILY VOL DOWNLOAD'!P85-'GAS DAILY VOL DOWNLOAD'!$B85+$B85</f>
        <v>0.55</v>
      </c>
      <c r="Q85" s="292" t="n">
        <f aca="false">'GAS DAILY VOL DOWNLOAD'!Q85-'GAS DAILY VOL DOWNLOAD'!$B85+$B85</f>
        <v>0.4</v>
      </c>
    </row>
    <row r="86" customFormat="false" ht="12.75" hidden="false" customHeight="false" outlineLevel="0" collapsed="false">
      <c r="A86" s="317" t="n">
        <v>39569</v>
      </c>
      <c r="B86" s="292" t="n">
        <f aca="false">STRADDLES!L108</f>
        <v>0.45</v>
      </c>
      <c r="C86" s="292" t="n">
        <f aca="false">'GAS DAILY VOL DOWNLOAD'!C86-'GAS DAILY VOL DOWNLOAD'!$B86+$B86</f>
        <v>0.5</v>
      </c>
      <c r="D86" s="292" t="n">
        <f aca="false">'GAS DAILY VOL DOWNLOAD'!D86-'GAS DAILY VOL DOWNLOAD'!$B86+$B86</f>
        <v>0.4</v>
      </c>
      <c r="E86" s="292" t="n">
        <f aca="false">'GAS DAILY VOL DOWNLOAD'!E86-'GAS DAILY VOL DOWNLOAD'!$B86+$B86</f>
        <v>0.4</v>
      </c>
      <c r="F86" s="292" t="n">
        <f aca="false">'GAS DAILY VOL DOWNLOAD'!F86-'GAS DAILY VOL DOWNLOAD'!$B86+$B86</f>
        <v>0.45</v>
      </c>
      <c r="G86" s="292" t="n">
        <f aca="false">'GAS DAILY VOL DOWNLOAD'!G86-'GAS DAILY VOL DOWNLOAD'!$B86+$B86</f>
        <v>0.5</v>
      </c>
      <c r="H86" s="292" t="n">
        <f aca="false">'GAS DAILY VOL DOWNLOAD'!H86-'GAS DAILY VOL DOWNLOAD'!$B86+$B86</f>
        <v>0.45</v>
      </c>
      <c r="I86" s="292" t="n">
        <f aca="false">'GAS DAILY VOL DOWNLOAD'!I86-'GAS DAILY VOL DOWNLOAD'!$B86+$B86</f>
        <v>0.4</v>
      </c>
      <c r="J86" s="292" t="n">
        <f aca="false">'GAS DAILY VOL DOWNLOAD'!J86-'GAS DAILY VOL DOWNLOAD'!$B86+$B86</f>
        <v>0.45</v>
      </c>
      <c r="K86" s="292" t="n">
        <f aca="false">'GAS DAILY VOL DOWNLOAD'!K86-'GAS DAILY VOL DOWNLOAD'!$B86+$B86</f>
        <v>0.45</v>
      </c>
      <c r="L86" s="292" t="n">
        <f aca="false">'GAS DAILY VOL DOWNLOAD'!L86-'GAS DAILY VOL DOWNLOAD'!$B86+$B86</f>
        <v>0.5</v>
      </c>
      <c r="M86" s="292" t="n">
        <f aca="false">'GAS DAILY VOL DOWNLOAD'!M86-'GAS DAILY VOL DOWNLOAD'!$B86+$B86</f>
        <v>0.45</v>
      </c>
      <c r="N86" s="292" t="n">
        <f aca="false">'GAS DAILY VOL DOWNLOAD'!N86-'GAS DAILY VOL DOWNLOAD'!$B86+$B86</f>
        <v>0.5</v>
      </c>
      <c r="O86" s="292" t="n">
        <f aca="false">'GAS DAILY VOL DOWNLOAD'!O86-'GAS DAILY VOL DOWNLOAD'!$B86+$B86</f>
        <v>0.6</v>
      </c>
      <c r="P86" s="292" t="n">
        <f aca="false">'GAS DAILY VOL DOWNLOAD'!P86-'GAS DAILY VOL DOWNLOAD'!$B86+$B86</f>
        <v>0.5</v>
      </c>
      <c r="Q86" s="292" t="n">
        <f aca="false">'GAS DAILY VOL DOWNLOAD'!Q86-'GAS DAILY VOL DOWNLOAD'!$B86+$B86</f>
        <v>0.45</v>
      </c>
    </row>
    <row r="87" customFormat="false" ht="12.75" hidden="false" customHeight="false" outlineLevel="0" collapsed="false">
      <c r="A87" s="317" t="n">
        <v>39600</v>
      </c>
      <c r="B87" s="292" t="n">
        <f aca="false">STRADDLES!L109</f>
        <v>0.45</v>
      </c>
      <c r="C87" s="292" t="n">
        <f aca="false">'GAS DAILY VOL DOWNLOAD'!C87-'GAS DAILY VOL DOWNLOAD'!$B87+$B87</f>
        <v>0.5</v>
      </c>
      <c r="D87" s="292" t="n">
        <f aca="false">'GAS DAILY VOL DOWNLOAD'!D87-'GAS DAILY VOL DOWNLOAD'!$B87+$B87</f>
        <v>0.4</v>
      </c>
      <c r="E87" s="292" t="n">
        <f aca="false">'GAS DAILY VOL DOWNLOAD'!E87-'GAS DAILY VOL DOWNLOAD'!$B87+$B87</f>
        <v>0.5</v>
      </c>
      <c r="F87" s="292" t="n">
        <f aca="false">'GAS DAILY VOL DOWNLOAD'!F87-'GAS DAILY VOL DOWNLOAD'!$B87+$B87</f>
        <v>0.45</v>
      </c>
      <c r="G87" s="292" t="n">
        <f aca="false">'GAS DAILY VOL DOWNLOAD'!G87-'GAS DAILY VOL DOWNLOAD'!$B87+$B87</f>
        <v>0.5</v>
      </c>
      <c r="H87" s="292" t="n">
        <f aca="false">'GAS DAILY VOL DOWNLOAD'!H87-'GAS DAILY VOL DOWNLOAD'!$B87+$B87</f>
        <v>0.5</v>
      </c>
      <c r="I87" s="292" t="n">
        <f aca="false">'GAS DAILY VOL DOWNLOAD'!I87-'GAS DAILY VOL DOWNLOAD'!$B87+$B87</f>
        <v>0.5</v>
      </c>
      <c r="J87" s="292" t="n">
        <f aca="false">'GAS DAILY VOL DOWNLOAD'!J87-'GAS DAILY VOL DOWNLOAD'!$B87+$B87</f>
        <v>0.5</v>
      </c>
      <c r="K87" s="292" t="n">
        <f aca="false">'GAS DAILY VOL DOWNLOAD'!K87-'GAS DAILY VOL DOWNLOAD'!$B87+$B87</f>
        <v>0.45</v>
      </c>
      <c r="L87" s="292" t="n">
        <f aca="false">'GAS DAILY VOL DOWNLOAD'!L87-'GAS DAILY VOL DOWNLOAD'!$B87+$B87</f>
        <v>0.5</v>
      </c>
      <c r="M87" s="292" t="n">
        <f aca="false">'GAS DAILY VOL DOWNLOAD'!M87-'GAS DAILY VOL DOWNLOAD'!$B87+$B87</f>
        <v>0.45</v>
      </c>
      <c r="N87" s="292" t="n">
        <f aca="false">'GAS DAILY VOL DOWNLOAD'!N87-'GAS DAILY VOL DOWNLOAD'!$B87+$B87</f>
        <v>0.5</v>
      </c>
      <c r="O87" s="292" t="n">
        <f aca="false">'GAS DAILY VOL DOWNLOAD'!O87-'GAS DAILY VOL DOWNLOAD'!$B87+$B87</f>
        <v>0.6</v>
      </c>
      <c r="P87" s="292" t="n">
        <f aca="false">'GAS DAILY VOL DOWNLOAD'!P87-'GAS DAILY VOL DOWNLOAD'!$B87+$B87</f>
        <v>0.6</v>
      </c>
      <c r="Q87" s="292" t="n">
        <f aca="false">'GAS DAILY VOL DOWNLOAD'!Q87-'GAS DAILY VOL DOWNLOAD'!$B87+$B87</f>
        <v>0.45</v>
      </c>
    </row>
    <row r="88" customFormat="false" ht="12.75" hidden="false" customHeight="false" outlineLevel="0" collapsed="false">
      <c r="A88" s="317" t="n">
        <v>39630</v>
      </c>
      <c r="B88" s="292" t="n">
        <f aca="false">STRADDLES!L110</f>
        <v>0.5</v>
      </c>
      <c r="C88" s="292" t="n">
        <f aca="false">'GAS DAILY VOL DOWNLOAD'!C88-'GAS DAILY VOL DOWNLOAD'!$B88+$B88</f>
        <v>0.5</v>
      </c>
      <c r="D88" s="292" t="n">
        <f aca="false">'GAS DAILY VOL DOWNLOAD'!D88-'GAS DAILY VOL DOWNLOAD'!$B88+$B88</f>
        <v>0.4</v>
      </c>
      <c r="E88" s="292" t="n">
        <f aca="false">'GAS DAILY VOL DOWNLOAD'!E88-'GAS DAILY VOL DOWNLOAD'!$B88+$B88</f>
        <v>0.5</v>
      </c>
      <c r="F88" s="292" t="n">
        <f aca="false">'GAS DAILY VOL DOWNLOAD'!F88-'GAS DAILY VOL DOWNLOAD'!$B88+$B88</f>
        <v>0.5</v>
      </c>
      <c r="G88" s="292" t="n">
        <f aca="false">'GAS DAILY VOL DOWNLOAD'!G88-'GAS DAILY VOL DOWNLOAD'!$B88+$B88</f>
        <v>0.5</v>
      </c>
      <c r="H88" s="292" t="n">
        <f aca="false">'GAS DAILY VOL DOWNLOAD'!H88-'GAS DAILY VOL DOWNLOAD'!$B88+$B88</f>
        <v>0.5</v>
      </c>
      <c r="I88" s="292" t="n">
        <f aca="false">'GAS DAILY VOL DOWNLOAD'!I88-'GAS DAILY VOL DOWNLOAD'!$B88+$B88</f>
        <v>0.5</v>
      </c>
      <c r="J88" s="292" t="n">
        <f aca="false">'GAS DAILY VOL DOWNLOAD'!J88-'GAS DAILY VOL DOWNLOAD'!$B88+$B88</f>
        <v>0.5</v>
      </c>
      <c r="K88" s="292" t="n">
        <f aca="false">'GAS DAILY VOL DOWNLOAD'!K88-'GAS DAILY VOL DOWNLOAD'!$B88+$B88</f>
        <v>0.5</v>
      </c>
      <c r="L88" s="292" t="n">
        <f aca="false">'GAS DAILY VOL DOWNLOAD'!L88-'GAS DAILY VOL DOWNLOAD'!$B88+$B88</f>
        <v>0.55</v>
      </c>
      <c r="M88" s="292" t="n">
        <f aca="false">'GAS DAILY VOL DOWNLOAD'!M88-'GAS DAILY VOL DOWNLOAD'!$B88+$B88</f>
        <v>0.5</v>
      </c>
      <c r="N88" s="292" t="n">
        <f aca="false">'GAS DAILY VOL DOWNLOAD'!N88-'GAS DAILY VOL DOWNLOAD'!$B88+$B88</f>
        <v>0.5</v>
      </c>
      <c r="O88" s="292" t="n">
        <f aca="false">'GAS DAILY VOL DOWNLOAD'!O88-'GAS DAILY VOL DOWNLOAD'!$B88+$B88</f>
        <v>0.65</v>
      </c>
      <c r="P88" s="292" t="n">
        <f aca="false">'GAS DAILY VOL DOWNLOAD'!P88-'GAS DAILY VOL DOWNLOAD'!$B88+$B88</f>
        <v>0.6</v>
      </c>
      <c r="Q88" s="292" t="n">
        <f aca="false">'GAS DAILY VOL DOWNLOAD'!Q88-'GAS DAILY VOL DOWNLOAD'!$B88+$B88</f>
        <v>0.5</v>
      </c>
    </row>
    <row r="89" customFormat="false" ht="12.75" hidden="false" customHeight="false" outlineLevel="0" collapsed="false">
      <c r="A89" s="317" t="n">
        <v>39661</v>
      </c>
      <c r="B89" s="292" t="n">
        <f aca="false">STRADDLES!L111</f>
        <v>0.55</v>
      </c>
      <c r="C89" s="292" t="n">
        <f aca="false">'GAS DAILY VOL DOWNLOAD'!C89-'GAS DAILY VOL DOWNLOAD'!$B89+$B89</f>
        <v>0.55</v>
      </c>
      <c r="D89" s="292" t="n">
        <f aca="false">'GAS DAILY VOL DOWNLOAD'!D89-'GAS DAILY VOL DOWNLOAD'!$B89+$B89</f>
        <v>0.5</v>
      </c>
      <c r="E89" s="292" t="n">
        <f aca="false">'GAS DAILY VOL DOWNLOAD'!E89-'GAS DAILY VOL DOWNLOAD'!$B89+$B89</f>
        <v>0.6</v>
      </c>
      <c r="F89" s="292" t="n">
        <f aca="false">'GAS DAILY VOL DOWNLOAD'!F89-'GAS DAILY VOL DOWNLOAD'!$B89+$B89</f>
        <v>0.55</v>
      </c>
      <c r="G89" s="292" t="n">
        <f aca="false">'GAS DAILY VOL DOWNLOAD'!G89-'GAS DAILY VOL DOWNLOAD'!$B89+$B89</f>
        <v>0.6</v>
      </c>
      <c r="H89" s="292" t="n">
        <f aca="false">'GAS DAILY VOL DOWNLOAD'!H89-'GAS DAILY VOL DOWNLOAD'!$B89+$B89</f>
        <v>0.55</v>
      </c>
      <c r="I89" s="292" t="n">
        <f aca="false">'GAS DAILY VOL DOWNLOAD'!I89-'GAS DAILY VOL DOWNLOAD'!$B89+$B89</f>
        <v>0.6</v>
      </c>
      <c r="J89" s="292" t="n">
        <f aca="false">'GAS DAILY VOL DOWNLOAD'!J89-'GAS DAILY VOL DOWNLOAD'!$B89+$B89</f>
        <v>0.45</v>
      </c>
      <c r="K89" s="292" t="n">
        <f aca="false">'GAS DAILY VOL DOWNLOAD'!K89-'GAS DAILY VOL DOWNLOAD'!$B89+$B89</f>
        <v>0.55</v>
      </c>
      <c r="L89" s="292" t="n">
        <f aca="false">'GAS DAILY VOL DOWNLOAD'!L89-'GAS DAILY VOL DOWNLOAD'!$B89+$B89</f>
        <v>0.6</v>
      </c>
      <c r="M89" s="292" t="n">
        <f aca="false">'GAS DAILY VOL DOWNLOAD'!M89-'GAS DAILY VOL DOWNLOAD'!$B89+$B89</f>
        <v>0.55</v>
      </c>
      <c r="N89" s="292" t="n">
        <f aca="false">'GAS DAILY VOL DOWNLOAD'!N89-'GAS DAILY VOL DOWNLOAD'!$B89+$B89</f>
        <v>0.6</v>
      </c>
      <c r="O89" s="292" t="n">
        <f aca="false">'GAS DAILY VOL DOWNLOAD'!O89-'GAS DAILY VOL DOWNLOAD'!$B89+$B89</f>
        <v>0.7</v>
      </c>
      <c r="P89" s="292" t="n">
        <f aca="false">'GAS DAILY VOL DOWNLOAD'!P89-'GAS DAILY VOL DOWNLOAD'!$B89+$B89</f>
        <v>0.7</v>
      </c>
      <c r="Q89" s="292" t="n">
        <f aca="false">'GAS DAILY VOL DOWNLOAD'!Q89-'GAS DAILY VOL DOWNLOAD'!$B89+$B89</f>
        <v>0.55</v>
      </c>
    </row>
    <row r="90" customFormat="false" ht="12.75" hidden="false" customHeight="false" outlineLevel="0" collapsed="false">
      <c r="A90" s="317" t="n">
        <v>39692</v>
      </c>
      <c r="B90" s="292" t="n">
        <f aca="false">STRADDLES!L112</f>
        <v>0.55</v>
      </c>
      <c r="C90" s="292" t="n">
        <f aca="false">'GAS DAILY VOL DOWNLOAD'!C90-'GAS DAILY VOL DOWNLOAD'!$B90+$B90</f>
        <v>0.55</v>
      </c>
      <c r="D90" s="292" t="n">
        <f aca="false">'GAS DAILY VOL DOWNLOAD'!D90-'GAS DAILY VOL DOWNLOAD'!$B90+$B90</f>
        <v>0.55</v>
      </c>
      <c r="E90" s="292" t="n">
        <f aca="false">'GAS DAILY VOL DOWNLOAD'!E90-'GAS DAILY VOL DOWNLOAD'!$B90+$B90</f>
        <v>0.55</v>
      </c>
      <c r="F90" s="292" t="n">
        <f aca="false">'GAS DAILY VOL DOWNLOAD'!F90-'GAS DAILY VOL DOWNLOAD'!$B90+$B90</f>
        <v>0.55</v>
      </c>
      <c r="G90" s="292" t="n">
        <f aca="false">'GAS DAILY VOL DOWNLOAD'!G90-'GAS DAILY VOL DOWNLOAD'!$B90+$B90</f>
        <v>0.6</v>
      </c>
      <c r="H90" s="292" t="n">
        <f aca="false">'GAS DAILY VOL DOWNLOAD'!H90-'GAS DAILY VOL DOWNLOAD'!$B90+$B90</f>
        <v>0.6</v>
      </c>
      <c r="I90" s="292" t="n">
        <f aca="false">'GAS DAILY VOL DOWNLOAD'!I90-'GAS DAILY VOL DOWNLOAD'!$B90+$B90</f>
        <v>0.55</v>
      </c>
      <c r="J90" s="292" t="n">
        <f aca="false">'GAS DAILY VOL DOWNLOAD'!J90-'GAS DAILY VOL DOWNLOAD'!$B90+$B90</f>
        <v>0.5</v>
      </c>
      <c r="K90" s="292" t="n">
        <f aca="false">'GAS DAILY VOL DOWNLOAD'!K90-'GAS DAILY VOL DOWNLOAD'!$B90+$B90</f>
        <v>0.55</v>
      </c>
      <c r="L90" s="292" t="n">
        <f aca="false">'GAS DAILY VOL DOWNLOAD'!L90-'GAS DAILY VOL DOWNLOAD'!$B90+$B90</f>
        <v>0.6</v>
      </c>
      <c r="M90" s="292" t="n">
        <f aca="false">'GAS DAILY VOL DOWNLOAD'!M90-'GAS DAILY VOL DOWNLOAD'!$B90+$B90</f>
        <v>0.55</v>
      </c>
      <c r="N90" s="292" t="n">
        <f aca="false">'GAS DAILY VOL DOWNLOAD'!N90-'GAS DAILY VOL DOWNLOAD'!$B90+$B90</f>
        <v>0.6</v>
      </c>
      <c r="O90" s="292" t="n">
        <f aca="false">'GAS DAILY VOL DOWNLOAD'!O90-'GAS DAILY VOL DOWNLOAD'!$B90+$B90</f>
        <v>0.7</v>
      </c>
      <c r="P90" s="292" t="n">
        <f aca="false">'GAS DAILY VOL DOWNLOAD'!P90-'GAS DAILY VOL DOWNLOAD'!$B90+$B90</f>
        <v>0.65</v>
      </c>
      <c r="Q90" s="292" t="n">
        <f aca="false">'GAS DAILY VOL DOWNLOAD'!Q90-'GAS DAILY VOL DOWNLOAD'!$B90+$B90</f>
        <v>0.55</v>
      </c>
    </row>
    <row r="91" customFormat="false" ht="12.75" hidden="false" customHeight="false" outlineLevel="0" collapsed="false">
      <c r="A91" s="317" t="n">
        <v>39722</v>
      </c>
      <c r="B91" s="292" t="n">
        <f aca="false">STRADDLES!L113</f>
        <v>0.6</v>
      </c>
      <c r="C91" s="292" t="n">
        <f aca="false">'GAS DAILY VOL DOWNLOAD'!C91-'GAS DAILY VOL DOWNLOAD'!$B91+$B91</f>
        <v>0.6</v>
      </c>
      <c r="D91" s="292" t="n">
        <f aca="false">'GAS DAILY VOL DOWNLOAD'!D91-'GAS DAILY VOL DOWNLOAD'!$B91+$B91</f>
        <v>0.55</v>
      </c>
      <c r="E91" s="292" t="n">
        <f aca="false">'GAS DAILY VOL DOWNLOAD'!E91-'GAS DAILY VOL DOWNLOAD'!$B91+$B91</f>
        <v>0.6</v>
      </c>
      <c r="F91" s="292" t="n">
        <f aca="false">'GAS DAILY VOL DOWNLOAD'!F91-'GAS DAILY VOL DOWNLOAD'!$B91+$B91</f>
        <v>0.6</v>
      </c>
      <c r="G91" s="292" t="n">
        <f aca="false">'GAS DAILY VOL DOWNLOAD'!G91-'GAS DAILY VOL DOWNLOAD'!$B91+$B91</f>
        <v>0.65</v>
      </c>
      <c r="H91" s="292" t="n">
        <f aca="false">'GAS DAILY VOL DOWNLOAD'!H91-'GAS DAILY VOL DOWNLOAD'!$B91+$B91</f>
        <v>0.65</v>
      </c>
      <c r="I91" s="292" t="n">
        <f aca="false">'GAS DAILY VOL DOWNLOAD'!I91-'GAS DAILY VOL DOWNLOAD'!$B91+$B91</f>
        <v>0.6</v>
      </c>
      <c r="J91" s="292" t="n">
        <f aca="false">'GAS DAILY VOL DOWNLOAD'!J91-'GAS DAILY VOL DOWNLOAD'!$B91+$B91</f>
        <v>0.5</v>
      </c>
      <c r="K91" s="292" t="n">
        <f aca="false">'GAS DAILY VOL DOWNLOAD'!K91-'GAS DAILY VOL DOWNLOAD'!$B91+$B91</f>
        <v>0.6</v>
      </c>
      <c r="L91" s="292" t="n">
        <f aca="false">'GAS DAILY VOL DOWNLOAD'!L91-'GAS DAILY VOL DOWNLOAD'!$B91+$B91</f>
        <v>0.65</v>
      </c>
      <c r="M91" s="292" t="n">
        <f aca="false">'GAS DAILY VOL DOWNLOAD'!M91-'GAS DAILY VOL DOWNLOAD'!$B91+$B91</f>
        <v>0.6</v>
      </c>
      <c r="N91" s="292" t="n">
        <f aca="false">'GAS DAILY VOL DOWNLOAD'!N91-'GAS DAILY VOL DOWNLOAD'!$B91+$B91</f>
        <v>0.65</v>
      </c>
      <c r="O91" s="292" t="n">
        <f aca="false">'GAS DAILY VOL DOWNLOAD'!O91-'GAS DAILY VOL DOWNLOAD'!$B91+$B91</f>
        <v>0.75</v>
      </c>
      <c r="P91" s="292" t="n">
        <f aca="false">'GAS DAILY VOL DOWNLOAD'!P91-'GAS DAILY VOL DOWNLOAD'!$B91+$B91</f>
        <v>0.7</v>
      </c>
      <c r="Q91" s="292" t="n">
        <f aca="false">'GAS DAILY VOL DOWNLOAD'!Q91-'GAS DAILY VOL DOWNLOAD'!$B91+$B91</f>
        <v>0.6</v>
      </c>
    </row>
    <row r="92" customFormat="false" ht="12.75" hidden="false" customHeight="false" outlineLevel="0" collapsed="false">
      <c r="A92" s="317" t="n">
        <v>39753</v>
      </c>
      <c r="B92" s="292" t="n">
        <f aca="false">STRADDLES!L114</f>
        <v>0.8</v>
      </c>
      <c r="C92" s="292" t="n">
        <f aca="false">'GAS DAILY VOL DOWNLOAD'!C92-'GAS DAILY VOL DOWNLOAD'!$B92+$B92</f>
        <v>0.85</v>
      </c>
      <c r="D92" s="292" t="n">
        <f aca="false">'GAS DAILY VOL DOWNLOAD'!D92-'GAS DAILY VOL DOWNLOAD'!$B92+$B92</f>
        <v>0.8</v>
      </c>
      <c r="E92" s="292" t="n">
        <f aca="false">'GAS DAILY VOL DOWNLOAD'!E92-'GAS DAILY VOL DOWNLOAD'!$B92+$B92</f>
        <v>0.8</v>
      </c>
      <c r="F92" s="292" t="n">
        <f aca="false">'GAS DAILY VOL DOWNLOAD'!F92-'GAS DAILY VOL DOWNLOAD'!$B92+$B92</f>
        <v>0.9</v>
      </c>
      <c r="G92" s="292" t="n">
        <f aca="false">'GAS DAILY VOL DOWNLOAD'!G92-'GAS DAILY VOL DOWNLOAD'!$B92+$B92</f>
        <v>0.95</v>
      </c>
      <c r="H92" s="292" t="n">
        <f aca="false">'GAS DAILY VOL DOWNLOAD'!H92-'GAS DAILY VOL DOWNLOAD'!$B92+$B92</f>
        <v>0.85</v>
      </c>
      <c r="I92" s="292" t="n">
        <f aca="false">'GAS DAILY VOL DOWNLOAD'!I92-'GAS DAILY VOL DOWNLOAD'!$B92+$B92</f>
        <v>0.8</v>
      </c>
      <c r="J92" s="292" t="n">
        <f aca="false">'GAS DAILY VOL DOWNLOAD'!J92-'GAS DAILY VOL DOWNLOAD'!$B92+$B92</f>
        <v>0.95</v>
      </c>
      <c r="K92" s="292" t="n">
        <f aca="false">'GAS DAILY VOL DOWNLOAD'!K92-'GAS DAILY VOL DOWNLOAD'!$B92+$B92</f>
        <v>0.8</v>
      </c>
      <c r="L92" s="292" t="n">
        <f aca="false">'GAS DAILY VOL DOWNLOAD'!L92-'GAS DAILY VOL DOWNLOAD'!$B92+$B92</f>
        <v>0.8</v>
      </c>
      <c r="M92" s="292" t="n">
        <f aca="false">'GAS DAILY VOL DOWNLOAD'!M92-'GAS DAILY VOL DOWNLOAD'!$B92+$B92</f>
        <v>0.8</v>
      </c>
      <c r="N92" s="292" t="n">
        <f aca="false">'GAS DAILY VOL DOWNLOAD'!N92-'GAS DAILY VOL DOWNLOAD'!$B92+$B92</f>
        <v>0.95</v>
      </c>
      <c r="O92" s="292" t="n">
        <f aca="false">'GAS DAILY VOL DOWNLOAD'!O92-'GAS DAILY VOL DOWNLOAD'!$B92+$B92</f>
        <v>0.95</v>
      </c>
      <c r="P92" s="292" t="n">
        <f aca="false">'GAS DAILY VOL DOWNLOAD'!P92-'GAS DAILY VOL DOWNLOAD'!$B92+$B92</f>
        <v>0.9</v>
      </c>
      <c r="Q92" s="292" t="n">
        <f aca="false">'GAS DAILY VOL DOWNLOAD'!Q92-'GAS DAILY VOL DOWNLOAD'!$B92+$B92</f>
        <v>0.8</v>
      </c>
    </row>
    <row r="93" customFormat="false" ht="12.75" hidden="false" customHeight="false" outlineLevel="0" collapsed="false">
      <c r="A93" s="317" t="n">
        <v>39783</v>
      </c>
      <c r="B93" s="292" t="n">
        <f aca="false">STRADDLES!L115</f>
        <v>1</v>
      </c>
      <c r="C93" s="292" t="n">
        <f aca="false">'GAS DAILY VOL DOWNLOAD'!C93-'GAS DAILY VOL DOWNLOAD'!$B93+$B93</f>
        <v>1.05</v>
      </c>
      <c r="D93" s="292" t="n">
        <f aca="false">'GAS DAILY VOL DOWNLOAD'!D93-'GAS DAILY VOL DOWNLOAD'!$B93+$B93</f>
        <v>1</v>
      </c>
      <c r="E93" s="292" t="n">
        <f aca="false">'GAS DAILY VOL DOWNLOAD'!E93-'GAS DAILY VOL DOWNLOAD'!$B93+$B93</f>
        <v>1</v>
      </c>
      <c r="F93" s="292" t="n">
        <f aca="false">'GAS DAILY VOL DOWNLOAD'!F93-'GAS DAILY VOL DOWNLOAD'!$B93+$B93</f>
        <v>1.15</v>
      </c>
      <c r="G93" s="292" t="n">
        <f aca="false">'GAS DAILY VOL DOWNLOAD'!G93-'GAS DAILY VOL DOWNLOAD'!$B93+$B93</f>
        <v>1.25</v>
      </c>
      <c r="H93" s="292" t="n">
        <f aca="false">'GAS DAILY VOL DOWNLOAD'!H93-'GAS DAILY VOL DOWNLOAD'!$B93+$B93</f>
        <v>1.05</v>
      </c>
      <c r="I93" s="292" t="n">
        <f aca="false">'GAS DAILY VOL DOWNLOAD'!I93-'GAS DAILY VOL DOWNLOAD'!$B93+$B93</f>
        <v>1</v>
      </c>
      <c r="J93" s="292" t="n">
        <f aca="false">'GAS DAILY VOL DOWNLOAD'!J93-'GAS DAILY VOL DOWNLOAD'!$B93+$B93</f>
        <v>1.35</v>
      </c>
      <c r="K93" s="292" t="n">
        <f aca="false">'GAS DAILY VOL DOWNLOAD'!K93-'GAS DAILY VOL DOWNLOAD'!$B93+$B93</f>
        <v>1</v>
      </c>
      <c r="L93" s="292" t="n">
        <f aca="false">'GAS DAILY VOL DOWNLOAD'!L93-'GAS DAILY VOL DOWNLOAD'!$B93+$B93</f>
        <v>1.1</v>
      </c>
      <c r="M93" s="292" t="n">
        <f aca="false">'GAS DAILY VOL DOWNLOAD'!M93-'GAS DAILY VOL DOWNLOAD'!$B93+$B93</f>
        <v>1</v>
      </c>
      <c r="N93" s="292" t="n">
        <f aca="false">'GAS DAILY VOL DOWNLOAD'!N93-'GAS DAILY VOL DOWNLOAD'!$B93+$B93</f>
        <v>1.25</v>
      </c>
      <c r="O93" s="292" t="n">
        <f aca="false">'GAS DAILY VOL DOWNLOAD'!O93-'GAS DAILY VOL DOWNLOAD'!$B93+$B93</f>
        <v>1.15</v>
      </c>
      <c r="P93" s="292" t="n">
        <f aca="false">'GAS DAILY VOL DOWNLOAD'!P93-'GAS DAILY VOL DOWNLOAD'!$B93+$B93</f>
        <v>1.1</v>
      </c>
      <c r="Q93" s="292" t="n">
        <f aca="false">'GAS DAILY VOL DOWNLOAD'!Q93-'GAS DAILY VOL DOWNLOAD'!$B93+$B93</f>
        <v>1</v>
      </c>
    </row>
    <row r="94" customFormat="false" ht="12.75" hidden="false" customHeight="false" outlineLevel="0" collapsed="false">
      <c r="A94" s="317" t="n">
        <v>39814</v>
      </c>
      <c r="B94" s="292" t="n">
        <f aca="false">STRADDLES!L116</f>
        <v>1</v>
      </c>
      <c r="C94" s="292" t="n">
        <f aca="false">'GAS DAILY VOL DOWNLOAD'!C94-'GAS DAILY VOL DOWNLOAD'!$B94+$B94</f>
        <v>1.05</v>
      </c>
      <c r="D94" s="292" t="n">
        <f aca="false">'GAS DAILY VOL DOWNLOAD'!D94-'GAS DAILY VOL DOWNLOAD'!$B94+$B94</f>
        <v>1</v>
      </c>
      <c r="E94" s="292" t="n">
        <f aca="false">'GAS DAILY VOL DOWNLOAD'!E94-'GAS DAILY VOL DOWNLOAD'!$B94+$B94</f>
        <v>1</v>
      </c>
      <c r="F94" s="292" t="n">
        <f aca="false">'GAS DAILY VOL DOWNLOAD'!F94-'GAS DAILY VOL DOWNLOAD'!$B94+$B94</f>
        <v>1.15</v>
      </c>
      <c r="G94" s="292" t="n">
        <f aca="false">'GAS DAILY VOL DOWNLOAD'!G94-'GAS DAILY VOL DOWNLOAD'!$B94+$B94</f>
        <v>1.45</v>
      </c>
      <c r="H94" s="292" t="n">
        <f aca="false">'GAS DAILY VOL DOWNLOAD'!H94-'GAS DAILY VOL DOWNLOAD'!$B94+$B94</f>
        <v>1.05</v>
      </c>
      <c r="I94" s="292" t="n">
        <f aca="false">'GAS DAILY VOL DOWNLOAD'!I94-'GAS DAILY VOL DOWNLOAD'!$B94+$B94</f>
        <v>1</v>
      </c>
      <c r="J94" s="292" t="n">
        <f aca="false">'GAS DAILY VOL DOWNLOAD'!J94-'GAS DAILY VOL DOWNLOAD'!$B94+$B94</f>
        <v>1.35</v>
      </c>
      <c r="K94" s="292" t="n">
        <f aca="false">'GAS DAILY VOL DOWNLOAD'!K94-'GAS DAILY VOL DOWNLOAD'!$B94+$B94</f>
        <v>1</v>
      </c>
      <c r="L94" s="292" t="n">
        <f aca="false">'GAS DAILY VOL DOWNLOAD'!L94-'GAS DAILY VOL DOWNLOAD'!$B94+$B94</f>
        <v>1.1</v>
      </c>
      <c r="M94" s="292" t="n">
        <f aca="false">'GAS DAILY VOL DOWNLOAD'!M94-'GAS DAILY VOL DOWNLOAD'!$B94+$B94</f>
        <v>1</v>
      </c>
      <c r="N94" s="292" t="n">
        <f aca="false">'GAS DAILY VOL DOWNLOAD'!N94-'GAS DAILY VOL DOWNLOAD'!$B94+$B94</f>
        <v>1.45</v>
      </c>
      <c r="O94" s="292" t="n">
        <f aca="false">'GAS DAILY VOL DOWNLOAD'!O94-'GAS DAILY VOL DOWNLOAD'!$B94+$B94</f>
        <v>1.15</v>
      </c>
      <c r="P94" s="292" t="n">
        <f aca="false">'GAS DAILY VOL DOWNLOAD'!P94-'GAS DAILY VOL DOWNLOAD'!$B94+$B94</f>
        <v>1.1</v>
      </c>
      <c r="Q94" s="292" t="n">
        <f aca="false">'GAS DAILY VOL DOWNLOAD'!Q94-'GAS DAILY VOL DOWNLOAD'!$B94+$B94</f>
        <v>1</v>
      </c>
    </row>
    <row r="95" customFormat="false" ht="12.75" hidden="false" customHeight="false" outlineLevel="0" collapsed="false">
      <c r="A95" s="317" t="n">
        <v>39845</v>
      </c>
      <c r="B95" s="292" t="n">
        <f aca="false">STRADDLES!L117</f>
        <v>1</v>
      </c>
      <c r="C95" s="292" t="n">
        <f aca="false">'GAS DAILY VOL DOWNLOAD'!C95-'GAS DAILY VOL DOWNLOAD'!$B95+$B95</f>
        <v>1.05</v>
      </c>
      <c r="D95" s="292" t="n">
        <f aca="false">'GAS DAILY VOL DOWNLOAD'!D95-'GAS DAILY VOL DOWNLOAD'!$B95+$B95</f>
        <v>1</v>
      </c>
      <c r="E95" s="292" t="n">
        <f aca="false">'GAS DAILY VOL DOWNLOAD'!E95-'GAS DAILY VOL DOWNLOAD'!$B95+$B95</f>
        <v>1</v>
      </c>
      <c r="F95" s="292" t="n">
        <f aca="false">'GAS DAILY VOL DOWNLOAD'!F95-'GAS DAILY VOL DOWNLOAD'!$B95+$B95</f>
        <v>1.15</v>
      </c>
      <c r="G95" s="292" t="n">
        <f aca="false">'GAS DAILY VOL DOWNLOAD'!G95-'GAS DAILY VOL DOWNLOAD'!$B95+$B95</f>
        <v>1.45</v>
      </c>
      <c r="H95" s="292" t="n">
        <f aca="false">'GAS DAILY VOL DOWNLOAD'!H95-'GAS DAILY VOL DOWNLOAD'!$B95+$B95</f>
        <v>1.05</v>
      </c>
      <c r="I95" s="292" t="n">
        <f aca="false">'GAS DAILY VOL DOWNLOAD'!I95-'GAS DAILY VOL DOWNLOAD'!$B95+$B95</f>
        <v>1</v>
      </c>
      <c r="J95" s="292" t="n">
        <f aca="false">'GAS DAILY VOL DOWNLOAD'!J95-'GAS DAILY VOL DOWNLOAD'!$B95+$B95</f>
        <v>1.35</v>
      </c>
      <c r="K95" s="292" t="n">
        <f aca="false">'GAS DAILY VOL DOWNLOAD'!K95-'GAS DAILY VOL DOWNLOAD'!$B95+$B95</f>
        <v>1</v>
      </c>
      <c r="L95" s="292" t="n">
        <f aca="false">'GAS DAILY VOL DOWNLOAD'!L95-'GAS DAILY VOL DOWNLOAD'!$B95+$B95</f>
        <v>1.1</v>
      </c>
      <c r="M95" s="292" t="n">
        <f aca="false">'GAS DAILY VOL DOWNLOAD'!M95-'GAS DAILY VOL DOWNLOAD'!$B95+$B95</f>
        <v>1</v>
      </c>
      <c r="N95" s="292" t="n">
        <f aca="false">'GAS DAILY VOL DOWNLOAD'!N95-'GAS DAILY VOL DOWNLOAD'!$B95+$B95</f>
        <v>1.45</v>
      </c>
      <c r="O95" s="292" t="n">
        <f aca="false">'GAS DAILY VOL DOWNLOAD'!O95-'GAS DAILY VOL DOWNLOAD'!$B95+$B95</f>
        <v>1.15</v>
      </c>
      <c r="P95" s="292" t="n">
        <f aca="false">'GAS DAILY VOL DOWNLOAD'!P95-'GAS DAILY VOL DOWNLOAD'!$B95+$B95</f>
        <v>1.1</v>
      </c>
      <c r="Q95" s="292" t="n">
        <f aca="false">'GAS DAILY VOL DOWNLOAD'!Q95-'GAS DAILY VOL DOWNLOAD'!$B95+$B95</f>
        <v>1</v>
      </c>
    </row>
    <row r="96" customFormat="false" ht="12.75" hidden="false" customHeight="false" outlineLevel="0" collapsed="false">
      <c r="A96" s="317" t="n">
        <v>39873</v>
      </c>
      <c r="B96" s="292" t="n">
        <f aca="false">STRADDLES!L118</f>
        <v>0.75</v>
      </c>
      <c r="C96" s="292" t="n">
        <f aca="false">'GAS DAILY VOL DOWNLOAD'!C96-'GAS DAILY VOL DOWNLOAD'!$B96+$B96</f>
        <v>0.8</v>
      </c>
      <c r="D96" s="292" t="n">
        <f aca="false">'GAS DAILY VOL DOWNLOAD'!D96-'GAS DAILY VOL DOWNLOAD'!$B96+$B96</f>
        <v>0.75</v>
      </c>
      <c r="E96" s="292" t="n">
        <f aca="false">'GAS DAILY VOL DOWNLOAD'!E96-'GAS DAILY VOL DOWNLOAD'!$B96+$B96</f>
        <v>0.75</v>
      </c>
      <c r="F96" s="292" t="n">
        <f aca="false">'GAS DAILY VOL DOWNLOAD'!F96-'GAS DAILY VOL DOWNLOAD'!$B96+$B96</f>
        <v>0.85</v>
      </c>
      <c r="G96" s="292" t="n">
        <f aca="false">'GAS DAILY VOL DOWNLOAD'!G96-'GAS DAILY VOL DOWNLOAD'!$B96+$B96</f>
        <v>1</v>
      </c>
      <c r="H96" s="292" t="n">
        <f aca="false">'GAS DAILY VOL DOWNLOAD'!H96-'GAS DAILY VOL DOWNLOAD'!$B96+$B96</f>
        <v>0.75</v>
      </c>
      <c r="I96" s="292" t="n">
        <f aca="false">'GAS DAILY VOL DOWNLOAD'!I96-'GAS DAILY VOL DOWNLOAD'!$B96+$B96</f>
        <v>0.75</v>
      </c>
      <c r="J96" s="292" t="n">
        <f aca="false">'GAS DAILY VOL DOWNLOAD'!J96-'GAS DAILY VOL DOWNLOAD'!$B96+$B96</f>
        <v>0.95</v>
      </c>
      <c r="K96" s="292" t="n">
        <f aca="false">'GAS DAILY VOL DOWNLOAD'!K96-'GAS DAILY VOL DOWNLOAD'!$B96+$B96</f>
        <v>0.75</v>
      </c>
      <c r="L96" s="292" t="n">
        <f aca="false">'GAS DAILY VOL DOWNLOAD'!L96-'GAS DAILY VOL DOWNLOAD'!$B96+$B96</f>
        <v>0.75</v>
      </c>
      <c r="M96" s="292" t="n">
        <f aca="false">'GAS DAILY VOL DOWNLOAD'!M96-'GAS DAILY VOL DOWNLOAD'!$B96+$B96</f>
        <v>0.75</v>
      </c>
      <c r="N96" s="292" t="n">
        <f aca="false">'GAS DAILY VOL DOWNLOAD'!N96-'GAS DAILY VOL DOWNLOAD'!$B96+$B96</f>
        <v>1</v>
      </c>
      <c r="O96" s="292" t="n">
        <f aca="false">'GAS DAILY VOL DOWNLOAD'!O96-'GAS DAILY VOL DOWNLOAD'!$B96+$B96</f>
        <v>0.9</v>
      </c>
      <c r="P96" s="292" t="n">
        <f aca="false">'GAS DAILY VOL DOWNLOAD'!P96-'GAS DAILY VOL DOWNLOAD'!$B96+$B96</f>
        <v>0.85</v>
      </c>
      <c r="Q96" s="292" t="n">
        <f aca="false">'GAS DAILY VOL DOWNLOAD'!Q96-'GAS DAILY VOL DOWNLOAD'!$B96+$B96</f>
        <v>0.75</v>
      </c>
    </row>
    <row r="97" customFormat="false" ht="12.75" hidden="false" customHeight="false" outlineLevel="0" collapsed="false">
      <c r="A97" s="317" t="n">
        <v>39904</v>
      </c>
      <c r="B97" s="292" t="n">
        <f aca="false">STRADDLES!L119</f>
        <v>0.4</v>
      </c>
      <c r="C97" s="292" t="n">
        <f aca="false">'GAS DAILY VOL DOWNLOAD'!C97-'GAS DAILY VOL DOWNLOAD'!$B97+$B97</f>
        <v>0.45</v>
      </c>
      <c r="D97" s="292" t="n">
        <f aca="false">'GAS DAILY VOL DOWNLOAD'!D97-'GAS DAILY VOL DOWNLOAD'!$B97+$B97</f>
        <v>0.4</v>
      </c>
      <c r="E97" s="292" t="n">
        <f aca="false">'GAS DAILY VOL DOWNLOAD'!E97-'GAS DAILY VOL DOWNLOAD'!$B97+$B97</f>
        <v>0.45</v>
      </c>
      <c r="F97" s="292" t="n">
        <f aca="false">'GAS DAILY VOL DOWNLOAD'!F97-'GAS DAILY VOL DOWNLOAD'!$B97+$B97</f>
        <v>0.45</v>
      </c>
      <c r="G97" s="292" t="n">
        <f aca="false">'GAS DAILY VOL DOWNLOAD'!G97-'GAS DAILY VOL DOWNLOAD'!$B97+$B97</f>
        <v>0.45</v>
      </c>
      <c r="H97" s="292" t="n">
        <f aca="false">'GAS DAILY VOL DOWNLOAD'!H97-'GAS DAILY VOL DOWNLOAD'!$B97+$B97</f>
        <v>0.45</v>
      </c>
      <c r="I97" s="292" t="n">
        <f aca="false">'GAS DAILY VOL DOWNLOAD'!I97-'GAS DAILY VOL DOWNLOAD'!$B97+$B97</f>
        <v>0.45</v>
      </c>
      <c r="J97" s="292" t="n">
        <f aca="false">'GAS DAILY VOL DOWNLOAD'!J97-'GAS DAILY VOL DOWNLOAD'!$B97+$B97</f>
        <v>0.5</v>
      </c>
      <c r="K97" s="292" t="n">
        <f aca="false">'GAS DAILY VOL DOWNLOAD'!K97-'GAS DAILY VOL DOWNLOAD'!$B97+$B97</f>
        <v>0.4</v>
      </c>
      <c r="L97" s="292" t="n">
        <f aca="false">'GAS DAILY VOL DOWNLOAD'!L97-'GAS DAILY VOL DOWNLOAD'!$B97+$B97</f>
        <v>0.45</v>
      </c>
      <c r="M97" s="292" t="n">
        <f aca="false">'GAS DAILY VOL DOWNLOAD'!M97-'GAS DAILY VOL DOWNLOAD'!$B97+$B97</f>
        <v>0.4</v>
      </c>
      <c r="N97" s="292" t="n">
        <f aca="false">'GAS DAILY VOL DOWNLOAD'!N97-'GAS DAILY VOL DOWNLOAD'!$B97+$B97</f>
        <v>0.45</v>
      </c>
      <c r="O97" s="292" t="n">
        <f aca="false">'GAS DAILY VOL DOWNLOAD'!O97-'GAS DAILY VOL DOWNLOAD'!$B97+$B97</f>
        <v>0.55</v>
      </c>
      <c r="P97" s="292" t="n">
        <f aca="false">'GAS DAILY VOL DOWNLOAD'!P97-'GAS DAILY VOL DOWNLOAD'!$B97+$B97</f>
        <v>0.55</v>
      </c>
      <c r="Q97" s="292" t="n">
        <f aca="false">'GAS DAILY VOL DOWNLOAD'!Q97-'GAS DAILY VOL DOWNLOAD'!$B97+$B97</f>
        <v>0.4</v>
      </c>
    </row>
    <row r="98" customFormat="false" ht="12.75" hidden="false" customHeight="false" outlineLevel="0" collapsed="false">
      <c r="A98" s="317" t="n">
        <v>39934</v>
      </c>
      <c r="B98" s="292" t="n">
        <f aca="false">STRADDLES!L120</f>
        <v>0.45</v>
      </c>
      <c r="C98" s="292" t="n">
        <f aca="false">'GAS DAILY VOL DOWNLOAD'!C98-'GAS DAILY VOL DOWNLOAD'!$B98+$B98</f>
        <v>0.5</v>
      </c>
      <c r="D98" s="292" t="n">
        <f aca="false">'GAS DAILY VOL DOWNLOAD'!D98-'GAS DAILY VOL DOWNLOAD'!$B98+$B98</f>
        <v>0.4</v>
      </c>
      <c r="E98" s="292" t="n">
        <f aca="false">'GAS DAILY VOL DOWNLOAD'!E98-'GAS DAILY VOL DOWNLOAD'!$B98+$B98</f>
        <v>0.4</v>
      </c>
      <c r="F98" s="292" t="n">
        <f aca="false">'GAS DAILY VOL DOWNLOAD'!F98-'GAS DAILY VOL DOWNLOAD'!$B98+$B98</f>
        <v>0.45</v>
      </c>
      <c r="G98" s="292" t="n">
        <f aca="false">'GAS DAILY VOL DOWNLOAD'!G98-'GAS DAILY VOL DOWNLOAD'!$B98+$B98</f>
        <v>0.5</v>
      </c>
      <c r="H98" s="292" t="n">
        <f aca="false">'GAS DAILY VOL DOWNLOAD'!H98-'GAS DAILY VOL DOWNLOAD'!$B98+$B98</f>
        <v>0.45</v>
      </c>
      <c r="I98" s="292" t="n">
        <f aca="false">'GAS DAILY VOL DOWNLOAD'!I98-'GAS DAILY VOL DOWNLOAD'!$B98+$B98</f>
        <v>0.4</v>
      </c>
      <c r="J98" s="292" t="n">
        <f aca="false">'GAS DAILY VOL DOWNLOAD'!J98-'GAS DAILY VOL DOWNLOAD'!$B98+$B98</f>
        <v>0.45</v>
      </c>
      <c r="K98" s="292" t="n">
        <f aca="false">'GAS DAILY VOL DOWNLOAD'!K98-'GAS DAILY VOL DOWNLOAD'!$B98+$B98</f>
        <v>0.45</v>
      </c>
      <c r="L98" s="292" t="n">
        <f aca="false">'GAS DAILY VOL DOWNLOAD'!L98-'GAS DAILY VOL DOWNLOAD'!$B98+$B98</f>
        <v>0.5</v>
      </c>
      <c r="M98" s="292" t="n">
        <f aca="false">'GAS DAILY VOL DOWNLOAD'!M98-'GAS DAILY VOL DOWNLOAD'!$B98+$B98</f>
        <v>0.45</v>
      </c>
      <c r="N98" s="292" t="n">
        <f aca="false">'GAS DAILY VOL DOWNLOAD'!N98-'GAS DAILY VOL DOWNLOAD'!$B98+$B98</f>
        <v>0.5</v>
      </c>
      <c r="O98" s="292" t="n">
        <f aca="false">'GAS DAILY VOL DOWNLOAD'!O98-'GAS DAILY VOL DOWNLOAD'!$B98+$B98</f>
        <v>0.6</v>
      </c>
      <c r="P98" s="292" t="n">
        <f aca="false">'GAS DAILY VOL DOWNLOAD'!P98-'GAS DAILY VOL DOWNLOAD'!$B98+$B98</f>
        <v>0.5</v>
      </c>
      <c r="Q98" s="292" t="n">
        <f aca="false">'GAS DAILY VOL DOWNLOAD'!Q98-'GAS DAILY VOL DOWNLOAD'!$B98+$B98</f>
        <v>0.45</v>
      </c>
    </row>
    <row r="99" customFormat="false" ht="12.75" hidden="false" customHeight="false" outlineLevel="0" collapsed="false">
      <c r="A99" s="317" t="n">
        <v>39965</v>
      </c>
      <c r="B99" s="292" t="n">
        <f aca="false">STRADDLES!L121</f>
        <v>0.45</v>
      </c>
      <c r="C99" s="292" t="n">
        <f aca="false">'GAS DAILY VOL DOWNLOAD'!C99-'GAS DAILY VOL DOWNLOAD'!$B99+$B99</f>
        <v>0.5</v>
      </c>
      <c r="D99" s="292" t="n">
        <f aca="false">'GAS DAILY VOL DOWNLOAD'!D99-'GAS DAILY VOL DOWNLOAD'!$B99+$B99</f>
        <v>0.4</v>
      </c>
      <c r="E99" s="292" t="n">
        <f aca="false">'GAS DAILY VOL DOWNLOAD'!E99-'GAS DAILY VOL DOWNLOAD'!$B99+$B99</f>
        <v>0.5</v>
      </c>
      <c r="F99" s="292" t="n">
        <f aca="false">'GAS DAILY VOL DOWNLOAD'!F99-'GAS DAILY VOL DOWNLOAD'!$B99+$B99</f>
        <v>0.45</v>
      </c>
      <c r="G99" s="292" t="n">
        <f aca="false">'GAS DAILY VOL DOWNLOAD'!G99-'GAS DAILY VOL DOWNLOAD'!$B99+$B99</f>
        <v>0.5</v>
      </c>
      <c r="H99" s="292" t="n">
        <f aca="false">'GAS DAILY VOL DOWNLOAD'!H99-'GAS DAILY VOL DOWNLOAD'!$B99+$B99</f>
        <v>0.5</v>
      </c>
      <c r="I99" s="292" t="n">
        <f aca="false">'GAS DAILY VOL DOWNLOAD'!I99-'GAS DAILY VOL DOWNLOAD'!$B99+$B99</f>
        <v>0.5</v>
      </c>
      <c r="J99" s="292" t="n">
        <f aca="false">'GAS DAILY VOL DOWNLOAD'!J99-'GAS DAILY VOL DOWNLOAD'!$B99+$B99</f>
        <v>0.5</v>
      </c>
      <c r="K99" s="292" t="n">
        <f aca="false">'GAS DAILY VOL DOWNLOAD'!K99-'GAS DAILY VOL DOWNLOAD'!$B99+$B99</f>
        <v>0.45</v>
      </c>
      <c r="L99" s="292" t="n">
        <f aca="false">'GAS DAILY VOL DOWNLOAD'!L99-'GAS DAILY VOL DOWNLOAD'!$B99+$B99</f>
        <v>0.5</v>
      </c>
      <c r="M99" s="292" t="n">
        <f aca="false">'GAS DAILY VOL DOWNLOAD'!M99-'GAS DAILY VOL DOWNLOAD'!$B99+$B99</f>
        <v>0.45</v>
      </c>
      <c r="N99" s="292" t="n">
        <f aca="false">'GAS DAILY VOL DOWNLOAD'!N99-'GAS DAILY VOL DOWNLOAD'!$B99+$B99</f>
        <v>0.5</v>
      </c>
      <c r="O99" s="292" t="n">
        <f aca="false">'GAS DAILY VOL DOWNLOAD'!O99-'GAS DAILY VOL DOWNLOAD'!$B99+$B99</f>
        <v>0.6</v>
      </c>
      <c r="P99" s="292" t="n">
        <f aca="false">'GAS DAILY VOL DOWNLOAD'!P99-'GAS DAILY VOL DOWNLOAD'!$B99+$B99</f>
        <v>0.6</v>
      </c>
      <c r="Q99" s="292" t="n">
        <f aca="false">'GAS DAILY VOL DOWNLOAD'!Q99-'GAS DAILY VOL DOWNLOAD'!$B99+$B99</f>
        <v>0.45</v>
      </c>
    </row>
    <row r="100" customFormat="false" ht="12.75" hidden="false" customHeight="false" outlineLevel="0" collapsed="false">
      <c r="A100" s="317" t="n">
        <v>39995</v>
      </c>
      <c r="B100" s="292" t="n">
        <f aca="false">STRADDLES!L122</f>
        <v>0.5</v>
      </c>
      <c r="C100" s="292" t="n">
        <f aca="false">'GAS DAILY VOL DOWNLOAD'!C100-'GAS DAILY VOL DOWNLOAD'!$B100+$B100</f>
        <v>0.5</v>
      </c>
      <c r="D100" s="292" t="n">
        <f aca="false">'GAS DAILY VOL DOWNLOAD'!D100-'GAS DAILY VOL DOWNLOAD'!$B100+$B100</f>
        <v>0.4</v>
      </c>
      <c r="E100" s="292" t="n">
        <f aca="false">'GAS DAILY VOL DOWNLOAD'!E100-'GAS DAILY VOL DOWNLOAD'!$B100+$B100</f>
        <v>0.5</v>
      </c>
      <c r="F100" s="292" t="n">
        <f aca="false">'GAS DAILY VOL DOWNLOAD'!F100-'GAS DAILY VOL DOWNLOAD'!$B100+$B100</f>
        <v>0.5</v>
      </c>
      <c r="G100" s="292" t="n">
        <f aca="false">'GAS DAILY VOL DOWNLOAD'!G100-'GAS DAILY VOL DOWNLOAD'!$B100+$B100</f>
        <v>0.5</v>
      </c>
      <c r="H100" s="292" t="n">
        <f aca="false">'GAS DAILY VOL DOWNLOAD'!H100-'GAS DAILY VOL DOWNLOAD'!$B100+$B100</f>
        <v>0.5</v>
      </c>
      <c r="I100" s="292" t="n">
        <f aca="false">'GAS DAILY VOL DOWNLOAD'!I100-'GAS DAILY VOL DOWNLOAD'!$B100+$B100</f>
        <v>0.5</v>
      </c>
      <c r="J100" s="292" t="n">
        <f aca="false">'GAS DAILY VOL DOWNLOAD'!J100-'GAS DAILY VOL DOWNLOAD'!$B100+$B100</f>
        <v>0.5</v>
      </c>
      <c r="K100" s="292" t="n">
        <f aca="false">'GAS DAILY VOL DOWNLOAD'!K100-'GAS DAILY VOL DOWNLOAD'!$B100+$B100</f>
        <v>0.5</v>
      </c>
      <c r="L100" s="292" t="n">
        <f aca="false">'GAS DAILY VOL DOWNLOAD'!L100-'GAS DAILY VOL DOWNLOAD'!$B100+$B100</f>
        <v>0.55</v>
      </c>
      <c r="M100" s="292" t="n">
        <f aca="false">'GAS DAILY VOL DOWNLOAD'!M100-'GAS DAILY VOL DOWNLOAD'!$B100+$B100</f>
        <v>0.5</v>
      </c>
      <c r="N100" s="292" t="n">
        <f aca="false">'GAS DAILY VOL DOWNLOAD'!N100-'GAS DAILY VOL DOWNLOAD'!$B100+$B100</f>
        <v>0.5</v>
      </c>
      <c r="O100" s="292" t="n">
        <f aca="false">'GAS DAILY VOL DOWNLOAD'!O100-'GAS DAILY VOL DOWNLOAD'!$B100+$B100</f>
        <v>0.65</v>
      </c>
      <c r="P100" s="292" t="n">
        <f aca="false">'GAS DAILY VOL DOWNLOAD'!P100-'GAS DAILY VOL DOWNLOAD'!$B100+$B100</f>
        <v>0.6</v>
      </c>
      <c r="Q100" s="292" t="n">
        <f aca="false">'GAS DAILY VOL DOWNLOAD'!Q100-'GAS DAILY VOL DOWNLOAD'!$B100+$B100</f>
        <v>0.5</v>
      </c>
    </row>
    <row r="101" customFormat="false" ht="12.75" hidden="false" customHeight="false" outlineLevel="0" collapsed="false">
      <c r="A101" s="317" t="n">
        <v>40026</v>
      </c>
      <c r="B101" s="292" t="n">
        <f aca="false">STRADDLES!L123</f>
        <v>0.55</v>
      </c>
      <c r="C101" s="292" t="n">
        <f aca="false">'GAS DAILY VOL DOWNLOAD'!C101-'GAS DAILY VOL DOWNLOAD'!$B101+$B101</f>
        <v>0.55</v>
      </c>
      <c r="D101" s="292" t="n">
        <f aca="false">'GAS DAILY VOL DOWNLOAD'!D101-'GAS DAILY VOL DOWNLOAD'!$B101+$B101</f>
        <v>0.5</v>
      </c>
      <c r="E101" s="292" t="n">
        <f aca="false">'GAS DAILY VOL DOWNLOAD'!E101-'GAS DAILY VOL DOWNLOAD'!$B101+$B101</f>
        <v>0.6</v>
      </c>
      <c r="F101" s="292" t="n">
        <f aca="false">'GAS DAILY VOL DOWNLOAD'!F101-'GAS DAILY VOL DOWNLOAD'!$B101+$B101</f>
        <v>0.55</v>
      </c>
      <c r="G101" s="292" t="n">
        <f aca="false">'GAS DAILY VOL DOWNLOAD'!G101-'GAS DAILY VOL DOWNLOAD'!$B101+$B101</f>
        <v>0.6</v>
      </c>
      <c r="H101" s="292" t="n">
        <f aca="false">'GAS DAILY VOL DOWNLOAD'!H101-'GAS DAILY VOL DOWNLOAD'!$B101+$B101</f>
        <v>0.55</v>
      </c>
      <c r="I101" s="292" t="n">
        <f aca="false">'GAS DAILY VOL DOWNLOAD'!I101-'GAS DAILY VOL DOWNLOAD'!$B101+$B101</f>
        <v>0.6</v>
      </c>
      <c r="J101" s="292" t="n">
        <f aca="false">'GAS DAILY VOL DOWNLOAD'!J101-'GAS DAILY VOL DOWNLOAD'!$B101+$B101</f>
        <v>0.45</v>
      </c>
      <c r="K101" s="292" t="n">
        <f aca="false">'GAS DAILY VOL DOWNLOAD'!K101-'GAS DAILY VOL DOWNLOAD'!$B101+$B101</f>
        <v>0.55</v>
      </c>
      <c r="L101" s="292" t="n">
        <f aca="false">'GAS DAILY VOL DOWNLOAD'!L101-'GAS DAILY VOL DOWNLOAD'!$B101+$B101</f>
        <v>0.6</v>
      </c>
      <c r="M101" s="292" t="n">
        <f aca="false">'GAS DAILY VOL DOWNLOAD'!M101-'GAS DAILY VOL DOWNLOAD'!$B101+$B101</f>
        <v>0.55</v>
      </c>
      <c r="N101" s="292" t="n">
        <f aca="false">'GAS DAILY VOL DOWNLOAD'!N101-'GAS DAILY VOL DOWNLOAD'!$B101+$B101</f>
        <v>0.6</v>
      </c>
      <c r="O101" s="292" t="n">
        <f aca="false">'GAS DAILY VOL DOWNLOAD'!O101-'GAS DAILY VOL DOWNLOAD'!$B101+$B101</f>
        <v>0.7</v>
      </c>
      <c r="P101" s="292" t="n">
        <f aca="false">'GAS DAILY VOL DOWNLOAD'!P101-'GAS DAILY VOL DOWNLOAD'!$B101+$B101</f>
        <v>0.7</v>
      </c>
      <c r="Q101" s="292" t="n">
        <f aca="false">'GAS DAILY VOL DOWNLOAD'!Q101-'GAS DAILY VOL DOWNLOAD'!$B101+$B101</f>
        <v>0.55</v>
      </c>
    </row>
    <row r="102" customFormat="false" ht="12.75" hidden="false" customHeight="false" outlineLevel="0" collapsed="false">
      <c r="A102" s="317" t="n">
        <v>40057</v>
      </c>
      <c r="B102" s="292" t="n">
        <f aca="false">STRADDLES!L124</f>
        <v>0.55</v>
      </c>
      <c r="C102" s="292" t="n">
        <f aca="false">'GAS DAILY VOL DOWNLOAD'!C102-'GAS DAILY VOL DOWNLOAD'!$B102+$B102</f>
        <v>0.55</v>
      </c>
      <c r="D102" s="292" t="n">
        <f aca="false">'GAS DAILY VOL DOWNLOAD'!D102-'GAS DAILY VOL DOWNLOAD'!$B102+$B102</f>
        <v>0.55</v>
      </c>
      <c r="E102" s="292" t="n">
        <f aca="false">'GAS DAILY VOL DOWNLOAD'!E102-'GAS DAILY VOL DOWNLOAD'!$B102+$B102</f>
        <v>0.55</v>
      </c>
      <c r="F102" s="292" t="n">
        <f aca="false">'GAS DAILY VOL DOWNLOAD'!F102-'GAS DAILY VOL DOWNLOAD'!$B102+$B102</f>
        <v>0.55</v>
      </c>
      <c r="G102" s="292" t="n">
        <f aca="false">'GAS DAILY VOL DOWNLOAD'!G102-'GAS DAILY VOL DOWNLOAD'!$B102+$B102</f>
        <v>0.6</v>
      </c>
      <c r="H102" s="292" t="n">
        <f aca="false">'GAS DAILY VOL DOWNLOAD'!H102-'GAS DAILY VOL DOWNLOAD'!$B102+$B102</f>
        <v>0.6</v>
      </c>
      <c r="I102" s="292" t="n">
        <f aca="false">'GAS DAILY VOL DOWNLOAD'!I102-'GAS DAILY VOL DOWNLOAD'!$B102+$B102</f>
        <v>0.55</v>
      </c>
      <c r="J102" s="292" t="n">
        <f aca="false">'GAS DAILY VOL DOWNLOAD'!J102-'GAS DAILY VOL DOWNLOAD'!$B102+$B102</f>
        <v>0.5</v>
      </c>
      <c r="K102" s="292" t="n">
        <f aca="false">'GAS DAILY VOL DOWNLOAD'!K102-'GAS DAILY VOL DOWNLOAD'!$B102+$B102</f>
        <v>0.55</v>
      </c>
      <c r="L102" s="292" t="n">
        <f aca="false">'GAS DAILY VOL DOWNLOAD'!L102-'GAS DAILY VOL DOWNLOAD'!$B102+$B102</f>
        <v>0.6</v>
      </c>
      <c r="M102" s="292" t="n">
        <f aca="false">'GAS DAILY VOL DOWNLOAD'!M102-'GAS DAILY VOL DOWNLOAD'!$B102+$B102</f>
        <v>0.55</v>
      </c>
      <c r="N102" s="292" t="n">
        <f aca="false">'GAS DAILY VOL DOWNLOAD'!N102-'GAS DAILY VOL DOWNLOAD'!$B102+$B102</f>
        <v>0.6</v>
      </c>
      <c r="O102" s="292" t="n">
        <f aca="false">'GAS DAILY VOL DOWNLOAD'!O102-'GAS DAILY VOL DOWNLOAD'!$B102+$B102</f>
        <v>0.7</v>
      </c>
      <c r="P102" s="292" t="n">
        <f aca="false">'GAS DAILY VOL DOWNLOAD'!P102-'GAS DAILY VOL DOWNLOAD'!$B102+$B102</f>
        <v>0.65</v>
      </c>
      <c r="Q102" s="292" t="n">
        <f aca="false">'GAS DAILY VOL DOWNLOAD'!Q102-'GAS DAILY VOL DOWNLOAD'!$B102+$B102</f>
        <v>0.55</v>
      </c>
    </row>
    <row r="103" customFormat="false" ht="12.75" hidden="false" customHeight="false" outlineLevel="0" collapsed="false">
      <c r="A103" s="317" t="n">
        <v>40087</v>
      </c>
      <c r="B103" s="292" t="n">
        <f aca="false">STRADDLES!L125</f>
        <v>0.6</v>
      </c>
      <c r="C103" s="292" t="n">
        <f aca="false">'GAS DAILY VOL DOWNLOAD'!C103-'GAS DAILY VOL DOWNLOAD'!$B103+$B103</f>
        <v>0.6</v>
      </c>
      <c r="D103" s="292" t="n">
        <f aca="false">'GAS DAILY VOL DOWNLOAD'!D103-'GAS DAILY VOL DOWNLOAD'!$B103+$B103</f>
        <v>0.55</v>
      </c>
      <c r="E103" s="292" t="n">
        <f aca="false">'GAS DAILY VOL DOWNLOAD'!E103-'GAS DAILY VOL DOWNLOAD'!$B103+$B103</f>
        <v>0.6</v>
      </c>
      <c r="F103" s="292" t="n">
        <f aca="false">'GAS DAILY VOL DOWNLOAD'!F103-'GAS DAILY VOL DOWNLOAD'!$B103+$B103</f>
        <v>0.6</v>
      </c>
      <c r="G103" s="292" t="n">
        <f aca="false">'GAS DAILY VOL DOWNLOAD'!G103-'GAS DAILY VOL DOWNLOAD'!$B103+$B103</f>
        <v>0.65</v>
      </c>
      <c r="H103" s="292" t="n">
        <f aca="false">'GAS DAILY VOL DOWNLOAD'!H103-'GAS DAILY VOL DOWNLOAD'!$B103+$B103</f>
        <v>0.65</v>
      </c>
      <c r="I103" s="292" t="n">
        <f aca="false">'GAS DAILY VOL DOWNLOAD'!I103-'GAS DAILY VOL DOWNLOAD'!$B103+$B103</f>
        <v>0.6</v>
      </c>
      <c r="J103" s="292" t="n">
        <f aca="false">'GAS DAILY VOL DOWNLOAD'!J103-'GAS DAILY VOL DOWNLOAD'!$B103+$B103</f>
        <v>0.5</v>
      </c>
      <c r="K103" s="292" t="n">
        <f aca="false">'GAS DAILY VOL DOWNLOAD'!K103-'GAS DAILY VOL DOWNLOAD'!$B103+$B103</f>
        <v>0.6</v>
      </c>
      <c r="L103" s="292" t="n">
        <f aca="false">'GAS DAILY VOL DOWNLOAD'!L103-'GAS DAILY VOL DOWNLOAD'!$B103+$B103</f>
        <v>0.65</v>
      </c>
      <c r="M103" s="292" t="n">
        <f aca="false">'GAS DAILY VOL DOWNLOAD'!M103-'GAS DAILY VOL DOWNLOAD'!$B103+$B103</f>
        <v>0.6</v>
      </c>
      <c r="N103" s="292" t="n">
        <f aca="false">'GAS DAILY VOL DOWNLOAD'!N103-'GAS DAILY VOL DOWNLOAD'!$B103+$B103</f>
        <v>0.65</v>
      </c>
      <c r="O103" s="292" t="n">
        <f aca="false">'GAS DAILY VOL DOWNLOAD'!O103-'GAS DAILY VOL DOWNLOAD'!$B103+$B103</f>
        <v>0.75</v>
      </c>
      <c r="P103" s="292" t="n">
        <f aca="false">'GAS DAILY VOL DOWNLOAD'!P103-'GAS DAILY VOL DOWNLOAD'!$B103+$B103</f>
        <v>0.7</v>
      </c>
      <c r="Q103" s="292" t="n">
        <f aca="false">'GAS DAILY VOL DOWNLOAD'!Q103-'GAS DAILY VOL DOWNLOAD'!$B103+$B103</f>
        <v>0.6</v>
      </c>
    </row>
    <row r="104" customFormat="false" ht="12.75" hidden="false" customHeight="false" outlineLevel="0" collapsed="false">
      <c r="A104" s="317" t="n">
        <v>40118</v>
      </c>
      <c r="B104" s="292" t="n">
        <f aca="false">STRADDLES!L126</f>
        <v>0.8</v>
      </c>
      <c r="C104" s="292" t="n">
        <f aca="false">'GAS DAILY VOL DOWNLOAD'!C104-'GAS DAILY VOL DOWNLOAD'!$B104+$B104</f>
        <v>0.85</v>
      </c>
      <c r="D104" s="292" t="n">
        <f aca="false">'GAS DAILY VOL DOWNLOAD'!D104-'GAS DAILY VOL DOWNLOAD'!$B104+$B104</f>
        <v>0.8</v>
      </c>
      <c r="E104" s="292" t="n">
        <f aca="false">'GAS DAILY VOL DOWNLOAD'!E104-'GAS DAILY VOL DOWNLOAD'!$B104+$B104</f>
        <v>0.8</v>
      </c>
      <c r="F104" s="292" t="n">
        <f aca="false">'GAS DAILY VOL DOWNLOAD'!F104-'GAS DAILY VOL DOWNLOAD'!$B104+$B104</f>
        <v>0.9</v>
      </c>
      <c r="G104" s="292" t="n">
        <f aca="false">'GAS DAILY VOL DOWNLOAD'!G104-'GAS DAILY VOL DOWNLOAD'!$B104+$B104</f>
        <v>0.95</v>
      </c>
      <c r="H104" s="292" t="n">
        <f aca="false">'GAS DAILY VOL DOWNLOAD'!H104-'GAS DAILY VOL DOWNLOAD'!$B104+$B104</f>
        <v>0.85</v>
      </c>
      <c r="I104" s="292" t="n">
        <f aca="false">'GAS DAILY VOL DOWNLOAD'!I104-'GAS DAILY VOL DOWNLOAD'!$B104+$B104</f>
        <v>0.8</v>
      </c>
      <c r="J104" s="292" t="n">
        <f aca="false">'GAS DAILY VOL DOWNLOAD'!J104-'GAS DAILY VOL DOWNLOAD'!$B104+$B104</f>
        <v>0.95</v>
      </c>
      <c r="K104" s="292" t="n">
        <f aca="false">'GAS DAILY VOL DOWNLOAD'!K104-'GAS DAILY VOL DOWNLOAD'!$B104+$B104</f>
        <v>0.8</v>
      </c>
      <c r="L104" s="292" t="n">
        <f aca="false">'GAS DAILY VOL DOWNLOAD'!L104-'GAS DAILY VOL DOWNLOAD'!$B104+$B104</f>
        <v>0.8</v>
      </c>
      <c r="M104" s="292" t="n">
        <f aca="false">'GAS DAILY VOL DOWNLOAD'!M104-'GAS DAILY VOL DOWNLOAD'!$B104+$B104</f>
        <v>0.8</v>
      </c>
      <c r="N104" s="292" t="n">
        <f aca="false">'GAS DAILY VOL DOWNLOAD'!N104-'GAS DAILY VOL DOWNLOAD'!$B104+$B104</f>
        <v>0.95</v>
      </c>
      <c r="O104" s="292" t="n">
        <f aca="false">'GAS DAILY VOL DOWNLOAD'!O104-'GAS DAILY VOL DOWNLOAD'!$B104+$B104</f>
        <v>0.95</v>
      </c>
      <c r="P104" s="292" t="n">
        <f aca="false">'GAS DAILY VOL DOWNLOAD'!P104-'GAS DAILY VOL DOWNLOAD'!$B104+$B104</f>
        <v>0.9</v>
      </c>
      <c r="Q104" s="292" t="n">
        <f aca="false">'GAS DAILY VOL DOWNLOAD'!Q104-'GAS DAILY VOL DOWNLOAD'!$B104+$B104</f>
        <v>0.8</v>
      </c>
    </row>
    <row r="105" customFormat="false" ht="12.75" hidden="false" customHeight="false" outlineLevel="0" collapsed="false">
      <c r="A105" s="317" t="n">
        <v>40148</v>
      </c>
      <c r="B105" s="292" t="n">
        <f aca="false">STRADDLES!L127</f>
        <v>1</v>
      </c>
      <c r="C105" s="292" t="n">
        <f aca="false">'GAS DAILY VOL DOWNLOAD'!C105-'GAS DAILY VOL DOWNLOAD'!$B105+$B105</f>
        <v>1.05</v>
      </c>
      <c r="D105" s="292" t="n">
        <f aca="false">'GAS DAILY VOL DOWNLOAD'!D105-'GAS DAILY VOL DOWNLOAD'!$B105+$B105</f>
        <v>1</v>
      </c>
      <c r="E105" s="292" t="n">
        <f aca="false">'GAS DAILY VOL DOWNLOAD'!E105-'GAS DAILY VOL DOWNLOAD'!$B105+$B105</f>
        <v>1</v>
      </c>
      <c r="F105" s="292" t="n">
        <f aca="false">'GAS DAILY VOL DOWNLOAD'!F105-'GAS DAILY VOL DOWNLOAD'!$B105+$B105</f>
        <v>1.15</v>
      </c>
      <c r="G105" s="292" t="n">
        <f aca="false">'GAS DAILY VOL DOWNLOAD'!G105-'GAS DAILY VOL DOWNLOAD'!$B105+$B105</f>
        <v>1.25</v>
      </c>
      <c r="H105" s="292" t="n">
        <f aca="false">'GAS DAILY VOL DOWNLOAD'!H105-'GAS DAILY VOL DOWNLOAD'!$B105+$B105</f>
        <v>1.05</v>
      </c>
      <c r="I105" s="292" t="n">
        <f aca="false">'GAS DAILY VOL DOWNLOAD'!I105-'GAS DAILY VOL DOWNLOAD'!$B105+$B105</f>
        <v>1</v>
      </c>
      <c r="J105" s="292" t="n">
        <f aca="false">'GAS DAILY VOL DOWNLOAD'!J105-'GAS DAILY VOL DOWNLOAD'!$B105+$B105</f>
        <v>1.35</v>
      </c>
      <c r="K105" s="292" t="n">
        <f aca="false">'GAS DAILY VOL DOWNLOAD'!K105-'GAS DAILY VOL DOWNLOAD'!$B105+$B105</f>
        <v>1</v>
      </c>
      <c r="L105" s="292" t="n">
        <f aca="false">'GAS DAILY VOL DOWNLOAD'!L105-'GAS DAILY VOL DOWNLOAD'!$B105+$B105</f>
        <v>1.1</v>
      </c>
      <c r="M105" s="292" t="n">
        <f aca="false">'GAS DAILY VOL DOWNLOAD'!M105-'GAS DAILY VOL DOWNLOAD'!$B105+$B105</f>
        <v>1</v>
      </c>
      <c r="N105" s="292" t="n">
        <f aca="false">'GAS DAILY VOL DOWNLOAD'!N105-'GAS DAILY VOL DOWNLOAD'!$B105+$B105</f>
        <v>1.25</v>
      </c>
      <c r="O105" s="292" t="n">
        <f aca="false">'GAS DAILY VOL DOWNLOAD'!O105-'GAS DAILY VOL DOWNLOAD'!$B105+$B105</f>
        <v>1.15</v>
      </c>
      <c r="P105" s="292" t="n">
        <f aca="false">'GAS DAILY VOL DOWNLOAD'!P105-'GAS DAILY VOL DOWNLOAD'!$B105+$B105</f>
        <v>1.1</v>
      </c>
      <c r="Q105" s="292" t="n">
        <f aca="false">'GAS DAILY VOL DOWNLOAD'!Q105-'GAS DAILY VOL DOWNLOAD'!$B105+$B105</f>
        <v>1</v>
      </c>
    </row>
    <row r="106" customFormat="false" ht="12.75" hidden="false" customHeight="false" outlineLevel="0" collapsed="false">
      <c r="A106" s="317" t="n">
        <v>40179</v>
      </c>
      <c r="B106" s="292" t="n">
        <f aca="false">STRADDLES!L128</f>
        <v>1</v>
      </c>
      <c r="C106" s="292" t="n">
        <f aca="false">'GAS DAILY VOL DOWNLOAD'!C106-'GAS DAILY VOL DOWNLOAD'!$B106+$B106</f>
        <v>1.05</v>
      </c>
      <c r="D106" s="292" t="n">
        <f aca="false">'GAS DAILY VOL DOWNLOAD'!D106-'GAS DAILY VOL DOWNLOAD'!$B106+$B106</f>
        <v>1</v>
      </c>
      <c r="E106" s="292" t="n">
        <f aca="false">'GAS DAILY VOL DOWNLOAD'!E106-'GAS DAILY VOL DOWNLOAD'!$B106+$B106</f>
        <v>1</v>
      </c>
      <c r="F106" s="292" t="n">
        <f aca="false">'GAS DAILY VOL DOWNLOAD'!F106-'GAS DAILY VOL DOWNLOAD'!$B106+$B106</f>
        <v>1.15</v>
      </c>
      <c r="G106" s="292" t="n">
        <f aca="false">'GAS DAILY VOL DOWNLOAD'!G106-'GAS DAILY VOL DOWNLOAD'!$B106+$B106</f>
        <v>1.45</v>
      </c>
      <c r="H106" s="292" t="n">
        <f aca="false">'GAS DAILY VOL DOWNLOAD'!H106-'GAS DAILY VOL DOWNLOAD'!$B106+$B106</f>
        <v>1.05</v>
      </c>
      <c r="I106" s="292" t="n">
        <f aca="false">'GAS DAILY VOL DOWNLOAD'!I106-'GAS DAILY VOL DOWNLOAD'!$B106+$B106</f>
        <v>1</v>
      </c>
      <c r="J106" s="292" t="n">
        <f aca="false">'GAS DAILY VOL DOWNLOAD'!J106-'GAS DAILY VOL DOWNLOAD'!$B106+$B106</f>
        <v>1.35</v>
      </c>
      <c r="K106" s="292" t="n">
        <f aca="false">'GAS DAILY VOL DOWNLOAD'!K106-'GAS DAILY VOL DOWNLOAD'!$B106+$B106</f>
        <v>1</v>
      </c>
      <c r="L106" s="292" t="n">
        <f aca="false">'GAS DAILY VOL DOWNLOAD'!L106-'GAS DAILY VOL DOWNLOAD'!$B106+$B106</f>
        <v>1.1</v>
      </c>
      <c r="M106" s="292" t="n">
        <f aca="false">'GAS DAILY VOL DOWNLOAD'!M106-'GAS DAILY VOL DOWNLOAD'!$B106+$B106</f>
        <v>1</v>
      </c>
      <c r="N106" s="292" t="n">
        <f aca="false">'GAS DAILY VOL DOWNLOAD'!N106-'GAS DAILY VOL DOWNLOAD'!$B106+$B106</f>
        <v>1.45</v>
      </c>
      <c r="O106" s="292" t="n">
        <f aca="false">'GAS DAILY VOL DOWNLOAD'!O106-'GAS DAILY VOL DOWNLOAD'!$B106+$B106</f>
        <v>1.15</v>
      </c>
      <c r="P106" s="292" t="n">
        <f aca="false">'GAS DAILY VOL DOWNLOAD'!P106-'GAS DAILY VOL DOWNLOAD'!$B106+$B106</f>
        <v>1.1</v>
      </c>
      <c r="Q106" s="292" t="n">
        <f aca="false">'GAS DAILY VOL DOWNLOAD'!Q106-'GAS DAILY VOL DOWNLOAD'!$B106+$B106</f>
        <v>1</v>
      </c>
    </row>
    <row r="107" customFormat="false" ht="12.75" hidden="false" customHeight="false" outlineLevel="0" collapsed="false">
      <c r="A107" s="317" t="n">
        <v>40210</v>
      </c>
      <c r="B107" s="292" t="n">
        <f aca="false">STRADDLES!L129</f>
        <v>1</v>
      </c>
      <c r="C107" s="292" t="n">
        <f aca="false">'GAS DAILY VOL DOWNLOAD'!C107-'GAS DAILY VOL DOWNLOAD'!$B107+$B107</f>
        <v>1.05</v>
      </c>
      <c r="D107" s="292" t="n">
        <f aca="false">'GAS DAILY VOL DOWNLOAD'!D107-'GAS DAILY VOL DOWNLOAD'!$B107+$B107</f>
        <v>1</v>
      </c>
      <c r="E107" s="292" t="n">
        <f aca="false">'GAS DAILY VOL DOWNLOAD'!E107-'GAS DAILY VOL DOWNLOAD'!$B107+$B107</f>
        <v>1</v>
      </c>
      <c r="F107" s="292" t="n">
        <f aca="false">'GAS DAILY VOL DOWNLOAD'!F107-'GAS DAILY VOL DOWNLOAD'!$B107+$B107</f>
        <v>1.15</v>
      </c>
      <c r="G107" s="292" t="n">
        <f aca="false">'GAS DAILY VOL DOWNLOAD'!G107-'GAS DAILY VOL DOWNLOAD'!$B107+$B107</f>
        <v>1.45</v>
      </c>
      <c r="H107" s="292" t="n">
        <f aca="false">'GAS DAILY VOL DOWNLOAD'!H107-'GAS DAILY VOL DOWNLOAD'!$B107+$B107</f>
        <v>1.05</v>
      </c>
      <c r="I107" s="292" t="n">
        <f aca="false">'GAS DAILY VOL DOWNLOAD'!I107-'GAS DAILY VOL DOWNLOAD'!$B107+$B107</f>
        <v>1</v>
      </c>
      <c r="J107" s="292" t="n">
        <f aca="false">'GAS DAILY VOL DOWNLOAD'!J107-'GAS DAILY VOL DOWNLOAD'!$B107+$B107</f>
        <v>1.35</v>
      </c>
      <c r="K107" s="292" t="n">
        <f aca="false">'GAS DAILY VOL DOWNLOAD'!K107-'GAS DAILY VOL DOWNLOAD'!$B107+$B107</f>
        <v>1</v>
      </c>
      <c r="L107" s="292" t="n">
        <f aca="false">'GAS DAILY VOL DOWNLOAD'!L107-'GAS DAILY VOL DOWNLOAD'!$B107+$B107</f>
        <v>1.1</v>
      </c>
      <c r="M107" s="292" t="n">
        <f aca="false">'GAS DAILY VOL DOWNLOAD'!M107-'GAS DAILY VOL DOWNLOAD'!$B107+$B107</f>
        <v>1</v>
      </c>
      <c r="N107" s="292" t="n">
        <f aca="false">'GAS DAILY VOL DOWNLOAD'!N107-'GAS DAILY VOL DOWNLOAD'!$B107+$B107</f>
        <v>1.45</v>
      </c>
      <c r="O107" s="292" t="n">
        <f aca="false">'GAS DAILY VOL DOWNLOAD'!O107-'GAS DAILY VOL DOWNLOAD'!$B107+$B107</f>
        <v>1.15</v>
      </c>
      <c r="P107" s="292" t="n">
        <f aca="false">'GAS DAILY VOL DOWNLOAD'!P107-'GAS DAILY VOL DOWNLOAD'!$B107+$B107</f>
        <v>1.1</v>
      </c>
      <c r="Q107" s="292" t="n">
        <f aca="false">'GAS DAILY VOL DOWNLOAD'!Q107-'GAS DAILY VOL DOWNLOAD'!$B107+$B107</f>
        <v>1</v>
      </c>
    </row>
    <row r="108" customFormat="false" ht="12.75" hidden="false" customHeight="false" outlineLevel="0" collapsed="false">
      <c r="A108" s="317" t="n">
        <v>40238</v>
      </c>
      <c r="B108" s="292" t="n">
        <f aca="false">STRADDLES!L130</f>
        <v>0.75</v>
      </c>
      <c r="C108" s="292" t="n">
        <f aca="false">'GAS DAILY VOL DOWNLOAD'!C108-'GAS DAILY VOL DOWNLOAD'!$B108+$B108</f>
        <v>0.8</v>
      </c>
      <c r="D108" s="292" t="n">
        <f aca="false">'GAS DAILY VOL DOWNLOAD'!D108-'GAS DAILY VOL DOWNLOAD'!$B108+$B108</f>
        <v>0.75</v>
      </c>
      <c r="E108" s="292" t="n">
        <f aca="false">'GAS DAILY VOL DOWNLOAD'!E108-'GAS DAILY VOL DOWNLOAD'!$B108+$B108</f>
        <v>0.75</v>
      </c>
      <c r="F108" s="292" t="n">
        <f aca="false">'GAS DAILY VOL DOWNLOAD'!F108-'GAS DAILY VOL DOWNLOAD'!$B108+$B108</f>
        <v>0.85</v>
      </c>
      <c r="G108" s="292" t="n">
        <f aca="false">'GAS DAILY VOL DOWNLOAD'!G108-'GAS DAILY VOL DOWNLOAD'!$B108+$B108</f>
        <v>1</v>
      </c>
      <c r="H108" s="292" t="n">
        <f aca="false">'GAS DAILY VOL DOWNLOAD'!H108-'GAS DAILY VOL DOWNLOAD'!$B108+$B108</f>
        <v>0.75</v>
      </c>
      <c r="I108" s="292" t="n">
        <f aca="false">'GAS DAILY VOL DOWNLOAD'!I108-'GAS DAILY VOL DOWNLOAD'!$B108+$B108</f>
        <v>0.75</v>
      </c>
      <c r="J108" s="292" t="n">
        <f aca="false">'GAS DAILY VOL DOWNLOAD'!J108-'GAS DAILY VOL DOWNLOAD'!$B108+$B108</f>
        <v>0.95</v>
      </c>
      <c r="K108" s="292" t="n">
        <f aca="false">'GAS DAILY VOL DOWNLOAD'!K108-'GAS DAILY VOL DOWNLOAD'!$B108+$B108</f>
        <v>0.75</v>
      </c>
      <c r="L108" s="292" t="n">
        <f aca="false">'GAS DAILY VOL DOWNLOAD'!L108-'GAS DAILY VOL DOWNLOAD'!$B108+$B108</f>
        <v>0.75</v>
      </c>
      <c r="M108" s="292" t="n">
        <f aca="false">'GAS DAILY VOL DOWNLOAD'!M108-'GAS DAILY VOL DOWNLOAD'!$B108+$B108</f>
        <v>0.75</v>
      </c>
      <c r="N108" s="292" t="n">
        <f aca="false">'GAS DAILY VOL DOWNLOAD'!N108-'GAS DAILY VOL DOWNLOAD'!$B108+$B108</f>
        <v>1</v>
      </c>
      <c r="O108" s="292" t="n">
        <f aca="false">'GAS DAILY VOL DOWNLOAD'!O108-'GAS DAILY VOL DOWNLOAD'!$B108+$B108</f>
        <v>0.9</v>
      </c>
      <c r="P108" s="292" t="n">
        <f aca="false">'GAS DAILY VOL DOWNLOAD'!P108-'GAS DAILY VOL DOWNLOAD'!$B108+$B108</f>
        <v>0.85</v>
      </c>
      <c r="Q108" s="292" t="n">
        <f aca="false">'GAS DAILY VOL DOWNLOAD'!Q108-'GAS DAILY VOL DOWNLOAD'!$B108+$B108</f>
        <v>0.75</v>
      </c>
    </row>
    <row r="109" customFormat="false" ht="12.75" hidden="false" customHeight="false" outlineLevel="0" collapsed="false">
      <c r="A109" s="317" t="n">
        <v>40269</v>
      </c>
      <c r="B109" s="292" t="n">
        <f aca="false">STRADDLES!L131</f>
        <v>0.4</v>
      </c>
      <c r="C109" s="292" t="n">
        <f aca="false">'GAS DAILY VOL DOWNLOAD'!C109-'GAS DAILY VOL DOWNLOAD'!$B109+$B109</f>
        <v>0.45</v>
      </c>
      <c r="D109" s="292" t="n">
        <f aca="false">'GAS DAILY VOL DOWNLOAD'!D109-'GAS DAILY VOL DOWNLOAD'!$B109+$B109</f>
        <v>0.4</v>
      </c>
      <c r="E109" s="292" t="n">
        <f aca="false">'GAS DAILY VOL DOWNLOAD'!E109-'GAS DAILY VOL DOWNLOAD'!$B109+$B109</f>
        <v>0.45</v>
      </c>
      <c r="F109" s="292" t="n">
        <f aca="false">'GAS DAILY VOL DOWNLOAD'!F109-'GAS DAILY VOL DOWNLOAD'!$B109+$B109</f>
        <v>0.45</v>
      </c>
      <c r="G109" s="292" t="n">
        <f aca="false">'GAS DAILY VOL DOWNLOAD'!G109-'GAS DAILY VOL DOWNLOAD'!$B109+$B109</f>
        <v>0.45</v>
      </c>
      <c r="H109" s="292" t="n">
        <f aca="false">'GAS DAILY VOL DOWNLOAD'!H109-'GAS DAILY VOL DOWNLOAD'!$B109+$B109</f>
        <v>0.45</v>
      </c>
      <c r="I109" s="292" t="n">
        <f aca="false">'GAS DAILY VOL DOWNLOAD'!I109-'GAS DAILY VOL DOWNLOAD'!$B109+$B109</f>
        <v>0.45</v>
      </c>
      <c r="J109" s="292" t="n">
        <f aca="false">'GAS DAILY VOL DOWNLOAD'!J109-'GAS DAILY VOL DOWNLOAD'!$B109+$B109</f>
        <v>0.5</v>
      </c>
      <c r="K109" s="292" t="n">
        <f aca="false">'GAS DAILY VOL DOWNLOAD'!K109-'GAS DAILY VOL DOWNLOAD'!$B109+$B109</f>
        <v>0.4</v>
      </c>
      <c r="L109" s="292" t="n">
        <f aca="false">'GAS DAILY VOL DOWNLOAD'!L109-'GAS DAILY VOL DOWNLOAD'!$B109+$B109</f>
        <v>0.45</v>
      </c>
      <c r="M109" s="292" t="n">
        <f aca="false">'GAS DAILY VOL DOWNLOAD'!M109-'GAS DAILY VOL DOWNLOAD'!$B109+$B109</f>
        <v>0.4</v>
      </c>
      <c r="N109" s="292" t="n">
        <f aca="false">'GAS DAILY VOL DOWNLOAD'!N109-'GAS DAILY VOL DOWNLOAD'!$B109+$B109</f>
        <v>0.45</v>
      </c>
      <c r="O109" s="292" t="n">
        <f aca="false">'GAS DAILY VOL DOWNLOAD'!O109-'GAS DAILY VOL DOWNLOAD'!$B109+$B109</f>
        <v>0.55</v>
      </c>
      <c r="P109" s="292" t="n">
        <f aca="false">'GAS DAILY VOL DOWNLOAD'!P109-'GAS DAILY VOL DOWNLOAD'!$B109+$B109</f>
        <v>0.55</v>
      </c>
      <c r="Q109" s="292" t="n">
        <f aca="false">'GAS DAILY VOL DOWNLOAD'!Q109-'GAS DAILY VOL DOWNLOAD'!$B109+$B109</f>
        <v>0.4</v>
      </c>
    </row>
    <row r="110" customFormat="false" ht="12.75" hidden="false" customHeight="false" outlineLevel="0" collapsed="false">
      <c r="A110" s="317" t="n">
        <v>40299</v>
      </c>
      <c r="B110" s="292" t="n">
        <f aca="false">STRADDLES!L132</f>
        <v>0.45</v>
      </c>
      <c r="C110" s="292" t="n">
        <f aca="false">'GAS DAILY VOL DOWNLOAD'!C110-'GAS DAILY VOL DOWNLOAD'!$B110+$B110</f>
        <v>0.5</v>
      </c>
      <c r="D110" s="292" t="n">
        <f aca="false">'GAS DAILY VOL DOWNLOAD'!D110-'GAS DAILY VOL DOWNLOAD'!$B110+$B110</f>
        <v>0.4</v>
      </c>
      <c r="E110" s="292" t="n">
        <f aca="false">'GAS DAILY VOL DOWNLOAD'!E110-'GAS DAILY VOL DOWNLOAD'!$B110+$B110</f>
        <v>0.4</v>
      </c>
      <c r="F110" s="292" t="n">
        <f aca="false">'GAS DAILY VOL DOWNLOAD'!F110-'GAS DAILY VOL DOWNLOAD'!$B110+$B110</f>
        <v>0.45</v>
      </c>
      <c r="G110" s="292" t="n">
        <f aca="false">'GAS DAILY VOL DOWNLOAD'!G110-'GAS DAILY VOL DOWNLOAD'!$B110+$B110</f>
        <v>0.5</v>
      </c>
      <c r="H110" s="292" t="n">
        <f aca="false">'GAS DAILY VOL DOWNLOAD'!H110-'GAS DAILY VOL DOWNLOAD'!$B110+$B110</f>
        <v>0.45</v>
      </c>
      <c r="I110" s="292" t="n">
        <f aca="false">'GAS DAILY VOL DOWNLOAD'!I110-'GAS DAILY VOL DOWNLOAD'!$B110+$B110</f>
        <v>0.4</v>
      </c>
      <c r="J110" s="292" t="n">
        <f aca="false">'GAS DAILY VOL DOWNLOAD'!J110-'GAS DAILY VOL DOWNLOAD'!$B110+$B110</f>
        <v>0.45</v>
      </c>
      <c r="K110" s="292" t="n">
        <f aca="false">'GAS DAILY VOL DOWNLOAD'!K110-'GAS DAILY VOL DOWNLOAD'!$B110+$B110</f>
        <v>0.45</v>
      </c>
      <c r="L110" s="292" t="n">
        <f aca="false">'GAS DAILY VOL DOWNLOAD'!L110-'GAS DAILY VOL DOWNLOAD'!$B110+$B110</f>
        <v>0.5</v>
      </c>
      <c r="M110" s="292" t="n">
        <f aca="false">'GAS DAILY VOL DOWNLOAD'!M110-'GAS DAILY VOL DOWNLOAD'!$B110+$B110</f>
        <v>0.45</v>
      </c>
      <c r="N110" s="292" t="n">
        <f aca="false">'GAS DAILY VOL DOWNLOAD'!N110-'GAS DAILY VOL DOWNLOAD'!$B110+$B110</f>
        <v>0.5</v>
      </c>
      <c r="O110" s="292" t="n">
        <f aca="false">'GAS DAILY VOL DOWNLOAD'!O110-'GAS DAILY VOL DOWNLOAD'!$B110+$B110</f>
        <v>0.6</v>
      </c>
      <c r="P110" s="292" t="n">
        <f aca="false">'GAS DAILY VOL DOWNLOAD'!P110-'GAS DAILY VOL DOWNLOAD'!$B110+$B110</f>
        <v>0.5</v>
      </c>
      <c r="Q110" s="292" t="n">
        <f aca="false">'GAS DAILY VOL DOWNLOAD'!Q110-'GAS DAILY VOL DOWNLOAD'!$B110+$B110</f>
        <v>0.45</v>
      </c>
    </row>
    <row r="111" customFormat="false" ht="12.75" hidden="false" customHeight="false" outlineLevel="0" collapsed="false">
      <c r="A111" s="317" t="n">
        <v>40330</v>
      </c>
      <c r="B111" s="292" t="n">
        <f aca="false">STRADDLES!L133</f>
        <v>0.45</v>
      </c>
      <c r="C111" s="292" t="n">
        <f aca="false">'GAS DAILY VOL DOWNLOAD'!C111-'GAS DAILY VOL DOWNLOAD'!$B111+$B111</f>
        <v>0.5</v>
      </c>
      <c r="D111" s="292" t="n">
        <f aca="false">'GAS DAILY VOL DOWNLOAD'!D111-'GAS DAILY VOL DOWNLOAD'!$B111+$B111</f>
        <v>0.4</v>
      </c>
      <c r="E111" s="292" t="n">
        <f aca="false">'GAS DAILY VOL DOWNLOAD'!E111-'GAS DAILY VOL DOWNLOAD'!$B111+$B111</f>
        <v>0.5</v>
      </c>
      <c r="F111" s="292" t="n">
        <f aca="false">'GAS DAILY VOL DOWNLOAD'!F111-'GAS DAILY VOL DOWNLOAD'!$B111+$B111</f>
        <v>0.45</v>
      </c>
      <c r="G111" s="292" t="n">
        <f aca="false">'GAS DAILY VOL DOWNLOAD'!G111-'GAS DAILY VOL DOWNLOAD'!$B111+$B111</f>
        <v>0.5</v>
      </c>
      <c r="H111" s="292" t="n">
        <f aca="false">'GAS DAILY VOL DOWNLOAD'!H111-'GAS DAILY VOL DOWNLOAD'!$B111+$B111</f>
        <v>0.5</v>
      </c>
      <c r="I111" s="292" t="n">
        <f aca="false">'GAS DAILY VOL DOWNLOAD'!I111-'GAS DAILY VOL DOWNLOAD'!$B111+$B111</f>
        <v>0.5</v>
      </c>
      <c r="J111" s="292" t="n">
        <f aca="false">'GAS DAILY VOL DOWNLOAD'!J111-'GAS DAILY VOL DOWNLOAD'!$B111+$B111</f>
        <v>0.5</v>
      </c>
      <c r="K111" s="292" t="n">
        <f aca="false">'GAS DAILY VOL DOWNLOAD'!K111-'GAS DAILY VOL DOWNLOAD'!$B111+$B111</f>
        <v>0.45</v>
      </c>
      <c r="L111" s="292" t="n">
        <f aca="false">'GAS DAILY VOL DOWNLOAD'!L111-'GAS DAILY VOL DOWNLOAD'!$B111+$B111</f>
        <v>0.5</v>
      </c>
      <c r="M111" s="292" t="n">
        <f aca="false">'GAS DAILY VOL DOWNLOAD'!M111-'GAS DAILY VOL DOWNLOAD'!$B111+$B111</f>
        <v>0.45</v>
      </c>
      <c r="N111" s="292" t="n">
        <f aca="false">'GAS DAILY VOL DOWNLOAD'!N111-'GAS DAILY VOL DOWNLOAD'!$B111+$B111</f>
        <v>0.5</v>
      </c>
      <c r="O111" s="292" t="n">
        <f aca="false">'GAS DAILY VOL DOWNLOAD'!O111-'GAS DAILY VOL DOWNLOAD'!$B111+$B111</f>
        <v>0.6</v>
      </c>
      <c r="P111" s="292" t="n">
        <f aca="false">'GAS DAILY VOL DOWNLOAD'!P111-'GAS DAILY VOL DOWNLOAD'!$B111+$B111</f>
        <v>0.6</v>
      </c>
      <c r="Q111" s="292" t="n">
        <f aca="false">'GAS DAILY VOL DOWNLOAD'!Q111-'GAS DAILY VOL DOWNLOAD'!$B111+$B111</f>
        <v>0.45</v>
      </c>
    </row>
    <row r="112" customFormat="false" ht="12.75" hidden="false" customHeight="false" outlineLevel="0" collapsed="false">
      <c r="A112" s="317" t="n">
        <v>40360</v>
      </c>
      <c r="B112" s="292" t="n">
        <f aca="false">STRADDLES!L134</f>
        <v>0.5</v>
      </c>
      <c r="C112" s="292" t="n">
        <f aca="false">'GAS DAILY VOL DOWNLOAD'!C112-'GAS DAILY VOL DOWNLOAD'!$B112+$B112</f>
        <v>0.5</v>
      </c>
      <c r="D112" s="292" t="n">
        <f aca="false">'GAS DAILY VOL DOWNLOAD'!D112-'GAS DAILY VOL DOWNLOAD'!$B112+$B112</f>
        <v>0.4</v>
      </c>
      <c r="E112" s="292" t="n">
        <f aca="false">'GAS DAILY VOL DOWNLOAD'!E112-'GAS DAILY VOL DOWNLOAD'!$B112+$B112</f>
        <v>0.5</v>
      </c>
      <c r="F112" s="292" t="n">
        <f aca="false">'GAS DAILY VOL DOWNLOAD'!F112-'GAS DAILY VOL DOWNLOAD'!$B112+$B112</f>
        <v>0.5</v>
      </c>
      <c r="G112" s="292" t="n">
        <f aca="false">'GAS DAILY VOL DOWNLOAD'!G112-'GAS DAILY VOL DOWNLOAD'!$B112+$B112</f>
        <v>0.5</v>
      </c>
      <c r="H112" s="292" t="n">
        <f aca="false">'GAS DAILY VOL DOWNLOAD'!H112-'GAS DAILY VOL DOWNLOAD'!$B112+$B112</f>
        <v>0.5</v>
      </c>
      <c r="I112" s="292" t="n">
        <f aca="false">'GAS DAILY VOL DOWNLOAD'!I112-'GAS DAILY VOL DOWNLOAD'!$B112+$B112</f>
        <v>0.5</v>
      </c>
      <c r="J112" s="292" t="n">
        <f aca="false">'GAS DAILY VOL DOWNLOAD'!J112-'GAS DAILY VOL DOWNLOAD'!$B112+$B112</f>
        <v>0.5</v>
      </c>
      <c r="K112" s="292" t="n">
        <f aca="false">'GAS DAILY VOL DOWNLOAD'!K112-'GAS DAILY VOL DOWNLOAD'!$B112+$B112</f>
        <v>0.5</v>
      </c>
      <c r="L112" s="292" t="n">
        <f aca="false">'GAS DAILY VOL DOWNLOAD'!L112-'GAS DAILY VOL DOWNLOAD'!$B112+$B112</f>
        <v>0.55</v>
      </c>
      <c r="M112" s="292" t="n">
        <f aca="false">'GAS DAILY VOL DOWNLOAD'!M112-'GAS DAILY VOL DOWNLOAD'!$B112+$B112</f>
        <v>0.5</v>
      </c>
      <c r="N112" s="292" t="n">
        <f aca="false">'GAS DAILY VOL DOWNLOAD'!N112-'GAS DAILY VOL DOWNLOAD'!$B112+$B112</f>
        <v>0.5</v>
      </c>
      <c r="O112" s="292" t="n">
        <f aca="false">'GAS DAILY VOL DOWNLOAD'!O112-'GAS DAILY VOL DOWNLOAD'!$B112+$B112</f>
        <v>0.65</v>
      </c>
      <c r="P112" s="292" t="n">
        <f aca="false">'GAS DAILY VOL DOWNLOAD'!P112-'GAS DAILY VOL DOWNLOAD'!$B112+$B112</f>
        <v>0.6</v>
      </c>
      <c r="Q112" s="292" t="n">
        <f aca="false">'GAS DAILY VOL DOWNLOAD'!Q112-'GAS DAILY VOL DOWNLOAD'!$B112+$B112</f>
        <v>0.5</v>
      </c>
    </row>
    <row r="113" customFormat="false" ht="12.75" hidden="false" customHeight="false" outlineLevel="0" collapsed="false">
      <c r="A113" s="317" t="n">
        <v>40391</v>
      </c>
      <c r="B113" s="292" t="n">
        <f aca="false">STRADDLES!L135</f>
        <v>0.55</v>
      </c>
      <c r="C113" s="292" t="n">
        <f aca="false">'GAS DAILY VOL DOWNLOAD'!C113-'GAS DAILY VOL DOWNLOAD'!$B113+$B113</f>
        <v>0.55</v>
      </c>
      <c r="D113" s="292" t="n">
        <f aca="false">'GAS DAILY VOL DOWNLOAD'!D113-'GAS DAILY VOL DOWNLOAD'!$B113+$B113</f>
        <v>0.5</v>
      </c>
      <c r="E113" s="292" t="n">
        <f aca="false">'GAS DAILY VOL DOWNLOAD'!E113-'GAS DAILY VOL DOWNLOAD'!$B113+$B113</f>
        <v>0.6</v>
      </c>
      <c r="F113" s="292" t="n">
        <f aca="false">'GAS DAILY VOL DOWNLOAD'!F113-'GAS DAILY VOL DOWNLOAD'!$B113+$B113</f>
        <v>0.55</v>
      </c>
      <c r="G113" s="292" t="n">
        <f aca="false">'GAS DAILY VOL DOWNLOAD'!G113-'GAS DAILY VOL DOWNLOAD'!$B113+$B113</f>
        <v>0.6</v>
      </c>
      <c r="H113" s="292" t="n">
        <f aca="false">'GAS DAILY VOL DOWNLOAD'!H113-'GAS DAILY VOL DOWNLOAD'!$B113+$B113</f>
        <v>0.55</v>
      </c>
      <c r="I113" s="292" t="n">
        <f aca="false">'GAS DAILY VOL DOWNLOAD'!I113-'GAS DAILY VOL DOWNLOAD'!$B113+$B113</f>
        <v>0.6</v>
      </c>
      <c r="J113" s="292" t="n">
        <f aca="false">'GAS DAILY VOL DOWNLOAD'!J113-'GAS DAILY VOL DOWNLOAD'!$B113+$B113</f>
        <v>0.45</v>
      </c>
      <c r="K113" s="292" t="n">
        <f aca="false">'GAS DAILY VOL DOWNLOAD'!K113-'GAS DAILY VOL DOWNLOAD'!$B113+$B113</f>
        <v>0.55</v>
      </c>
      <c r="L113" s="292" t="n">
        <f aca="false">'GAS DAILY VOL DOWNLOAD'!L113-'GAS DAILY VOL DOWNLOAD'!$B113+$B113</f>
        <v>0.6</v>
      </c>
      <c r="M113" s="292" t="n">
        <f aca="false">'GAS DAILY VOL DOWNLOAD'!M113-'GAS DAILY VOL DOWNLOAD'!$B113+$B113</f>
        <v>0.55</v>
      </c>
      <c r="N113" s="292" t="n">
        <f aca="false">'GAS DAILY VOL DOWNLOAD'!N113-'GAS DAILY VOL DOWNLOAD'!$B113+$B113</f>
        <v>0.6</v>
      </c>
      <c r="O113" s="292" t="n">
        <f aca="false">'GAS DAILY VOL DOWNLOAD'!O113-'GAS DAILY VOL DOWNLOAD'!$B113+$B113</f>
        <v>0.7</v>
      </c>
      <c r="P113" s="292" t="n">
        <f aca="false">'GAS DAILY VOL DOWNLOAD'!P113-'GAS DAILY VOL DOWNLOAD'!$B113+$B113</f>
        <v>0.7</v>
      </c>
      <c r="Q113" s="292" t="n">
        <f aca="false">'GAS DAILY VOL DOWNLOAD'!Q113-'GAS DAILY VOL DOWNLOAD'!$B113+$B113</f>
        <v>0.55</v>
      </c>
    </row>
    <row r="114" customFormat="false" ht="12.75" hidden="false" customHeight="false" outlineLevel="0" collapsed="false">
      <c r="A114" s="317" t="n">
        <v>40422</v>
      </c>
      <c r="B114" s="292" t="n">
        <f aca="false">STRADDLES!L136</f>
        <v>0.55</v>
      </c>
      <c r="C114" s="292" t="n">
        <f aca="false">'GAS DAILY VOL DOWNLOAD'!C114-'GAS DAILY VOL DOWNLOAD'!$B114+$B114</f>
        <v>0.55</v>
      </c>
      <c r="D114" s="292" t="n">
        <f aca="false">'GAS DAILY VOL DOWNLOAD'!D114-'GAS DAILY VOL DOWNLOAD'!$B114+$B114</f>
        <v>0.55</v>
      </c>
      <c r="E114" s="292" t="n">
        <f aca="false">'GAS DAILY VOL DOWNLOAD'!E114-'GAS DAILY VOL DOWNLOAD'!$B114+$B114</f>
        <v>0.55</v>
      </c>
      <c r="F114" s="292" t="n">
        <f aca="false">'GAS DAILY VOL DOWNLOAD'!F114-'GAS DAILY VOL DOWNLOAD'!$B114+$B114</f>
        <v>0.55</v>
      </c>
      <c r="G114" s="292" t="n">
        <f aca="false">'GAS DAILY VOL DOWNLOAD'!G114-'GAS DAILY VOL DOWNLOAD'!$B114+$B114</f>
        <v>0.6</v>
      </c>
      <c r="H114" s="292" t="n">
        <f aca="false">'GAS DAILY VOL DOWNLOAD'!H114-'GAS DAILY VOL DOWNLOAD'!$B114+$B114</f>
        <v>0.6</v>
      </c>
      <c r="I114" s="292" t="n">
        <f aca="false">'GAS DAILY VOL DOWNLOAD'!I114-'GAS DAILY VOL DOWNLOAD'!$B114+$B114</f>
        <v>0.55</v>
      </c>
      <c r="J114" s="292" t="n">
        <f aca="false">'GAS DAILY VOL DOWNLOAD'!J114-'GAS DAILY VOL DOWNLOAD'!$B114+$B114</f>
        <v>0.5</v>
      </c>
      <c r="K114" s="292" t="n">
        <f aca="false">'GAS DAILY VOL DOWNLOAD'!K114-'GAS DAILY VOL DOWNLOAD'!$B114+$B114</f>
        <v>0.55</v>
      </c>
      <c r="L114" s="292" t="n">
        <f aca="false">'GAS DAILY VOL DOWNLOAD'!L114-'GAS DAILY VOL DOWNLOAD'!$B114+$B114</f>
        <v>0.6</v>
      </c>
      <c r="M114" s="292" t="n">
        <f aca="false">'GAS DAILY VOL DOWNLOAD'!M114-'GAS DAILY VOL DOWNLOAD'!$B114+$B114</f>
        <v>0.55</v>
      </c>
      <c r="N114" s="292" t="n">
        <f aca="false">'GAS DAILY VOL DOWNLOAD'!N114-'GAS DAILY VOL DOWNLOAD'!$B114+$B114</f>
        <v>0.6</v>
      </c>
      <c r="O114" s="292" t="n">
        <f aca="false">'GAS DAILY VOL DOWNLOAD'!O114-'GAS DAILY VOL DOWNLOAD'!$B114+$B114</f>
        <v>0.7</v>
      </c>
      <c r="P114" s="292" t="n">
        <f aca="false">'GAS DAILY VOL DOWNLOAD'!P114-'GAS DAILY VOL DOWNLOAD'!$B114+$B114</f>
        <v>0.65</v>
      </c>
      <c r="Q114" s="292" t="n">
        <f aca="false">'GAS DAILY VOL DOWNLOAD'!Q114-'GAS DAILY VOL DOWNLOAD'!$B114+$B114</f>
        <v>0.55</v>
      </c>
    </row>
    <row r="115" customFormat="false" ht="12.75" hidden="false" customHeight="false" outlineLevel="0" collapsed="false">
      <c r="A115" s="317" t="n">
        <v>40452</v>
      </c>
      <c r="B115" s="292" t="n">
        <f aca="false">STRADDLES!L137</f>
        <v>0.6</v>
      </c>
      <c r="C115" s="292" t="n">
        <f aca="false">'GAS DAILY VOL DOWNLOAD'!C115-'GAS DAILY VOL DOWNLOAD'!$B115+$B115</f>
        <v>0.6</v>
      </c>
      <c r="D115" s="292" t="n">
        <f aca="false">'GAS DAILY VOL DOWNLOAD'!D115-'GAS DAILY VOL DOWNLOAD'!$B115+$B115</f>
        <v>0.55</v>
      </c>
      <c r="E115" s="292" t="n">
        <f aca="false">'GAS DAILY VOL DOWNLOAD'!E115-'GAS DAILY VOL DOWNLOAD'!$B115+$B115</f>
        <v>0.6</v>
      </c>
      <c r="F115" s="292" t="n">
        <f aca="false">'GAS DAILY VOL DOWNLOAD'!F115-'GAS DAILY VOL DOWNLOAD'!$B115+$B115</f>
        <v>0.6</v>
      </c>
      <c r="G115" s="292" t="n">
        <f aca="false">'GAS DAILY VOL DOWNLOAD'!G115-'GAS DAILY VOL DOWNLOAD'!$B115+$B115</f>
        <v>0.65</v>
      </c>
      <c r="H115" s="292" t="n">
        <f aca="false">'GAS DAILY VOL DOWNLOAD'!H115-'GAS DAILY VOL DOWNLOAD'!$B115+$B115</f>
        <v>0.65</v>
      </c>
      <c r="I115" s="292" t="n">
        <f aca="false">'GAS DAILY VOL DOWNLOAD'!I115-'GAS DAILY VOL DOWNLOAD'!$B115+$B115</f>
        <v>0.6</v>
      </c>
      <c r="J115" s="292" t="n">
        <f aca="false">'GAS DAILY VOL DOWNLOAD'!J115-'GAS DAILY VOL DOWNLOAD'!$B115+$B115</f>
        <v>0.5</v>
      </c>
      <c r="K115" s="292" t="n">
        <f aca="false">'GAS DAILY VOL DOWNLOAD'!K115-'GAS DAILY VOL DOWNLOAD'!$B115+$B115</f>
        <v>0.6</v>
      </c>
      <c r="L115" s="292" t="n">
        <f aca="false">'GAS DAILY VOL DOWNLOAD'!L115-'GAS DAILY VOL DOWNLOAD'!$B115+$B115</f>
        <v>0.65</v>
      </c>
      <c r="M115" s="292" t="n">
        <f aca="false">'GAS DAILY VOL DOWNLOAD'!M115-'GAS DAILY VOL DOWNLOAD'!$B115+$B115</f>
        <v>0.6</v>
      </c>
      <c r="N115" s="292" t="n">
        <f aca="false">'GAS DAILY VOL DOWNLOAD'!N115-'GAS DAILY VOL DOWNLOAD'!$B115+$B115</f>
        <v>0.65</v>
      </c>
      <c r="O115" s="292" t="n">
        <f aca="false">'GAS DAILY VOL DOWNLOAD'!O115-'GAS DAILY VOL DOWNLOAD'!$B115+$B115</f>
        <v>0.75</v>
      </c>
      <c r="P115" s="292" t="n">
        <f aca="false">'GAS DAILY VOL DOWNLOAD'!P115-'GAS DAILY VOL DOWNLOAD'!$B115+$B115</f>
        <v>0.7</v>
      </c>
      <c r="Q115" s="292" t="n">
        <f aca="false">'GAS DAILY VOL DOWNLOAD'!Q115-'GAS DAILY VOL DOWNLOAD'!$B115+$B115</f>
        <v>0.6</v>
      </c>
    </row>
    <row r="116" customFormat="false" ht="12.75" hidden="false" customHeight="false" outlineLevel="0" collapsed="false">
      <c r="A116" s="317" t="n">
        <v>40483</v>
      </c>
      <c r="B116" s="292" t="n">
        <f aca="false">STRADDLES!L138</f>
        <v>0.8</v>
      </c>
      <c r="C116" s="292" t="n">
        <f aca="false">'GAS DAILY VOL DOWNLOAD'!C116-'GAS DAILY VOL DOWNLOAD'!$B116+$B116</f>
        <v>0.85</v>
      </c>
      <c r="D116" s="292" t="n">
        <f aca="false">'GAS DAILY VOL DOWNLOAD'!D116-'GAS DAILY VOL DOWNLOAD'!$B116+$B116</f>
        <v>0.8</v>
      </c>
      <c r="E116" s="292" t="n">
        <f aca="false">'GAS DAILY VOL DOWNLOAD'!E116-'GAS DAILY VOL DOWNLOAD'!$B116+$B116</f>
        <v>0.8</v>
      </c>
      <c r="F116" s="292" t="n">
        <f aca="false">'GAS DAILY VOL DOWNLOAD'!F116-'GAS DAILY VOL DOWNLOAD'!$B116+$B116</f>
        <v>0.9</v>
      </c>
      <c r="G116" s="292" t="n">
        <f aca="false">'GAS DAILY VOL DOWNLOAD'!G116-'GAS DAILY VOL DOWNLOAD'!$B116+$B116</f>
        <v>0.95</v>
      </c>
      <c r="H116" s="292" t="n">
        <f aca="false">'GAS DAILY VOL DOWNLOAD'!H116-'GAS DAILY VOL DOWNLOAD'!$B116+$B116</f>
        <v>0.85</v>
      </c>
      <c r="I116" s="292" t="n">
        <f aca="false">'GAS DAILY VOL DOWNLOAD'!I116-'GAS DAILY VOL DOWNLOAD'!$B116+$B116</f>
        <v>0.8</v>
      </c>
      <c r="J116" s="292" t="n">
        <f aca="false">'GAS DAILY VOL DOWNLOAD'!J116-'GAS DAILY VOL DOWNLOAD'!$B116+$B116</f>
        <v>0.95</v>
      </c>
      <c r="K116" s="292" t="n">
        <f aca="false">'GAS DAILY VOL DOWNLOAD'!K116-'GAS DAILY VOL DOWNLOAD'!$B116+$B116</f>
        <v>0.8</v>
      </c>
      <c r="L116" s="292" t="n">
        <f aca="false">'GAS DAILY VOL DOWNLOAD'!L116-'GAS DAILY VOL DOWNLOAD'!$B116+$B116</f>
        <v>0.8</v>
      </c>
      <c r="M116" s="292" t="n">
        <f aca="false">'GAS DAILY VOL DOWNLOAD'!M116-'GAS DAILY VOL DOWNLOAD'!$B116+$B116</f>
        <v>0.8</v>
      </c>
      <c r="N116" s="292" t="n">
        <f aca="false">'GAS DAILY VOL DOWNLOAD'!N116-'GAS DAILY VOL DOWNLOAD'!$B116+$B116</f>
        <v>0.95</v>
      </c>
      <c r="O116" s="292" t="n">
        <f aca="false">'GAS DAILY VOL DOWNLOAD'!O116-'GAS DAILY VOL DOWNLOAD'!$B116+$B116</f>
        <v>0.95</v>
      </c>
      <c r="P116" s="292" t="n">
        <f aca="false">'GAS DAILY VOL DOWNLOAD'!P116-'GAS DAILY VOL DOWNLOAD'!$B116+$B116</f>
        <v>0.9</v>
      </c>
      <c r="Q116" s="292" t="n">
        <f aca="false">'GAS DAILY VOL DOWNLOAD'!Q116-'GAS DAILY VOL DOWNLOAD'!$B116+$B116</f>
        <v>0.8</v>
      </c>
    </row>
    <row r="117" customFormat="false" ht="12.75" hidden="false" customHeight="false" outlineLevel="0" collapsed="false">
      <c r="A117" s="317" t="n">
        <v>40513</v>
      </c>
      <c r="B117" s="292" t="n">
        <f aca="false">STRADDLES!L139</f>
        <v>1</v>
      </c>
      <c r="C117" s="292" t="n">
        <f aca="false">'GAS DAILY VOL DOWNLOAD'!C117-'GAS DAILY VOL DOWNLOAD'!$B117+$B117</f>
        <v>1.05</v>
      </c>
      <c r="D117" s="292" t="n">
        <f aca="false">'GAS DAILY VOL DOWNLOAD'!D117-'GAS DAILY VOL DOWNLOAD'!$B117+$B117</f>
        <v>1</v>
      </c>
      <c r="E117" s="292" t="n">
        <f aca="false">'GAS DAILY VOL DOWNLOAD'!E117-'GAS DAILY VOL DOWNLOAD'!$B117+$B117</f>
        <v>1</v>
      </c>
      <c r="F117" s="292" t="n">
        <f aca="false">'GAS DAILY VOL DOWNLOAD'!F117-'GAS DAILY VOL DOWNLOAD'!$B117+$B117</f>
        <v>1.15</v>
      </c>
      <c r="G117" s="292" t="n">
        <f aca="false">'GAS DAILY VOL DOWNLOAD'!G117-'GAS DAILY VOL DOWNLOAD'!$B117+$B117</f>
        <v>1.25</v>
      </c>
      <c r="H117" s="292" t="n">
        <f aca="false">'GAS DAILY VOL DOWNLOAD'!H117-'GAS DAILY VOL DOWNLOAD'!$B117+$B117</f>
        <v>1.05</v>
      </c>
      <c r="I117" s="292" t="n">
        <f aca="false">'GAS DAILY VOL DOWNLOAD'!I117-'GAS DAILY VOL DOWNLOAD'!$B117+$B117</f>
        <v>1</v>
      </c>
      <c r="J117" s="292" t="n">
        <f aca="false">'GAS DAILY VOL DOWNLOAD'!J117-'GAS DAILY VOL DOWNLOAD'!$B117+$B117</f>
        <v>1.35</v>
      </c>
      <c r="K117" s="292" t="n">
        <f aca="false">'GAS DAILY VOL DOWNLOAD'!K117-'GAS DAILY VOL DOWNLOAD'!$B117+$B117</f>
        <v>1</v>
      </c>
      <c r="L117" s="292" t="n">
        <f aca="false">'GAS DAILY VOL DOWNLOAD'!L117-'GAS DAILY VOL DOWNLOAD'!$B117+$B117</f>
        <v>1.1</v>
      </c>
      <c r="M117" s="292" t="n">
        <f aca="false">'GAS DAILY VOL DOWNLOAD'!M117-'GAS DAILY VOL DOWNLOAD'!$B117+$B117</f>
        <v>1</v>
      </c>
      <c r="N117" s="292" t="n">
        <f aca="false">'GAS DAILY VOL DOWNLOAD'!N117-'GAS DAILY VOL DOWNLOAD'!$B117+$B117</f>
        <v>1.25</v>
      </c>
      <c r="O117" s="292" t="n">
        <f aca="false">'GAS DAILY VOL DOWNLOAD'!O117-'GAS DAILY VOL DOWNLOAD'!$B117+$B117</f>
        <v>1.15</v>
      </c>
      <c r="P117" s="292" t="n">
        <f aca="false">'GAS DAILY VOL DOWNLOAD'!P117-'GAS DAILY VOL DOWNLOAD'!$B117+$B117</f>
        <v>1.1</v>
      </c>
      <c r="Q117" s="292" t="n">
        <f aca="false">'GAS DAILY VOL DOWNLOAD'!Q117-'GAS DAILY VOL DOWNLOAD'!$B117+$B117</f>
        <v>1</v>
      </c>
    </row>
    <row r="118" customFormat="false" ht="12.75" hidden="false" customHeight="false" outlineLevel="0" collapsed="false">
      <c r="A118" s="317" t="n">
        <v>40544</v>
      </c>
      <c r="B118" s="292" t="n">
        <f aca="false">STRADDLES!L140</f>
        <v>1</v>
      </c>
      <c r="C118" s="292" t="n">
        <f aca="false">'GAS DAILY VOL DOWNLOAD'!C118-'GAS DAILY VOL DOWNLOAD'!$B118+$B118</f>
        <v>1.05</v>
      </c>
      <c r="D118" s="292" t="n">
        <f aca="false">'GAS DAILY VOL DOWNLOAD'!D118-'GAS DAILY VOL DOWNLOAD'!$B118+$B118</f>
        <v>1</v>
      </c>
      <c r="E118" s="292" t="n">
        <f aca="false">'GAS DAILY VOL DOWNLOAD'!E118-'GAS DAILY VOL DOWNLOAD'!$B118+$B118</f>
        <v>1</v>
      </c>
      <c r="F118" s="292" t="n">
        <f aca="false">'GAS DAILY VOL DOWNLOAD'!F118-'GAS DAILY VOL DOWNLOAD'!$B118+$B118</f>
        <v>1.15</v>
      </c>
      <c r="G118" s="292" t="n">
        <f aca="false">'GAS DAILY VOL DOWNLOAD'!G118-'GAS DAILY VOL DOWNLOAD'!$B118+$B118</f>
        <v>1.45</v>
      </c>
      <c r="H118" s="292" t="n">
        <f aca="false">'GAS DAILY VOL DOWNLOAD'!H118-'GAS DAILY VOL DOWNLOAD'!$B118+$B118</f>
        <v>1.05</v>
      </c>
      <c r="I118" s="292" t="n">
        <f aca="false">'GAS DAILY VOL DOWNLOAD'!I118-'GAS DAILY VOL DOWNLOAD'!$B118+$B118</f>
        <v>1</v>
      </c>
      <c r="J118" s="292" t="n">
        <f aca="false">'GAS DAILY VOL DOWNLOAD'!J118-'GAS DAILY VOL DOWNLOAD'!$B118+$B118</f>
        <v>1.35</v>
      </c>
      <c r="K118" s="292" t="n">
        <f aca="false">'GAS DAILY VOL DOWNLOAD'!K118-'GAS DAILY VOL DOWNLOAD'!$B118+$B118</f>
        <v>1</v>
      </c>
      <c r="L118" s="292" t="n">
        <f aca="false">'GAS DAILY VOL DOWNLOAD'!L118-'GAS DAILY VOL DOWNLOAD'!$B118+$B118</f>
        <v>1.1</v>
      </c>
      <c r="M118" s="292" t="n">
        <f aca="false">'GAS DAILY VOL DOWNLOAD'!M118-'GAS DAILY VOL DOWNLOAD'!$B118+$B118</f>
        <v>1</v>
      </c>
      <c r="N118" s="292" t="n">
        <f aca="false">'GAS DAILY VOL DOWNLOAD'!N118-'GAS DAILY VOL DOWNLOAD'!$B118+$B118</f>
        <v>1.45</v>
      </c>
      <c r="O118" s="292" t="n">
        <f aca="false">'GAS DAILY VOL DOWNLOAD'!O118-'GAS DAILY VOL DOWNLOAD'!$B118+$B118</f>
        <v>1.15</v>
      </c>
      <c r="P118" s="292" t="n">
        <f aca="false">'GAS DAILY VOL DOWNLOAD'!P118-'GAS DAILY VOL DOWNLOAD'!$B118+$B118</f>
        <v>1.1</v>
      </c>
      <c r="Q118" s="292" t="n">
        <f aca="false">'GAS DAILY VOL DOWNLOAD'!Q118-'GAS DAILY VOL DOWNLOAD'!$B118+$B118</f>
        <v>1</v>
      </c>
    </row>
    <row r="119" customFormat="false" ht="12.75" hidden="false" customHeight="false" outlineLevel="0" collapsed="false">
      <c r="A119" s="317" t="n">
        <v>40575</v>
      </c>
      <c r="B119" s="292" t="n">
        <f aca="false">STRADDLES!L141</f>
        <v>1</v>
      </c>
      <c r="C119" s="292" t="n">
        <f aca="false">'GAS DAILY VOL DOWNLOAD'!C119-'GAS DAILY VOL DOWNLOAD'!$B119+$B119</f>
        <v>1.05</v>
      </c>
      <c r="D119" s="292" t="n">
        <f aca="false">'GAS DAILY VOL DOWNLOAD'!D119-'GAS DAILY VOL DOWNLOAD'!$B119+$B119</f>
        <v>1</v>
      </c>
      <c r="E119" s="292" t="n">
        <f aca="false">'GAS DAILY VOL DOWNLOAD'!E119-'GAS DAILY VOL DOWNLOAD'!$B119+$B119</f>
        <v>1</v>
      </c>
      <c r="F119" s="292" t="n">
        <f aca="false">'GAS DAILY VOL DOWNLOAD'!F119-'GAS DAILY VOL DOWNLOAD'!$B119+$B119</f>
        <v>1.15</v>
      </c>
      <c r="G119" s="292" t="n">
        <f aca="false">'GAS DAILY VOL DOWNLOAD'!G119-'GAS DAILY VOL DOWNLOAD'!$B119+$B119</f>
        <v>1.45</v>
      </c>
      <c r="H119" s="292" t="n">
        <f aca="false">'GAS DAILY VOL DOWNLOAD'!H119-'GAS DAILY VOL DOWNLOAD'!$B119+$B119</f>
        <v>1.05</v>
      </c>
      <c r="I119" s="292" t="n">
        <f aca="false">'GAS DAILY VOL DOWNLOAD'!I119-'GAS DAILY VOL DOWNLOAD'!$B119+$B119</f>
        <v>1</v>
      </c>
      <c r="J119" s="292" t="n">
        <f aca="false">'GAS DAILY VOL DOWNLOAD'!J119-'GAS DAILY VOL DOWNLOAD'!$B119+$B119</f>
        <v>1.35</v>
      </c>
      <c r="K119" s="292" t="n">
        <f aca="false">'GAS DAILY VOL DOWNLOAD'!K119-'GAS DAILY VOL DOWNLOAD'!$B119+$B119</f>
        <v>1</v>
      </c>
      <c r="L119" s="292" t="n">
        <f aca="false">'GAS DAILY VOL DOWNLOAD'!L119-'GAS DAILY VOL DOWNLOAD'!$B119+$B119</f>
        <v>1.1</v>
      </c>
      <c r="M119" s="292" t="n">
        <f aca="false">'GAS DAILY VOL DOWNLOAD'!M119-'GAS DAILY VOL DOWNLOAD'!$B119+$B119</f>
        <v>1</v>
      </c>
      <c r="N119" s="292" t="n">
        <f aca="false">'GAS DAILY VOL DOWNLOAD'!N119-'GAS DAILY VOL DOWNLOAD'!$B119+$B119</f>
        <v>1.45</v>
      </c>
      <c r="O119" s="292" t="n">
        <f aca="false">'GAS DAILY VOL DOWNLOAD'!O119-'GAS DAILY VOL DOWNLOAD'!$B119+$B119</f>
        <v>1.15</v>
      </c>
      <c r="P119" s="292" t="n">
        <f aca="false">'GAS DAILY VOL DOWNLOAD'!P119-'GAS DAILY VOL DOWNLOAD'!$B119+$B119</f>
        <v>1.1</v>
      </c>
      <c r="Q119" s="292" t="n">
        <f aca="false">'GAS DAILY VOL DOWNLOAD'!Q119-'GAS DAILY VOL DOWNLOAD'!$B119+$B119</f>
        <v>1</v>
      </c>
    </row>
    <row r="120" customFormat="false" ht="12.75" hidden="false" customHeight="false" outlineLevel="0" collapsed="false">
      <c r="A120" s="317" t="n">
        <v>40603</v>
      </c>
      <c r="B120" s="292" t="n">
        <f aca="false">STRADDLES!L142</f>
        <v>0.75</v>
      </c>
      <c r="C120" s="292" t="n">
        <f aca="false">'GAS DAILY VOL DOWNLOAD'!C120-'GAS DAILY VOL DOWNLOAD'!$B120+$B120</f>
        <v>0.8</v>
      </c>
      <c r="D120" s="292" t="n">
        <f aca="false">'GAS DAILY VOL DOWNLOAD'!D120-'GAS DAILY VOL DOWNLOAD'!$B120+$B120</f>
        <v>0.75</v>
      </c>
      <c r="E120" s="292" t="n">
        <f aca="false">'GAS DAILY VOL DOWNLOAD'!E120-'GAS DAILY VOL DOWNLOAD'!$B120+$B120</f>
        <v>0.75</v>
      </c>
      <c r="F120" s="292" t="n">
        <f aca="false">'GAS DAILY VOL DOWNLOAD'!F120-'GAS DAILY VOL DOWNLOAD'!$B120+$B120</f>
        <v>0.85</v>
      </c>
      <c r="G120" s="292" t="n">
        <f aca="false">'GAS DAILY VOL DOWNLOAD'!G120-'GAS DAILY VOL DOWNLOAD'!$B120+$B120</f>
        <v>1</v>
      </c>
      <c r="H120" s="292" t="n">
        <f aca="false">'GAS DAILY VOL DOWNLOAD'!H120-'GAS DAILY VOL DOWNLOAD'!$B120+$B120</f>
        <v>0.75</v>
      </c>
      <c r="I120" s="292" t="n">
        <f aca="false">'GAS DAILY VOL DOWNLOAD'!I120-'GAS DAILY VOL DOWNLOAD'!$B120+$B120</f>
        <v>0.75</v>
      </c>
      <c r="J120" s="292" t="n">
        <f aca="false">'GAS DAILY VOL DOWNLOAD'!J120-'GAS DAILY VOL DOWNLOAD'!$B120+$B120</f>
        <v>0.95</v>
      </c>
      <c r="K120" s="292" t="n">
        <f aca="false">'GAS DAILY VOL DOWNLOAD'!K120-'GAS DAILY VOL DOWNLOAD'!$B120+$B120</f>
        <v>0.75</v>
      </c>
      <c r="L120" s="292" t="n">
        <f aca="false">'GAS DAILY VOL DOWNLOAD'!L120-'GAS DAILY VOL DOWNLOAD'!$B120+$B120</f>
        <v>0.75</v>
      </c>
      <c r="M120" s="292" t="n">
        <f aca="false">'GAS DAILY VOL DOWNLOAD'!M120-'GAS DAILY VOL DOWNLOAD'!$B120+$B120</f>
        <v>0.75</v>
      </c>
      <c r="N120" s="292" t="n">
        <f aca="false">'GAS DAILY VOL DOWNLOAD'!N120-'GAS DAILY VOL DOWNLOAD'!$B120+$B120</f>
        <v>1</v>
      </c>
      <c r="O120" s="292" t="n">
        <f aca="false">'GAS DAILY VOL DOWNLOAD'!O120-'GAS DAILY VOL DOWNLOAD'!$B120+$B120</f>
        <v>0.9</v>
      </c>
      <c r="P120" s="292" t="n">
        <f aca="false">'GAS DAILY VOL DOWNLOAD'!P120-'GAS DAILY VOL DOWNLOAD'!$B120+$B120</f>
        <v>0.85</v>
      </c>
      <c r="Q120" s="292" t="n">
        <f aca="false">'GAS DAILY VOL DOWNLOAD'!Q120-'GAS DAILY VOL DOWNLOAD'!$B120+$B120</f>
        <v>0.75</v>
      </c>
    </row>
    <row r="121" customFormat="false" ht="12.75" hidden="false" customHeight="false" outlineLevel="0" collapsed="false">
      <c r="A121" s="317" t="n">
        <v>40634</v>
      </c>
      <c r="B121" s="292" t="n">
        <f aca="false">STRADDLES!L143</f>
        <v>0.4</v>
      </c>
      <c r="C121" s="292" t="n">
        <f aca="false">'GAS DAILY VOL DOWNLOAD'!C121-'GAS DAILY VOL DOWNLOAD'!$B121+$B121</f>
        <v>0.45</v>
      </c>
      <c r="D121" s="292" t="n">
        <f aca="false">'GAS DAILY VOL DOWNLOAD'!D121-'GAS DAILY VOL DOWNLOAD'!$B121+$B121</f>
        <v>0.4</v>
      </c>
      <c r="E121" s="292" t="n">
        <f aca="false">'GAS DAILY VOL DOWNLOAD'!E121-'GAS DAILY VOL DOWNLOAD'!$B121+$B121</f>
        <v>0.45</v>
      </c>
      <c r="F121" s="292" t="n">
        <f aca="false">'GAS DAILY VOL DOWNLOAD'!F121-'GAS DAILY VOL DOWNLOAD'!$B121+$B121</f>
        <v>0.45</v>
      </c>
      <c r="G121" s="292" t="n">
        <f aca="false">'GAS DAILY VOL DOWNLOAD'!G121-'GAS DAILY VOL DOWNLOAD'!$B121+$B121</f>
        <v>0.45</v>
      </c>
      <c r="H121" s="292" t="n">
        <f aca="false">'GAS DAILY VOL DOWNLOAD'!H121-'GAS DAILY VOL DOWNLOAD'!$B121+$B121</f>
        <v>0.45</v>
      </c>
      <c r="I121" s="292" t="n">
        <f aca="false">'GAS DAILY VOL DOWNLOAD'!I121-'GAS DAILY VOL DOWNLOAD'!$B121+$B121</f>
        <v>0.45</v>
      </c>
      <c r="J121" s="292" t="n">
        <f aca="false">'GAS DAILY VOL DOWNLOAD'!J121-'GAS DAILY VOL DOWNLOAD'!$B121+$B121</f>
        <v>0.5</v>
      </c>
      <c r="K121" s="292" t="n">
        <f aca="false">'GAS DAILY VOL DOWNLOAD'!K121-'GAS DAILY VOL DOWNLOAD'!$B121+$B121</f>
        <v>0.4</v>
      </c>
      <c r="L121" s="292" t="n">
        <f aca="false">'GAS DAILY VOL DOWNLOAD'!L121-'GAS DAILY VOL DOWNLOAD'!$B121+$B121</f>
        <v>0.45</v>
      </c>
      <c r="M121" s="292" t="n">
        <f aca="false">'GAS DAILY VOL DOWNLOAD'!M121-'GAS DAILY VOL DOWNLOAD'!$B121+$B121</f>
        <v>0.4</v>
      </c>
      <c r="N121" s="292" t="n">
        <f aca="false">'GAS DAILY VOL DOWNLOAD'!N121-'GAS DAILY VOL DOWNLOAD'!$B121+$B121</f>
        <v>0.45</v>
      </c>
      <c r="O121" s="292" t="n">
        <f aca="false">'GAS DAILY VOL DOWNLOAD'!O121-'GAS DAILY VOL DOWNLOAD'!$B121+$B121</f>
        <v>0.55</v>
      </c>
      <c r="P121" s="292" t="n">
        <f aca="false">'GAS DAILY VOL DOWNLOAD'!P121-'GAS DAILY VOL DOWNLOAD'!$B121+$B121</f>
        <v>0.55</v>
      </c>
      <c r="Q121" s="292" t="n">
        <f aca="false">'GAS DAILY VOL DOWNLOAD'!Q121-'GAS DAILY VOL DOWNLOAD'!$B121+$B121</f>
        <v>0.4</v>
      </c>
    </row>
    <row r="122" customFormat="false" ht="12.75" hidden="false" customHeight="false" outlineLevel="0" collapsed="false">
      <c r="A122" s="317" t="n">
        <v>40664</v>
      </c>
      <c r="B122" s="292" t="n">
        <f aca="false">STRADDLES!L144</f>
        <v>0.45</v>
      </c>
      <c r="C122" s="292" t="n">
        <f aca="false">'GAS DAILY VOL DOWNLOAD'!C122-'GAS DAILY VOL DOWNLOAD'!$B122+$B122</f>
        <v>0.5</v>
      </c>
      <c r="D122" s="292" t="n">
        <f aca="false">'GAS DAILY VOL DOWNLOAD'!D122-'GAS DAILY VOL DOWNLOAD'!$B122+$B122</f>
        <v>0.4</v>
      </c>
      <c r="E122" s="292" t="n">
        <f aca="false">'GAS DAILY VOL DOWNLOAD'!E122-'GAS DAILY VOL DOWNLOAD'!$B122+$B122</f>
        <v>0.4</v>
      </c>
      <c r="F122" s="292" t="n">
        <f aca="false">'GAS DAILY VOL DOWNLOAD'!F122-'GAS DAILY VOL DOWNLOAD'!$B122+$B122</f>
        <v>0.45</v>
      </c>
      <c r="G122" s="292" t="n">
        <f aca="false">'GAS DAILY VOL DOWNLOAD'!G122-'GAS DAILY VOL DOWNLOAD'!$B122+$B122</f>
        <v>0.5</v>
      </c>
      <c r="H122" s="292" t="n">
        <f aca="false">'GAS DAILY VOL DOWNLOAD'!H122-'GAS DAILY VOL DOWNLOAD'!$B122+$B122</f>
        <v>0.45</v>
      </c>
      <c r="I122" s="292" t="n">
        <f aca="false">'GAS DAILY VOL DOWNLOAD'!I122-'GAS DAILY VOL DOWNLOAD'!$B122+$B122</f>
        <v>0.4</v>
      </c>
      <c r="J122" s="292" t="n">
        <f aca="false">'GAS DAILY VOL DOWNLOAD'!J122-'GAS DAILY VOL DOWNLOAD'!$B122+$B122</f>
        <v>0.45</v>
      </c>
      <c r="K122" s="292" t="n">
        <f aca="false">'GAS DAILY VOL DOWNLOAD'!K122-'GAS DAILY VOL DOWNLOAD'!$B122+$B122</f>
        <v>0.45</v>
      </c>
      <c r="L122" s="292" t="n">
        <f aca="false">'GAS DAILY VOL DOWNLOAD'!L122-'GAS DAILY VOL DOWNLOAD'!$B122+$B122</f>
        <v>0.5</v>
      </c>
      <c r="M122" s="292" t="n">
        <f aca="false">'GAS DAILY VOL DOWNLOAD'!M122-'GAS DAILY VOL DOWNLOAD'!$B122+$B122</f>
        <v>0.45</v>
      </c>
      <c r="N122" s="292" t="n">
        <f aca="false">'GAS DAILY VOL DOWNLOAD'!N122-'GAS DAILY VOL DOWNLOAD'!$B122+$B122</f>
        <v>0.5</v>
      </c>
      <c r="O122" s="292" t="n">
        <f aca="false">'GAS DAILY VOL DOWNLOAD'!O122-'GAS DAILY VOL DOWNLOAD'!$B122+$B122</f>
        <v>0.6</v>
      </c>
      <c r="P122" s="292" t="n">
        <f aca="false">'GAS DAILY VOL DOWNLOAD'!P122-'GAS DAILY VOL DOWNLOAD'!$B122+$B122</f>
        <v>0.5</v>
      </c>
      <c r="Q122" s="292" t="n">
        <f aca="false">'GAS DAILY VOL DOWNLOAD'!Q122-'GAS DAILY VOL DOWNLOAD'!$B122+$B122</f>
        <v>0.45</v>
      </c>
    </row>
    <row r="123" customFormat="false" ht="12.75" hidden="false" customHeight="false" outlineLevel="0" collapsed="false">
      <c r="A123" s="317" t="n">
        <v>40695</v>
      </c>
      <c r="B123" s="292" t="n">
        <f aca="false">STRADDLES!L145</f>
        <v>0.45</v>
      </c>
      <c r="C123" s="292" t="n">
        <f aca="false">'GAS DAILY VOL DOWNLOAD'!C123-'GAS DAILY VOL DOWNLOAD'!$B123+$B123</f>
        <v>0.5</v>
      </c>
      <c r="D123" s="292" t="n">
        <f aca="false">'GAS DAILY VOL DOWNLOAD'!D123-'GAS DAILY VOL DOWNLOAD'!$B123+$B123</f>
        <v>0.4</v>
      </c>
      <c r="E123" s="292" t="n">
        <f aca="false">'GAS DAILY VOL DOWNLOAD'!E123-'GAS DAILY VOL DOWNLOAD'!$B123+$B123</f>
        <v>0.5</v>
      </c>
      <c r="F123" s="292" t="n">
        <f aca="false">'GAS DAILY VOL DOWNLOAD'!F123-'GAS DAILY VOL DOWNLOAD'!$B123+$B123</f>
        <v>0.45</v>
      </c>
      <c r="G123" s="292" t="n">
        <f aca="false">'GAS DAILY VOL DOWNLOAD'!G123-'GAS DAILY VOL DOWNLOAD'!$B123+$B123</f>
        <v>0.5</v>
      </c>
      <c r="H123" s="292" t="n">
        <f aca="false">'GAS DAILY VOL DOWNLOAD'!H123-'GAS DAILY VOL DOWNLOAD'!$B123+$B123</f>
        <v>0.5</v>
      </c>
      <c r="I123" s="292" t="n">
        <f aca="false">'GAS DAILY VOL DOWNLOAD'!I123-'GAS DAILY VOL DOWNLOAD'!$B123+$B123</f>
        <v>0.5</v>
      </c>
      <c r="J123" s="292" t="n">
        <f aca="false">'GAS DAILY VOL DOWNLOAD'!J123-'GAS DAILY VOL DOWNLOAD'!$B123+$B123</f>
        <v>0.5</v>
      </c>
      <c r="K123" s="292" t="n">
        <f aca="false">'GAS DAILY VOL DOWNLOAD'!K123-'GAS DAILY VOL DOWNLOAD'!$B123+$B123</f>
        <v>0.45</v>
      </c>
      <c r="L123" s="292" t="n">
        <f aca="false">'GAS DAILY VOL DOWNLOAD'!L123-'GAS DAILY VOL DOWNLOAD'!$B123+$B123</f>
        <v>0.5</v>
      </c>
      <c r="M123" s="292" t="n">
        <f aca="false">'GAS DAILY VOL DOWNLOAD'!M123-'GAS DAILY VOL DOWNLOAD'!$B123+$B123</f>
        <v>0.45</v>
      </c>
      <c r="N123" s="292" t="n">
        <f aca="false">'GAS DAILY VOL DOWNLOAD'!N123-'GAS DAILY VOL DOWNLOAD'!$B123+$B123</f>
        <v>0.5</v>
      </c>
      <c r="O123" s="292" t="n">
        <f aca="false">'GAS DAILY VOL DOWNLOAD'!O123-'GAS DAILY VOL DOWNLOAD'!$B123+$B123</f>
        <v>0.6</v>
      </c>
      <c r="P123" s="292" t="n">
        <f aca="false">'GAS DAILY VOL DOWNLOAD'!P123-'GAS DAILY VOL DOWNLOAD'!$B123+$B123</f>
        <v>0.6</v>
      </c>
      <c r="Q123" s="292" t="n">
        <f aca="false">'GAS DAILY VOL DOWNLOAD'!Q123-'GAS DAILY VOL DOWNLOAD'!$B123+$B123</f>
        <v>0.45</v>
      </c>
    </row>
    <row r="124" customFormat="false" ht="12.75" hidden="false" customHeight="false" outlineLevel="0" collapsed="false">
      <c r="A124" s="317" t="n">
        <v>40725</v>
      </c>
      <c r="B124" s="292" t="n">
        <f aca="false">STRADDLES!L146</f>
        <v>0.5</v>
      </c>
      <c r="C124" s="292" t="n">
        <f aca="false">'GAS DAILY VOL DOWNLOAD'!C124-'GAS DAILY VOL DOWNLOAD'!$B124+$B124</f>
        <v>0.5</v>
      </c>
      <c r="D124" s="292" t="n">
        <f aca="false">'GAS DAILY VOL DOWNLOAD'!D124-'GAS DAILY VOL DOWNLOAD'!$B124+$B124</f>
        <v>0.4</v>
      </c>
      <c r="E124" s="292" t="n">
        <f aca="false">'GAS DAILY VOL DOWNLOAD'!E124-'GAS DAILY VOL DOWNLOAD'!$B124+$B124</f>
        <v>0.5</v>
      </c>
      <c r="F124" s="292" t="n">
        <f aca="false">'GAS DAILY VOL DOWNLOAD'!F124-'GAS DAILY VOL DOWNLOAD'!$B124+$B124</f>
        <v>0.5</v>
      </c>
      <c r="G124" s="292" t="n">
        <f aca="false">'GAS DAILY VOL DOWNLOAD'!G124-'GAS DAILY VOL DOWNLOAD'!$B124+$B124</f>
        <v>0.5</v>
      </c>
      <c r="H124" s="292" t="n">
        <f aca="false">'GAS DAILY VOL DOWNLOAD'!H124-'GAS DAILY VOL DOWNLOAD'!$B124+$B124</f>
        <v>0.5</v>
      </c>
      <c r="I124" s="292" t="n">
        <f aca="false">'GAS DAILY VOL DOWNLOAD'!I124-'GAS DAILY VOL DOWNLOAD'!$B124+$B124</f>
        <v>0.5</v>
      </c>
      <c r="J124" s="292" t="n">
        <f aca="false">'GAS DAILY VOL DOWNLOAD'!J124-'GAS DAILY VOL DOWNLOAD'!$B124+$B124</f>
        <v>0.5</v>
      </c>
      <c r="K124" s="292" t="n">
        <f aca="false">'GAS DAILY VOL DOWNLOAD'!K124-'GAS DAILY VOL DOWNLOAD'!$B124+$B124</f>
        <v>0.5</v>
      </c>
      <c r="L124" s="292" t="n">
        <f aca="false">'GAS DAILY VOL DOWNLOAD'!L124-'GAS DAILY VOL DOWNLOAD'!$B124+$B124</f>
        <v>0.55</v>
      </c>
      <c r="M124" s="292" t="n">
        <f aca="false">'GAS DAILY VOL DOWNLOAD'!M124-'GAS DAILY VOL DOWNLOAD'!$B124+$B124</f>
        <v>0.5</v>
      </c>
      <c r="N124" s="292" t="n">
        <f aca="false">'GAS DAILY VOL DOWNLOAD'!N124-'GAS DAILY VOL DOWNLOAD'!$B124+$B124</f>
        <v>0.5</v>
      </c>
      <c r="O124" s="292" t="n">
        <f aca="false">'GAS DAILY VOL DOWNLOAD'!O124-'GAS DAILY VOL DOWNLOAD'!$B124+$B124</f>
        <v>0.65</v>
      </c>
      <c r="P124" s="292" t="n">
        <f aca="false">'GAS DAILY VOL DOWNLOAD'!P124-'GAS DAILY VOL DOWNLOAD'!$B124+$B124</f>
        <v>0.6</v>
      </c>
      <c r="Q124" s="292" t="n">
        <f aca="false">'GAS DAILY VOL DOWNLOAD'!Q124-'GAS DAILY VOL DOWNLOAD'!$B124+$B124</f>
        <v>0.5</v>
      </c>
    </row>
    <row r="125" customFormat="false" ht="12.75" hidden="false" customHeight="false" outlineLevel="0" collapsed="false">
      <c r="A125" s="317" t="n">
        <v>40756</v>
      </c>
      <c r="B125" s="292" t="n">
        <f aca="false">STRADDLES!L147</f>
        <v>0.55</v>
      </c>
      <c r="C125" s="292" t="n">
        <f aca="false">'GAS DAILY VOL DOWNLOAD'!C125-'GAS DAILY VOL DOWNLOAD'!$B125+$B125</f>
        <v>0.55</v>
      </c>
      <c r="D125" s="292" t="n">
        <f aca="false">'GAS DAILY VOL DOWNLOAD'!D125-'GAS DAILY VOL DOWNLOAD'!$B125+$B125</f>
        <v>0.5</v>
      </c>
      <c r="E125" s="292" t="n">
        <f aca="false">'GAS DAILY VOL DOWNLOAD'!E125-'GAS DAILY VOL DOWNLOAD'!$B125+$B125</f>
        <v>0.6</v>
      </c>
      <c r="F125" s="292" t="n">
        <f aca="false">'GAS DAILY VOL DOWNLOAD'!F125-'GAS DAILY VOL DOWNLOAD'!$B125+$B125</f>
        <v>0.55</v>
      </c>
      <c r="G125" s="292" t="n">
        <f aca="false">'GAS DAILY VOL DOWNLOAD'!G125-'GAS DAILY VOL DOWNLOAD'!$B125+$B125</f>
        <v>0.6</v>
      </c>
      <c r="H125" s="292" t="n">
        <f aca="false">'GAS DAILY VOL DOWNLOAD'!H125-'GAS DAILY VOL DOWNLOAD'!$B125+$B125</f>
        <v>0.55</v>
      </c>
      <c r="I125" s="292" t="n">
        <f aca="false">'GAS DAILY VOL DOWNLOAD'!I125-'GAS DAILY VOL DOWNLOAD'!$B125+$B125</f>
        <v>0.6</v>
      </c>
      <c r="J125" s="292" t="n">
        <f aca="false">'GAS DAILY VOL DOWNLOAD'!J125-'GAS DAILY VOL DOWNLOAD'!$B125+$B125</f>
        <v>0.45</v>
      </c>
      <c r="K125" s="292" t="n">
        <f aca="false">'GAS DAILY VOL DOWNLOAD'!K125-'GAS DAILY VOL DOWNLOAD'!$B125+$B125</f>
        <v>0.55</v>
      </c>
      <c r="L125" s="292" t="n">
        <f aca="false">'GAS DAILY VOL DOWNLOAD'!L125-'GAS DAILY VOL DOWNLOAD'!$B125+$B125</f>
        <v>0.6</v>
      </c>
      <c r="M125" s="292" t="n">
        <f aca="false">'GAS DAILY VOL DOWNLOAD'!M125-'GAS DAILY VOL DOWNLOAD'!$B125+$B125</f>
        <v>0.55</v>
      </c>
      <c r="N125" s="292" t="n">
        <f aca="false">'GAS DAILY VOL DOWNLOAD'!N125-'GAS DAILY VOL DOWNLOAD'!$B125+$B125</f>
        <v>0.6</v>
      </c>
      <c r="O125" s="292" t="n">
        <f aca="false">'GAS DAILY VOL DOWNLOAD'!O125-'GAS DAILY VOL DOWNLOAD'!$B125+$B125</f>
        <v>0.7</v>
      </c>
      <c r="P125" s="292" t="n">
        <f aca="false">'GAS DAILY VOL DOWNLOAD'!P125-'GAS DAILY VOL DOWNLOAD'!$B125+$B125</f>
        <v>0.7</v>
      </c>
      <c r="Q125" s="292" t="n">
        <f aca="false">'GAS DAILY VOL DOWNLOAD'!Q125-'GAS DAILY VOL DOWNLOAD'!$B125+$B125</f>
        <v>0.55</v>
      </c>
    </row>
    <row r="126" customFormat="false" ht="12.75" hidden="false" customHeight="false" outlineLevel="0" collapsed="false">
      <c r="A126" s="317" t="n">
        <v>40787</v>
      </c>
      <c r="B126" s="292" t="n">
        <f aca="false">STRADDLES!L148</f>
        <v>0.55</v>
      </c>
      <c r="C126" s="292" t="n">
        <f aca="false">'GAS DAILY VOL DOWNLOAD'!C126-'GAS DAILY VOL DOWNLOAD'!$B126+$B126</f>
        <v>0.55</v>
      </c>
      <c r="D126" s="292" t="n">
        <f aca="false">'GAS DAILY VOL DOWNLOAD'!D126-'GAS DAILY VOL DOWNLOAD'!$B126+$B126</f>
        <v>0.55</v>
      </c>
      <c r="E126" s="292" t="n">
        <f aca="false">'GAS DAILY VOL DOWNLOAD'!E126-'GAS DAILY VOL DOWNLOAD'!$B126+$B126</f>
        <v>0.55</v>
      </c>
      <c r="F126" s="292" t="n">
        <f aca="false">'GAS DAILY VOL DOWNLOAD'!F126-'GAS DAILY VOL DOWNLOAD'!$B126+$B126</f>
        <v>0.55</v>
      </c>
      <c r="G126" s="292" t="n">
        <f aca="false">'GAS DAILY VOL DOWNLOAD'!G126-'GAS DAILY VOL DOWNLOAD'!$B126+$B126</f>
        <v>0.6</v>
      </c>
      <c r="H126" s="292" t="n">
        <f aca="false">'GAS DAILY VOL DOWNLOAD'!H126-'GAS DAILY VOL DOWNLOAD'!$B126+$B126</f>
        <v>0.6</v>
      </c>
      <c r="I126" s="292" t="n">
        <f aca="false">'GAS DAILY VOL DOWNLOAD'!I126-'GAS DAILY VOL DOWNLOAD'!$B126+$B126</f>
        <v>0.55</v>
      </c>
      <c r="J126" s="292" t="n">
        <f aca="false">'GAS DAILY VOL DOWNLOAD'!J126-'GAS DAILY VOL DOWNLOAD'!$B126+$B126</f>
        <v>0.5</v>
      </c>
      <c r="K126" s="292" t="n">
        <f aca="false">'GAS DAILY VOL DOWNLOAD'!K126-'GAS DAILY VOL DOWNLOAD'!$B126+$B126</f>
        <v>0.55</v>
      </c>
      <c r="L126" s="292" t="n">
        <f aca="false">'GAS DAILY VOL DOWNLOAD'!L126-'GAS DAILY VOL DOWNLOAD'!$B126+$B126</f>
        <v>0.6</v>
      </c>
      <c r="M126" s="292" t="n">
        <f aca="false">'GAS DAILY VOL DOWNLOAD'!M126-'GAS DAILY VOL DOWNLOAD'!$B126+$B126</f>
        <v>0.55</v>
      </c>
      <c r="N126" s="292" t="n">
        <f aca="false">'GAS DAILY VOL DOWNLOAD'!N126-'GAS DAILY VOL DOWNLOAD'!$B126+$B126</f>
        <v>0.6</v>
      </c>
      <c r="O126" s="292" t="n">
        <f aca="false">'GAS DAILY VOL DOWNLOAD'!O126-'GAS DAILY VOL DOWNLOAD'!$B126+$B126</f>
        <v>0.7</v>
      </c>
      <c r="P126" s="292" t="n">
        <f aca="false">'GAS DAILY VOL DOWNLOAD'!P126-'GAS DAILY VOL DOWNLOAD'!$B126+$B126</f>
        <v>0.65</v>
      </c>
      <c r="Q126" s="292" t="n">
        <f aca="false">'GAS DAILY VOL DOWNLOAD'!Q126-'GAS DAILY VOL DOWNLOAD'!$B126+$B126</f>
        <v>0.55</v>
      </c>
    </row>
    <row r="127" customFormat="false" ht="12.75" hidden="false" customHeight="false" outlineLevel="0" collapsed="false">
      <c r="A127" s="317" t="n">
        <v>40817</v>
      </c>
      <c r="B127" s="292" t="n">
        <f aca="false">STRADDLES!L149</f>
        <v>0.6</v>
      </c>
      <c r="C127" s="292" t="n">
        <f aca="false">'GAS DAILY VOL DOWNLOAD'!C127-'GAS DAILY VOL DOWNLOAD'!$B127+$B127</f>
        <v>0.6</v>
      </c>
      <c r="D127" s="292" t="n">
        <f aca="false">'GAS DAILY VOL DOWNLOAD'!D127-'GAS DAILY VOL DOWNLOAD'!$B127+$B127</f>
        <v>0.55</v>
      </c>
      <c r="E127" s="292" t="n">
        <f aca="false">'GAS DAILY VOL DOWNLOAD'!E127-'GAS DAILY VOL DOWNLOAD'!$B127+$B127</f>
        <v>0.6</v>
      </c>
      <c r="F127" s="292" t="n">
        <f aca="false">'GAS DAILY VOL DOWNLOAD'!F127-'GAS DAILY VOL DOWNLOAD'!$B127+$B127</f>
        <v>0.6</v>
      </c>
      <c r="G127" s="292" t="n">
        <f aca="false">'GAS DAILY VOL DOWNLOAD'!G127-'GAS DAILY VOL DOWNLOAD'!$B127+$B127</f>
        <v>0.65</v>
      </c>
      <c r="H127" s="292" t="n">
        <f aca="false">'GAS DAILY VOL DOWNLOAD'!H127-'GAS DAILY VOL DOWNLOAD'!$B127+$B127</f>
        <v>0.65</v>
      </c>
      <c r="I127" s="292" t="n">
        <f aca="false">'GAS DAILY VOL DOWNLOAD'!I127-'GAS DAILY VOL DOWNLOAD'!$B127+$B127</f>
        <v>0.6</v>
      </c>
      <c r="J127" s="292" t="n">
        <f aca="false">'GAS DAILY VOL DOWNLOAD'!J127-'GAS DAILY VOL DOWNLOAD'!$B127+$B127</f>
        <v>0.5</v>
      </c>
      <c r="K127" s="292" t="n">
        <f aca="false">'GAS DAILY VOL DOWNLOAD'!K127-'GAS DAILY VOL DOWNLOAD'!$B127+$B127</f>
        <v>0.6</v>
      </c>
      <c r="L127" s="292" t="n">
        <f aca="false">'GAS DAILY VOL DOWNLOAD'!L127-'GAS DAILY VOL DOWNLOAD'!$B127+$B127</f>
        <v>0.65</v>
      </c>
      <c r="M127" s="292" t="n">
        <f aca="false">'GAS DAILY VOL DOWNLOAD'!M127-'GAS DAILY VOL DOWNLOAD'!$B127+$B127</f>
        <v>0.6</v>
      </c>
      <c r="N127" s="292" t="n">
        <f aca="false">'GAS DAILY VOL DOWNLOAD'!N127-'GAS DAILY VOL DOWNLOAD'!$B127+$B127</f>
        <v>0.65</v>
      </c>
      <c r="O127" s="292" t="n">
        <f aca="false">'GAS DAILY VOL DOWNLOAD'!O127-'GAS DAILY VOL DOWNLOAD'!$B127+$B127</f>
        <v>0.75</v>
      </c>
      <c r="P127" s="292" t="n">
        <f aca="false">'GAS DAILY VOL DOWNLOAD'!P127-'GAS DAILY VOL DOWNLOAD'!$B127+$B127</f>
        <v>0.7</v>
      </c>
      <c r="Q127" s="292" t="n">
        <f aca="false">'GAS DAILY VOL DOWNLOAD'!Q127-'GAS DAILY VOL DOWNLOAD'!$B127+$B127</f>
        <v>0.6</v>
      </c>
    </row>
    <row r="128" customFormat="false" ht="12.75" hidden="false" customHeight="false" outlineLevel="0" collapsed="false">
      <c r="A128" s="317" t="n">
        <v>40848</v>
      </c>
      <c r="B128" s="292" t="n">
        <f aca="false">STRADDLES!L150</f>
        <v>0.8</v>
      </c>
      <c r="C128" s="292" t="n">
        <f aca="false">'GAS DAILY VOL DOWNLOAD'!C128-'GAS DAILY VOL DOWNLOAD'!$B128+$B128</f>
        <v>0.85</v>
      </c>
      <c r="D128" s="292" t="n">
        <f aca="false">'GAS DAILY VOL DOWNLOAD'!D128-'GAS DAILY VOL DOWNLOAD'!$B128+$B128</f>
        <v>0.8</v>
      </c>
      <c r="E128" s="292" t="n">
        <f aca="false">'GAS DAILY VOL DOWNLOAD'!E128-'GAS DAILY VOL DOWNLOAD'!$B128+$B128</f>
        <v>0.8</v>
      </c>
      <c r="F128" s="292" t="n">
        <f aca="false">'GAS DAILY VOL DOWNLOAD'!F128-'GAS DAILY VOL DOWNLOAD'!$B128+$B128</f>
        <v>0.9</v>
      </c>
      <c r="G128" s="292" t="n">
        <f aca="false">'GAS DAILY VOL DOWNLOAD'!G128-'GAS DAILY VOL DOWNLOAD'!$B128+$B128</f>
        <v>0.95</v>
      </c>
      <c r="H128" s="292" t="n">
        <f aca="false">'GAS DAILY VOL DOWNLOAD'!H128-'GAS DAILY VOL DOWNLOAD'!$B128+$B128</f>
        <v>0.85</v>
      </c>
      <c r="I128" s="292" t="n">
        <f aca="false">'GAS DAILY VOL DOWNLOAD'!I128-'GAS DAILY VOL DOWNLOAD'!$B128+$B128</f>
        <v>0.8</v>
      </c>
      <c r="J128" s="292" t="n">
        <f aca="false">'GAS DAILY VOL DOWNLOAD'!J128-'GAS DAILY VOL DOWNLOAD'!$B128+$B128</f>
        <v>0.95</v>
      </c>
      <c r="K128" s="292" t="n">
        <f aca="false">'GAS DAILY VOL DOWNLOAD'!K128-'GAS DAILY VOL DOWNLOAD'!$B128+$B128</f>
        <v>0.8</v>
      </c>
      <c r="L128" s="292" t="n">
        <f aca="false">'GAS DAILY VOL DOWNLOAD'!L128-'GAS DAILY VOL DOWNLOAD'!$B128+$B128</f>
        <v>0.8</v>
      </c>
      <c r="M128" s="292" t="n">
        <f aca="false">'GAS DAILY VOL DOWNLOAD'!M128-'GAS DAILY VOL DOWNLOAD'!$B128+$B128</f>
        <v>0.8</v>
      </c>
      <c r="N128" s="292" t="n">
        <f aca="false">'GAS DAILY VOL DOWNLOAD'!N128-'GAS DAILY VOL DOWNLOAD'!$B128+$B128</f>
        <v>0.95</v>
      </c>
      <c r="O128" s="292" t="n">
        <f aca="false">'GAS DAILY VOL DOWNLOAD'!O128-'GAS DAILY VOL DOWNLOAD'!$B128+$B128</f>
        <v>0.95</v>
      </c>
      <c r="P128" s="292" t="n">
        <f aca="false">'GAS DAILY VOL DOWNLOAD'!P128-'GAS DAILY VOL DOWNLOAD'!$B128+$B128</f>
        <v>0.9</v>
      </c>
      <c r="Q128" s="292" t="n">
        <f aca="false">'GAS DAILY VOL DOWNLOAD'!Q128-'GAS DAILY VOL DOWNLOAD'!$B128+$B128</f>
        <v>0.8</v>
      </c>
    </row>
    <row r="129" customFormat="false" ht="12.75" hidden="false" customHeight="false" outlineLevel="0" collapsed="false">
      <c r="A129" s="317" t="n">
        <v>40878</v>
      </c>
      <c r="B129" s="292" t="n">
        <f aca="false">STRADDLES!L151</f>
        <v>0</v>
      </c>
      <c r="C129" s="292" t="n">
        <f aca="false">'GAS DAILY VOL DOWNLOAD'!C129-'GAS DAILY VOL DOWNLOAD'!$B129+$B129</f>
        <v>0.05</v>
      </c>
      <c r="D129" s="292" t="n">
        <f aca="false">'GAS DAILY VOL DOWNLOAD'!D129-'GAS DAILY VOL DOWNLOAD'!$B129+$B129</f>
        <v>0</v>
      </c>
      <c r="E129" s="292" t="n">
        <f aca="false">'GAS DAILY VOL DOWNLOAD'!E129-'GAS DAILY VOL DOWNLOAD'!$B129+$B129</f>
        <v>0</v>
      </c>
      <c r="F129" s="292" t="n">
        <f aca="false">'GAS DAILY VOL DOWNLOAD'!F129-'GAS DAILY VOL DOWNLOAD'!$B129+$B129</f>
        <v>0.15</v>
      </c>
      <c r="G129" s="292" t="n">
        <f aca="false">'GAS DAILY VOL DOWNLOAD'!G129-'GAS DAILY VOL DOWNLOAD'!$B129+$B129</f>
        <v>0.25</v>
      </c>
      <c r="H129" s="292" t="n">
        <f aca="false">'GAS DAILY VOL DOWNLOAD'!H129-'GAS DAILY VOL DOWNLOAD'!$B129+$B129</f>
        <v>0.05</v>
      </c>
      <c r="I129" s="292" t="n">
        <f aca="false">'GAS DAILY VOL DOWNLOAD'!I129-'GAS DAILY VOL DOWNLOAD'!$B129+$B129</f>
        <v>0</v>
      </c>
      <c r="J129" s="292" t="n">
        <f aca="false">'GAS DAILY VOL DOWNLOAD'!J129-'GAS DAILY VOL DOWNLOAD'!$B129+$B129</f>
        <v>0.35</v>
      </c>
      <c r="K129" s="292" t="n">
        <f aca="false">'GAS DAILY VOL DOWNLOAD'!K129-'GAS DAILY VOL DOWNLOAD'!$B129+$B129</f>
        <v>0</v>
      </c>
      <c r="L129" s="292" t="n">
        <f aca="false">'GAS DAILY VOL DOWNLOAD'!L129-'GAS DAILY VOL DOWNLOAD'!$B129+$B129</f>
        <v>0.1</v>
      </c>
      <c r="M129" s="292" t="n">
        <f aca="false">'GAS DAILY VOL DOWNLOAD'!M129-'GAS DAILY VOL DOWNLOAD'!$B129+$B129</f>
        <v>0</v>
      </c>
      <c r="N129" s="292" t="n">
        <f aca="false">'GAS DAILY VOL DOWNLOAD'!N129-'GAS DAILY VOL DOWNLOAD'!$B129+$B129</f>
        <v>0.25</v>
      </c>
      <c r="O129" s="292" t="n">
        <f aca="false">'GAS DAILY VOL DOWNLOAD'!O129-'GAS DAILY VOL DOWNLOAD'!$B129+$B129</f>
        <v>0.15</v>
      </c>
      <c r="P129" s="292" t="n">
        <f aca="false">'GAS DAILY VOL DOWNLOAD'!P129-'GAS DAILY VOL DOWNLOAD'!$B129+$B129</f>
        <v>0.1</v>
      </c>
      <c r="Q129" s="292" t="n">
        <f aca="false">'GAS DAILY VOL DOWNLOAD'!Q129-'GAS DAILY VOL DOWNLOAD'!$B129+$B129</f>
        <v>0</v>
      </c>
    </row>
    <row r="130" customFormat="false" ht="12.75" hidden="false" customHeight="false" outlineLevel="0" collapsed="false">
      <c r="A130" s="317" t="n">
        <v>40909</v>
      </c>
      <c r="B130" s="292" t="n">
        <f aca="false">STRADDLES!L152</f>
        <v>0</v>
      </c>
      <c r="C130" s="292" t="n">
        <f aca="false">'GAS DAILY VOL DOWNLOAD'!C130-'GAS DAILY VOL DOWNLOAD'!$B130+$B130</f>
        <v>0.05</v>
      </c>
      <c r="D130" s="292" t="n">
        <f aca="false">'GAS DAILY VOL DOWNLOAD'!D130-'GAS DAILY VOL DOWNLOAD'!$B130+$B130</f>
        <v>0</v>
      </c>
      <c r="E130" s="292" t="n">
        <f aca="false">'GAS DAILY VOL DOWNLOAD'!E130-'GAS DAILY VOL DOWNLOAD'!$B130+$B130</f>
        <v>0</v>
      </c>
      <c r="F130" s="292" t="n">
        <f aca="false">'GAS DAILY VOL DOWNLOAD'!F130-'GAS DAILY VOL DOWNLOAD'!$B130+$B130</f>
        <v>0.15</v>
      </c>
      <c r="G130" s="292" t="n">
        <f aca="false">'GAS DAILY VOL DOWNLOAD'!G130-'GAS DAILY VOL DOWNLOAD'!$B130+$B130</f>
        <v>0.45</v>
      </c>
      <c r="H130" s="292" t="n">
        <f aca="false">'GAS DAILY VOL DOWNLOAD'!H130-'GAS DAILY VOL DOWNLOAD'!$B130+$B130</f>
        <v>0.05</v>
      </c>
      <c r="I130" s="292" t="n">
        <f aca="false">'GAS DAILY VOL DOWNLOAD'!I130-'GAS DAILY VOL DOWNLOAD'!$B130+$B130</f>
        <v>0</v>
      </c>
      <c r="J130" s="292" t="n">
        <f aca="false">'GAS DAILY VOL DOWNLOAD'!J130-'GAS DAILY VOL DOWNLOAD'!$B130+$B130</f>
        <v>0.35</v>
      </c>
      <c r="K130" s="292" t="n">
        <f aca="false">'GAS DAILY VOL DOWNLOAD'!K130-'GAS DAILY VOL DOWNLOAD'!$B130+$B130</f>
        <v>0</v>
      </c>
      <c r="L130" s="292" t="n">
        <f aca="false">'GAS DAILY VOL DOWNLOAD'!L130-'GAS DAILY VOL DOWNLOAD'!$B130+$B130</f>
        <v>0.1</v>
      </c>
      <c r="M130" s="292" t="n">
        <f aca="false">'GAS DAILY VOL DOWNLOAD'!M130-'GAS DAILY VOL DOWNLOAD'!$B130+$B130</f>
        <v>0</v>
      </c>
      <c r="N130" s="292" t="n">
        <f aca="false">'GAS DAILY VOL DOWNLOAD'!N130-'GAS DAILY VOL DOWNLOAD'!$B130+$B130</f>
        <v>0.45</v>
      </c>
      <c r="O130" s="292" t="n">
        <f aca="false">'GAS DAILY VOL DOWNLOAD'!O130-'GAS DAILY VOL DOWNLOAD'!$B130+$B130</f>
        <v>0.15</v>
      </c>
      <c r="P130" s="292" t="n">
        <f aca="false">'GAS DAILY VOL DOWNLOAD'!P130-'GAS DAILY VOL DOWNLOAD'!$B130+$B130</f>
        <v>0.1</v>
      </c>
      <c r="Q130" s="292" t="n">
        <f aca="false">'GAS DAILY VOL DOWNLOAD'!Q130-'GAS DAILY VOL DOWNLOAD'!$B130+$B130</f>
        <v>0</v>
      </c>
    </row>
    <row r="131" customFormat="false" ht="12.75" hidden="false" customHeight="false" outlineLevel="0" collapsed="false">
      <c r="A131" s="317" t="n">
        <v>40940</v>
      </c>
      <c r="B131" s="292" t="n">
        <f aca="false">STRADDLES!L153</f>
        <v>0</v>
      </c>
      <c r="C131" s="292" t="n">
        <f aca="false">'GAS DAILY VOL DOWNLOAD'!C131-'GAS DAILY VOL DOWNLOAD'!$B131+$B131</f>
        <v>0.05</v>
      </c>
      <c r="D131" s="292" t="n">
        <f aca="false">'GAS DAILY VOL DOWNLOAD'!D131-'GAS DAILY VOL DOWNLOAD'!$B131+$B131</f>
        <v>0</v>
      </c>
      <c r="E131" s="292" t="n">
        <f aca="false">'GAS DAILY VOL DOWNLOAD'!E131-'GAS DAILY VOL DOWNLOAD'!$B131+$B131</f>
        <v>0</v>
      </c>
      <c r="F131" s="292" t="n">
        <f aca="false">'GAS DAILY VOL DOWNLOAD'!F131-'GAS DAILY VOL DOWNLOAD'!$B131+$B131</f>
        <v>0.15</v>
      </c>
      <c r="G131" s="292" t="n">
        <f aca="false">'GAS DAILY VOL DOWNLOAD'!G131-'GAS DAILY VOL DOWNLOAD'!$B131+$B131</f>
        <v>0.45</v>
      </c>
      <c r="H131" s="292" t="n">
        <f aca="false">'GAS DAILY VOL DOWNLOAD'!H131-'GAS DAILY VOL DOWNLOAD'!$B131+$B131</f>
        <v>0.05</v>
      </c>
      <c r="I131" s="292" t="n">
        <f aca="false">'GAS DAILY VOL DOWNLOAD'!I131-'GAS DAILY VOL DOWNLOAD'!$B131+$B131</f>
        <v>0</v>
      </c>
      <c r="J131" s="292" t="n">
        <f aca="false">'GAS DAILY VOL DOWNLOAD'!J131-'GAS DAILY VOL DOWNLOAD'!$B131+$B131</f>
        <v>0.35</v>
      </c>
      <c r="K131" s="292" t="n">
        <f aca="false">'GAS DAILY VOL DOWNLOAD'!K131-'GAS DAILY VOL DOWNLOAD'!$B131+$B131</f>
        <v>0</v>
      </c>
      <c r="L131" s="292" t="n">
        <f aca="false">'GAS DAILY VOL DOWNLOAD'!L131-'GAS DAILY VOL DOWNLOAD'!$B131+$B131</f>
        <v>0.1</v>
      </c>
      <c r="M131" s="292" t="n">
        <f aca="false">'GAS DAILY VOL DOWNLOAD'!M131-'GAS DAILY VOL DOWNLOAD'!$B131+$B131</f>
        <v>0</v>
      </c>
      <c r="N131" s="292" t="n">
        <f aca="false">'GAS DAILY VOL DOWNLOAD'!N131-'GAS DAILY VOL DOWNLOAD'!$B131+$B131</f>
        <v>0.45</v>
      </c>
      <c r="O131" s="292" t="n">
        <f aca="false">'GAS DAILY VOL DOWNLOAD'!O131-'GAS DAILY VOL DOWNLOAD'!$B131+$B131</f>
        <v>0.15</v>
      </c>
      <c r="P131" s="292" t="n">
        <f aca="false">'GAS DAILY VOL DOWNLOAD'!P131-'GAS DAILY VOL DOWNLOAD'!$B131+$B131</f>
        <v>0.1</v>
      </c>
      <c r="Q131" s="292" t="n">
        <f aca="false">'GAS DAILY VOL DOWNLOAD'!Q131-'GAS DAILY VOL DOWNLOAD'!$B131+$B131</f>
        <v>0</v>
      </c>
    </row>
    <row r="132" customFormat="false" ht="12.75" hidden="false" customHeight="false" outlineLevel="0" collapsed="false">
      <c r="A132" s="317" t="n">
        <v>40969</v>
      </c>
      <c r="B132" s="292" t="n">
        <f aca="false">STRADDLES!L154</f>
        <v>0</v>
      </c>
      <c r="C132" s="292" t="n">
        <f aca="false">'GAS DAILY VOL DOWNLOAD'!C132-'GAS DAILY VOL DOWNLOAD'!$B132+$B132</f>
        <v>0.05</v>
      </c>
      <c r="D132" s="292" t="n">
        <f aca="false">'GAS DAILY VOL DOWNLOAD'!D132-'GAS DAILY VOL DOWNLOAD'!$B132+$B132</f>
        <v>0</v>
      </c>
      <c r="E132" s="292" t="n">
        <f aca="false">'GAS DAILY VOL DOWNLOAD'!E132-'GAS DAILY VOL DOWNLOAD'!$B132+$B132</f>
        <v>0</v>
      </c>
      <c r="F132" s="292" t="n">
        <f aca="false">'GAS DAILY VOL DOWNLOAD'!F132-'GAS DAILY VOL DOWNLOAD'!$B132+$B132</f>
        <v>0.1</v>
      </c>
      <c r="G132" s="292" t="n">
        <f aca="false">'GAS DAILY VOL DOWNLOAD'!G132-'GAS DAILY VOL DOWNLOAD'!$B132+$B132</f>
        <v>0.25</v>
      </c>
      <c r="H132" s="292" t="n">
        <f aca="false">'GAS DAILY VOL DOWNLOAD'!H132-'GAS DAILY VOL DOWNLOAD'!$B132+$B132</f>
        <v>0</v>
      </c>
      <c r="I132" s="292" t="n">
        <f aca="false">'GAS DAILY VOL DOWNLOAD'!I132-'GAS DAILY VOL DOWNLOAD'!$B132+$B132</f>
        <v>0</v>
      </c>
      <c r="J132" s="292" t="n">
        <f aca="false">'GAS DAILY VOL DOWNLOAD'!J132-'GAS DAILY VOL DOWNLOAD'!$B132+$B132</f>
        <v>0.2</v>
      </c>
      <c r="K132" s="292" t="n">
        <f aca="false">'GAS DAILY VOL DOWNLOAD'!K132-'GAS DAILY VOL DOWNLOAD'!$B132+$B132</f>
        <v>0</v>
      </c>
      <c r="L132" s="292" t="n">
        <f aca="false">'GAS DAILY VOL DOWNLOAD'!L132-'GAS DAILY VOL DOWNLOAD'!$B132+$B132</f>
        <v>0</v>
      </c>
      <c r="M132" s="292" t="n">
        <f aca="false">'GAS DAILY VOL DOWNLOAD'!M132-'GAS DAILY VOL DOWNLOAD'!$B132+$B132</f>
        <v>0</v>
      </c>
      <c r="N132" s="292" t="n">
        <f aca="false">'GAS DAILY VOL DOWNLOAD'!N132-'GAS DAILY VOL DOWNLOAD'!$B132+$B132</f>
        <v>0.25</v>
      </c>
      <c r="O132" s="292" t="n">
        <f aca="false">'GAS DAILY VOL DOWNLOAD'!O132-'GAS DAILY VOL DOWNLOAD'!$B132+$B132</f>
        <v>0.15</v>
      </c>
      <c r="P132" s="292" t="n">
        <f aca="false">'GAS DAILY VOL DOWNLOAD'!P132-'GAS DAILY VOL DOWNLOAD'!$B132+$B132</f>
        <v>0.1</v>
      </c>
      <c r="Q132" s="292" t="n">
        <f aca="false">'GAS DAILY VOL DOWNLOAD'!Q132-'GAS DAILY VOL DOWNLOAD'!$B132+$B132</f>
        <v>0</v>
      </c>
    </row>
    <row r="133" customFormat="false" ht="12.75" hidden="false" customHeight="false" outlineLevel="0" collapsed="false">
      <c r="A133" s="317" t="n">
        <v>41000</v>
      </c>
      <c r="B133" s="292" t="n">
        <f aca="false">STRADDLES!L155</f>
        <v>0</v>
      </c>
      <c r="C133" s="292" t="n">
        <f aca="false">'GAS DAILY VOL DOWNLOAD'!C133-'GAS DAILY VOL DOWNLOAD'!$B133+$B133</f>
        <v>0.05</v>
      </c>
      <c r="D133" s="292" t="n">
        <f aca="false">'GAS DAILY VOL DOWNLOAD'!D133-'GAS DAILY VOL DOWNLOAD'!$B133+$B133</f>
        <v>0</v>
      </c>
      <c r="E133" s="292" t="n">
        <f aca="false">'GAS DAILY VOL DOWNLOAD'!E133-'GAS DAILY VOL DOWNLOAD'!$B133+$B133</f>
        <v>0.05</v>
      </c>
      <c r="F133" s="292" t="n">
        <f aca="false">'GAS DAILY VOL DOWNLOAD'!F133-'GAS DAILY VOL DOWNLOAD'!$B133+$B133</f>
        <v>0.05</v>
      </c>
      <c r="G133" s="292" t="n">
        <f aca="false">'GAS DAILY VOL DOWNLOAD'!G133-'GAS DAILY VOL DOWNLOAD'!$B133+$B133</f>
        <v>0.05</v>
      </c>
      <c r="H133" s="292" t="n">
        <f aca="false">'GAS DAILY VOL DOWNLOAD'!H133-'GAS DAILY VOL DOWNLOAD'!$B133+$B133</f>
        <v>0.05</v>
      </c>
      <c r="I133" s="292" t="n">
        <f aca="false">'GAS DAILY VOL DOWNLOAD'!I133-'GAS DAILY VOL DOWNLOAD'!$B133+$B133</f>
        <v>0.05</v>
      </c>
      <c r="J133" s="292" t="n">
        <f aca="false">'GAS DAILY VOL DOWNLOAD'!J133-'GAS DAILY VOL DOWNLOAD'!$B133+$B133</f>
        <v>0.1</v>
      </c>
      <c r="K133" s="292" t="n">
        <f aca="false">'GAS DAILY VOL DOWNLOAD'!K133-'GAS DAILY VOL DOWNLOAD'!$B133+$B133</f>
        <v>0</v>
      </c>
      <c r="L133" s="292" t="n">
        <f aca="false">'GAS DAILY VOL DOWNLOAD'!L133-'GAS DAILY VOL DOWNLOAD'!$B133+$B133</f>
        <v>0.05</v>
      </c>
      <c r="M133" s="292" t="n">
        <f aca="false">'GAS DAILY VOL DOWNLOAD'!M133-'GAS DAILY VOL DOWNLOAD'!$B133+$B133</f>
        <v>0</v>
      </c>
      <c r="N133" s="292" t="n">
        <f aca="false">'GAS DAILY VOL DOWNLOAD'!N133-'GAS DAILY VOL DOWNLOAD'!$B133+$B133</f>
        <v>0.05</v>
      </c>
      <c r="O133" s="292" t="n">
        <f aca="false">'GAS DAILY VOL DOWNLOAD'!O133-'GAS DAILY VOL DOWNLOAD'!$B133+$B133</f>
        <v>0.15</v>
      </c>
      <c r="P133" s="292" t="n">
        <f aca="false">'GAS DAILY VOL DOWNLOAD'!P133-'GAS DAILY VOL DOWNLOAD'!$B133+$B133</f>
        <v>0.15</v>
      </c>
      <c r="Q133" s="292" t="n">
        <f aca="false">'GAS DAILY VOL DOWNLOAD'!Q133-'GAS DAILY VOL DOWNLOAD'!$B133+$B133</f>
        <v>0</v>
      </c>
    </row>
    <row r="134" customFormat="false" ht="12.75" hidden="false" customHeight="false" outlineLevel="0" collapsed="false">
      <c r="A134" s="317" t="n">
        <v>41030</v>
      </c>
      <c r="B134" s="292" t="n">
        <f aca="false">STRADDLES!L156</f>
        <v>0</v>
      </c>
      <c r="C134" s="292" t="n">
        <f aca="false">'GAS DAILY VOL DOWNLOAD'!C134-'GAS DAILY VOL DOWNLOAD'!$B134+$B134</f>
        <v>0.05</v>
      </c>
      <c r="D134" s="292" t="n">
        <f aca="false">'GAS DAILY VOL DOWNLOAD'!D134-'GAS DAILY VOL DOWNLOAD'!$B134+$B134</f>
        <v>-0.05</v>
      </c>
      <c r="E134" s="292" t="n">
        <f aca="false">'GAS DAILY VOL DOWNLOAD'!E134-'GAS DAILY VOL DOWNLOAD'!$B134+$B134</f>
        <v>-0.05</v>
      </c>
      <c r="F134" s="292" t="n">
        <f aca="false">'GAS DAILY VOL DOWNLOAD'!F134-'GAS DAILY VOL DOWNLOAD'!$B134+$B134</f>
        <v>0</v>
      </c>
      <c r="G134" s="292" t="n">
        <f aca="false">'GAS DAILY VOL DOWNLOAD'!G134-'GAS DAILY VOL DOWNLOAD'!$B134+$B134</f>
        <v>0.05</v>
      </c>
      <c r="H134" s="292" t="n">
        <f aca="false">'GAS DAILY VOL DOWNLOAD'!H134-'GAS DAILY VOL DOWNLOAD'!$B134+$B134</f>
        <v>0</v>
      </c>
      <c r="I134" s="292" t="n">
        <f aca="false">'GAS DAILY VOL DOWNLOAD'!I134-'GAS DAILY VOL DOWNLOAD'!$B134+$B134</f>
        <v>-0.05</v>
      </c>
      <c r="J134" s="292" t="n">
        <f aca="false">'GAS DAILY VOL DOWNLOAD'!J134-'GAS DAILY VOL DOWNLOAD'!$B134+$B134</f>
        <v>0</v>
      </c>
      <c r="K134" s="292" t="n">
        <f aca="false">'GAS DAILY VOL DOWNLOAD'!K134-'GAS DAILY VOL DOWNLOAD'!$B134+$B134</f>
        <v>0</v>
      </c>
      <c r="L134" s="292" t="n">
        <f aca="false">'GAS DAILY VOL DOWNLOAD'!L134-'GAS DAILY VOL DOWNLOAD'!$B134+$B134</f>
        <v>0.05</v>
      </c>
      <c r="M134" s="292" t="n">
        <f aca="false">'GAS DAILY VOL DOWNLOAD'!M134-'GAS DAILY VOL DOWNLOAD'!$B134+$B134</f>
        <v>0</v>
      </c>
      <c r="N134" s="292" t="n">
        <f aca="false">'GAS DAILY VOL DOWNLOAD'!N134-'GAS DAILY VOL DOWNLOAD'!$B134+$B134</f>
        <v>0.05</v>
      </c>
      <c r="O134" s="292" t="n">
        <f aca="false">'GAS DAILY VOL DOWNLOAD'!O134-'GAS DAILY VOL DOWNLOAD'!$B134+$B134</f>
        <v>0.15</v>
      </c>
      <c r="P134" s="292" t="n">
        <f aca="false">'GAS DAILY VOL DOWNLOAD'!P134-'GAS DAILY VOL DOWNLOAD'!$B134+$B134</f>
        <v>0.05</v>
      </c>
      <c r="Q134" s="292" t="n">
        <f aca="false">'GAS DAILY VOL DOWNLOAD'!Q134-'GAS DAILY VOL DOWNLOAD'!$B134+$B134</f>
        <v>0</v>
      </c>
    </row>
    <row r="135" customFormat="false" ht="12.75" hidden="false" customHeight="false" outlineLevel="0" collapsed="false">
      <c r="A135" s="317" t="n">
        <v>41061</v>
      </c>
      <c r="B135" s="292" t="n">
        <f aca="false">STRADDLES!L157</f>
        <v>0</v>
      </c>
      <c r="C135" s="292" t="n">
        <f aca="false">'GAS DAILY VOL DOWNLOAD'!C135-'GAS DAILY VOL DOWNLOAD'!$B135+$B135</f>
        <v>0.05</v>
      </c>
      <c r="D135" s="292" t="n">
        <f aca="false">'GAS DAILY VOL DOWNLOAD'!D135-'GAS DAILY VOL DOWNLOAD'!$B135+$B135</f>
        <v>-0.05</v>
      </c>
      <c r="E135" s="292" t="n">
        <f aca="false">'GAS DAILY VOL DOWNLOAD'!E135-'GAS DAILY VOL DOWNLOAD'!$B135+$B135</f>
        <v>0.05</v>
      </c>
      <c r="F135" s="292" t="n">
        <f aca="false">'GAS DAILY VOL DOWNLOAD'!F135-'GAS DAILY VOL DOWNLOAD'!$B135+$B135</f>
        <v>0</v>
      </c>
      <c r="G135" s="292" t="n">
        <f aca="false">'GAS DAILY VOL DOWNLOAD'!G135-'GAS DAILY VOL DOWNLOAD'!$B135+$B135</f>
        <v>0.05</v>
      </c>
      <c r="H135" s="292" t="n">
        <f aca="false">'GAS DAILY VOL DOWNLOAD'!H135-'GAS DAILY VOL DOWNLOAD'!$B135+$B135</f>
        <v>0.05</v>
      </c>
      <c r="I135" s="292" t="n">
        <f aca="false">'GAS DAILY VOL DOWNLOAD'!I135-'GAS DAILY VOL DOWNLOAD'!$B135+$B135</f>
        <v>0.05</v>
      </c>
      <c r="J135" s="292" t="n">
        <f aca="false">'GAS DAILY VOL DOWNLOAD'!J135-'GAS DAILY VOL DOWNLOAD'!$B135+$B135</f>
        <v>0.05</v>
      </c>
      <c r="K135" s="292" t="n">
        <f aca="false">'GAS DAILY VOL DOWNLOAD'!K135-'GAS DAILY VOL DOWNLOAD'!$B135+$B135</f>
        <v>0</v>
      </c>
      <c r="L135" s="292" t="n">
        <f aca="false">'GAS DAILY VOL DOWNLOAD'!L135-'GAS DAILY VOL DOWNLOAD'!$B135+$B135</f>
        <v>0.05</v>
      </c>
      <c r="M135" s="292" t="n">
        <f aca="false">'GAS DAILY VOL DOWNLOAD'!M135-'GAS DAILY VOL DOWNLOAD'!$B135+$B135</f>
        <v>0</v>
      </c>
      <c r="N135" s="292" t="n">
        <f aca="false">'GAS DAILY VOL DOWNLOAD'!N135-'GAS DAILY VOL DOWNLOAD'!$B135+$B135</f>
        <v>0.05</v>
      </c>
      <c r="O135" s="292" t="n">
        <f aca="false">'GAS DAILY VOL DOWNLOAD'!O135-'GAS DAILY VOL DOWNLOAD'!$B135+$B135</f>
        <v>0.15</v>
      </c>
      <c r="P135" s="292" t="n">
        <f aca="false">'GAS DAILY VOL DOWNLOAD'!P135-'GAS DAILY VOL DOWNLOAD'!$B135+$B135</f>
        <v>0.15</v>
      </c>
      <c r="Q135" s="292" t="n">
        <f aca="false">'GAS DAILY VOL DOWNLOAD'!Q135-'GAS DAILY VOL DOWNLOAD'!$B135+$B135</f>
        <v>0</v>
      </c>
    </row>
    <row r="136" customFormat="false" ht="12.75" hidden="false" customHeight="false" outlineLevel="0" collapsed="false">
      <c r="A136" s="317" t="n">
        <v>41091</v>
      </c>
      <c r="B136" s="292" t="n">
        <f aca="false">STRADDLES!L158</f>
        <v>0</v>
      </c>
      <c r="C136" s="292" t="n">
        <f aca="false">'GAS DAILY VOL DOWNLOAD'!C136-'GAS DAILY VOL DOWNLOAD'!$B136+$B136</f>
        <v>0</v>
      </c>
      <c r="D136" s="292" t="n">
        <f aca="false">'GAS DAILY VOL DOWNLOAD'!D136-'GAS DAILY VOL DOWNLOAD'!$B136+$B136</f>
        <v>-0.1</v>
      </c>
      <c r="E136" s="292" t="n">
        <f aca="false">'GAS DAILY VOL DOWNLOAD'!E136-'GAS DAILY VOL DOWNLOAD'!$B136+$B136</f>
        <v>0</v>
      </c>
      <c r="F136" s="292" t="n">
        <f aca="false">'GAS DAILY VOL DOWNLOAD'!F136-'GAS DAILY VOL DOWNLOAD'!$B136+$B136</f>
        <v>0</v>
      </c>
      <c r="G136" s="292" t="n">
        <f aca="false">'GAS DAILY VOL DOWNLOAD'!G136-'GAS DAILY VOL DOWNLOAD'!$B136+$B136</f>
        <v>0</v>
      </c>
      <c r="H136" s="292" t="n">
        <f aca="false">'GAS DAILY VOL DOWNLOAD'!H136-'GAS DAILY VOL DOWNLOAD'!$B136+$B136</f>
        <v>0</v>
      </c>
      <c r="I136" s="292" t="n">
        <f aca="false">'GAS DAILY VOL DOWNLOAD'!I136-'GAS DAILY VOL DOWNLOAD'!$B136+$B136</f>
        <v>0</v>
      </c>
      <c r="J136" s="292" t="n">
        <f aca="false">'GAS DAILY VOL DOWNLOAD'!J136-'GAS DAILY VOL DOWNLOAD'!$B136+$B136</f>
        <v>0</v>
      </c>
      <c r="K136" s="292" t="n">
        <f aca="false">'GAS DAILY VOL DOWNLOAD'!K136-'GAS DAILY VOL DOWNLOAD'!$B136+$B136</f>
        <v>0</v>
      </c>
      <c r="L136" s="292" t="n">
        <f aca="false">'GAS DAILY VOL DOWNLOAD'!L136-'GAS DAILY VOL DOWNLOAD'!$B136+$B136</f>
        <v>0.05</v>
      </c>
      <c r="M136" s="292" t="n">
        <f aca="false">'GAS DAILY VOL DOWNLOAD'!M136-'GAS DAILY VOL DOWNLOAD'!$B136+$B136</f>
        <v>0</v>
      </c>
      <c r="N136" s="292" t="n">
        <f aca="false">'GAS DAILY VOL DOWNLOAD'!N136-'GAS DAILY VOL DOWNLOAD'!$B136+$B136</f>
        <v>0</v>
      </c>
      <c r="O136" s="292" t="n">
        <f aca="false">'GAS DAILY VOL DOWNLOAD'!O136-'GAS DAILY VOL DOWNLOAD'!$B136+$B136</f>
        <v>0.15</v>
      </c>
      <c r="P136" s="292" t="n">
        <f aca="false">'GAS DAILY VOL DOWNLOAD'!P136-'GAS DAILY VOL DOWNLOAD'!$B136+$B136</f>
        <v>0.1</v>
      </c>
      <c r="Q136" s="292" t="n">
        <f aca="false">'GAS DAILY VOL DOWNLOAD'!Q136-'GAS DAILY VOL DOWNLOAD'!$B136+$B136</f>
        <v>0</v>
      </c>
    </row>
    <row r="137" customFormat="false" ht="12.75" hidden="false" customHeight="false" outlineLevel="0" collapsed="false">
      <c r="A137" s="317" t="n">
        <v>41122</v>
      </c>
      <c r="B137" s="292" t="n">
        <f aca="false">STRADDLES!L159</f>
        <v>0</v>
      </c>
      <c r="C137" s="292" t="n">
        <f aca="false">'GAS DAILY VOL DOWNLOAD'!C137-'GAS DAILY VOL DOWNLOAD'!$B137+$B137</f>
        <v>0</v>
      </c>
      <c r="D137" s="292" t="n">
        <f aca="false">'GAS DAILY VOL DOWNLOAD'!D137-'GAS DAILY VOL DOWNLOAD'!$B137+$B137</f>
        <v>-0.05</v>
      </c>
      <c r="E137" s="292" t="n">
        <f aca="false">'GAS DAILY VOL DOWNLOAD'!E137-'GAS DAILY VOL DOWNLOAD'!$B137+$B137</f>
        <v>0.0499999999999999</v>
      </c>
      <c r="F137" s="292" t="n">
        <f aca="false">'GAS DAILY VOL DOWNLOAD'!F137-'GAS DAILY VOL DOWNLOAD'!$B137+$B137</f>
        <v>0</v>
      </c>
      <c r="G137" s="292" t="n">
        <f aca="false">'GAS DAILY VOL DOWNLOAD'!G137-'GAS DAILY VOL DOWNLOAD'!$B137+$B137</f>
        <v>0.0499999999999999</v>
      </c>
      <c r="H137" s="292" t="n">
        <f aca="false">'GAS DAILY VOL DOWNLOAD'!H137-'GAS DAILY VOL DOWNLOAD'!$B137+$B137</f>
        <v>0</v>
      </c>
      <c r="I137" s="292" t="n">
        <f aca="false">'GAS DAILY VOL DOWNLOAD'!I137-'GAS DAILY VOL DOWNLOAD'!$B137+$B137</f>
        <v>0.0499999999999999</v>
      </c>
      <c r="J137" s="292" t="n">
        <f aca="false">'GAS DAILY VOL DOWNLOAD'!J137-'GAS DAILY VOL DOWNLOAD'!$B137+$B137</f>
        <v>-0.1</v>
      </c>
      <c r="K137" s="292" t="n">
        <f aca="false">'GAS DAILY VOL DOWNLOAD'!K137-'GAS DAILY VOL DOWNLOAD'!$B137+$B137</f>
        <v>0</v>
      </c>
      <c r="L137" s="292" t="n">
        <f aca="false">'GAS DAILY VOL DOWNLOAD'!L137-'GAS DAILY VOL DOWNLOAD'!$B137+$B137</f>
        <v>0.0499999999999999</v>
      </c>
      <c r="M137" s="292" t="n">
        <f aca="false">'GAS DAILY VOL DOWNLOAD'!M137-'GAS DAILY VOL DOWNLOAD'!$B137+$B137</f>
        <v>0</v>
      </c>
      <c r="N137" s="292" t="n">
        <f aca="false">'GAS DAILY VOL DOWNLOAD'!N137-'GAS DAILY VOL DOWNLOAD'!$B137+$B137</f>
        <v>0.0499999999999999</v>
      </c>
      <c r="O137" s="292" t="n">
        <f aca="false">'GAS DAILY VOL DOWNLOAD'!O137-'GAS DAILY VOL DOWNLOAD'!$B137+$B137</f>
        <v>0.15</v>
      </c>
      <c r="P137" s="292" t="n">
        <f aca="false">'GAS DAILY VOL DOWNLOAD'!P137-'GAS DAILY VOL DOWNLOAD'!$B137+$B137</f>
        <v>0.15</v>
      </c>
      <c r="Q137" s="292" t="n">
        <f aca="false">'GAS DAILY VOL DOWNLOAD'!Q137-'GAS DAILY VOL DOWNLOAD'!$B137+$B137</f>
        <v>0</v>
      </c>
    </row>
    <row r="138" customFormat="false" ht="12.75" hidden="false" customHeight="false" outlineLevel="0" collapsed="false">
      <c r="A138" s="317" t="n">
        <v>41153</v>
      </c>
      <c r="B138" s="292" t="n">
        <f aca="false">STRADDLES!L160</f>
        <v>0</v>
      </c>
      <c r="C138" s="292" t="n">
        <f aca="false">'GAS DAILY VOL DOWNLOAD'!C138-'GAS DAILY VOL DOWNLOAD'!$B138+$B138</f>
        <v>0</v>
      </c>
      <c r="D138" s="292" t="n">
        <f aca="false">'GAS DAILY VOL DOWNLOAD'!D138-'GAS DAILY VOL DOWNLOAD'!$B138+$B138</f>
        <v>0</v>
      </c>
      <c r="E138" s="292" t="n">
        <f aca="false">'GAS DAILY VOL DOWNLOAD'!E138-'GAS DAILY VOL DOWNLOAD'!$B138+$B138</f>
        <v>0</v>
      </c>
      <c r="F138" s="292" t="n">
        <f aca="false">'GAS DAILY VOL DOWNLOAD'!F138-'GAS DAILY VOL DOWNLOAD'!$B138+$B138</f>
        <v>0</v>
      </c>
      <c r="G138" s="292" t="n">
        <f aca="false">'GAS DAILY VOL DOWNLOAD'!G138-'GAS DAILY VOL DOWNLOAD'!$B138+$B138</f>
        <v>0.0499999999999999</v>
      </c>
      <c r="H138" s="292" t="n">
        <f aca="false">'GAS DAILY VOL DOWNLOAD'!H138-'GAS DAILY VOL DOWNLOAD'!$B138+$B138</f>
        <v>0.0499999999999999</v>
      </c>
      <c r="I138" s="292" t="n">
        <f aca="false">'GAS DAILY VOL DOWNLOAD'!I138-'GAS DAILY VOL DOWNLOAD'!$B138+$B138</f>
        <v>0</v>
      </c>
      <c r="J138" s="292" t="n">
        <f aca="false">'GAS DAILY VOL DOWNLOAD'!J138-'GAS DAILY VOL DOWNLOAD'!$B138+$B138</f>
        <v>-0.05</v>
      </c>
      <c r="K138" s="292" t="n">
        <f aca="false">'GAS DAILY VOL DOWNLOAD'!K138-'GAS DAILY VOL DOWNLOAD'!$B138+$B138</f>
        <v>0</v>
      </c>
      <c r="L138" s="292" t="n">
        <f aca="false">'GAS DAILY VOL DOWNLOAD'!L138-'GAS DAILY VOL DOWNLOAD'!$B138+$B138</f>
        <v>0.0499999999999999</v>
      </c>
      <c r="M138" s="292" t="n">
        <f aca="false">'GAS DAILY VOL DOWNLOAD'!M138-'GAS DAILY VOL DOWNLOAD'!$B138+$B138</f>
        <v>0</v>
      </c>
      <c r="N138" s="292" t="n">
        <f aca="false">'GAS DAILY VOL DOWNLOAD'!N138-'GAS DAILY VOL DOWNLOAD'!$B138+$B138</f>
        <v>0.0499999999999999</v>
      </c>
      <c r="O138" s="292" t="n">
        <f aca="false">'GAS DAILY VOL DOWNLOAD'!O138-'GAS DAILY VOL DOWNLOAD'!$B138+$B138</f>
        <v>0.15</v>
      </c>
      <c r="P138" s="292" t="n">
        <f aca="false">'GAS DAILY VOL DOWNLOAD'!P138-'GAS DAILY VOL DOWNLOAD'!$B138+$B138</f>
        <v>0.1</v>
      </c>
      <c r="Q138" s="292" t="n">
        <f aca="false">'GAS DAILY VOL DOWNLOAD'!Q138-'GAS DAILY VOL DOWNLOAD'!$B138+$B138</f>
        <v>0</v>
      </c>
    </row>
    <row r="139" customFormat="false" ht="12.75" hidden="false" customHeight="false" outlineLevel="0" collapsed="false">
      <c r="A139" s="317" t="n">
        <v>41183</v>
      </c>
      <c r="B139" s="292" t="n">
        <f aca="false">STRADDLES!L161</f>
        <v>0</v>
      </c>
      <c r="C139" s="292" t="n">
        <f aca="false">'GAS DAILY VOL DOWNLOAD'!C139-'GAS DAILY VOL DOWNLOAD'!$B139+$B139</f>
        <v>0</v>
      </c>
      <c r="D139" s="292" t="n">
        <f aca="false">'GAS DAILY VOL DOWNLOAD'!D139-'GAS DAILY VOL DOWNLOAD'!$B139+$B139</f>
        <v>-0.0499999999999999</v>
      </c>
      <c r="E139" s="292" t="n">
        <f aca="false">'GAS DAILY VOL DOWNLOAD'!E139-'GAS DAILY VOL DOWNLOAD'!$B139+$B139</f>
        <v>0</v>
      </c>
      <c r="F139" s="292" t="n">
        <f aca="false">'GAS DAILY VOL DOWNLOAD'!F139-'GAS DAILY VOL DOWNLOAD'!$B139+$B139</f>
        <v>0</v>
      </c>
      <c r="G139" s="292" t="n">
        <f aca="false">'GAS DAILY VOL DOWNLOAD'!G139-'GAS DAILY VOL DOWNLOAD'!$B139+$B139</f>
        <v>0.05</v>
      </c>
      <c r="H139" s="292" t="n">
        <f aca="false">'GAS DAILY VOL DOWNLOAD'!H139-'GAS DAILY VOL DOWNLOAD'!$B139+$B139</f>
        <v>0.05</v>
      </c>
      <c r="I139" s="292" t="n">
        <f aca="false">'GAS DAILY VOL DOWNLOAD'!I139-'GAS DAILY VOL DOWNLOAD'!$B139+$B139</f>
        <v>0</v>
      </c>
      <c r="J139" s="292" t="n">
        <f aca="false">'GAS DAILY VOL DOWNLOAD'!J139-'GAS DAILY VOL DOWNLOAD'!$B139+$B139</f>
        <v>-0.1</v>
      </c>
      <c r="K139" s="292" t="n">
        <f aca="false">'GAS DAILY VOL DOWNLOAD'!K139-'GAS DAILY VOL DOWNLOAD'!$B139+$B139</f>
        <v>0</v>
      </c>
      <c r="L139" s="292" t="n">
        <f aca="false">'GAS DAILY VOL DOWNLOAD'!L139-'GAS DAILY VOL DOWNLOAD'!$B139+$B139</f>
        <v>0.05</v>
      </c>
      <c r="M139" s="292" t="n">
        <f aca="false">'GAS DAILY VOL DOWNLOAD'!M139-'GAS DAILY VOL DOWNLOAD'!$B139+$B139</f>
        <v>0</v>
      </c>
      <c r="N139" s="292" t="n">
        <f aca="false">'GAS DAILY VOL DOWNLOAD'!N139-'GAS DAILY VOL DOWNLOAD'!$B139+$B139</f>
        <v>0.05</v>
      </c>
      <c r="O139" s="292" t="n">
        <f aca="false">'GAS DAILY VOL DOWNLOAD'!O139-'GAS DAILY VOL DOWNLOAD'!$B139+$B139</f>
        <v>0.15</v>
      </c>
      <c r="P139" s="292" t="n">
        <f aca="false">'GAS DAILY VOL DOWNLOAD'!P139-'GAS DAILY VOL DOWNLOAD'!$B139+$B139</f>
        <v>0.1</v>
      </c>
      <c r="Q139" s="292" t="n">
        <f aca="false">'GAS DAILY VOL DOWNLOAD'!Q139-'GAS DAILY VOL DOWNLOAD'!$B139+$B139</f>
        <v>0</v>
      </c>
    </row>
    <row r="140" customFormat="false" ht="12.75" hidden="false" customHeight="false" outlineLevel="0" collapsed="false">
      <c r="A140" s="317" t="n">
        <v>41214</v>
      </c>
      <c r="B140" s="292" t="n">
        <f aca="false">STRADDLES!L162</f>
        <v>0</v>
      </c>
      <c r="C140" s="292" t="n">
        <f aca="false">'GAS DAILY VOL DOWNLOAD'!C140-'GAS DAILY VOL DOWNLOAD'!$B140+$B140</f>
        <v>0.0499999999999999</v>
      </c>
      <c r="D140" s="292" t="n">
        <f aca="false">'GAS DAILY VOL DOWNLOAD'!D140-'GAS DAILY VOL DOWNLOAD'!$B140+$B140</f>
        <v>0</v>
      </c>
      <c r="E140" s="292" t="n">
        <f aca="false">'GAS DAILY VOL DOWNLOAD'!E140-'GAS DAILY VOL DOWNLOAD'!$B140+$B140</f>
        <v>0</v>
      </c>
      <c r="F140" s="292" t="n">
        <f aca="false">'GAS DAILY VOL DOWNLOAD'!F140-'GAS DAILY VOL DOWNLOAD'!$B140+$B140</f>
        <v>0.1</v>
      </c>
      <c r="G140" s="292" t="n">
        <f aca="false">'GAS DAILY VOL DOWNLOAD'!G140-'GAS DAILY VOL DOWNLOAD'!$B140+$B140</f>
        <v>0.15</v>
      </c>
      <c r="H140" s="292" t="n">
        <f aca="false">'GAS DAILY VOL DOWNLOAD'!H140-'GAS DAILY VOL DOWNLOAD'!$B140+$B140</f>
        <v>0.0499999999999999</v>
      </c>
      <c r="I140" s="292" t="n">
        <f aca="false">'GAS DAILY VOL DOWNLOAD'!I140-'GAS DAILY VOL DOWNLOAD'!$B140+$B140</f>
        <v>0</v>
      </c>
      <c r="J140" s="292" t="n">
        <f aca="false">'GAS DAILY VOL DOWNLOAD'!J140-'GAS DAILY VOL DOWNLOAD'!$B140+$B140</f>
        <v>0.15</v>
      </c>
      <c r="K140" s="292" t="n">
        <f aca="false">'GAS DAILY VOL DOWNLOAD'!K140-'GAS DAILY VOL DOWNLOAD'!$B140+$B140</f>
        <v>0</v>
      </c>
      <c r="L140" s="292" t="n">
        <f aca="false">'GAS DAILY VOL DOWNLOAD'!L140-'GAS DAILY VOL DOWNLOAD'!$B140+$B140</f>
        <v>0</v>
      </c>
      <c r="M140" s="292" t="n">
        <f aca="false">'GAS DAILY VOL DOWNLOAD'!M140-'GAS DAILY VOL DOWNLOAD'!$B140+$B140</f>
        <v>0</v>
      </c>
      <c r="N140" s="292" t="n">
        <f aca="false">'GAS DAILY VOL DOWNLOAD'!N140-'GAS DAILY VOL DOWNLOAD'!$B140+$B140</f>
        <v>0.15</v>
      </c>
      <c r="O140" s="292" t="n">
        <f aca="false">'GAS DAILY VOL DOWNLOAD'!O140-'GAS DAILY VOL DOWNLOAD'!$B140+$B140</f>
        <v>0.15</v>
      </c>
      <c r="P140" s="292" t="n">
        <f aca="false">'GAS DAILY VOL DOWNLOAD'!P140-'GAS DAILY VOL DOWNLOAD'!$B140+$B140</f>
        <v>0.1</v>
      </c>
      <c r="Q140" s="292" t="n">
        <f aca="false">'GAS DAILY VOL DOWNLOAD'!Q140-'GAS DAILY VOL DOWNLOAD'!$B140+$B140</f>
        <v>0</v>
      </c>
    </row>
    <row r="141" customFormat="false" ht="12.75" hidden="false" customHeight="false" outlineLevel="0" collapsed="false">
      <c r="A141" s="317" t="n">
        <v>41244</v>
      </c>
      <c r="B141" s="292" t="n">
        <f aca="false">STRADDLES!L163</f>
        <v>0</v>
      </c>
      <c r="C141" s="292" t="n">
        <f aca="false">'GAS DAILY VOL DOWNLOAD'!C141-'GAS DAILY VOL DOWNLOAD'!$B141+$B141</f>
        <v>0.05</v>
      </c>
      <c r="D141" s="292" t="n">
        <f aca="false">'GAS DAILY VOL DOWNLOAD'!D141-'GAS DAILY VOL DOWNLOAD'!$B141+$B141</f>
        <v>0</v>
      </c>
      <c r="E141" s="292" t="n">
        <f aca="false">'GAS DAILY VOL DOWNLOAD'!E141-'GAS DAILY VOL DOWNLOAD'!$B141+$B141</f>
        <v>0</v>
      </c>
      <c r="F141" s="292" t="n">
        <f aca="false">'GAS DAILY VOL DOWNLOAD'!F141-'GAS DAILY VOL DOWNLOAD'!$B141+$B141</f>
        <v>0.15</v>
      </c>
      <c r="G141" s="292" t="n">
        <f aca="false">'GAS DAILY VOL DOWNLOAD'!G141-'GAS DAILY VOL DOWNLOAD'!$B141+$B141</f>
        <v>0.25</v>
      </c>
      <c r="H141" s="292" t="n">
        <f aca="false">'GAS DAILY VOL DOWNLOAD'!H141-'GAS DAILY VOL DOWNLOAD'!$B141+$B141</f>
        <v>0.05</v>
      </c>
      <c r="I141" s="292" t="n">
        <f aca="false">'GAS DAILY VOL DOWNLOAD'!I141-'GAS DAILY VOL DOWNLOAD'!$B141+$B141</f>
        <v>0</v>
      </c>
      <c r="J141" s="292" t="n">
        <f aca="false">'GAS DAILY VOL DOWNLOAD'!J141-'GAS DAILY VOL DOWNLOAD'!$B141+$B141</f>
        <v>0.35</v>
      </c>
      <c r="K141" s="292" t="n">
        <f aca="false">'GAS DAILY VOL DOWNLOAD'!K141-'GAS DAILY VOL DOWNLOAD'!$B141+$B141</f>
        <v>0</v>
      </c>
      <c r="L141" s="292" t="n">
        <f aca="false">'GAS DAILY VOL DOWNLOAD'!L141-'GAS DAILY VOL DOWNLOAD'!$B141+$B141</f>
        <v>0.1</v>
      </c>
      <c r="M141" s="292" t="n">
        <f aca="false">'GAS DAILY VOL DOWNLOAD'!M141-'GAS DAILY VOL DOWNLOAD'!$B141+$B141</f>
        <v>0</v>
      </c>
      <c r="N141" s="292" t="n">
        <f aca="false">'GAS DAILY VOL DOWNLOAD'!N141-'GAS DAILY VOL DOWNLOAD'!$B141+$B141</f>
        <v>0.25</v>
      </c>
      <c r="O141" s="292" t="n">
        <f aca="false">'GAS DAILY VOL DOWNLOAD'!O141-'GAS DAILY VOL DOWNLOAD'!$B141+$B141</f>
        <v>0.15</v>
      </c>
      <c r="P141" s="292" t="n">
        <f aca="false">'GAS DAILY VOL DOWNLOAD'!P141-'GAS DAILY VOL DOWNLOAD'!$B141+$B141</f>
        <v>0.1</v>
      </c>
      <c r="Q141" s="292" t="n">
        <f aca="false">'GAS DAILY VOL DOWNLOAD'!Q141-'GAS DAILY VOL DOWNLOAD'!$B141+$B141</f>
        <v>0</v>
      </c>
    </row>
    <row r="142" customFormat="false" ht="12.75" hidden="false" customHeight="false" outlineLevel="0" collapsed="false">
      <c r="A142" s="317" t="n">
        <v>41275</v>
      </c>
      <c r="B142" s="292" t="n">
        <f aca="false">STRADDLES!L164</f>
        <v>0</v>
      </c>
      <c r="C142" s="292" t="n">
        <f aca="false">'GAS DAILY VOL DOWNLOAD'!C142-'GAS DAILY VOL DOWNLOAD'!$B142+$B142</f>
        <v>0.05</v>
      </c>
      <c r="D142" s="292" t="n">
        <f aca="false">'GAS DAILY VOL DOWNLOAD'!D142-'GAS DAILY VOL DOWNLOAD'!$B142+$B142</f>
        <v>0</v>
      </c>
      <c r="E142" s="292" t="n">
        <f aca="false">'GAS DAILY VOL DOWNLOAD'!E142-'GAS DAILY VOL DOWNLOAD'!$B142+$B142</f>
        <v>0</v>
      </c>
      <c r="F142" s="292" t="n">
        <f aca="false">'GAS DAILY VOL DOWNLOAD'!F142-'GAS DAILY VOL DOWNLOAD'!$B142+$B142</f>
        <v>0.15</v>
      </c>
      <c r="G142" s="292" t="n">
        <f aca="false">'GAS DAILY VOL DOWNLOAD'!G142-'GAS DAILY VOL DOWNLOAD'!$B142+$B142</f>
        <v>0.45</v>
      </c>
      <c r="H142" s="292" t="n">
        <f aca="false">'GAS DAILY VOL DOWNLOAD'!H142-'GAS DAILY VOL DOWNLOAD'!$B142+$B142</f>
        <v>0.05</v>
      </c>
      <c r="I142" s="292" t="n">
        <f aca="false">'GAS DAILY VOL DOWNLOAD'!I142-'GAS DAILY VOL DOWNLOAD'!$B142+$B142</f>
        <v>0</v>
      </c>
      <c r="J142" s="292" t="n">
        <f aca="false">'GAS DAILY VOL DOWNLOAD'!J142-'GAS DAILY VOL DOWNLOAD'!$B142+$B142</f>
        <v>0.35</v>
      </c>
      <c r="K142" s="292" t="n">
        <f aca="false">'GAS DAILY VOL DOWNLOAD'!K142-'GAS DAILY VOL DOWNLOAD'!$B142+$B142</f>
        <v>0</v>
      </c>
      <c r="L142" s="292" t="n">
        <f aca="false">'GAS DAILY VOL DOWNLOAD'!L142-'GAS DAILY VOL DOWNLOAD'!$B142+$B142</f>
        <v>0.1</v>
      </c>
      <c r="M142" s="292" t="n">
        <f aca="false">'GAS DAILY VOL DOWNLOAD'!M142-'GAS DAILY VOL DOWNLOAD'!$B142+$B142</f>
        <v>0</v>
      </c>
      <c r="N142" s="292" t="n">
        <f aca="false">'GAS DAILY VOL DOWNLOAD'!N142-'GAS DAILY VOL DOWNLOAD'!$B142+$B142</f>
        <v>0.45</v>
      </c>
      <c r="O142" s="292" t="n">
        <f aca="false">'GAS DAILY VOL DOWNLOAD'!O142-'GAS DAILY VOL DOWNLOAD'!$B142+$B142</f>
        <v>0.15</v>
      </c>
      <c r="P142" s="292" t="n">
        <f aca="false">'GAS DAILY VOL DOWNLOAD'!P142-'GAS DAILY VOL DOWNLOAD'!$B142+$B142</f>
        <v>0.1</v>
      </c>
      <c r="Q142" s="292" t="n">
        <f aca="false">'GAS DAILY VOL DOWNLOAD'!Q142-'GAS DAILY VOL DOWNLOAD'!$B142+$B142</f>
        <v>0</v>
      </c>
    </row>
    <row r="143" customFormat="false" ht="12.75" hidden="false" customHeight="false" outlineLevel="0" collapsed="false">
      <c r="A143" s="317" t="n">
        <v>41306</v>
      </c>
      <c r="B143" s="292" t="n">
        <f aca="false">STRADDLES!L165</f>
        <v>0</v>
      </c>
      <c r="C143" s="292" t="n">
        <f aca="false">'GAS DAILY VOL DOWNLOAD'!C143-'GAS DAILY VOL DOWNLOAD'!$B143+$B143</f>
        <v>0.05</v>
      </c>
      <c r="D143" s="292" t="n">
        <f aca="false">'GAS DAILY VOL DOWNLOAD'!D143-'GAS DAILY VOL DOWNLOAD'!$B143+$B143</f>
        <v>0</v>
      </c>
      <c r="E143" s="292" t="n">
        <f aca="false">'GAS DAILY VOL DOWNLOAD'!E143-'GAS DAILY VOL DOWNLOAD'!$B143+$B143</f>
        <v>0</v>
      </c>
      <c r="F143" s="292" t="n">
        <f aca="false">'GAS DAILY VOL DOWNLOAD'!F143-'GAS DAILY VOL DOWNLOAD'!$B143+$B143</f>
        <v>0.15</v>
      </c>
      <c r="G143" s="292" t="n">
        <f aca="false">'GAS DAILY VOL DOWNLOAD'!G143-'GAS DAILY VOL DOWNLOAD'!$B143+$B143</f>
        <v>0.45</v>
      </c>
      <c r="H143" s="292" t="n">
        <f aca="false">'GAS DAILY VOL DOWNLOAD'!H143-'GAS DAILY VOL DOWNLOAD'!$B143+$B143</f>
        <v>0.05</v>
      </c>
      <c r="I143" s="292" t="n">
        <f aca="false">'GAS DAILY VOL DOWNLOAD'!I143-'GAS DAILY VOL DOWNLOAD'!$B143+$B143</f>
        <v>0</v>
      </c>
      <c r="J143" s="292" t="n">
        <f aca="false">'GAS DAILY VOL DOWNLOAD'!J143-'GAS DAILY VOL DOWNLOAD'!$B143+$B143</f>
        <v>0.35</v>
      </c>
      <c r="K143" s="292" t="n">
        <f aca="false">'GAS DAILY VOL DOWNLOAD'!K143-'GAS DAILY VOL DOWNLOAD'!$B143+$B143</f>
        <v>0</v>
      </c>
      <c r="L143" s="292" t="n">
        <f aca="false">'GAS DAILY VOL DOWNLOAD'!L143-'GAS DAILY VOL DOWNLOAD'!$B143+$B143</f>
        <v>0.1</v>
      </c>
      <c r="M143" s="292" t="n">
        <f aca="false">'GAS DAILY VOL DOWNLOAD'!M143-'GAS DAILY VOL DOWNLOAD'!$B143+$B143</f>
        <v>0</v>
      </c>
      <c r="N143" s="292" t="n">
        <f aca="false">'GAS DAILY VOL DOWNLOAD'!N143-'GAS DAILY VOL DOWNLOAD'!$B143+$B143</f>
        <v>0.45</v>
      </c>
      <c r="O143" s="292" t="n">
        <f aca="false">'GAS DAILY VOL DOWNLOAD'!O143-'GAS DAILY VOL DOWNLOAD'!$B143+$B143</f>
        <v>0.15</v>
      </c>
      <c r="P143" s="292" t="n">
        <f aca="false">'GAS DAILY VOL DOWNLOAD'!P143-'GAS DAILY VOL DOWNLOAD'!$B143+$B143</f>
        <v>0.1</v>
      </c>
      <c r="Q143" s="292" t="n">
        <f aca="false">'GAS DAILY VOL DOWNLOAD'!Q143-'GAS DAILY VOL DOWNLOAD'!$B143+$B143</f>
        <v>0</v>
      </c>
    </row>
    <row r="144" customFormat="false" ht="12.75" hidden="false" customHeight="false" outlineLevel="0" collapsed="false">
      <c r="A144" s="317" t="n">
        <v>41334</v>
      </c>
      <c r="B144" s="292" t="n">
        <f aca="false">STRADDLES!L166</f>
        <v>0</v>
      </c>
      <c r="C144" s="292" t="n">
        <f aca="false">'GAS DAILY VOL DOWNLOAD'!C144-'GAS DAILY VOL DOWNLOAD'!$B144+$B144</f>
        <v>0.05</v>
      </c>
      <c r="D144" s="292" t="n">
        <f aca="false">'GAS DAILY VOL DOWNLOAD'!D144-'GAS DAILY VOL DOWNLOAD'!$B144+$B144</f>
        <v>0</v>
      </c>
      <c r="E144" s="292" t="n">
        <f aca="false">'GAS DAILY VOL DOWNLOAD'!E144-'GAS DAILY VOL DOWNLOAD'!$B144+$B144</f>
        <v>0</v>
      </c>
      <c r="F144" s="292" t="n">
        <f aca="false">'GAS DAILY VOL DOWNLOAD'!F144-'GAS DAILY VOL DOWNLOAD'!$B144+$B144</f>
        <v>0.1</v>
      </c>
      <c r="G144" s="292" t="n">
        <f aca="false">'GAS DAILY VOL DOWNLOAD'!G144-'GAS DAILY VOL DOWNLOAD'!$B144+$B144</f>
        <v>0.25</v>
      </c>
      <c r="H144" s="292" t="n">
        <f aca="false">'GAS DAILY VOL DOWNLOAD'!H144-'GAS DAILY VOL DOWNLOAD'!$B144+$B144</f>
        <v>0</v>
      </c>
      <c r="I144" s="292" t="n">
        <f aca="false">'GAS DAILY VOL DOWNLOAD'!I144-'GAS DAILY VOL DOWNLOAD'!$B144+$B144</f>
        <v>0</v>
      </c>
      <c r="J144" s="292" t="n">
        <f aca="false">'GAS DAILY VOL DOWNLOAD'!J144-'GAS DAILY VOL DOWNLOAD'!$B144+$B144</f>
        <v>0.2</v>
      </c>
      <c r="K144" s="292" t="n">
        <f aca="false">'GAS DAILY VOL DOWNLOAD'!K144-'GAS DAILY VOL DOWNLOAD'!$B144+$B144</f>
        <v>0</v>
      </c>
      <c r="L144" s="292" t="n">
        <f aca="false">'GAS DAILY VOL DOWNLOAD'!L144-'GAS DAILY VOL DOWNLOAD'!$B144+$B144</f>
        <v>0</v>
      </c>
      <c r="M144" s="292" t="n">
        <f aca="false">'GAS DAILY VOL DOWNLOAD'!M144-'GAS DAILY VOL DOWNLOAD'!$B144+$B144</f>
        <v>0</v>
      </c>
      <c r="N144" s="292" t="n">
        <f aca="false">'GAS DAILY VOL DOWNLOAD'!N144-'GAS DAILY VOL DOWNLOAD'!$B144+$B144</f>
        <v>0.25</v>
      </c>
      <c r="O144" s="292" t="n">
        <f aca="false">'GAS DAILY VOL DOWNLOAD'!O144-'GAS DAILY VOL DOWNLOAD'!$B144+$B144</f>
        <v>0.15</v>
      </c>
      <c r="P144" s="292" t="n">
        <f aca="false">'GAS DAILY VOL DOWNLOAD'!P144-'GAS DAILY VOL DOWNLOAD'!$B144+$B144</f>
        <v>0.1</v>
      </c>
      <c r="Q144" s="292" t="n">
        <f aca="false">'GAS DAILY VOL DOWNLOAD'!Q144-'GAS DAILY VOL DOWNLOAD'!$B144+$B144</f>
        <v>0</v>
      </c>
    </row>
    <row r="145" customFormat="false" ht="12.75" hidden="false" customHeight="false" outlineLevel="0" collapsed="false">
      <c r="A145" s="317" t="n">
        <v>41365</v>
      </c>
      <c r="B145" s="292" t="n">
        <f aca="false">STRADDLES!L167</f>
        <v>0</v>
      </c>
      <c r="C145" s="292" t="n">
        <f aca="false">'GAS DAILY VOL DOWNLOAD'!C145-'GAS DAILY VOL DOWNLOAD'!$B145+$B145</f>
        <v>0.05</v>
      </c>
      <c r="D145" s="292" t="n">
        <f aca="false">'GAS DAILY VOL DOWNLOAD'!D145-'GAS DAILY VOL DOWNLOAD'!$B145+$B145</f>
        <v>0</v>
      </c>
      <c r="E145" s="292" t="n">
        <f aca="false">'GAS DAILY VOL DOWNLOAD'!E145-'GAS DAILY VOL DOWNLOAD'!$B145+$B145</f>
        <v>0.05</v>
      </c>
      <c r="F145" s="292" t="n">
        <f aca="false">'GAS DAILY VOL DOWNLOAD'!F145-'GAS DAILY VOL DOWNLOAD'!$B145+$B145</f>
        <v>0.05</v>
      </c>
      <c r="G145" s="292" t="n">
        <f aca="false">'GAS DAILY VOL DOWNLOAD'!G145-'GAS DAILY VOL DOWNLOAD'!$B145+$B145</f>
        <v>0.05</v>
      </c>
      <c r="H145" s="292" t="n">
        <f aca="false">'GAS DAILY VOL DOWNLOAD'!H145-'GAS DAILY VOL DOWNLOAD'!$B145+$B145</f>
        <v>0.05</v>
      </c>
      <c r="I145" s="292" t="n">
        <f aca="false">'GAS DAILY VOL DOWNLOAD'!I145-'GAS DAILY VOL DOWNLOAD'!$B145+$B145</f>
        <v>0.05</v>
      </c>
      <c r="J145" s="292" t="n">
        <f aca="false">'GAS DAILY VOL DOWNLOAD'!J145-'GAS DAILY VOL DOWNLOAD'!$B145+$B145</f>
        <v>0.1</v>
      </c>
      <c r="K145" s="292" t="n">
        <f aca="false">'GAS DAILY VOL DOWNLOAD'!K145-'GAS DAILY VOL DOWNLOAD'!$B145+$B145</f>
        <v>0</v>
      </c>
      <c r="L145" s="292" t="n">
        <f aca="false">'GAS DAILY VOL DOWNLOAD'!L145-'GAS DAILY VOL DOWNLOAD'!$B145+$B145</f>
        <v>0.05</v>
      </c>
      <c r="M145" s="292" t="n">
        <f aca="false">'GAS DAILY VOL DOWNLOAD'!M145-'GAS DAILY VOL DOWNLOAD'!$B145+$B145</f>
        <v>0</v>
      </c>
      <c r="N145" s="292" t="n">
        <f aca="false">'GAS DAILY VOL DOWNLOAD'!N145-'GAS DAILY VOL DOWNLOAD'!$B145+$B145</f>
        <v>0.05</v>
      </c>
      <c r="O145" s="292" t="n">
        <f aca="false">'GAS DAILY VOL DOWNLOAD'!O145-'GAS DAILY VOL DOWNLOAD'!$B145+$B145</f>
        <v>0.15</v>
      </c>
      <c r="P145" s="292" t="n">
        <f aca="false">'GAS DAILY VOL DOWNLOAD'!P145-'GAS DAILY VOL DOWNLOAD'!$B145+$B145</f>
        <v>0.15</v>
      </c>
      <c r="Q145" s="292" t="n">
        <f aca="false">'GAS DAILY VOL DOWNLOAD'!Q145-'GAS DAILY VOL DOWNLOAD'!$B145+$B145</f>
        <v>0</v>
      </c>
    </row>
    <row r="146" customFormat="false" ht="12.75" hidden="false" customHeight="false" outlineLevel="0" collapsed="false">
      <c r="A146" s="317" t="n">
        <v>41395</v>
      </c>
      <c r="B146" s="292" t="n">
        <f aca="false">STRADDLES!L168</f>
        <v>0</v>
      </c>
      <c r="C146" s="292" t="n">
        <f aca="false">'GAS DAILY VOL DOWNLOAD'!C146-'GAS DAILY VOL DOWNLOAD'!$B146+$B146</f>
        <v>0.05</v>
      </c>
      <c r="D146" s="292" t="n">
        <f aca="false">'GAS DAILY VOL DOWNLOAD'!D146-'GAS DAILY VOL DOWNLOAD'!$B146+$B146</f>
        <v>-0.05</v>
      </c>
      <c r="E146" s="292" t="n">
        <f aca="false">'GAS DAILY VOL DOWNLOAD'!E146-'GAS DAILY VOL DOWNLOAD'!$B146+$B146</f>
        <v>-0.05</v>
      </c>
      <c r="F146" s="292" t="n">
        <f aca="false">'GAS DAILY VOL DOWNLOAD'!F146-'GAS DAILY VOL DOWNLOAD'!$B146+$B146</f>
        <v>0</v>
      </c>
      <c r="G146" s="292" t="n">
        <f aca="false">'GAS DAILY VOL DOWNLOAD'!G146-'GAS DAILY VOL DOWNLOAD'!$B146+$B146</f>
        <v>0.05</v>
      </c>
      <c r="H146" s="292" t="n">
        <f aca="false">'GAS DAILY VOL DOWNLOAD'!H146-'GAS DAILY VOL DOWNLOAD'!$B146+$B146</f>
        <v>0</v>
      </c>
      <c r="I146" s="292" t="n">
        <f aca="false">'GAS DAILY VOL DOWNLOAD'!I146-'GAS DAILY VOL DOWNLOAD'!$B146+$B146</f>
        <v>-0.05</v>
      </c>
      <c r="J146" s="292" t="n">
        <f aca="false">'GAS DAILY VOL DOWNLOAD'!J146-'GAS DAILY VOL DOWNLOAD'!$B146+$B146</f>
        <v>0</v>
      </c>
      <c r="K146" s="292" t="n">
        <f aca="false">'GAS DAILY VOL DOWNLOAD'!K146-'GAS DAILY VOL DOWNLOAD'!$B146+$B146</f>
        <v>0</v>
      </c>
      <c r="L146" s="292" t="n">
        <f aca="false">'GAS DAILY VOL DOWNLOAD'!L146-'GAS DAILY VOL DOWNLOAD'!$B146+$B146</f>
        <v>0.05</v>
      </c>
      <c r="M146" s="292" t="n">
        <f aca="false">'GAS DAILY VOL DOWNLOAD'!M146-'GAS DAILY VOL DOWNLOAD'!$B146+$B146</f>
        <v>0</v>
      </c>
      <c r="N146" s="292" t="n">
        <f aca="false">'GAS DAILY VOL DOWNLOAD'!N146-'GAS DAILY VOL DOWNLOAD'!$B146+$B146</f>
        <v>0.05</v>
      </c>
      <c r="O146" s="292" t="n">
        <f aca="false">'GAS DAILY VOL DOWNLOAD'!O146-'GAS DAILY VOL DOWNLOAD'!$B146+$B146</f>
        <v>0.15</v>
      </c>
      <c r="P146" s="292" t="n">
        <f aca="false">'GAS DAILY VOL DOWNLOAD'!P146-'GAS DAILY VOL DOWNLOAD'!$B146+$B146</f>
        <v>0.05</v>
      </c>
      <c r="Q146" s="292" t="n">
        <f aca="false">'GAS DAILY VOL DOWNLOAD'!Q146-'GAS DAILY VOL DOWNLOAD'!$B146+$B146</f>
        <v>0</v>
      </c>
    </row>
    <row r="147" customFormat="false" ht="12.75" hidden="false" customHeight="false" outlineLevel="0" collapsed="false">
      <c r="A147" s="317" t="n">
        <v>41426</v>
      </c>
      <c r="B147" s="292" t="n">
        <f aca="false">STRADDLES!L169</f>
        <v>0</v>
      </c>
      <c r="C147" s="292" t="n">
        <f aca="false">'GAS DAILY VOL DOWNLOAD'!C147-'GAS DAILY VOL DOWNLOAD'!$B147+$B147</f>
        <v>0.05</v>
      </c>
      <c r="D147" s="292" t="n">
        <f aca="false">'GAS DAILY VOL DOWNLOAD'!D147-'GAS DAILY VOL DOWNLOAD'!$B147+$B147</f>
        <v>-0.05</v>
      </c>
      <c r="E147" s="292" t="n">
        <f aca="false">'GAS DAILY VOL DOWNLOAD'!E147-'GAS DAILY VOL DOWNLOAD'!$B147+$B147</f>
        <v>0.05</v>
      </c>
      <c r="F147" s="292" t="n">
        <f aca="false">'GAS DAILY VOL DOWNLOAD'!F147-'GAS DAILY VOL DOWNLOAD'!$B147+$B147</f>
        <v>0</v>
      </c>
      <c r="G147" s="292" t="n">
        <f aca="false">'GAS DAILY VOL DOWNLOAD'!G147-'GAS DAILY VOL DOWNLOAD'!$B147+$B147</f>
        <v>0.05</v>
      </c>
      <c r="H147" s="292" t="n">
        <f aca="false">'GAS DAILY VOL DOWNLOAD'!H147-'GAS DAILY VOL DOWNLOAD'!$B147+$B147</f>
        <v>0.05</v>
      </c>
      <c r="I147" s="292" t="n">
        <f aca="false">'GAS DAILY VOL DOWNLOAD'!I147-'GAS DAILY VOL DOWNLOAD'!$B147+$B147</f>
        <v>0.05</v>
      </c>
      <c r="J147" s="292" t="n">
        <f aca="false">'GAS DAILY VOL DOWNLOAD'!J147-'GAS DAILY VOL DOWNLOAD'!$B147+$B147</f>
        <v>0.05</v>
      </c>
      <c r="K147" s="292" t="n">
        <f aca="false">'GAS DAILY VOL DOWNLOAD'!K147-'GAS DAILY VOL DOWNLOAD'!$B147+$B147</f>
        <v>0</v>
      </c>
      <c r="L147" s="292" t="n">
        <f aca="false">'GAS DAILY VOL DOWNLOAD'!L147-'GAS DAILY VOL DOWNLOAD'!$B147+$B147</f>
        <v>0.05</v>
      </c>
      <c r="M147" s="292" t="n">
        <f aca="false">'GAS DAILY VOL DOWNLOAD'!M147-'GAS DAILY VOL DOWNLOAD'!$B147+$B147</f>
        <v>0</v>
      </c>
      <c r="N147" s="292" t="n">
        <f aca="false">'GAS DAILY VOL DOWNLOAD'!N147-'GAS DAILY VOL DOWNLOAD'!$B147+$B147</f>
        <v>0.05</v>
      </c>
      <c r="O147" s="292" t="n">
        <f aca="false">'GAS DAILY VOL DOWNLOAD'!O147-'GAS DAILY VOL DOWNLOAD'!$B147+$B147</f>
        <v>0.15</v>
      </c>
      <c r="P147" s="292" t="n">
        <f aca="false">'GAS DAILY VOL DOWNLOAD'!P147-'GAS DAILY VOL DOWNLOAD'!$B147+$B147</f>
        <v>0.15</v>
      </c>
      <c r="Q147" s="292" t="n">
        <f aca="false">'GAS DAILY VOL DOWNLOAD'!Q147-'GAS DAILY VOL DOWNLOAD'!$B147+$B147</f>
        <v>0</v>
      </c>
    </row>
    <row r="148" customFormat="false" ht="12.75" hidden="false" customHeight="false" outlineLevel="0" collapsed="false">
      <c r="A148" s="317" t="n">
        <v>41456</v>
      </c>
      <c r="B148" s="292" t="n">
        <f aca="false">STRADDLES!L170</f>
        <v>0</v>
      </c>
      <c r="C148" s="292" t="n">
        <f aca="false">'GAS DAILY VOL DOWNLOAD'!C148-'GAS DAILY VOL DOWNLOAD'!$B148+$B148</f>
        <v>0</v>
      </c>
      <c r="D148" s="292" t="n">
        <f aca="false">'GAS DAILY VOL DOWNLOAD'!D148-'GAS DAILY VOL DOWNLOAD'!$B148+$B148</f>
        <v>-0.1</v>
      </c>
      <c r="E148" s="292" t="n">
        <f aca="false">'GAS DAILY VOL DOWNLOAD'!E148-'GAS DAILY VOL DOWNLOAD'!$B148+$B148</f>
        <v>0</v>
      </c>
      <c r="F148" s="292" t="n">
        <f aca="false">'GAS DAILY VOL DOWNLOAD'!F148-'GAS DAILY VOL DOWNLOAD'!$B148+$B148</f>
        <v>0</v>
      </c>
      <c r="G148" s="292" t="n">
        <f aca="false">'GAS DAILY VOL DOWNLOAD'!G148-'GAS DAILY VOL DOWNLOAD'!$B148+$B148</f>
        <v>0</v>
      </c>
      <c r="H148" s="292" t="n">
        <f aca="false">'GAS DAILY VOL DOWNLOAD'!H148-'GAS DAILY VOL DOWNLOAD'!$B148+$B148</f>
        <v>0</v>
      </c>
      <c r="I148" s="292" t="n">
        <f aca="false">'GAS DAILY VOL DOWNLOAD'!I148-'GAS DAILY VOL DOWNLOAD'!$B148+$B148</f>
        <v>0</v>
      </c>
      <c r="J148" s="292" t="n">
        <f aca="false">'GAS DAILY VOL DOWNLOAD'!J148-'GAS DAILY VOL DOWNLOAD'!$B148+$B148</f>
        <v>0</v>
      </c>
      <c r="K148" s="292" t="n">
        <f aca="false">'GAS DAILY VOL DOWNLOAD'!K148-'GAS DAILY VOL DOWNLOAD'!$B148+$B148</f>
        <v>0</v>
      </c>
      <c r="L148" s="292" t="n">
        <f aca="false">'GAS DAILY VOL DOWNLOAD'!L148-'GAS DAILY VOL DOWNLOAD'!$B148+$B148</f>
        <v>0.05</v>
      </c>
      <c r="M148" s="292" t="n">
        <f aca="false">'GAS DAILY VOL DOWNLOAD'!M148-'GAS DAILY VOL DOWNLOAD'!$B148+$B148</f>
        <v>0</v>
      </c>
      <c r="N148" s="292" t="n">
        <f aca="false">'GAS DAILY VOL DOWNLOAD'!N148-'GAS DAILY VOL DOWNLOAD'!$B148+$B148</f>
        <v>0</v>
      </c>
      <c r="O148" s="292" t="n">
        <f aca="false">'GAS DAILY VOL DOWNLOAD'!O148-'GAS DAILY VOL DOWNLOAD'!$B148+$B148</f>
        <v>0.15</v>
      </c>
      <c r="P148" s="292" t="n">
        <f aca="false">'GAS DAILY VOL DOWNLOAD'!P148-'GAS DAILY VOL DOWNLOAD'!$B148+$B148</f>
        <v>0.1</v>
      </c>
      <c r="Q148" s="292" t="n">
        <f aca="false">'GAS DAILY VOL DOWNLOAD'!Q148-'GAS DAILY VOL DOWNLOAD'!$B148+$B148</f>
        <v>0</v>
      </c>
    </row>
    <row r="149" customFormat="false" ht="12.75" hidden="false" customHeight="false" outlineLevel="0" collapsed="false">
      <c r="A149" s="317" t="n">
        <v>41487</v>
      </c>
      <c r="B149" s="292" t="n">
        <f aca="false">STRADDLES!L171</f>
        <v>0</v>
      </c>
      <c r="C149" s="292" t="n">
        <f aca="false">'GAS DAILY VOL DOWNLOAD'!C149-'GAS DAILY VOL DOWNLOAD'!$B149+$B149</f>
        <v>0</v>
      </c>
      <c r="D149" s="292" t="n">
        <f aca="false">'GAS DAILY VOL DOWNLOAD'!D149-'GAS DAILY VOL DOWNLOAD'!$B149+$B149</f>
        <v>-0.05</v>
      </c>
      <c r="E149" s="292" t="n">
        <f aca="false">'GAS DAILY VOL DOWNLOAD'!E149-'GAS DAILY VOL DOWNLOAD'!$B149+$B149</f>
        <v>0.0499999999999999</v>
      </c>
      <c r="F149" s="292" t="n">
        <f aca="false">'GAS DAILY VOL DOWNLOAD'!F149-'GAS DAILY VOL DOWNLOAD'!$B149+$B149</f>
        <v>0</v>
      </c>
      <c r="G149" s="292" t="n">
        <f aca="false">'GAS DAILY VOL DOWNLOAD'!G149-'GAS DAILY VOL DOWNLOAD'!$B149+$B149</f>
        <v>0.0499999999999999</v>
      </c>
      <c r="H149" s="292" t="n">
        <f aca="false">'GAS DAILY VOL DOWNLOAD'!H149-'GAS DAILY VOL DOWNLOAD'!$B149+$B149</f>
        <v>0</v>
      </c>
      <c r="I149" s="292" t="n">
        <f aca="false">'GAS DAILY VOL DOWNLOAD'!I149-'GAS DAILY VOL DOWNLOAD'!$B149+$B149</f>
        <v>0.0499999999999999</v>
      </c>
      <c r="J149" s="292" t="n">
        <f aca="false">'GAS DAILY VOL DOWNLOAD'!J149-'GAS DAILY VOL DOWNLOAD'!$B149+$B149</f>
        <v>-0.1</v>
      </c>
      <c r="K149" s="292" t="n">
        <f aca="false">'GAS DAILY VOL DOWNLOAD'!K149-'GAS DAILY VOL DOWNLOAD'!$B149+$B149</f>
        <v>0</v>
      </c>
      <c r="L149" s="292" t="n">
        <f aca="false">'GAS DAILY VOL DOWNLOAD'!L149-'GAS DAILY VOL DOWNLOAD'!$B149+$B149</f>
        <v>0.0499999999999999</v>
      </c>
      <c r="M149" s="292" t="n">
        <f aca="false">'GAS DAILY VOL DOWNLOAD'!M149-'GAS DAILY VOL DOWNLOAD'!$B149+$B149</f>
        <v>0</v>
      </c>
      <c r="N149" s="292" t="n">
        <f aca="false">'GAS DAILY VOL DOWNLOAD'!N149-'GAS DAILY VOL DOWNLOAD'!$B149+$B149</f>
        <v>0.0499999999999999</v>
      </c>
      <c r="O149" s="292" t="n">
        <f aca="false">'GAS DAILY VOL DOWNLOAD'!O149-'GAS DAILY VOL DOWNLOAD'!$B149+$B149</f>
        <v>0.15</v>
      </c>
      <c r="P149" s="292" t="n">
        <f aca="false">'GAS DAILY VOL DOWNLOAD'!P149-'GAS DAILY VOL DOWNLOAD'!$B149+$B149</f>
        <v>0.15</v>
      </c>
      <c r="Q149" s="292" t="n">
        <f aca="false">'GAS DAILY VOL DOWNLOAD'!Q149-'GAS DAILY VOL DOWNLOAD'!$B149+$B149</f>
        <v>0</v>
      </c>
    </row>
    <row r="150" customFormat="false" ht="12.75" hidden="false" customHeight="false" outlineLevel="0" collapsed="false">
      <c r="A150" s="317" t="n">
        <v>41518</v>
      </c>
      <c r="B150" s="292" t="n">
        <f aca="false">STRADDLES!L172</f>
        <v>0</v>
      </c>
      <c r="C150" s="292" t="n">
        <f aca="false">'GAS DAILY VOL DOWNLOAD'!C150-'GAS DAILY VOL DOWNLOAD'!$B150+$B150</f>
        <v>0</v>
      </c>
      <c r="D150" s="292" t="n">
        <f aca="false">'GAS DAILY VOL DOWNLOAD'!D150-'GAS DAILY VOL DOWNLOAD'!$B150+$B150</f>
        <v>0</v>
      </c>
      <c r="E150" s="292" t="n">
        <f aca="false">'GAS DAILY VOL DOWNLOAD'!E150-'GAS DAILY VOL DOWNLOAD'!$B150+$B150</f>
        <v>0</v>
      </c>
      <c r="F150" s="292" t="n">
        <f aca="false">'GAS DAILY VOL DOWNLOAD'!F150-'GAS DAILY VOL DOWNLOAD'!$B150+$B150</f>
        <v>0</v>
      </c>
      <c r="G150" s="292" t="n">
        <f aca="false">'GAS DAILY VOL DOWNLOAD'!G150-'GAS DAILY VOL DOWNLOAD'!$B150+$B150</f>
        <v>0.0499999999999999</v>
      </c>
      <c r="H150" s="292" t="n">
        <f aca="false">'GAS DAILY VOL DOWNLOAD'!H150-'GAS DAILY VOL DOWNLOAD'!$B150+$B150</f>
        <v>0.0499999999999999</v>
      </c>
      <c r="I150" s="292" t="n">
        <f aca="false">'GAS DAILY VOL DOWNLOAD'!I150-'GAS DAILY VOL DOWNLOAD'!$B150+$B150</f>
        <v>0</v>
      </c>
      <c r="J150" s="292" t="n">
        <f aca="false">'GAS DAILY VOL DOWNLOAD'!J150-'GAS DAILY VOL DOWNLOAD'!$B150+$B150</f>
        <v>-0.05</v>
      </c>
      <c r="K150" s="292" t="n">
        <f aca="false">'GAS DAILY VOL DOWNLOAD'!K150-'GAS DAILY VOL DOWNLOAD'!$B150+$B150</f>
        <v>0</v>
      </c>
      <c r="L150" s="292" t="n">
        <f aca="false">'GAS DAILY VOL DOWNLOAD'!L150-'GAS DAILY VOL DOWNLOAD'!$B150+$B150</f>
        <v>0.0499999999999999</v>
      </c>
      <c r="M150" s="292" t="n">
        <f aca="false">'GAS DAILY VOL DOWNLOAD'!M150-'GAS DAILY VOL DOWNLOAD'!$B150+$B150</f>
        <v>0</v>
      </c>
      <c r="N150" s="292" t="n">
        <f aca="false">'GAS DAILY VOL DOWNLOAD'!N150-'GAS DAILY VOL DOWNLOAD'!$B150+$B150</f>
        <v>0.0499999999999999</v>
      </c>
      <c r="O150" s="292" t="n">
        <f aca="false">'GAS DAILY VOL DOWNLOAD'!O150-'GAS DAILY VOL DOWNLOAD'!$B150+$B150</f>
        <v>0.15</v>
      </c>
      <c r="P150" s="292" t="n">
        <f aca="false">'GAS DAILY VOL DOWNLOAD'!P150-'GAS DAILY VOL DOWNLOAD'!$B150+$B150</f>
        <v>0.1</v>
      </c>
      <c r="Q150" s="292" t="n">
        <f aca="false">'GAS DAILY VOL DOWNLOAD'!Q150-'GAS DAILY VOL DOWNLOAD'!$B150+$B150</f>
        <v>0</v>
      </c>
    </row>
    <row r="151" customFormat="false" ht="12.75" hidden="false" customHeight="false" outlineLevel="0" collapsed="false">
      <c r="A151" s="317" t="n">
        <v>41548</v>
      </c>
      <c r="B151" s="292" t="n">
        <f aca="false">STRADDLES!L173</f>
        <v>0</v>
      </c>
      <c r="C151" s="292" t="n">
        <f aca="false">'GAS DAILY VOL DOWNLOAD'!C151-'GAS DAILY VOL DOWNLOAD'!$B151+$B151</f>
        <v>0</v>
      </c>
      <c r="D151" s="292" t="n">
        <f aca="false">'GAS DAILY VOL DOWNLOAD'!D151-'GAS DAILY VOL DOWNLOAD'!$B151+$B151</f>
        <v>-0.0499999999999999</v>
      </c>
      <c r="E151" s="292" t="n">
        <f aca="false">'GAS DAILY VOL DOWNLOAD'!E151-'GAS DAILY VOL DOWNLOAD'!$B151+$B151</f>
        <v>0</v>
      </c>
      <c r="F151" s="292" t="n">
        <f aca="false">'GAS DAILY VOL DOWNLOAD'!F151-'GAS DAILY VOL DOWNLOAD'!$B151+$B151</f>
        <v>0</v>
      </c>
      <c r="G151" s="292" t="n">
        <f aca="false">'GAS DAILY VOL DOWNLOAD'!G151-'GAS DAILY VOL DOWNLOAD'!$B151+$B151</f>
        <v>0.05</v>
      </c>
      <c r="H151" s="292" t="n">
        <f aca="false">'GAS DAILY VOL DOWNLOAD'!H151-'GAS DAILY VOL DOWNLOAD'!$B151+$B151</f>
        <v>0.05</v>
      </c>
      <c r="I151" s="292" t="n">
        <f aca="false">'GAS DAILY VOL DOWNLOAD'!I151-'GAS DAILY VOL DOWNLOAD'!$B151+$B151</f>
        <v>0</v>
      </c>
      <c r="J151" s="292" t="n">
        <f aca="false">'GAS DAILY VOL DOWNLOAD'!J151-'GAS DAILY VOL DOWNLOAD'!$B151+$B151</f>
        <v>-0.1</v>
      </c>
      <c r="K151" s="292" t="n">
        <f aca="false">'GAS DAILY VOL DOWNLOAD'!K151-'GAS DAILY VOL DOWNLOAD'!$B151+$B151</f>
        <v>0</v>
      </c>
      <c r="L151" s="292" t="n">
        <f aca="false">'GAS DAILY VOL DOWNLOAD'!L151-'GAS DAILY VOL DOWNLOAD'!$B151+$B151</f>
        <v>0.05</v>
      </c>
      <c r="M151" s="292" t="n">
        <f aca="false">'GAS DAILY VOL DOWNLOAD'!M151-'GAS DAILY VOL DOWNLOAD'!$B151+$B151</f>
        <v>0</v>
      </c>
      <c r="N151" s="292" t="n">
        <f aca="false">'GAS DAILY VOL DOWNLOAD'!N151-'GAS DAILY VOL DOWNLOAD'!$B151+$B151</f>
        <v>0.05</v>
      </c>
      <c r="O151" s="292" t="n">
        <f aca="false">'GAS DAILY VOL DOWNLOAD'!O151-'GAS DAILY VOL DOWNLOAD'!$B151+$B151</f>
        <v>0.15</v>
      </c>
      <c r="P151" s="292" t="n">
        <f aca="false">'GAS DAILY VOL DOWNLOAD'!P151-'GAS DAILY VOL DOWNLOAD'!$B151+$B151</f>
        <v>0.1</v>
      </c>
      <c r="Q151" s="292" t="n">
        <f aca="false">'GAS DAILY VOL DOWNLOAD'!Q151-'GAS DAILY VOL DOWNLOAD'!$B151+$B151</f>
        <v>0</v>
      </c>
    </row>
    <row r="152" customFormat="false" ht="12.75" hidden="false" customHeight="false" outlineLevel="0" collapsed="false">
      <c r="A152" s="317" t="n">
        <v>41579</v>
      </c>
      <c r="B152" s="292" t="n">
        <f aca="false">STRADDLES!L174</f>
        <v>0</v>
      </c>
      <c r="C152" s="292" t="n">
        <f aca="false">'GAS DAILY VOL DOWNLOAD'!C152-'GAS DAILY VOL DOWNLOAD'!$B152+$B152</f>
        <v>0.0499999999999999</v>
      </c>
      <c r="D152" s="292" t="n">
        <f aca="false">'GAS DAILY VOL DOWNLOAD'!D152-'GAS DAILY VOL DOWNLOAD'!$B152+$B152</f>
        <v>0</v>
      </c>
      <c r="E152" s="292" t="n">
        <f aca="false">'GAS DAILY VOL DOWNLOAD'!E152-'GAS DAILY VOL DOWNLOAD'!$B152+$B152</f>
        <v>0</v>
      </c>
      <c r="F152" s="292" t="n">
        <f aca="false">'GAS DAILY VOL DOWNLOAD'!F152-'GAS DAILY VOL DOWNLOAD'!$B152+$B152</f>
        <v>0.1</v>
      </c>
      <c r="G152" s="292" t="n">
        <f aca="false">'GAS DAILY VOL DOWNLOAD'!G152-'GAS DAILY VOL DOWNLOAD'!$B152+$B152</f>
        <v>0.15</v>
      </c>
      <c r="H152" s="292" t="n">
        <f aca="false">'GAS DAILY VOL DOWNLOAD'!H152-'GAS DAILY VOL DOWNLOAD'!$B152+$B152</f>
        <v>0.0499999999999999</v>
      </c>
      <c r="I152" s="292" t="n">
        <f aca="false">'GAS DAILY VOL DOWNLOAD'!I152-'GAS DAILY VOL DOWNLOAD'!$B152+$B152</f>
        <v>0</v>
      </c>
      <c r="J152" s="292" t="n">
        <f aca="false">'GAS DAILY VOL DOWNLOAD'!J152-'GAS DAILY VOL DOWNLOAD'!$B152+$B152</f>
        <v>0.15</v>
      </c>
      <c r="K152" s="292" t="n">
        <f aca="false">'GAS DAILY VOL DOWNLOAD'!K152-'GAS DAILY VOL DOWNLOAD'!$B152+$B152</f>
        <v>0</v>
      </c>
      <c r="L152" s="292" t="n">
        <f aca="false">'GAS DAILY VOL DOWNLOAD'!L152-'GAS DAILY VOL DOWNLOAD'!$B152+$B152</f>
        <v>0</v>
      </c>
      <c r="M152" s="292" t="n">
        <f aca="false">'GAS DAILY VOL DOWNLOAD'!M152-'GAS DAILY VOL DOWNLOAD'!$B152+$B152</f>
        <v>0</v>
      </c>
      <c r="N152" s="292" t="n">
        <f aca="false">'GAS DAILY VOL DOWNLOAD'!N152-'GAS DAILY VOL DOWNLOAD'!$B152+$B152</f>
        <v>0.15</v>
      </c>
      <c r="O152" s="292" t="n">
        <f aca="false">'GAS DAILY VOL DOWNLOAD'!O152-'GAS DAILY VOL DOWNLOAD'!$B152+$B152</f>
        <v>0.15</v>
      </c>
      <c r="P152" s="292" t="n">
        <f aca="false">'GAS DAILY VOL DOWNLOAD'!P152-'GAS DAILY VOL DOWNLOAD'!$B152+$B152</f>
        <v>0.1</v>
      </c>
      <c r="Q152" s="292" t="n">
        <f aca="false">'GAS DAILY VOL DOWNLOAD'!Q152-'GAS DAILY VOL DOWNLOAD'!$B152+$B152</f>
        <v>0</v>
      </c>
    </row>
    <row r="153" customFormat="false" ht="12.75" hidden="false" customHeight="false" outlineLevel="0" collapsed="false">
      <c r="A153" s="317" t="n">
        <v>41609</v>
      </c>
      <c r="B153" s="292" t="n">
        <f aca="false">STRADDLES!L175</f>
        <v>0</v>
      </c>
      <c r="C153" s="292" t="n">
        <f aca="false">'GAS DAILY VOL DOWNLOAD'!C153-'GAS DAILY VOL DOWNLOAD'!$B153+$B153</f>
        <v>0.05</v>
      </c>
      <c r="D153" s="292" t="n">
        <f aca="false">'GAS DAILY VOL DOWNLOAD'!D153-'GAS DAILY VOL DOWNLOAD'!$B153+$B153</f>
        <v>0</v>
      </c>
      <c r="E153" s="292" t="n">
        <f aca="false">'GAS DAILY VOL DOWNLOAD'!E153-'GAS DAILY VOL DOWNLOAD'!$B153+$B153</f>
        <v>0</v>
      </c>
      <c r="F153" s="292" t="n">
        <f aca="false">'GAS DAILY VOL DOWNLOAD'!F153-'GAS DAILY VOL DOWNLOAD'!$B153+$B153</f>
        <v>0.15</v>
      </c>
      <c r="G153" s="292" t="n">
        <f aca="false">'GAS DAILY VOL DOWNLOAD'!G153-'GAS DAILY VOL DOWNLOAD'!$B153+$B153</f>
        <v>0.25</v>
      </c>
      <c r="H153" s="292" t="n">
        <f aca="false">'GAS DAILY VOL DOWNLOAD'!H153-'GAS DAILY VOL DOWNLOAD'!$B153+$B153</f>
        <v>0.05</v>
      </c>
      <c r="I153" s="292" t="n">
        <f aca="false">'GAS DAILY VOL DOWNLOAD'!I153-'GAS DAILY VOL DOWNLOAD'!$B153+$B153</f>
        <v>0</v>
      </c>
      <c r="J153" s="292" t="n">
        <f aca="false">'GAS DAILY VOL DOWNLOAD'!J153-'GAS DAILY VOL DOWNLOAD'!$B153+$B153</f>
        <v>0.35</v>
      </c>
      <c r="K153" s="292" t="n">
        <f aca="false">'GAS DAILY VOL DOWNLOAD'!K153-'GAS DAILY VOL DOWNLOAD'!$B153+$B153</f>
        <v>0</v>
      </c>
      <c r="L153" s="292" t="n">
        <f aca="false">'GAS DAILY VOL DOWNLOAD'!L153-'GAS DAILY VOL DOWNLOAD'!$B153+$B153</f>
        <v>0.1</v>
      </c>
      <c r="M153" s="292" t="n">
        <f aca="false">'GAS DAILY VOL DOWNLOAD'!M153-'GAS DAILY VOL DOWNLOAD'!$B153+$B153</f>
        <v>0</v>
      </c>
      <c r="N153" s="292" t="n">
        <f aca="false">'GAS DAILY VOL DOWNLOAD'!N153-'GAS DAILY VOL DOWNLOAD'!$B153+$B153</f>
        <v>0.25</v>
      </c>
      <c r="O153" s="292" t="n">
        <f aca="false">'GAS DAILY VOL DOWNLOAD'!O153-'GAS DAILY VOL DOWNLOAD'!$B153+$B153</f>
        <v>0.15</v>
      </c>
      <c r="P153" s="292" t="n">
        <f aca="false">'GAS DAILY VOL DOWNLOAD'!P153-'GAS DAILY VOL DOWNLOAD'!$B153+$B153</f>
        <v>0.1</v>
      </c>
      <c r="Q153" s="292" t="n">
        <f aca="false">'GAS DAILY VOL DOWNLOAD'!Q153-'GAS DAILY VOL DOWNLOAD'!$B153+$B153</f>
        <v>0</v>
      </c>
    </row>
    <row r="154" customFormat="false" ht="12.75" hidden="false" customHeight="false" outlineLevel="0" collapsed="false">
      <c r="A154" s="317" t="n">
        <v>41640</v>
      </c>
      <c r="B154" s="292" t="n">
        <f aca="false">STRADDLES!L176</f>
        <v>0</v>
      </c>
      <c r="C154" s="292" t="n">
        <f aca="false">'GAS DAILY VOL DOWNLOAD'!C154-'GAS DAILY VOL DOWNLOAD'!$B154+$B154</f>
        <v>0.05</v>
      </c>
      <c r="D154" s="292" t="n">
        <f aca="false">'GAS DAILY VOL DOWNLOAD'!D154-'GAS DAILY VOL DOWNLOAD'!$B154+$B154</f>
        <v>0</v>
      </c>
      <c r="E154" s="292" t="n">
        <f aca="false">'GAS DAILY VOL DOWNLOAD'!E154-'GAS DAILY VOL DOWNLOAD'!$B154+$B154</f>
        <v>0</v>
      </c>
      <c r="F154" s="292" t="n">
        <f aca="false">'GAS DAILY VOL DOWNLOAD'!F154-'GAS DAILY VOL DOWNLOAD'!$B154+$B154</f>
        <v>0.15</v>
      </c>
      <c r="G154" s="292" t="n">
        <f aca="false">'GAS DAILY VOL DOWNLOAD'!G154-'GAS DAILY VOL DOWNLOAD'!$B154+$B154</f>
        <v>0.45</v>
      </c>
      <c r="H154" s="292" t="n">
        <f aca="false">'GAS DAILY VOL DOWNLOAD'!H154-'GAS DAILY VOL DOWNLOAD'!$B154+$B154</f>
        <v>0.05</v>
      </c>
      <c r="I154" s="292" t="n">
        <f aca="false">'GAS DAILY VOL DOWNLOAD'!I154-'GAS DAILY VOL DOWNLOAD'!$B154+$B154</f>
        <v>0</v>
      </c>
      <c r="J154" s="292" t="n">
        <f aca="false">'GAS DAILY VOL DOWNLOAD'!J154-'GAS DAILY VOL DOWNLOAD'!$B154+$B154</f>
        <v>0.35</v>
      </c>
      <c r="K154" s="292" t="n">
        <f aca="false">'GAS DAILY VOL DOWNLOAD'!K154-'GAS DAILY VOL DOWNLOAD'!$B154+$B154</f>
        <v>0</v>
      </c>
      <c r="L154" s="292" t="n">
        <f aca="false">'GAS DAILY VOL DOWNLOAD'!L154-'GAS DAILY VOL DOWNLOAD'!$B154+$B154</f>
        <v>0.1</v>
      </c>
      <c r="M154" s="292" t="n">
        <f aca="false">'GAS DAILY VOL DOWNLOAD'!M154-'GAS DAILY VOL DOWNLOAD'!$B154+$B154</f>
        <v>0</v>
      </c>
      <c r="N154" s="292" t="n">
        <f aca="false">'GAS DAILY VOL DOWNLOAD'!N154-'GAS DAILY VOL DOWNLOAD'!$B154+$B154</f>
        <v>0.45</v>
      </c>
      <c r="O154" s="292" t="n">
        <f aca="false">'GAS DAILY VOL DOWNLOAD'!O154-'GAS DAILY VOL DOWNLOAD'!$B154+$B154</f>
        <v>0.15</v>
      </c>
      <c r="P154" s="292" t="n">
        <f aca="false">'GAS DAILY VOL DOWNLOAD'!P154-'GAS DAILY VOL DOWNLOAD'!$B154+$B154</f>
        <v>0.1</v>
      </c>
      <c r="Q154" s="292" t="n">
        <f aca="false">'GAS DAILY VOL DOWNLOAD'!Q154-'GAS DAILY VOL DOWNLOAD'!$B154+$B154</f>
        <v>0</v>
      </c>
    </row>
    <row r="155" customFormat="false" ht="12.75" hidden="false" customHeight="false" outlineLevel="0" collapsed="false">
      <c r="A155" s="317" t="n">
        <v>41671</v>
      </c>
      <c r="B155" s="292" t="n">
        <f aca="false">STRADDLES!L177</f>
        <v>0</v>
      </c>
      <c r="C155" s="292" t="n">
        <f aca="false">'GAS DAILY VOL DOWNLOAD'!C155-'GAS DAILY VOL DOWNLOAD'!$B155+$B155</f>
        <v>0.05</v>
      </c>
      <c r="D155" s="292" t="n">
        <f aca="false">'GAS DAILY VOL DOWNLOAD'!D155-'GAS DAILY VOL DOWNLOAD'!$B155+$B155</f>
        <v>0</v>
      </c>
      <c r="E155" s="292" t="n">
        <f aca="false">'GAS DAILY VOL DOWNLOAD'!E155-'GAS DAILY VOL DOWNLOAD'!$B155+$B155</f>
        <v>0</v>
      </c>
      <c r="F155" s="292" t="n">
        <f aca="false">'GAS DAILY VOL DOWNLOAD'!F155-'GAS DAILY VOL DOWNLOAD'!$B155+$B155</f>
        <v>0.15</v>
      </c>
      <c r="G155" s="292" t="n">
        <f aca="false">'GAS DAILY VOL DOWNLOAD'!G155-'GAS DAILY VOL DOWNLOAD'!$B155+$B155</f>
        <v>0.45</v>
      </c>
      <c r="H155" s="292" t="n">
        <f aca="false">'GAS DAILY VOL DOWNLOAD'!H155-'GAS DAILY VOL DOWNLOAD'!$B155+$B155</f>
        <v>0.05</v>
      </c>
      <c r="I155" s="292" t="n">
        <f aca="false">'GAS DAILY VOL DOWNLOAD'!I155-'GAS DAILY VOL DOWNLOAD'!$B155+$B155</f>
        <v>0</v>
      </c>
      <c r="J155" s="292" t="n">
        <f aca="false">'GAS DAILY VOL DOWNLOAD'!J155-'GAS DAILY VOL DOWNLOAD'!$B155+$B155</f>
        <v>0.35</v>
      </c>
      <c r="K155" s="292" t="n">
        <f aca="false">'GAS DAILY VOL DOWNLOAD'!K155-'GAS DAILY VOL DOWNLOAD'!$B155+$B155</f>
        <v>0</v>
      </c>
      <c r="L155" s="292" t="n">
        <f aca="false">'GAS DAILY VOL DOWNLOAD'!L155-'GAS DAILY VOL DOWNLOAD'!$B155+$B155</f>
        <v>0.1</v>
      </c>
      <c r="M155" s="292" t="n">
        <f aca="false">'GAS DAILY VOL DOWNLOAD'!M155-'GAS DAILY VOL DOWNLOAD'!$B155+$B155</f>
        <v>0</v>
      </c>
      <c r="N155" s="292" t="n">
        <f aca="false">'GAS DAILY VOL DOWNLOAD'!N155-'GAS DAILY VOL DOWNLOAD'!$B155+$B155</f>
        <v>0.45</v>
      </c>
      <c r="O155" s="292" t="n">
        <f aca="false">'GAS DAILY VOL DOWNLOAD'!O155-'GAS DAILY VOL DOWNLOAD'!$B155+$B155</f>
        <v>0.15</v>
      </c>
      <c r="P155" s="292" t="n">
        <f aca="false">'GAS DAILY VOL DOWNLOAD'!P155-'GAS DAILY VOL DOWNLOAD'!$B155+$B155</f>
        <v>0.1</v>
      </c>
      <c r="Q155" s="292" t="n">
        <f aca="false">'GAS DAILY VOL DOWNLOAD'!Q155-'GAS DAILY VOL DOWNLOAD'!$B155+$B155</f>
        <v>0</v>
      </c>
    </row>
    <row r="156" customFormat="false" ht="12.75" hidden="false" customHeight="false" outlineLevel="0" collapsed="false">
      <c r="A156" s="317" t="n">
        <v>41699</v>
      </c>
      <c r="B156" s="292" t="n">
        <f aca="false">STRADDLES!L178</f>
        <v>0</v>
      </c>
      <c r="C156" s="292" t="n">
        <f aca="false">'GAS DAILY VOL DOWNLOAD'!C156-'GAS DAILY VOL DOWNLOAD'!$B156+$B156</f>
        <v>0.05</v>
      </c>
      <c r="D156" s="292" t="n">
        <f aca="false">'GAS DAILY VOL DOWNLOAD'!D156-'GAS DAILY VOL DOWNLOAD'!$B156+$B156</f>
        <v>0</v>
      </c>
      <c r="E156" s="292" t="n">
        <f aca="false">'GAS DAILY VOL DOWNLOAD'!E156-'GAS DAILY VOL DOWNLOAD'!$B156+$B156</f>
        <v>0</v>
      </c>
      <c r="F156" s="292" t="n">
        <f aca="false">'GAS DAILY VOL DOWNLOAD'!F156-'GAS DAILY VOL DOWNLOAD'!$B156+$B156</f>
        <v>0.1</v>
      </c>
      <c r="G156" s="292" t="n">
        <f aca="false">'GAS DAILY VOL DOWNLOAD'!G156-'GAS DAILY VOL DOWNLOAD'!$B156+$B156</f>
        <v>0.25</v>
      </c>
      <c r="H156" s="292" t="n">
        <f aca="false">'GAS DAILY VOL DOWNLOAD'!H156-'GAS DAILY VOL DOWNLOAD'!$B156+$B156</f>
        <v>0</v>
      </c>
      <c r="I156" s="292" t="n">
        <f aca="false">'GAS DAILY VOL DOWNLOAD'!I156-'GAS DAILY VOL DOWNLOAD'!$B156+$B156</f>
        <v>0</v>
      </c>
      <c r="J156" s="292" t="n">
        <f aca="false">'GAS DAILY VOL DOWNLOAD'!J156-'GAS DAILY VOL DOWNLOAD'!$B156+$B156</f>
        <v>0.2</v>
      </c>
      <c r="K156" s="292" t="n">
        <f aca="false">'GAS DAILY VOL DOWNLOAD'!K156-'GAS DAILY VOL DOWNLOAD'!$B156+$B156</f>
        <v>0</v>
      </c>
      <c r="L156" s="292" t="n">
        <f aca="false">'GAS DAILY VOL DOWNLOAD'!L156-'GAS DAILY VOL DOWNLOAD'!$B156+$B156</f>
        <v>0</v>
      </c>
      <c r="M156" s="292" t="n">
        <f aca="false">'GAS DAILY VOL DOWNLOAD'!M156-'GAS DAILY VOL DOWNLOAD'!$B156+$B156</f>
        <v>0</v>
      </c>
      <c r="N156" s="292" t="n">
        <f aca="false">'GAS DAILY VOL DOWNLOAD'!N156-'GAS DAILY VOL DOWNLOAD'!$B156+$B156</f>
        <v>0.25</v>
      </c>
      <c r="O156" s="292" t="n">
        <f aca="false">'GAS DAILY VOL DOWNLOAD'!O156-'GAS DAILY VOL DOWNLOAD'!$B156+$B156</f>
        <v>0.15</v>
      </c>
      <c r="P156" s="292" t="n">
        <f aca="false">'GAS DAILY VOL DOWNLOAD'!P156-'GAS DAILY VOL DOWNLOAD'!$B156+$B156</f>
        <v>0.1</v>
      </c>
      <c r="Q156" s="292" t="n">
        <f aca="false">'GAS DAILY VOL DOWNLOAD'!Q156-'GAS DAILY VOL DOWNLOAD'!$B156+$B156</f>
        <v>0</v>
      </c>
    </row>
    <row r="157" customFormat="false" ht="12.75" hidden="false" customHeight="false" outlineLevel="0" collapsed="false">
      <c r="A157" s="317" t="n">
        <v>41730</v>
      </c>
      <c r="B157" s="292" t="n">
        <f aca="false">STRADDLES!L179</f>
        <v>0</v>
      </c>
      <c r="C157" s="292" t="n">
        <f aca="false">'GAS DAILY VOL DOWNLOAD'!C157-'GAS DAILY VOL DOWNLOAD'!$B157+$B157</f>
        <v>0.05</v>
      </c>
      <c r="D157" s="292" t="n">
        <f aca="false">'GAS DAILY VOL DOWNLOAD'!D157-'GAS DAILY VOL DOWNLOAD'!$B157+$B157</f>
        <v>0</v>
      </c>
      <c r="E157" s="292" t="n">
        <f aca="false">'GAS DAILY VOL DOWNLOAD'!E157-'GAS DAILY VOL DOWNLOAD'!$B157+$B157</f>
        <v>0.05</v>
      </c>
      <c r="F157" s="292" t="n">
        <f aca="false">'GAS DAILY VOL DOWNLOAD'!F157-'GAS DAILY VOL DOWNLOAD'!$B157+$B157</f>
        <v>0.05</v>
      </c>
      <c r="G157" s="292" t="n">
        <f aca="false">'GAS DAILY VOL DOWNLOAD'!G157-'GAS DAILY VOL DOWNLOAD'!$B157+$B157</f>
        <v>0.05</v>
      </c>
      <c r="H157" s="292" t="n">
        <f aca="false">'GAS DAILY VOL DOWNLOAD'!H157-'GAS DAILY VOL DOWNLOAD'!$B157+$B157</f>
        <v>0.05</v>
      </c>
      <c r="I157" s="292" t="n">
        <f aca="false">'GAS DAILY VOL DOWNLOAD'!I157-'GAS DAILY VOL DOWNLOAD'!$B157+$B157</f>
        <v>0.05</v>
      </c>
      <c r="J157" s="292" t="n">
        <f aca="false">'GAS DAILY VOL DOWNLOAD'!J157-'GAS DAILY VOL DOWNLOAD'!$B157+$B157</f>
        <v>0.1</v>
      </c>
      <c r="K157" s="292" t="n">
        <f aca="false">'GAS DAILY VOL DOWNLOAD'!K157-'GAS DAILY VOL DOWNLOAD'!$B157+$B157</f>
        <v>0</v>
      </c>
      <c r="L157" s="292" t="n">
        <f aca="false">'GAS DAILY VOL DOWNLOAD'!L157-'GAS DAILY VOL DOWNLOAD'!$B157+$B157</f>
        <v>0.05</v>
      </c>
      <c r="M157" s="292" t="n">
        <f aca="false">'GAS DAILY VOL DOWNLOAD'!M157-'GAS DAILY VOL DOWNLOAD'!$B157+$B157</f>
        <v>0</v>
      </c>
      <c r="N157" s="292" t="n">
        <f aca="false">'GAS DAILY VOL DOWNLOAD'!N157-'GAS DAILY VOL DOWNLOAD'!$B157+$B157</f>
        <v>0.05</v>
      </c>
      <c r="O157" s="292" t="n">
        <f aca="false">'GAS DAILY VOL DOWNLOAD'!O157-'GAS DAILY VOL DOWNLOAD'!$B157+$B157</f>
        <v>0.15</v>
      </c>
      <c r="P157" s="292" t="n">
        <f aca="false">'GAS DAILY VOL DOWNLOAD'!P157-'GAS DAILY VOL DOWNLOAD'!$B157+$B157</f>
        <v>0.15</v>
      </c>
      <c r="Q157" s="292" t="n">
        <f aca="false">'GAS DAILY VOL DOWNLOAD'!Q157-'GAS DAILY VOL DOWNLOAD'!$B157+$B157</f>
        <v>0</v>
      </c>
    </row>
    <row r="158" customFormat="false" ht="12.75" hidden="false" customHeight="false" outlineLevel="0" collapsed="false">
      <c r="A158" s="317" t="n">
        <v>41760</v>
      </c>
      <c r="B158" s="292" t="n">
        <f aca="false">STRADDLES!L180</f>
        <v>0</v>
      </c>
      <c r="C158" s="292" t="n">
        <f aca="false">'GAS DAILY VOL DOWNLOAD'!C158-'GAS DAILY VOL DOWNLOAD'!$B158+$B158</f>
        <v>0.05</v>
      </c>
      <c r="D158" s="292" t="n">
        <f aca="false">'GAS DAILY VOL DOWNLOAD'!D158-'GAS DAILY VOL DOWNLOAD'!$B158+$B158</f>
        <v>-0.05</v>
      </c>
      <c r="E158" s="292" t="n">
        <f aca="false">'GAS DAILY VOL DOWNLOAD'!E158-'GAS DAILY VOL DOWNLOAD'!$B158+$B158</f>
        <v>-0.05</v>
      </c>
      <c r="F158" s="292" t="n">
        <f aca="false">'GAS DAILY VOL DOWNLOAD'!F158-'GAS DAILY VOL DOWNLOAD'!$B158+$B158</f>
        <v>0</v>
      </c>
      <c r="G158" s="292" t="n">
        <f aca="false">'GAS DAILY VOL DOWNLOAD'!G158-'GAS DAILY VOL DOWNLOAD'!$B158+$B158</f>
        <v>0.05</v>
      </c>
      <c r="H158" s="292" t="n">
        <f aca="false">'GAS DAILY VOL DOWNLOAD'!H158-'GAS DAILY VOL DOWNLOAD'!$B158+$B158</f>
        <v>0</v>
      </c>
      <c r="I158" s="292" t="n">
        <f aca="false">'GAS DAILY VOL DOWNLOAD'!I158-'GAS DAILY VOL DOWNLOAD'!$B158+$B158</f>
        <v>-0.05</v>
      </c>
      <c r="J158" s="292" t="n">
        <f aca="false">'GAS DAILY VOL DOWNLOAD'!J158-'GAS DAILY VOL DOWNLOAD'!$B158+$B158</f>
        <v>0</v>
      </c>
      <c r="K158" s="292" t="n">
        <f aca="false">'GAS DAILY VOL DOWNLOAD'!K158-'GAS DAILY VOL DOWNLOAD'!$B158+$B158</f>
        <v>0</v>
      </c>
      <c r="L158" s="292" t="n">
        <f aca="false">'GAS DAILY VOL DOWNLOAD'!L158-'GAS DAILY VOL DOWNLOAD'!$B158+$B158</f>
        <v>0.05</v>
      </c>
      <c r="M158" s="292" t="n">
        <f aca="false">'GAS DAILY VOL DOWNLOAD'!M158-'GAS DAILY VOL DOWNLOAD'!$B158+$B158</f>
        <v>0</v>
      </c>
      <c r="N158" s="292" t="n">
        <f aca="false">'GAS DAILY VOL DOWNLOAD'!N158-'GAS DAILY VOL DOWNLOAD'!$B158+$B158</f>
        <v>0.05</v>
      </c>
      <c r="O158" s="292" t="n">
        <f aca="false">'GAS DAILY VOL DOWNLOAD'!O158-'GAS DAILY VOL DOWNLOAD'!$B158+$B158</f>
        <v>0.15</v>
      </c>
      <c r="P158" s="292" t="n">
        <f aca="false">'GAS DAILY VOL DOWNLOAD'!P158-'GAS DAILY VOL DOWNLOAD'!$B158+$B158</f>
        <v>0.05</v>
      </c>
      <c r="Q158" s="292" t="n">
        <f aca="false">'GAS DAILY VOL DOWNLOAD'!Q158-'GAS DAILY VOL DOWNLOAD'!$B158+$B158</f>
        <v>0</v>
      </c>
    </row>
    <row r="159" customFormat="false" ht="12.75" hidden="false" customHeight="false" outlineLevel="0" collapsed="false">
      <c r="A159" s="317" t="n">
        <v>41791</v>
      </c>
      <c r="B159" s="292" t="n">
        <f aca="false">STRADDLES!L181</f>
        <v>0</v>
      </c>
      <c r="C159" s="292" t="n">
        <f aca="false">'GAS DAILY VOL DOWNLOAD'!C159-'GAS DAILY VOL DOWNLOAD'!$B159+$B159</f>
        <v>0.05</v>
      </c>
      <c r="D159" s="292" t="n">
        <f aca="false">'GAS DAILY VOL DOWNLOAD'!D159-'GAS DAILY VOL DOWNLOAD'!$B159+$B159</f>
        <v>-0.05</v>
      </c>
      <c r="E159" s="292" t="n">
        <f aca="false">'GAS DAILY VOL DOWNLOAD'!E159-'GAS DAILY VOL DOWNLOAD'!$B159+$B159</f>
        <v>0.05</v>
      </c>
      <c r="F159" s="292" t="n">
        <f aca="false">'GAS DAILY VOL DOWNLOAD'!F159-'GAS DAILY VOL DOWNLOAD'!$B159+$B159</f>
        <v>0</v>
      </c>
      <c r="G159" s="292" t="n">
        <f aca="false">'GAS DAILY VOL DOWNLOAD'!G159-'GAS DAILY VOL DOWNLOAD'!$B159+$B159</f>
        <v>0.05</v>
      </c>
      <c r="H159" s="292" t="n">
        <f aca="false">'GAS DAILY VOL DOWNLOAD'!H159-'GAS DAILY VOL DOWNLOAD'!$B159+$B159</f>
        <v>0.05</v>
      </c>
      <c r="I159" s="292" t="n">
        <f aca="false">'GAS DAILY VOL DOWNLOAD'!I159-'GAS DAILY VOL DOWNLOAD'!$B159+$B159</f>
        <v>0.05</v>
      </c>
      <c r="J159" s="292" t="n">
        <f aca="false">'GAS DAILY VOL DOWNLOAD'!J159-'GAS DAILY VOL DOWNLOAD'!$B159+$B159</f>
        <v>0.05</v>
      </c>
      <c r="K159" s="292" t="n">
        <f aca="false">'GAS DAILY VOL DOWNLOAD'!K159-'GAS DAILY VOL DOWNLOAD'!$B159+$B159</f>
        <v>0</v>
      </c>
      <c r="L159" s="292" t="n">
        <f aca="false">'GAS DAILY VOL DOWNLOAD'!L159-'GAS DAILY VOL DOWNLOAD'!$B159+$B159</f>
        <v>0.05</v>
      </c>
      <c r="M159" s="292" t="n">
        <f aca="false">'GAS DAILY VOL DOWNLOAD'!M159-'GAS DAILY VOL DOWNLOAD'!$B159+$B159</f>
        <v>0</v>
      </c>
      <c r="N159" s="292" t="n">
        <f aca="false">'GAS DAILY VOL DOWNLOAD'!N159-'GAS DAILY VOL DOWNLOAD'!$B159+$B159</f>
        <v>0.05</v>
      </c>
      <c r="O159" s="292" t="n">
        <f aca="false">'GAS DAILY VOL DOWNLOAD'!O159-'GAS DAILY VOL DOWNLOAD'!$B159+$B159</f>
        <v>0.15</v>
      </c>
      <c r="P159" s="292" t="n">
        <f aca="false">'GAS DAILY VOL DOWNLOAD'!P159-'GAS DAILY VOL DOWNLOAD'!$B159+$B159</f>
        <v>0.15</v>
      </c>
      <c r="Q159" s="292" t="n">
        <f aca="false">'GAS DAILY VOL DOWNLOAD'!Q159-'GAS DAILY VOL DOWNLOAD'!$B159+$B159</f>
        <v>0</v>
      </c>
    </row>
    <row r="160" customFormat="false" ht="12.75" hidden="false" customHeight="false" outlineLevel="0" collapsed="false">
      <c r="A160" s="317" t="n">
        <v>41821</v>
      </c>
      <c r="B160" s="292" t="n">
        <f aca="false">STRADDLES!L182</f>
        <v>0</v>
      </c>
      <c r="C160" s="292" t="n">
        <f aca="false">'GAS DAILY VOL DOWNLOAD'!C160-'GAS DAILY VOL DOWNLOAD'!$B160+$B160</f>
        <v>0</v>
      </c>
      <c r="D160" s="292" t="n">
        <f aca="false">'GAS DAILY VOL DOWNLOAD'!D160-'GAS DAILY VOL DOWNLOAD'!$B160+$B160</f>
        <v>-0.1</v>
      </c>
      <c r="E160" s="292" t="n">
        <f aca="false">'GAS DAILY VOL DOWNLOAD'!E160-'GAS DAILY VOL DOWNLOAD'!$B160+$B160</f>
        <v>0</v>
      </c>
      <c r="F160" s="292" t="n">
        <f aca="false">'GAS DAILY VOL DOWNLOAD'!F160-'GAS DAILY VOL DOWNLOAD'!$B160+$B160</f>
        <v>0</v>
      </c>
      <c r="G160" s="292" t="n">
        <f aca="false">'GAS DAILY VOL DOWNLOAD'!G160-'GAS DAILY VOL DOWNLOAD'!$B160+$B160</f>
        <v>0</v>
      </c>
      <c r="H160" s="292" t="n">
        <f aca="false">'GAS DAILY VOL DOWNLOAD'!H160-'GAS DAILY VOL DOWNLOAD'!$B160+$B160</f>
        <v>0</v>
      </c>
      <c r="I160" s="292" t="n">
        <f aca="false">'GAS DAILY VOL DOWNLOAD'!I160-'GAS DAILY VOL DOWNLOAD'!$B160+$B160</f>
        <v>0</v>
      </c>
      <c r="J160" s="292" t="n">
        <f aca="false">'GAS DAILY VOL DOWNLOAD'!J160-'GAS DAILY VOL DOWNLOAD'!$B160+$B160</f>
        <v>0</v>
      </c>
      <c r="K160" s="292" t="n">
        <f aca="false">'GAS DAILY VOL DOWNLOAD'!K160-'GAS DAILY VOL DOWNLOAD'!$B160+$B160</f>
        <v>0</v>
      </c>
      <c r="L160" s="292" t="n">
        <f aca="false">'GAS DAILY VOL DOWNLOAD'!L160-'GAS DAILY VOL DOWNLOAD'!$B160+$B160</f>
        <v>0.05</v>
      </c>
      <c r="M160" s="292" t="n">
        <f aca="false">'GAS DAILY VOL DOWNLOAD'!M160-'GAS DAILY VOL DOWNLOAD'!$B160+$B160</f>
        <v>0</v>
      </c>
      <c r="N160" s="292" t="n">
        <f aca="false">'GAS DAILY VOL DOWNLOAD'!N160-'GAS DAILY VOL DOWNLOAD'!$B160+$B160</f>
        <v>0</v>
      </c>
      <c r="O160" s="292" t="n">
        <f aca="false">'GAS DAILY VOL DOWNLOAD'!O160-'GAS DAILY VOL DOWNLOAD'!$B160+$B160</f>
        <v>0.15</v>
      </c>
      <c r="P160" s="292" t="n">
        <f aca="false">'GAS DAILY VOL DOWNLOAD'!P160-'GAS DAILY VOL DOWNLOAD'!$B160+$B160</f>
        <v>0.1</v>
      </c>
      <c r="Q160" s="292" t="n">
        <f aca="false">'GAS DAILY VOL DOWNLOAD'!Q160-'GAS DAILY VOL DOWNLOAD'!$B160+$B160</f>
        <v>0</v>
      </c>
    </row>
    <row r="161" customFormat="false" ht="12.75" hidden="false" customHeight="false" outlineLevel="0" collapsed="false">
      <c r="A161" s="317" t="n">
        <v>41852</v>
      </c>
      <c r="B161" s="292" t="n">
        <f aca="false">STRADDLES!L183</f>
        <v>0</v>
      </c>
      <c r="C161" s="292" t="n">
        <f aca="false">'GAS DAILY VOL DOWNLOAD'!C161-'GAS DAILY VOL DOWNLOAD'!$B161+$B161</f>
        <v>0</v>
      </c>
      <c r="D161" s="292" t="n">
        <f aca="false">'GAS DAILY VOL DOWNLOAD'!D161-'GAS DAILY VOL DOWNLOAD'!$B161+$B161</f>
        <v>-0.05</v>
      </c>
      <c r="E161" s="292" t="n">
        <f aca="false">'GAS DAILY VOL DOWNLOAD'!E161-'GAS DAILY VOL DOWNLOAD'!$B161+$B161</f>
        <v>0.0499999999999999</v>
      </c>
      <c r="F161" s="292" t="n">
        <f aca="false">'GAS DAILY VOL DOWNLOAD'!F161-'GAS DAILY VOL DOWNLOAD'!$B161+$B161</f>
        <v>0</v>
      </c>
      <c r="G161" s="292" t="n">
        <f aca="false">'GAS DAILY VOL DOWNLOAD'!G161-'GAS DAILY VOL DOWNLOAD'!$B161+$B161</f>
        <v>0.0499999999999999</v>
      </c>
      <c r="H161" s="292" t="n">
        <f aca="false">'GAS DAILY VOL DOWNLOAD'!H161-'GAS DAILY VOL DOWNLOAD'!$B161+$B161</f>
        <v>0</v>
      </c>
      <c r="I161" s="292" t="n">
        <f aca="false">'GAS DAILY VOL DOWNLOAD'!I161-'GAS DAILY VOL DOWNLOAD'!$B161+$B161</f>
        <v>0.0499999999999999</v>
      </c>
      <c r="J161" s="292" t="n">
        <f aca="false">'GAS DAILY VOL DOWNLOAD'!J161-'GAS DAILY VOL DOWNLOAD'!$B161+$B161</f>
        <v>-0.1</v>
      </c>
      <c r="K161" s="292" t="n">
        <f aca="false">'GAS DAILY VOL DOWNLOAD'!K161-'GAS DAILY VOL DOWNLOAD'!$B161+$B161</f>
        <v>0</v>
      </c>
      <c r="L161" s="292" t="n">
        <f aca="false">'GAS DAILY VOL DOWNLOAD'!L161-'GAS DAILY VOL DOWNLOAD'!$B161+$B161</f>
        <v>0.0499999999999999</v>
      </c>
      <c r="M161" s="292" t="n">
        <f aca="false">'GAS DAILY VOL DOWNLOAD'!M161-'GAS DAILY VOL DOWNLOAD'!$B161+$B161</f>
        <v>0</v>
      </c>
      <c r="N161" s="292" t="n">
        <f aca="false">'GAS DAILY VOL DOWNLOAD'!N161-'GAS DAILY VOL DOWNLOAD'!$B161+$B161</f>
        <v>0.0499999999999999</v>
      </c>
      <c r="O161" s="292" t="n">
        <f aca="false">'GAS DAILY VOL DOWNLOAD'!O161-'GAS DAILY VOL DOWNLOAD'!$B161+$B161</f>
        <v>0.15</v>
      </c>
      <c r="P161" s="292" t="n">
        <f aca="false">'GAS DAILY VOL DOWNLOAD'!P161-'GAS DAILY VOL DOWNLOAD'!$B161+$B161</f>
        <v>0.15</v>
      </c>
      <c r="Q161" s="292" t="n">
        <f aca="false">'GAS DAILY VOL DOWNLOAD'!Q161-'GAS DAILY VOL DOWNLOAD'!$B161+$B161</f>
        <v>0</v>
      </c>
    </row>
    <row r="162" customFormat="false" ht="12.75" hidden="false" customHeight="false" outlineLevel="0" collapsed="false">
      <c r="A162" s="317" t="n">
        <v>41883</v>
      </c>
      <c r="B162" s="292" t="n">
        <f aca="false">STRADDLES!L184</f>
        <v>0</v>
      </c>
      <c r="C162" s="292" t="n">
        <f aca="false">'GAS DAILY VOL DOWNLOAD'!C162-'GAS DAILY VOL DOWNLOAD'!$B162+$B162</f>
        <v>0</v>
      </c>
      <c r="D162" s="292" t="n">
        <f aca="false">'GAS DAILY VOL DOWNLOAD'!D162-'GAS DAILY VOL DOWNLOAD'!$B162+$B162</f>
        <v>0</v>
      </c>
      <c r="E162" s="292" t="n">
        <f aca="false">'GAS DAILY VOL DOWNLOAD'!E162-'GAS DAILY VOL DOWNLOAD'!$B162+$B162</f>
        <v>0</v>
      </c>
      <c r="F162" s="292" t="n">
        <f aca="false">'GAS DAILY VOL DOWNLOAD'!F162-'GAS DAILY VOL DOWNLOAD'!$B162+$B162</f>
        <v>0</v>
      </c>
      <c r="G162" s="292" t="n">
        <f aca="false">'GAS DAILY VOL DOWNLOAD'!G162-'GAS DAILY VOL DOWNLOAD'!$B162+$B162</f>
        <v>0.0499999999999999</v>
      </c>
      <c r="H162" s="292" t="n">
        <f aca="false">'GAS DAILY VOL DOWNLOAD'!H162-'GAS DAILY VOL DOWNLOAD'!$B162+$B162</f>
        <v>0.0499999999999999</v>
      </c>
      <c r="I162" s="292" t="n">
        <f aca="false">'GAS DAILY VOL DOWNLOAD'!I162-'GAS DAILY VOL DOWNLOAD'!$B162+$B162</f>
        <v>0</v>
      </c>
      <c r="J162" s="292" t="n">
        <f aca="false">'GAS DAILY VOL DOWNLOAD'!J162-'GAS DAILY VOL DOWNLOAD'!$B162+$B162</f>
        <v>-0.05</v>
      </c>
      <c r="K162" s="292" t="n">
        <f aca="false">'GAS DAILY VOL DOWNLOAD'!K162-'GAS DAILY VOL DOWNLOAD'!$B162+$B162</f>
        <v>0</v>
      </c>
      <c r="L162" s="292" t="n">
        <f aca="false">'GAS DAILY VOL DOWNLOAD'!L162-'GAS DAILY VOL DOWNLOAD'!$B162+$B162</f>
        <v>0.0499999999999999</v>
      </c>
      <c r="M162" s="292" t="n">
        <f aca="false">'GAS DAILY VOL DOWNLOAD'!M162-'GAS DAILY VOL DOWNLOAD'!$B162+$B162</f>
        <v>0</v>
      </c>
      <c r="N162" s="292" t="n">
        <f aca="false">'GAS DAILY VOL DOWNLOAD'!N162-'GAS DAILY VOL DOWNLOAD'!$B162+$B162</f>
        <v>0.0499999999999999</v>
      </c>
      <c r="O162" s="292" t="n">
        <f aca="false">'GAS DAILY VOL DOWNLOAD'!O162-'GAS DAILY VOL DOWNLOAD'!$B162+$B162</f>
        <v>0.15</v>
      </c>
      <c r="P162" s="292" t="n">
        <f aca="false">'GAS DAILY VOL DOWNLOAD'!P162-'GAS DAILY VOL DOWNLOAD'!$B162+$B162</f>
        <v>0.1</v>
      </c>
      <c r="Q162" s="292" t="n">
        <f aca="false">'GAS DAILY VOL DOWNLOAD'!Q162-'GAS DAILY VOL DOWNLOAD'!$B162+$B162</f>
        <v>0</v>
      </c>
    </row>
    <row r="163" customFormat="false" ht="12.75" hidden="false" customHeight="false" outlineLevel="0" collapsed="false">
      <c r="A163" s="317" t="n">
        <v>41913</v>
      </c>
      <c r="B163" s="292" t="n">
        <f aca="false">STRADDLES!L185</f>
        <v>0</v>
      </c>
      <c r="C163" s="292" t="n">
        <f aca="false">'GAS DAILY VOL DOWNLOAD'!C163-'GAS DAILY VOL DOWNLOAD'!$B163+$B163</f>
        <v>0</v>
      </c>
      <c r="D163" s="292" t="n">
        <f aca="false">'GAS DAILY VOL DOWNLOAD'!D163-'GAS DAILY VOL DOWNLOAD'!$B163+$B163</f>
        <v>-0.0499999999999999</v>
      </c>
      <c r="E163" s="292" t="n">
        <f aca="false">'GAS DAILY VOL DOWNLOAD'!E163-'GAS DAILY VOL DOWNLOAD'!$B163+$B163</f>
        <v>0</v>
      </c>
      <c r="F163" s="292" t="n">
        <f aca="false">'GAS DAILY VOL DOWNLOAD'!F163-'GAS DAILY VOL DOWNLOAD'!$B163+$B163</f>
        <v>0</v>
      </c>
      <c r="G163" s="292" t="n">
        <f aca="false">'GAS DAILY VOL DOWNLOAD'!G163-'GAS DAILY VOL DOWNLOAD'!$B163+$B163</f>
        <v>0.05</v>
      </c>
      <c r="H163" s="292" t="n">
        <f aca="false">'GAS DAILY VOL DOWNLOAD'!H163-'GAS DAILY VOL DOWNLOAD'!$B163+$B163</f>
        <v>0.05</v>
      </c>
      <c r="I163" s="292" t="n">
        <f aca="false">'GAS DAILY VOL DOWNLOAD'!I163-'GAS DAILY VOL DOWNLOAD'!$B163+$B163</f>
        <v>0</v>
      </c>
      <c r="J163" s="292" t="n">
        <f aca="false">'GAS DAILY VOL DOWNLOAD'!J163-'GAS DAILY VOL DOWNLOAD'!$B163+$B163</f>
        <v>-0.1</v>
      </c>
      <c r="K163" s="292" t="n">
        <f aca="false">'GAS DAILY VOL DOWNLOAD'!K163-'GAS DAILY VOL DOWNLOAD'!$B163+$B163</f>
        <v>0</v>
      </c>
      <c r="L163" s="292" t="n">
        <f aca="false">'GAS DAILY VOL DOWNLOAD'!L163-'GAS DAILY VOL DOWNLOAD'!$B163+$B163</f>
        <v>0.05</v>
      </c>
      <c r="M163" s="292" t="n">
        <f aca="false">'GAS DAILY VOL DOWNLOAD'!M163-'GAS DAILY VOL DOWNLOAD'!$B163+$B163</f>
        <v>0</v>
      </c>
      <c r="N163" s="292" t="n">
        <f aca="false">'GAS DAILY VOL DOWNLOAD'!N163-'GAS DAILY VOL DOWNLOAD'!$B163+$B163</f>
        <v>0.05</v>
      </c>
      <c r="O163" s="292" t="n">
        <f aca="false">'GAS DAILY VOL DOWNLOAD'!O163-'GAS DAILY VOL DOWNLOAD'!$B163+$B163</f>
        <v>0.15</v>
      </c>
      <c r="P163" s="292" t="n">
        <f aca="false">'GAS DAILY VOL DOWNLOAD'!P163-'GAS DAILY VOL DOWNLOAD'!$B163+$B163</f>
        <v>0.1</v>
      </c>
      <c r="Q163" s="292" t="n">
        <f aca="false">'GAS DAILY VOL DOWNLOAD'!Q163-'GAS DAILY VOL DOWNLOAD'!$B163+$B163</f>
        <v>0</v>
      </c>
    </row>
    <row r="164" customFormat="false" ht="12.75" hidden="false" customHeight="false" outlineLevel="0" collapsed="false">
      <c r="A164" s="317" t="n">
        <v>41944</v>
      </c>
      <c r="B164" s="292" t="n">
        <f aca="false">STRADDLES!L186</f>
        <v>0</v>
      </c>
      <c r="C164" s="292" t="n">
        <f aca="false">'GAS DAILY VOL DOWNLOAD'!C164-'GAS DAILY VOL DOWNLOAD'!$B164+$B164</f>
        <v>0.0499999999999999</v>
      </c>
      <c r="D164" s="292" t="n">
        <f aca="false">'GAS DAILY VOL DOWNLOAD'!D164-'GAS DAILY VOL DOWNLOAD'!$B164+$B164</f>
        <v>0</v>
      </c>
      <c r="E164" s="292" t="n">
        <f aca="false">'GAS DAILY VOL DOWNLOAD'!E164-'GAS DAILY VOL DOWNLOAD'!$B164+$B164</f>
        <v>0</v>
      </c>
      <c r="F164" s="292" t="n">
        <f aca="false">'GAS DAILY VOL DOWNLOAD'!F164-'GAS DAILY VOL DOWNLOAD'!$B164+$B164</f>
        <v>0.1</v>
      </c>
      <c r="G164" s="292" t="n">
        <f aca="false">'GAS DAILY VOL DOWNLOAD'!G164-'GAS DAILY VOL DOWNLOAD'!$B164+$B164</f>
        <v>0.15</v>
      </c>
      <c r="H164" s="292" t="n">
        <f aca="false">'GAS DAILY VOL DOWNLOAD'!H164-'GAS DAILY VOL DOWNLOAD'!$B164+$B164</f>
        <v>0.0499999999999999</v>
      </c>
      <c r="I164" s="292" t="n">
        <f aca="false">'GAS DAILY VOL DOWNLOAD'!I164-'GAS DAILY VOL DOWNLOAD'!$B164+$B164</f>
        <v>0</v>
      </c>
      <c r="J164" s="292" t="n">
        <f aca="false">'GAS DAILY VOL DOWNLOAD'!J164-'GAS DAILY VOL DOWNLOAD'!$B164+$B164</f>
        <v>0.15</v>
      </c>
      <c r="K164" s="292" t="n">
        <f aca="false">'GAS DAILY VOL DOWNLOAD'!K164-'GAS DAILY VOL DOWNLOAD'!$B164+$B164</f>
        <v>0</v>
      </c>
      <c r="L164" s="292" t="n">
        <f aca="false">'GAS DAILY VOL DOWNLOAD'!L164-'GAS DAILY VOL DOWNLOAD'!$B164+$B164</f>
        <v>0</v>
      </c>
      <c r="M164" s="292" t="n">
        <f aca="false">'GAS DAILY VOL DOWNLOAD'!M164-'GAS DAILY VOL DOWNLOAD'!$B164+$B164</f>
        <v>0</v>
      </c>
      <c r="N164" s="292" t="n">
        <f aca="false">'GAS DAILY VOL DOWNLOAD'!N164-'GAS DAILY VOL DOWNLOAD'!$B164+$B164</f>
        <v>0.15</v>
      </c>
      <c r="O164" s="292" t="n">
        <f aca="false">'GAS DAILY VOL DOWNLOAD'!O164-'GAS DAILY VOL DOWNLOAD'!$B164+$B164</f>
        <v>0.15</v>
      </c>
      <c r="P164" s="292" t="n">
        <f aca="false">'GAS DAILY VOL DOWNLOAD'!P164-'GAS DAILY VOL DOWNLOAD'!$B164+$B164</f>
        <v>0.1</v>
      </c>
      <c r="Q164" s="292" t="n">
        <f aca="false">'GAS DAILY VOL DOWNLOAD'!Q164-'GAS DAILY VOL DOWNLOAD'!$B164+$B164</f>
        <v>0</v>
      </c>
    </row>
    <row r="165" customFormat="false" ht="12.75" hidden="false" customHeight="false" outlineLevel="0" collapsed="false">
      <c r="A165" s="317" t="n">
        <v>41974</v>
      </c>
      <c r="B165" s="292" t="n">
        <f aca="false">STRADDLES!L187</f>
        <v>0</v>
      </c>
      <c r="C165" s="292" t="n">
        <f aca="false">'GAS DAILY VOL DOWNLOAD'!C165-'GAS DAILY VOL DOWNLOAD'!$B165+$B165</f>
        <v>0.05</v>
      </c>
      <c r="D165" s="292" t="n">
        <f aca="false">'GAS DAILY VOL DOWNLOAD'!D165-'GAS DAILY VOL DOWNLOAD'!$B165+$B165</f>
        <v>0</v>
      </c>
      <c r="E165" s="292" t="n">
        <f aca="false">'GAS DAILY VOL DOWNLOAD'!E165-'GAS DAILY VOL DOWNLOAD'!$B165+$B165</f>
        <v>0</v>
      </c>
      <c r="F165" s="292" t="n">
        <f aca="false">'GAS DAILY VOL DOWNLOAD'!F165-'GAS DAILY VOL DOWNLOAD'!$B165+$B165</f>
        <v>0.15</v>
      </c>
      <c r="G165" s="292" t="n">
        <f aca="false">'GAS DAILY VOL DOWNLOAD'!G165-'GAS DAILY VOL DOWNLOAD'!$B165+$B165</f>
        <v>0.25</v>
      </c>
      <c r="H165" s="292" t="n">
        <f aca="false">'GAS DAILY VOL DOWNLOAD'!H165-'GAS DAILY VOL DOWNLOAD'!$B165+$B165</f>
        <v>0.05</v>
      </c>
      <c r="I165" s="292" t="n">
        <f aca="false">'GAS DAILY VOL DOWNLOAD'!I165-'GAS DAILY VOL DOWNLOAD'!$B165+$B165</f>
        <v>0</v>
      </c>
      <c r="J165" s="292" t="n">
        <f aca="false">'GAS DAILY VOL DOWNLOAD'!J165-'GAS DAILY VOL DOWNLOAD'!$B165+$B165</f>
        <v>0.35</v>
      </c>
      <c r="K165" s="292" t="n">
        <f aca="false">'GAS DAILY VOL DOWNLOAD'!K165-'GAS DAILY VOL DOWNLOAD'!$B165+$B165</f>
        <v>0</v>
      </c>
      <c r="L165" s="292" t="n">
        <f aca="false">'GAS DAILY VOL DOWNLOAD'!L165-'GAS DAILY VOL DOWNLOAD'!$B165+$B165</f>
        <v>0.1</v>
      </c>
      <c r="M165" s="292" t="n">
        <f aca="false">'GAS DAILY VOL DOWNLOAD'!M165-'GAS DAILY VOL DOWNLOAD'!$B165+$B165</f>
        <v>0</v>
      </c>
      <c r="N165" s="292" t="n">
        <f aca="false">'GAS DAILY VOL DOWNLOAD'!N165-'GAS DAILY VOL DOWNLOAD'!$B165+$B165</f>
        <v>0.25</v>
      </c>
      <c r="O165" s="292" t="n">
        <f aca="false">'GAS DAILY VOL DOWNLOAD'!O165-'GAS DAILY VOL DOWNLOAD'!$B165+$B165</f>
        <v>0.15</v>
      </c>
      <c r="P165" s="292" t="n">
        <f aca="false">'GAS DAILY VOL DOWNLOAD'!P165-'GAS DAILY VOL DOWNLOAD'!$B165+$B165</f>
        <v>0.1</v>
      </c>
      <c r="Q165" s="292" t="n">
        <f aca="false">'GAS DAILY VOL DOWNLOAD'!Q165-'GAS DAILY VOL DOWNLOAD'!$B165+$B165</f>
        <v>0</v>
      </c>
    </row>
    <row r="166" customFormat="false" ht="12.75" hidden="false" customHeight="false" outlineLevel="0" collapsed="false">
      <c r="A166" s="317" t="n">
        <v>42005</v>
      </c>
      <c r="B166" s="292" t="n">
        <f aca="false">STRADDLES!L188</f>
        <v>0</v>
      </c>
      <c r="C166" s="292" t="n">
        <f aca="false">'GAS DAILY VOL DOWNLOAD'!C166-'GAS DAILY VOL DOWNLOAD'!$B166+$B166</f>
        <v>0.05</v>
      </c>
      <c r="D166" s="292" t="n">
        <f aca="false">'GAS DAILY VOL DOWNLOAD'!D166-'GAS DAILY VOL DOWNLOAD'!$B166+$B166</f>
        <v>0</v>
      </c>
      <c r="E166" s="292" t="n">
        <f aca="false">'GAS DAILY VOL DOWNLOAD'!E166-'GAS DAILY VOL DOWNLOAD'!$B166+$B166</f>
        <v>0</v>
      </c>
      <c r="F166" s="292" t="n">
        <f aca="false">'GAS DAILY VOL DOWNLOAD'!F166-'GAS DAILY VOL DOWNLOAD'!$B166+$B166</f>
        <v>0.15</v>
      </c>
      <c r="G166" s="292" t="n">
        <f aca="false">'GAS DAILY VOL DOWNLOAD'!G166-'GAS DAILY VOL DOWNLOAD'!$B166+$B166</f>
        <v>0.45</v>
      </c>
      <c r="H166" s="292" t="n">
        <f aca="false">'GAS DAILY VOL DOWNLOAD'!H166-'GAS DAILY VOL DOWNLOAD'!$B166+$B166</f>
        <v>0.05</v>
      </c>
      <c r="I166" s="292" t="n">
        <f aca="false">'GAS DAILY VOL DOWNLOAD'!I166-'GAS DAILY VOL DOWNLOAD'!$B166+$B166</f>
        <v>0</v>
      </c>
      <c r="J166" s="292" t="n">
        <f aca="false">'GAS DAILY VOL DOWNLOAD'!J166-'GAS DAILY VOL DOWNLOAD'!$B166+$B166</f>
        <v>0.35</v>
      </c>
      <c r="K166" s="292" t="n">
        <f aca="false">'GAS DAILY VOL DOWNLOAD'!K166-'GAS DAILY VOL DOWNLOAD'!$B166+$B166</f>
        <v>0</v>
      </c>
      <c r="L166" s="292" t="n">
        <f aca="false">'GAS DAILY VOL DOWNLOAD'!L166-'GAS DAILY VOL DOWNLOAD'!$B166+$B166</f>
        <v>0.1</v>
      </c>
      <c r="M166" s="292" t="n">
        <f aca="false">'GAS DAILY VOL DOWNLOAD'!M166-'GAS DAILY VOL DOWNLOAD'!$B166+$B166</f>
        <v>0</v>
      </c>
      <c r="N166" s="292" t="n">
        <f aca="false">'GAS DAILY VOL DOWNLOAD'!N166-'GAS DAILY VOL DOWNLOAD'!$B166+$B166</f>
        <v>0.45</v>
      </c>
      <c r="O166" s="292" t="n">
        <f aca="false">'GAS DAILY VOL DOWNLOAD'!O166-'GAS DAILY VOL DOWNLOAD'!$B166+$B166</f>
        <v>0.15</v>
      </c>
      <c r="P166" s="292" t="n">
        <f aca="false">'GAS DAILY VOL DOWNLOAD'!P166-'GAS DAILY VOL DOWNLOAD'!$B166+$B166</f>
        <v>0.1</v>
      </c>
      <c r="Q166" s="292" t="n">
        <f aca="false">'GAS DAILY VOL DOWNLOAD'!Q166-'GAS DAILY VOL DOWNLOAD'!$B166+$B166</f>
        <v>0</v>
      </c>
    </row>
    <row r="167" customFormat="false" ht="12.75" hidden="false" customHeight="false" outlineLevel="0" collapsed="false">
      <c r="A167" s="317" t="n">
        <v>42036</v>
      </c>
      <c r="B167" s="292" t="n">
        <f aca="false">STRADDLES!L189</f>
        <v>0</v>
      </c>
      <c r="C167" s="292" t="n">
        <f aca="false">'GAS DAILY VOL DOWNLOAD'!C167-'GAS DAILY VOL DOWNLOAD'!$B167+$B167</f>
        <v>0.05</v>
      </c>
      <c r="D167" s="292" t="n">
        <f aca="false">'GAS DAILY VOL DOWNLOAD'!D167-'GAS DAILY VOL DOWNLOAD'!$B167+$B167</f>
        <v>0</v>
      </c>
      <c r="E167" s="292" t="n">
        <f aca="false">'GAS DAILY VOL DOWNLOAD'!E167-'GAS DAILY VOL DOWNLOAD'!$B167+$B167</f>
        <v>0</v>
      </c>
      <c r="F167" s="292" t="n">
        <f aca="false">'GAS DAILY VOL DOWNLOAD'!F167-'GAS DAILY VOL DOWNLOAD'!$B167+$B167</f>
        <v>0.15</v>
      </c>
      <c r="G167" s="292" t="n">
        <f aca="false">'GAS DAILY VOL DOWNLOAD'!G167-'GAS DAILY VOL DOWNLOAD'!$B167+$B167</f>
        <v>0.45</v>
      </c>
      <c r="H167" s="292" t="n">
        <f aca="false">'GAS DAILY VOL DOWNLOAD'!H167-'GAS DAILY VOL DOWNLOAD'!$B167+$B167</f>
        <v>0.05</v>
      </c>
      <c r="I167" s="292" t="n">
        <f aca="false">'GAS DAILY VOL DOWNLOAD'!I167-'GAS DAILY VOL DOWNLOAD'!$B167+$B167</f>
        <v>0</v>
      </c>
      <c r="J167" s="292" t="n">
        <f aca="false">'GAS DAILY VOL DOWNLOAD'!J167-'GAS DAILY VOL DOWNLOAD'!$B167+$B167</f>
        <v>0.35</v>
      </c>
      <c r="K167" s="292" t="n">
        <f aca="false">'GAS DAILY VOL DOWNLOAD'!K167-'GAS DAILY VOL DOWNLOAD'!$B167+$B167</f>
        <v>0</v>
      </c>
      <c r="L167" s="292" t="n">
        <f aca="false">'GAS DAILY VOL DOWNLOAD'!L167-'GAS DAILY VOL DOWNLOAD'!$B167+$B167</f>
        <v>0.1</v>
      </c>
      <c r="M167" s="292" t="n">
        <f aca="false">'GAS DAILY VOL DOWNLOAD'!M167-'GAS DAILY VOL DOWNLOAD'!$B167+$B167</f>
        <v>0</v>
      </c>
      <c r="N167" s="292" t="n">
        <f aca="false">'GAS DAILY VOL DOWNLOAD'!N167-'GAS DAILY VOL DOWNLOAD'!$B167+$B167</f>
        <v>0.45</v>
      </c>
      <c r="O167" s="292" t="n">
        <f aca="false">'GAS DAILY VOL DOWNLOAD'!O167-'GAS DAILY VOL DOWNLOAD'!$B167+$B167</f>
        <v>0.15</v>
      </c>
      <c r="P167" s="292" t="n">
        <f aca="false">'GAS DAILY VOL DOWNLOAD'!P167-'GAS DAILY VOL DOWNLOAD'!$B167+$B167</f>
        <v>0.1</v>
      </c>
      <c r="Q167" s="292" t="n">
        <f aca="false">'GAS DAILY VOL DOWNLOAD'!Q167-'GAS DAILY VOL DOWNLOAD'!$B167+$B167</f>
        <v>0</v>
      </c>
    </row>
    <row r="168" customFormat="false" ht="12.75" hidden="false" customHeight="false" outlineLevel="0" collapsed="false">
      <c r="A168" s="317" t="n">
        <v>42064</v>
      </c>
      <c r="B168" s="292" t="n">
        <f aca="false">STRADDLES!L190</f>
        <v>0</v>
      </c>
      <c r="C168" s="292" t="n">
        <f aca="false">'GAS DAILY VOL DOWNLOAD'!C168-'GAS DAILY VOL DOWNLOAD'!$B168+$B168</f>
        <v>0.05</v>
      </c>
      <c r="D168" s="292" t="n">
        <f aca="false">'GAS DAILY VOL DOWNLOAD'!D168-'GAS DAILY VOL DOWNLOAD'!$B168+$B168</f>
        <v>0</v>
      </c>
      <c r="E168" s="292" t="n">
        <f aca="false">'GAS DAILY VOL DOWNLOAD'!E168-'GAS DAILY VOL DOWNLOAD'!$B168+$B168</f>
        <v>0</v>
      </c>
      <c r="F168" s="292" t="n">
        <f aca="false">'GAS DAILY VOL DOWNLOAD'!F168-'GAS DAILY VOL DOWNLOAD'!$B168+$B168</f>
        <v>0.1</v>
      </c>
      <c r="G168" s="292" t="n">
        <f aca="false">'GAS DAILY VOL DOWNLOAD'!G168-'GAS DAILY VOL DOWNLOAD'!$B168+$B168</f>
        <v>0.25</v>
      </c>
      <c r="H168" s="292" t="n">
        <f aca="false">'GAS DAILY VOL DOWNLOAD'!H168-'GAS DAILY VOL DOWNLOAD'!$B168+$B168</f>
        <v>0</v>
      </c>
      <c r="I168" s="292" t="n">
        <f aca="false">'GAS DAILY VOL DOWNLOAD'!I168-'GAS DAILY VOL DOWNLOAD'!$B168+$B168</f>
        <v>0</v>
      </c>
      <c r="J168" s="292" t="n">
        <f aca="false">'GAS DAILY VOL DOWNLOAD'!J168-'GAS DAILY VOL DOWNLOAD'!$B168+$B168</f>
        <v>0.2</v>
      </c>
      <c r="K168" s="292" t="n">
        <f aca="false">'GAS DAILY VOL DOWNLOAD'!K168-'GAS DAILY VOL DOWNLOAD'!$B168+$B168</f>
        <v>0</v>
      </c>
      <c r="L168" s="292" t="n">
        <f aca="false">'GAS DAILY VOL DOWNLOAD'!L168-'GAS DAILY VOL DOWNLOAD'!$B168+$B168</f>
        <v>0</v>
      </c>
      <c r="M168" s="292" t="n">
        <f aca="false">'GAS DAILY VOL DOWNLOAD'!M168-'GAS DAILY VOL DOWNLOAD'!$B168+$B168</f>
        <v>0</v>
      </c>
      <c r="N168" s="292" t="n">
        <f aca="false">'GAS DAILY VOL DOWNLOAD'!N168-'GAS DAILY VOL DOWNLOAD'!$B168+$B168</f>
        <v>0.25</v>
      </c>
      <c r="O168" s="292" t="n">
        <f aca="false">'GAS DAILY VOL DOWNLOAD'!O168-'GAS DAILY VOL DOWNLOAD'!$B168+$B168</f>
        <v>0.15</v>
      </c>
      <c r="P168" s="292" t="n">
        <f aca="false">'GAS DAILY VOL DOWNLOAD'!P168-'GAS DAILY VOL DOWNLOAD'!$B168+$B168</f>
        <v>0.1</v>
      </c>
      <c r="Q168" s="292" t="n">
        <f aca="false">'GAS DAILY VOL DOWNLOAD'!Q168-'GAS DAILY VOL DOWNLOAD'!$B168+$B168</f>
        <v>0</v>
      </c>
    </row>
    <row r="169" customFormat="false" ht="12.75" hidden="false" customHeight="false" outlineLevel="0" collapsed="false">
      <c r="A169" s="317" t="n">
        <v>42095</v>
      </c>
      <c r="B169" s="292" t="n">
        <f aca="false">STRADDLES!L191</f>
        <v>0</v>
      </c>
      <c r="C169" s="292" t="n">
        <f aca="false">'GAS DAILY VOL DOWNLOAD'!C169-'GAS DAILY VOL DOWNLOAD'!$B169+$B169</f>
        <v>0.05</v>
      </c>
      <c r="D169" s="292" t="n">
        <f aca="false">'GAS DAILY VOL DOWNLOAD'!D169-'GAS DAILY VOL DOWNLOAD'!$B169+$B169</f>
        <v>0</v>
      </c>
      <c r="E169" s="292" t="n">
        <f aca="false">'GAS DAILY VOL DOWNLOAD'!E169-'GAS DAILY VOL DOWNLOAD'!$B169+$B169</f>
        <v>0.05</v>
      </c>
      <c r="F169" s="292" t="n">
        <f aca="false">'GAS DAILY VOL DOWNLOAD'!F169-'GAS DAILY VOL DOWNLOAD'!$B169+$B169</f>
        <v>0.05</v>
      </c>
      <c r="G169" s="292" t="n">
        <f aca="false">'GAS DAILY VOL DOWNLOAD'!G169-'GAS DAILY VOL DOWNLOAD'!$B169+$B169</f>
        <v>0.05</v>
      </c>
      <c r="H169" s="292" t="n">
        <f aca="false">'GAS DAILY VOL DOWNLOAD'!H169-'GAS DAILY VOL DOWNLOAD'!$B169+$B169</f>
        <v>0.05</v>
      </c>
      <c r="I169" s="292" t="n">
        <f aca="false">'GAS DAILY VOL DOWNLOAD'!I169-'GAS DAILY VOL DOWNLOAD'!$B169+$B169</f>
        <v>0.05</v>
      </c>
      <c r="J169" s="292" t="n">
        <f aca="false">'GAS DAILY VOL DOWNLOAD'!J169-'GAS DAILY VOL DOWNLOAD'!$B169+$B169</f>
        <v>0.1</v>
      </c>
      <c r="K169" s="292" t="n">
        <f aca="false">'GAS DAILY VOL DOWNLOAD'!K169-'GAS DAILY VOL DOWNLOAD'!$B169+$B169</f>
        <v>0</v>
      </c>
      <c r="L169" s="292" t="n">
        <f aca="false">'GAS DAILY VOL DOWNLOAD'!L169-'GAS DAILY VOL DOWNLOAD'!$B169+$B169</f>
        <v>0.05</v>
      </c>
      <c r="M169" s="292" t="n">
        <f aca="false">'GAS DAILY VOL DOWNLOAD'!M169-'GAS DAILY VOL DOWNLOAD'!$B169+$B169</f>
        <v>0</v>
      </c>
      <c r="N169" s="292" t="n">
        <f aca="false">'GAS DAILY VOL DOWNLOAD'!N169-'GAS DAILY VOL DOWNLOAD'!$B169+$B169</f>
        <v>0.05</v>
      </c>
      <c r="O169" s="292" t="n">
        <f aca="false">'GAS DAILY VOL DOWNLOAD'!O169-'GAS DAILY VOL DOWNLOAD'!$B169+$B169</f>
        <v>0.15</v>
      </c>
      <c r="P169" s="292" t="n">
        <f aca="false">'GAS DAILY VOL DOWNLOAD'!P169-'GAS DAILY VOL DOWNLOAD'!$B169+$B169</f>
        <v>0.15</v>
      </c>
      <c r="Q169" s="292" t="n">
        <f aca="false">'GAS DAILY VOL DOWNLOAD'!Q169-'GAS DAILY VOL DOWNLOAD'!$B169+$B169</f>
        <v>0</v>
      </c>
    </row>
    <row r="170" customFormat="false" ht="12.75" hidden="false" customHeight="false" outlineLevel="0" collapsed="false">
      <c r="A170" s="317" t="n">
        <v>42125</v>
      </c>
      <c r="B170" s="292" t="n">
        <f aca="false">STRADDLES!L192</f>
        <v>0</v>
      </c>
      <c r="C170" s="292" t="n">
        <f aca="false">'GAS DAILY VOL DOWNLOAD'!C170-'GAS DAILY VOL DOWNLOAD'!$B170+$B170</f>
        <v>0.05</v>
      </c>
      <c r="D170" s="292" t="n">
        <f aca="false">'GAS DAILY VOL DOWNLOAD'!D170-'GAS DAILY VOL DOWNLOAD'!$B170+$B170</f>
        <v>-0.05</v>
      </c>
      <c r="E170" s="292" t="n">
        <f aca="false">'GAS DAILY VOL DOWNLOAD'!E170-'GAS DAILY VOL DOWNLOAD'!$B170+$B170</f>
        <v>-0.05</v>
      </c>
      <c r="F170" s="292" t="n">
        <f aca="false">'GAS DAILY VOL DOWNLOAD'!F170-'GAS DAILY VOL DOWNLOAD'!$B170+$B170</f>
        <v>0</v>
      </c>
      <c r="G170" s="292" t="n">
        <f aca="false">'GAS DAILY VOL DOWNLOAD'!G170-'GAS DAILY VOL DOWNLOAD'!$B170+$B170</f>
        <v>0.05</v>
      </c>
      <c r="H170" s="292" t="n">
        <f aca="false">'GAS DAILY VOL DOWNLOAD'!H170-'GAS DAILY VOL DOWNLOAD'!$B170+$B170</f>
        <v>0</v>
      </c>
      <c r="I170" s="292" t="n">
        <f aca="false">'GAS DAILY VOL DOWNLOAD'!I170-'GAS DAILY VOL DOWNLOAD'!$B170+$B170</f>
        <v>-0.05</v>
      </c>
      <c r="J170" s="292" t="n">
        <f aca="false">'GAS DAILY VOL DOWNLOAD'!J170-'GAS DAILY VOL DOWNLOAD'!$B170+$B170</f>
        <v>0</v>
      </c>
      <c r="K170" s="292" t="n">
        <f aca="false">'GAS DAILY VOL DOWNLOAD'!K170-'GAS DAILY VOL DOWNLOAD'!$B170+$B170</f>
        <v>0</v>
      </c>
      <c r="L170" s="292" t="n">
        <f aca="false">'GAS DAILY VOL DOWNLOAD'!L170-'GAS DAILY VOL DOWNLOAD'!$B170+$B170</f>
        <v>0.05</v>
      </c>
      <c r="M170" s="292" t="n">
        <f aca="false">'GAS DAILY VOL DOWNLOAD'!M170-'GAS DAILY VOL DOWNLOAD'!$B170+$B170</f>
        <v>0</v>
      </c>
      <c r="N170" s="292" t="n">
        <f aca="false">'GAS DAILY VOL DOWNLOAD'!N170-'GAS DAILY VOL DOWNLOAD'!$B170+$B170</f>
        <v>0.05</v>
      </c>
      <c r="O170" s="292" t="n">
        <f aca="false">'GAS DAILY VOL DOWNLOAD'!O170-'GAS DAILY VOL DOWNLOAD'!$B170+$B170</f>
        <v>0.15</v>
      </c>
      <c r="P170" s="292" t="n">
        <f aca="false">'GAS DAILY VOL DOWNLOAD'!P170-'GAS DAILY VOL DOWNLOAD'!$B170+$B170</f>
        <v>0.05</v>
      </c>
      <c r="Q170" s="292" t="n">
        <f aca="false">'GAS DAILY VOL DOWNLOAD'!Q170-'GAS DAILY VOL DOWNLOAD'!$B170+$B170</f>
        <v>0</v>
      </c>
    </row>
    <row r="171" customFormat="false" ht="12.75" hidden="false" customHeight="false" outlineLevel="0" collapsed="false">
      <c r="A171" s="317" t="n">
        <v>42156</v>
      </c>
      <c r="B171" s="292" t="n">
        <f aca="false">STRADDLES!L193</f>
        <v>0</v>
      </c>
      <c r="C171" s="292" t="n">
        <f aca="false">'GAS DAILY VOL DOWNLOAD'!C171-'GAS DAILY VOL DOWNLOAD'!$B171+$B171</f>
        <v>0.05</v>
      </c>
      <c r="D171" s="292" t="n">
        <f aca="false">'GAS DAILY VOL DOWNLOAD'!D171-'GAS DAILY VOL DOWNLOAD'!$B171+$B171</f>
        <v>-0.05</v>
      </c>
      <c r="E171" s="292" t="n">
        <f aca="false">'GAS DAILY VOL DOWNLOAD'!E171-'GAS DAILY VOL DOWNLOAD'!$B171+$B171</f>
        <v>0.05</v>
      </c>
      <c r="F171" s="292" t="n">
        <f aca="false">'GAS DAILY VOL DOWNLOAD'!F171-'GAS DAILY VOL DOWNLOAD'!$B171+$B171</f>
        <v>0</v>
      </c>
      <c r="G171" s="292" t="n">
        <f aca="false">'GAS DAILY VOL DOWNLOAD'!G171-'GAS DAILY VOL DOWNLOAD'!$B171+$B171</f>
        <v>0.05</v>
      </c>
      <c r="H171" s="292" t="n">
        <f aca="false">'GAS DAILY VOL DOWNLOAD'!H171-'GAS DAILY VOL DOWNLOAD'!$B171+$B171</f>
        <v>0.05</v>
      </c>
      <c r="I171" s="292" t="n">
        <f aca="false">'GAS DAILY VOL DOWNLOAD'!I171-'GAS DAILY VOL DOWNLOAD'!$B171+$B171</f>
        <v>0.05</v>
      </c>
      <c r="J171" s="292" t="n">
        <f aca="false">'GAS DAILY VOL DOWNLOAD'!J171-'GAS DAILY VOL DOWNLOAD'!$B171+$B171</f>
        <v>0.05</v>
      </c>
      <c r="K171" s="292" t="n">
        <f aca="false">'GAS DAILY VOL DOWNLOAD'!K171-'GAS DAILY VOL DOWNLOAD'!$B171+$B171</f>
        <v>0</v>
      </c>
      <c r="L171" s="292" t="n">
        <f aca="false">'GAS DAILY VOL DOWNLOAD'!L171-'GAS DAILY VOL DOWNLOAD'!$B171+$B171</f>
        <v>0.05</v>
      </c>
      <c r="M171" s="292" t="n">
        <f aca="false">'GAS DAILY VOL DOWNLOAD'!M171-'GAS DAILY VOL DOWNLOAD'!$B171+$B171</f>
        <v>0</v>
      </c>
      <c r="N171" s="292" t="n">
        <f aca="false">'GAS DAILY VOL DOWNLOAD'!N171-'GAS DAILY VOL DOWNLOAD'!$B171+$B171</f>
        <v>0.05</v>
      </c>
      <c r="O171" s="292" t="n">
        <f aca="false">'GAS DAILY VOL DOWNLOAD'!O171-'GAS DAILY VOL DOWNLOAD'!$B171+$B171</f>
        <v>0.15</v>
      </c>
      <c r="P171" s="292" t="n">
        <f aca="false">'GAS DAILY VOL DOWNLOAD'!P171-'GAS DAILY VOL DOWNLOAD'!$B171+$B171</f>
        <v>0.15</v>
      </c>
      <c r="Q171" s="292" t="n">
        <f aca="false">'GAS DAILY VOL DOWNLOAD'!Q171-'GAS DAILY VOL DOWNLOAD'!$B171+$B171</f>
        <v>0</v>
      </c>
    </row>
    <row r="172" customFormat="false" ht="12.75" hidden="false" customHeight="false" outlineLevel="0" collapsed="false">
      <c r="A172" s="317" t="n">
        <v>42186</v>
      </c>
      <c r="B172" s="292" t="n">
        <f aca="false">STRADDLES!L194</f>
        <v>0</v>
      </c>
      <c r="C172" s="292" t="n">
        <f aca="false">'GAS DAILY VOL DOWNLOAD'!C172-'GAS DAILY VOL DOWNLOAD'!$B172+$B172</f>
        <v>0</v>
      </c>
      <c r="D172" s="292" t="n">
        <f aca="false">'GAS DAILY VOL DOWNLOAD'!D172-'GAS DAILY VOL DOWNLOAD'!$B172+$B172</f>
        <v>-0.1</v>
      </c>
      <c r="E172" s="292" t="n">
        <f aca="false">'GAS DAILY VOL DOWNLOAD'!E172-'GAS DAILY VOL DOWNLOAD'!$B172+$B172</f>
        <v>0</v>
      </c>
      <c r="F172" s="292" t="n">
        <f aca="false">'GAS DAILY VOL DOWNLOAD'!F172-'GAS DAILY VOL DOWNLOAD'!$B172+$B172</f>
        <v>0</v>
      </c>
      <c r="G172" s="292" t="n">
        <f aca="false">'GAS DAILY VOL DOWNLOAD'!G172-'GAS DAILY VOL DOWNLOAD'!$B172+$B172</f>
        <v>0</v>
      </c>
      <c r="H172" s="292" t="n">
        <f aca="false">'GAS DAILY VOL DOWNLOAD'!H172-'GAS DAILY VOL DOWNLOAD'!$B172+$B172</f>
        <v>0</v>
      </c>
      <c r="I172" s="292" t="n">
        <f aca="false">'GAS DAILY VOL DOWNLOAD'!I172-'GAS DAILY VOL DOWNLOAD'!$B172+$B172</f>
        <v>0</v>
      </c>
      <c r="J172" s="292" t="n">
        <f aca="false">'GAS DAILY VOL DOWNLOAD'!J172-'GAS DAILY VOL DOWNLOAD'!$B172+$B172</f>
        <v>0</v>
      </c>
      <c r="K172" s="292" t="n">
        <f aca="false">'GAS DAILY VOL DOWNLOAD'!K172-'GAS DAILY VOL DOWNLOAD'!$B172+$B172</f>
        <v>0</v>
      </c>
      <c r="L172" s="292" t="n">
        <f aca="false">'GAS DAILY VOL DOWNLOAD'!L172-'GAS DAILY VOL DOWNLOAD'!$B172+$B172</f>
        <v>0.05</v>
      </c>
      <c r="M172" s="292" t="n">
        <f aca="false">'GAS DAILY VOL DOWNLOAD'!M172-'GAS DAILY VOL DOWNLOAD'!$B172+$B172</f>
        <v>0</v>
      </c>
      <c r="N172" s="292" t="n">
        <f aca="false">'GAS DAILY VOL DOWNLOAD'!N172-'GAS DAILY VOL DOWNLOAD'!$B172+$B172</f>
        <v>0</v>
      </c>
      <c r="O172" s="292" t="n">
        <f aca="false">'GAS DAILY VOL DOWNLOAD'!O172-'GAS DAILY VOL DOWNLOAD'!$B172+$B172</f>
        <v>0.15</v>
      </c>
      <c r="P172" s="292" t="n">
        <f aca="false">'GAS DAILY VOL DOWNLOAD'!P172-'GAS DAILY VOL DOWNLOAD'!$B172+$B172</f>
        <v>0.1</v>
      </c>
      <c r="Q172" s="292" t="n">
        <f aca="false">'GAS DAILY VOL DOWNLOAD'!Q172-'GAS DAILY VOL DOWNLOAD'!$B172+$B172</f>
        <v>0</v>
      </c>
    </row>
    <row r="173" customFormat="false" ht="12.75" hidden="false" customHeight="false" outlineLevel="0" collapsed="false">
      <c r="A173" s="317" t="n">
        <v>42217</v>
      </c>
      <c r="B173" s="292" t="n">
        <f aca="false">STRADDLES!L195</f>
        <v>0</v>
      </c>
      <c r="C173" s="292" t="n">
        <f aca="false">'GAS DAILY VOL DOWNLOAD'!C173-'GAS DAILY VOL DOWNLOAD'!$B173+$B173</f>
        <v>0</v>
      </c>
      <c r="D173" s="292" t="n">
        <f aca="false">'GAS DAILY VOL DOWNLOAD'!D173-'GAS DAILY VOL DOWNLOAD'!$B173+$B173</f>
        <v>-0.05</v>
      </c>
      <c r="E173" s="292" t="n">
        <f aca="false">'GAS DAILY VOL DOWNLOAD'!E173-'GAS DAILY VOL DOWNLOAD'!$B173+$B173</f>
        <v>0.0499999999999999</v>
      </c>
      <c r="F173" s="292" t="n">
        <f aca="false">'GAS DAILY VOL DOWNLOAD'!F173-'GAS DAILY VOL DOWNLOAD'!$B173+$B173</f>
        <v>0</v>
      </c>
      <c r="G173" s="292" t="n">
        <f aca="false">'GAS DAILY VOL DOWNLOAD'!G173-'GAS DAILY VOL DOWNLOAD'!$B173+$B173</f>
        <v>0.0499999999999999</v>
      </c>
      <c r="H173" s="292" t="n">
        <f aca="false">'GAS DAILY VOL DOWNLOAD'!H173-'GAS DAILY VOL DOWNLOAD'!$B173+$B173</f>
        <v>0</v>
      </c>
      <c r="I173" s="292" t="n">
        <f aca="false">'GAS DAILY VOL DOWNLOAD'!I173-'GAS DAILY VOL DOWNLOAD'!$B173+$B173</f>
        <v>0.0499999999999999</v>
      </c>
      <c r="J173" s="292" t="n">
        <f aca="false">'GAS DAILY VOL DOWNLOAD'!J173-'GAS DAILY VOL DOWNLOAD'!$B173+$B173</f>
        <v>-0.1</v>
      </c>
      <c r="K173" s="292" t="n">
        <f aca="false">'GAS DAILY VOL DOWNLOAD'!K173-'GAS DAILY VOL DOWNLOAD'!$B173+$B173</f>
        <v>0</v>
      </c>
      <c r="L173" s="292" t="n">
        <f aca="false">'GAS DAILY VOL DOWNLOAD'!L173-'GAS DAILY VOL DOWNLOAD'!$B173+$B173</f>
        <v>0.0499999999999999</v>
      </c>
      <c r="M173" s="292" t="n">
        <f aca="false">'GAS DAILY VOL DOWNLOAD'!M173-'GAS DAILY VOL DOWNLOAD'!$B173+$B173</f>
        <v>0</v>
      </c>
      <c r="N173" s="292" t="n">
        <f aca="false">'GAS DAILY VOL DOWNLOAD'!N173-'GAS DAILY VOL DOWNLOAD'!$B173+$B173</f>
        <v>0.0499999999999999</v>
      </c>
      <c r="O173" s="292" t="n">
        <f aca="false">'GAS DAILY VOL DOWNLOAD'!O173-'GAS DAILY VOL DOWNLOAD'!$B173+$B173</f>
        <v>0.15</v>
      </c>
      <c r="P173" s="292" t="n">
        <f aca="false">'GAS DAILY VOL DOWNLOAD'!P173-'GAS DAILY VOL DOWNLOAD'!$B173+$B173</f>
        <v>0.15</v>
      </c>
      <c r="Q173" s="292" t="n">
        <f aca="false">'GAS DAILY VOL DOWNLOAD'!Q173-'GAS DAILY VOL DOWNLOAD'!$B173+$B173</f>
        <v>0</v>
      </c>
    </row>
    <row r="174" customFormat="false" ht="12.75" hidden="false" customHeight="false" outlineLevel="0" collapsed="false">
      <c r="A174" s="317" t="n">
        <v>42248</v>
      </c>
      <c r="B174" s="292" t="n">
        <f aca="false">STRADDLES!L196</f>
        <v>0</v>
      </c>
      <c r="C174" s="292" t="n">
        <f aca="false">'GAS DAILY VOL DOWNLOAD'!C174-'GAS DAILY VOL DOWNLOAD'!$B174+$B174</f>
        <v>0</v>
      </c>
      <c r="D174" s="292" t="n">
        <f aca="false">'GAS DAILY VOL DOWNLOAD'!D174-'GAS DAILY VOL DOWNLOAD'!$B174+$B174</f>
        <v>0</v>
      </c>
      <c r="E174" s="292" t="n">
        <f aca="false">'GAS DAILY VOL DOWNLOAD'!E174-'GAS DAILY VOL DOWNLOAD'!$B174+$B174</f>
        <v>0</v>
      </c>
      <c r="F174" s="292" t="n">
        <f aca="false">'GAS DAILY VOL DOWNLOAD'!F174-'GAS DAILY VOL DOWNLOAD'!$B174+$B174</f>
        <v>0</v>
      </c>
      <c r="G174" s="292" t="n">
        <f aca="false">'GAS DAILY VOL DOWNLOAD'!G174-'GAS DAILY VOL DOWNLOAD'!$B174+$B174</f>
        <v>0.0499999999999999</v>
      </c>
      <c r="H174" s="292" t="n">
        <f aca="false">'GAS DAILY VOL DOWNLOAD'!H174-'GAS DAILY VOL DOWNLOAD'!$B174+$B174</f>
        <v>0.0499999999999999</v>
      </c>
      <c r="I174" s="292" t="n">
        <f aca="false">'GAS DAILY VOL DOWNLOAD'!I174-'GAS DAILY VOL DOWNLOAD'!$B174+$B174</f>
        <v>0</v>
      </c>
      <c r="J174" s="292" t="n">
        <f aca="false">'GAS DAILY VOL DOWNLOAD'!J174-'GAS DAILY VOL DOWNLOAD'!$B174+$B174</f>
        <v>-0.05</v>
      </c>
      <c r="K174" s="292" t="n">
        <f aca="false">'GAS DAILY VOL DOWNLOAD'!K174-'GAS DAILY VOL DOWNLOAD'!$B174+$B174</f>
        <v>0</v>
      </c>
      <c r="L174" s="292" t="n">
        <f aca="false">'GAS DAILY VOL DOWNLOAD'!L174-'GAS DAILY VOL DOWNLOAD'!$B174+$B174</f>
        <v>0.0499999999999999</v>
      </c>
      <c r="M174" s="292" t="n">
        <f aca="false">'GAS DAILY VOL DOWNLOAD'!M174-'GAS DAILY VOL DOWNLOAD'!$B174+$B174</f>
        <v>0</v>
      </c>
      <c r="N174" s="292" t="n">
        <f aca="false">'GAS DAILY VOL DOWNLOAD'!N174-'GAS DAILY VOL DOWNLOAD'!$B174+$B174</f>
        <v>0.0499999999999999</v>
      </c>
      <c r="O174" s="292" t="n">
        <f aca="false">'GAS DAILY VOL DOWNLOAD'!O174-'GAS DAILY VOL DOWNLOAD'!$B174+$B174</f>
        <v>0.15</v>
      </c>
      <c r="P174" s="292" t="n">
        <f aca="false">'GAS DAILY VOL DOWNLOAD'!P174-'GAS DAILY VOL DOWNLOAD'!$B174+$B174</f>
        <v>0.1</v>
      </c>
      <c r="Q174" s="292" t="n">
        <f aca="false">'GAS DAILY VOL DOWNLOAD'!Q174-'GAS DAILY VOL DOWNLOAD'!$B174+$B174</f>
        <v>0</v>
      </c>
    </row>
    <row r="175" customFormat="false" ht="12.75" hidden="false" customHeight="false" outlineLevel="0" collapsed="false">
      <c r="A175" s="317" t="n">
        <v>42278</v>
      </c>
      <c r="B175" s="292" t="n">
        <f aca="false">STRADDLES!L197</f>
        <v>0</v>
      </c>
      <c r="C175" s="292" t="n">
        <f aca="false">'GAS DAILY VOL DOWNLOAD'!C175-'GAS DAILY VOL DOWNLOAD'!$B175+$B175</f>
        <v>0</v>
      </c>
      <c r="D175" s="292" t="n">
        <f aca="false">'GAS DAILY VOL DOWNLOAD'!D175-'GAS DAILY VOL DOWNLOAD'!$B175+$B175</f>
        <v>-0.0499999999999999</v>
      </c>
      <c r="E175" s="292" t="n">
        <f aca="false">'GAS DAILY VOL DOWNLOAD'!E175-'GAS DAILY VOL DOWNLOAD'!$B175+$B175</f>
        <v>0</v>
      </c>
      <c r="F175" s="292" t="n">
        <f aca="false">'GAS DAILY VOL DOWNLOAD'!F175-'GAS DAILY VOL DOWNLOAD'!$B175+$B175</f>
        <v>0</v>
      </c>
      <c r="G175" s="292" t="n">
        <f aca="false">'GAS DAILY VOL DOWNLOAD'!G175-'GAS DAILY VOL DOWNLOAD'!$B175+$B175</f>
        <v>0.05</v>
      </c>
      <c r="H175" s="292" t="n">
        <f aca="false">'GAS DAILY VOL DOWNLOAD'!H175-'GAS DAILY VOL DOWNLOAD'!$B175+$B175</f>
        <v>0.05</v>
      </c>
      <c r="I175" s="292" t="n">
        <f aca="false">'GAS DAILY VOL DOWNLOAD'!I175-'GAS DAILY VOL DOWNLOAD'!$B175+$B175</f>
        <v>0</v>
      </c>
      <c r="J175" s="292" t="n">
        <f aca="false">'GAS DAILY VOL DOWNLOAD'!J175-'GAS DAILY VOL DOWNLOAD'!$B175+$B175</f>
        <v>-0.1</v>
      </c>
      <c r="K175" s="292" t="n">
        <f aca="false">'GAS DAILY VOL DOWNLOAD'!K175-'GAS DAILY VOL DOWNLOAD'!$B175+$B175</f>
        <v>0</v>
      </c>
      <c r="L175" s="292" t="n">
        <f aca="false">'GAS DAILY VOL DOWNLOAD'!L175-'GAS DAILY VOL DOWNLOAD'!$B175+$B175</f>
        <v>0.05</v>
      </c>
      <c r="M175" s="292" t="n">
        <f aca="false">'GAS DAILY VOL DOWNLOAD'!M175-'GAS DAILY VOL DOWNLOAD'!$B175+$B175</f>
        <v>0</v>
      </c>
      <c r="N175" s="292" t="n">
        <f aca="false">'GAS DAILY VOL DOWNLOAD'!N175-'GAS DAILY VOL DOWNLOAD'!$B175+$B175</f>
        <v>0.05</v>
      </c>
      <c r="O175" s="292" t="n">
        <f aca="false">'GAS DAILY VOL DOWNLOAD'!O175-'GAS DAILY VOL DOWNLOAD'!$B175+$B175</f>
        <v>0.15</v>
      </c>
      <c r="P175" s="292" t="n">
        <f aca="false">'GAS DAILY VOL DOWNLOAD'!P175-'GAS DAILY VOL DOWNLOAD'!$B175+$B175</f>
        <v>0.1</v>
      </c>
      <c r="Q175" s="292" t="n">
        <f aca="false">'GAS DAILY VOL DOWNLOAD'!Q175-'GAS DAILY VOL DOWNLOAD'!$B175+$B175</f>
        <v>0</v>
      </c>
    </row>
    <row r="176" customFormat="false" ht="12.75" hidden="false" customHeight="false" outlineLevel="0" collapsed="false">
      <c r="A176" s="317" t="n">
        <v>42309</v>
      </c>
      <c r="B176" s="292" t="n">
        <f aca="false">STRADDLES!L198</f>
        <v>0</v>
      </c>
      <c r="C176" s="292" t="n">
        <f aca="false">'GAS DAILY VOL DOWNLOAD'!C176-'GAS DAILY VOL DOWNLOAD'!$B176+$B176</f>
        <v>0.0499999999999999</v>
      </c>
      <c r="D176" s="292" t="n">
        <f aca="false">'GAS DAILY VOL DOWNLOAD'!D176-'GAS DAILY VOL DOWNLOAD'!$B176+$B176</f>
        <v>0</v>
      </c>
      <c r="E176" s="292" t="n">
        <f aca="false">'GAS DAILY VOL DOWNLOAD'!E176-'GAS DAILY VOL DOWNLOAD'!$B176+$B176</f>
        <v>0</v>
      </c>
      <c r="F176" s="292" t="n">
        <f aca="false">'GAS DAILY VOL DOWNLOAD'!F176-'GAS DAILY VOL DOWNLOAD'!$B176+$B176</f>
        <v>0.1</v>
      </c>
      <c r="G176" s="292" t="n">
        <f aca="false">'GAS DAILY VOL DOWNLOAD'!G176-'GAS DAILY VOL DOWNLOAD'!$B176+$B176</f>
        <v>0.15</v>
      </c>
      <c r="H176" s="292" t="n">
        <f aca="false">'GAS DAILY VOL DOWNLOAD'!H176-'GAS DAILY VOL DOWNLOAD'!$B176+$B176</f>
        <v>0.0499999999999999</v>
      </c>
      <c r="I176" s="292" t="n">
        <f aca="false">'GAS DAILY VOL DOWNLOAD'!I176-'GAS DAILY VOL DOWNLOAD'!$B176+$B176</f>
        <v>0</v>
      </c>
      <c r="J176" s="292" t="n">
        <f aca="false">'GAS DAILY VOL DOWNLOAD'!J176-'GAS DAILY VOL DOWNLOAD'!$B176+$B176</f>
        <v>0.15</v>
      </c>
      <c r="K176" s="292" t="n">
        <f aca="false">'GAS DAILY VOL DOWNLOAD'!K176-'GAS DAILY VOL DOWNLOAD'!$B176+$B176</f>
        <v>0</v>
      </c>
      <c r="L176" s="292" t="n">
        <f aca="false">'GAS DAILY VOL DOWNLOAD'!L176-'GAS DAILY VOL DOWNLOAD'!$B176+$B176</f>
        <v>0</v>
      </c>
      <c r="M176" s="292" t="n">
        <f aca="false">'GAS DAILY VOL DOWNLOAD'!M176-'GAS DAILY VOL DOWNLOAD'!$B176+$B176</f>
        <v>0</v>
      </c>
      <c r="N176" s="292" t="n">
        <f aca="false">'GAS DAILY VOL DOWNLOAD'!N176-'GAS DAILY VOL DOWNLOAD'!$B176+$B176</f>
        <v>0.15</v>
      </c>
      <c r="O176" s="292" t="n">
        <f aca="false">'GAS DAILY VOL DOWNLOAD'!O176-'GAS DAILY VOL DOWNLOAD'!$B176+$B176</f>
        <v>0.15</v>
      </c>
      <c r="P176" s="292" t="n">
        <f aca="false">'GAS DAILY VOL DOWNLOAD'!P176-'GAS DAILY VOL DOWNLOAD'!$B176+$B176</f>
        <v>0.1</v>
      </c>
      <c r="Q176" s="292" t="n">
        <f aca="false">'GAS DAILY VOL DOWNLOAD'!Q176-'GAS DAILY VOL DOWNLOAD'!$B176+$B176</f>
        <v>0</v>
      </c>
    </row>
    <row r="177" customFormat="false" ht="12.75" hidden="false" customHeight="false" outlineLevel="0" collapsed="false">
      <c r="A177" s="317" t="n">
        <v>42339</v>
      </c>
      <c r="B177" s="292" t="n">
        <f aca="false">STRADDLES!L199</f>
        <v>0</v>
      </c>
      <c r="C177" s="292" t="n">
        <f aca="false">'GAS DAILY VOL DOWNLOAD'!C177-'GAS DAILY VOL DOWNLOAD'!$B177+$B177</f>
        <v>0.05</v>
      </c>
      <c r="D177" s="292" t="n">
        <f aca="false">'GAS DAILY VOL DOWNLOAD'!D177-'GAS DAILY VOL DOWNLOAD'!$B177+$B177</f>
        <v>0</v>
      </c>
      <c r="E177" s="292" t="n">
        <f aca="false">'GAS DAILY VOL DOWNLOAD'!E177-'GAS DAILY VOL DOWNLOAD'!$B177+$B177</f>
        <v>0</v>
      </c>
      <c r="F177" s="292" t="n">
        <f aca="false">'GAS DAILY VOL DOWNLOAD'!F177-'GAS DAILY VOL DOWNLOAD'!$B177+$B177</f>
        <v>0.15</v>
      </c>
      <c r="G177" s="292" t="n">
        <f aca="false">'GAS DAILY VOL DOWNLOAD'!G177-'GAS DAILY VOL DOWNLOAD'!$B177+$B177</f>
        <v>0.25</v>
      </c>
      <c r="H177" s="292" t="n">
        <f aca="false">'GAS DAILY VOL DOWNLOAD'!H177-'GAS DAILY VOL DOWNLOAD'!$B177+$B177</f>
        <v>0.05</v>
      </c>
      <c r="I177" s="292" t="n">
        <f aca="false">'GAS DAILY VOL DOWNLOAD'!I177-'GAS DAILY VOL DOWNLOAD'!$B177+$B177</f>
        <v>0</v>
      </c>
      <c r="J177" s="292" t="n">
        <f aca="false">'GAS DAILY VOL DOWNLOAD'!J177-'GAS DAILY VOL DOWNLOAD'!$B177+$B177</f>
        <v>0.35</v>
      </c>
      <c r="K177" s="292" t="n">
        <f aca="false">'GAS DAILY VOL DOWNLOAD'!K177-'GAS DAILY VOL DOWNLOAD'!$B177+$B177</f>
        <v>0</v>
      </c>
      <c r="L177" s="292" t="n">
        <f aca="false">'GAS DAILY VOL DOWNLOAD'!L177-'GAS DAILY VOL DOWNLOAD'!$B177+$B177</f>
        <v>0.1</v>
      </c>
      <c r="M177" s="292" t="n">
        <f aca="false">'GAS DAILY VOL DOWNLOAD'!M177-'GAS DAILY VOL DOWNLOAD'!$B177+$B177</f>
        <v>0</v>
      </c>
      <c r="N177" s="292" t="n">
        <f aca="false">'GAS DAILY VOL DOWNLOAD'!N177-'GAS DAILY VOL DOWNLOAD'!$B177+$B177</f>
        <v>0.25</v>
      </c>
      <c r="O177" s="292" t="n">
        <f aca="false">'GAS DAILY VOL DOWNLOAD'!O177-'GAS DAILY VOL DOWNLOAD'!$B177+$B177</f>
        <v>0.15</v>
      </c>
      <c r="P177" s="292" t="n">
        <f aca="false">'GAS DAILY VOL DOWNLOAD'!P177-'GAS DAILY VOL DOWNLOAD'!$B177+$B177</f>
        <v>0.1</v>
      </c>
      <c r="Q177" s="292" t="n">
        <f aca="false">'GAS DAILY VOL DOWNLOAD'!Q177-'GAS DAILY VOL DOWNLOAD'!$B177+$B177</f>
        <v>0</v>
      </c>
    </row>
    <row r="178" customFormat="false" ht="12.75" hidden="false" customHeight="false" outlineLevel="0" collapsed="false">
      <c r="A178" s="317" t="n">
        <v>42370</v>
      </c>
      <c r="B178" s="292" t="n">
        <f aca="false">STRADDLES!L200</f>
        <v>0</v>
      </c>
      <c r="C178" s="292" t="n">
        <f aca="false">'GAS DAILY VOL DOWNLOAD'!C178-'GAS DAILY VOL DOWNLOAD'!$B178+$B178</f>
        <v>0.05</v>
      </c>
      <c r="D178" s="292" t="n">
        <f aca="false">'GAS DAILY VOL DOWNLOAD'!D178-'GAS DAILY VOL DOWNLOAD'!$B178+$B178</f>
        <v>0</v>
      </c>
      <c r="E178" s="292" t="n">
        <f aca="false">'GAS DAILY VOL DOWNLOAD'!E178-'GAS DAILY VOL DOWNLOAD'!$B178+$B178</f>
        <v>0</v>
      </c>
      <c r="F178" s="292" t="n">
        <f aca="false">'GAS DAILY VOL DOWNLOAD'!F178-'GAS DAILY VOL DOWNLOAD'!$B178+$B178</f>
        <v>0.15</v>
      </c>
      <c r="G178" s="292" t="n">
        <f aca="false">'GAS DAILY VOL DOWNLOAD'!G178-'GAS DAILY VOL DOWNLOAD'!$B178+$B178</f>
        <v>0.45</v>
      </c>
      <c r="H178" s="292" t="n">
        <f aca="false">'GAS DAILY VOL DOWNLOAD'!H178-'GAS DAILY VOL DOWNLOAD'!$B178+$B178</f>
        <v>0.05</v>
      </c>
      <c r="I178" s="292" t="n">
        <f aca="false">'GAS DAILY VOL DOWNLOAD'!I178-'GAS DAILY VOL DOWNLOAD'!$B178+$B178</f>
        <v>0</v>
      </c>
      <c r="J178" s="292" t="n">
        <f aca="false">'GAS DAILY VOL DOWNLOAD'!J178-'GAS DAILY VOL DOWNLOAD'!$B178+$B178</f>
        <v>0.35</v>
      </c>
      <c r="K178" s="292" t="n">
        <f aca="false">'GAS DAILY VOL DOWNLOAD'!K178-'GAS DAILY VOL DOWNLOAD'!$B178+$B178</f>
        <v>0</v>
      </c>
      <c r="L178" s="292" t="n">
        <f aca="false">'GAS DAILY VOL DOWNLOAD'!L178-'GAS DAILY VOL DOWNLOAD'!$B178+$B178</f>
        <v>0.1</v>
      </c>
      <c r="M178" s="292" t="n">
        <f aca="false">'GAS DAILY VOL DOWNLOAD'!M178-'GAS DAILY VOL DOWNLOAD'!$B178+$B178</f>
        <v>0</v>
      </c>
      <c r="N178" s="292" t="n">
        <f aca="false">'GAS DAILY VOL DOWNLOAD'!N178-'GAS DAILY VOL DOWNLOAD'!$B178+$B178</f>
        <v>0.45</v>
      </c>
      <c r="O178" s="292" t="n">
        <f aca="false">'GAS DAILY VOL DOWNLOAD'!O178-'GAS DAILY VOL DOWNLOAD'!$B178+$B178</f>
        <v>0.15</v>
      </c>
      <c r="P178" s="292" t="n">
        <f aca="false">'GAS DAILY VOL DOWNLOAD'!P178-'GAS DAILY VOL DOWNLOAD'!$B178+$B178</f>
        <v>0.1</v>
      </c>
      <c r="Q178" s="292" t="n">
        <f aca="false">'GAS DAILY VOL DOWNLOAD'!Q178-'GAS DAILY VOL DOWNLOAD'!$B178+$B178</f>
        <v>0</v>
      </c>
    </row>
    <row r="179" customFormat="false" ht="12.75" hidden="false" customHeight="false" outlineLevel="0" collapsed="false">
      <c r="A179" s="317" t="n">
        <v>42401</v>
      </c>
      <c r="B179" s="292" t="n">
        <f aca="false">STRADDLES!L201</f>
        <v>0</v>
      </c>
      <c r="C179" s="292" t="n">
        <f aca="false">'GAS DAILY VOL DOWNLOAD'!C179-'GAS DAILY VOL DOWNLOAD'!$B179+$B179</f>
        <v>0.05</v>
      </c>
      <c r="D179" s="292" t="n">
        <f aca="false">'GAS DAILY VOL DOWNLOAD'!D179-'GAS DAILY VOL DOWNLOAD'!$B179+$B179</f>
        <v>0</v>
      </c>
      <c r="E179" s="292" t="n">
        <f aca="false">'GAS DAILY VOL DOWNLOAD'!E179-'GAS DAILY VOL DOWNLOAD'!$B179+$B179</f>
        <v>0</v>
      </c>
      <c r="F179" s="292" t="n">
        <f aca="false">'GAS DAILY VOL DOWNLOAD'!F179-'GAS DAILY VOL DOWNLOAD'!$B179+$B179</f>
        <v>0.15</v>
      </c>
      <c r="G179" s="292" t="n">
        <f aca="false">'GAS DAILY VOL DOWNLOAD'!G179-'GAS DAILY VOL DOWNLOAD'!$B179+$B179</f>
        <v>0.45</v>
      </c>
      <c r="H179" s="292" t="n">
        <f aca="false">'GAS DAILY VOL DOWNLOAD'!H179-'GAS DAILY VOL DOWNLOAD'!$B179+$B179</f>
        <v>0.05</v>
      </c>
      <c r="I179" s="292" t="n">
        <f aca="false">'GAS DAILY VOL DOWNLOAD'!I179-'GAS DAILY VOL DOWNLOAD'!$B179+$B179</f>
        <v>0</v>
      </c>
      <c r="J179" s="292" t="n">
        <f aca="false">'GAS DAILY VOL DOWNLOAD'!J179-'GAS DAILY VOL DOWNLOAD'!$B179+$B179</f>
        <v>0.35</v>
      </c>
      <c r="K179" s="292" t="n">
        <f aca="false">'GAS DAILY VOL DOWNLOAD'!K179-'GAS DAILY VOL DOWNLOAD'!$B179+$B179</f>
        <v>0</v>
      </c>
      <c r="L179" s="292" t="n">
        <f aca="false">'GAS DAILY VOL DOWNLOAD'!L179-'GAS DAILY VOL DOWNLOAD'!$B179+$B179</f>
        <v>0.1</v>
      </c>
      <c r="M179" s="292" t="n">
        <f aca="false">'GAS DAILY VOL DOWNLOAD'!M179-'GAS DAILY VOL DOWNLOAD'!$B179+$B179</f>
        <v>0</v>
      </c>
      <c r="N179" s="292" t="n">
        <f aca="false">'GAS DAILY VOL DOWNLOAD'!N179-'GAS DAILY VOL DOWNLOAD'!$B179+$B179</f>
        <v>0.45</v>
      </c>
      <c r="O179" s="292" t="n">
        <f aca="false">'GAS DAILY VOL DOWNLOAD'!O179-'GAS DAILY VOL DOWNLOAD'!$B179+$B179</f>
        <v>0.15</v>
      </c>
      <c r="P179" s="292" t="n">
        <f aca="false">'GAS DAILY VOL DOWNLOAD'!P179-'GAS DAILY VOL DOWNLOAD'!$B179+$B179</f>
        <v>0.1</v>
      </c>
      <c r="Q179" s="292" t="n">
        <f aca="false">'GAS DAILY VOL DOWNLOAD'!Q179-'GAS DAILY VOL DOWNLOAD'!$B179+$B179</f>
        <v>0</v>
      </c>
    </row>
    <row r="180" customFormat="false" ht="12.75" hidden="false" customHeight="false" outlineLevel="0" collapsed="false">
      <c r="A180" s="317" t="n">
        <v>42430</v>
      </c>
      <c r="B180" s="292" t="n">
        <f aca="false">STRADDLES!L202</f>
        <v>0</v>
      </c>
      <c r="C180" s="292" t="n">
        <f aca="false">'GAS DAILY VOL DOWNLOAD'!C180-'GAS DAILY VOL DOWNLOAD'!$B180+$B180</f>
        <v>0.05</v>
      </c>
      <c r="D180" s="292" t="n">
        <f aca="false">'GAS DAILY VOL DOWNLOAD'!D180-'GAS DAILY VOL DOWNLOAD'!$B180+$B180</f>
        <v>0</v>
      </c>
      <c r="E180" s="292" t="n">
        <f aca="false">'GAS DAILY VOL DOWNLOAD'!E180-'GAS DAILY VOL DOWNLOAD'!$B180+$B180</f>
        <v>0</v>
      </c>
      <c r="F180" s="292" t="n">
        <f aca="false">'GAS DAILY VOL DOWNLOAD'!F180-'GAS DAILY VOL DOWNLOAD'!$B180+$B180</f>
        <v>0.1</v>
      </c>
      <c r="G180" s="292" t="n">
        <f aca="false">'GAS DAILY VOL DOWNLOAD'!G180-'GAS DAILY VOL DOWNLOAD'!$B180+$B180</f>
        <v>0.25</v>
      </c>
      <c r="H180" s="292" t="n">
        <f aca="false">'GAS DAILY VOL DOWNLOAD'!H180-'GAS DAILY VOL DOWNLOAD'!$B180+$B180</f>
        <v>0</v>
      </c>
      <c r="I180" s="292" t="n">
        <f aca="false">'GAS DAILY VOL DOWNLOAD'!I180-'GAS DAILY VOL DOWNLOAD'!$B180+$B180</f>
        <v>0</v>
      </c>
      <c r="J180" s="292" t="n">
        <f aca="false">'GAS DAILY VOL DOWNLOAD'!J180-'GAS DAILY VOL DOWNLOAD'!$B180+$B180</f>
        <v>0.2</v>
      </c>
      <c r="K180" s="292" t="n">
        <f aca="false">'GAS DAILY VOL DOWNLOAD'!K180-'GAS DAILY VOL DOWNLOAD'!$B180+$B180</f>
        <v>0</v>
      </c>
      <c r="L180" s="292" t="n">
        <f aca="false">'GAS DAILY VOL DOWNLOAD'!L180-'GAS DAILY VOL DOWNLOAD'!$B180+$B180</f>
        <v>0</v>
      </c>
      <c r="M180" s="292" t="n">
        <f aca="false">'GAS DAILY VOL DOWNLOAD'!M180-'GAS DAILY VOL DOWNLOAD'!$B180+$B180</f>
        <v>0</v>
      </c>
      <c r="N180" s="292" t="n">
        <f aca="false">'GAS DAILY VOL DOWNLOAD'!N180-'GAS DAILY VOL DOWNLOAD'!$B180+$B180</f>
        <v>0.25</v>
      </c>
      <c r="O180" s="292" t="n">
        <f aca="false">'GAS DAILY VOL DOWNLOAD'!O180-'GAS DAILY VOL DOWNLOAD'!$B180+$B180</f>
        <v>0.15</v>
      </c>
      <c r="P180" s="292" t="n">
        <f aca="false">'GAS DAILY VOL DOWNLOAD'!P180-'GAS DAILY VOL DOWNLOAD'!$B180+$B180</f>
        <v>0.1</v>
      </c>
      <c r="Q180" s="292" t="n">
        <f aca="false">'GAS DAILY VOL DOWNLOAD'!Q180-'GAS DAILY VOL DOWNLOAD'!$B180+$B180</f>
        <v>0</v>
      </c>
    </row>
    <row r="181" customFormat="false" ht="12.75" hidden="false" customHeight="false" outlineLevel="0" collapsed="false">
      <c r="A181" s="317" t="n">
        <v>42461</v>
      </c>
      <c r="B181" s="292" t="n">
        <f aca="false">STRADDLES!L203</f>
        <v>0</v>
      </c>
      <c r="C181" s="292" t="n">
        <f aca="false">'GAS DAILY VOL DOWNLOAD'!C181-'GAS DAILY VOL DOWNLOAD'!$B181+$B181</f>
        <v>0.05</v>
      </c>
      <c r="D181" s="292" t="n">
        <f aca="false">'GAS DAILY VOL DOWNLOAD'!D181-'GAS DAILY VOL DOWNLOAD'!$B181+$B181</f>
        <v>0</v>
      </c>
      <c r="E181" s="292" t="n">
        <f aca="false">'GAS DAILY VOL DOWNLOAD'!E181-'GAS DAILY VOL DOWNLOAD'!$B181+$B181</f>
        <v>0.05</v>
      </c>
      <c r="F181" s="292" t="n">
        <f aca="false">'GAS DAILY VOL DOWNLOAD'!F181-'GAS DAILY VOL DOWNLOAD'!$B181+$B181</f>
        <v>0.05</v>
      </c>
      <c r="G181" s="292" t="n">
        <f aca="false">'GAS DAILY VOL DOWNLOAD'!G181-'GAS DAILY VOL DOWNLOAD'!$B181+$B181</f>
        <v>0.05</v>
      </c>
      <c r="H181" s="292" t="n">
        <f aca="false">'GAS DAILY VOL DOWNLOAD'!H181-'GAS DAILY VOL DOWNLOAD'!$B181+$B181</f>
        <v>0.05</v>
      </c>
      <c r="I181" s="292" t="n">
        <f aca="false">'GAS DAILY VOL DOWNLOAD'!I181-'GAS DAILY VOL DOWNLOAD'!$B181+$B181</f>
        <v>0.05</v>
      </c>
      <c r="J181" s="292" t="n">
        <f aca="false">'GAS DAILY VOL DOWNLOAD'!J181-'GAS DAILY VOL DOWNLOAD'!$B181+$B181</f>
        <v>0.1</v>
      </c>
      <c r="K181" s="292" t="n">
        <f aca="false">'GAS DAILY VOL DOWNLOAD'!K181-'GAS DAILY VOL DOWNLOAD'!$B181+$B181</f>
        <v>0</v>
      </c>
      <c r="L181" s="292" t="n">
        <f aca="false">'GAS DAILY VOL DOWNLOAD'!L181-'GAS DAILY VOL DOWNLOAD'!$B181+$B181</f>
        <v>0.05</v>
      </c>
      <c r="M181" s="292" t="n">
        <f aca="false">'GAS DAILY VOL DOWNLOAD'!M181-'GAS DAILY VOL DOWNLOAD'!$B181+$B181</f>
        <v>0</v>
      </c>
      <c r="N181" s="292" t="n">
        <f aca="false">'GAS DAILY VOL DOWNLOAD'!N181-'GAS DAILY VOL DOWNLOAD'!$B181+$B181</f>
        <v>0.05</v>
      </c>
      <c r="O181" s="292" t="n">
        <f aca="false">'GAS DAILY VOL DOWNLOAD'!O181-'GAS DAILY VOL DOWNLOAD'!$B181+$B181</f>
        <v>0.15</v>
      </c>
      <c r="P181" s="292" t="n">
        <f aca="false">'GAS DAILY VOL DOWNLOAD'!P181-'GAS DAILY VOL DOWNLOAD'!$B181+$B181</f>
        <v>0.15</v>
      </c>
      <c r="Q181" s="292" t="n">
        <f aca="false">'GAS DAILY VOL DOWNLOAD'!Q181-'GAS DAILY VOL DOWNLOAD'!$B181+$B181</f>
        <v>0</v>
      </c>
    </row>
    <row r="182" customFormat="false" ht="12.75" hidden="false" customHeight="false" outlineLevel="0" collapsed="false">
      <c r="A182" s="317" t="n">
        <v>42491</v>
      </c>
      <c r="B182" s="292" t="n">
        <f aca="false">STRADDLES!L204</f>
        <v>0</v>
      </c>
      <c r="C182" s="292" t="n">
        <f aca="false">'GAS DAILY VOL DOWNLOAD'!C182-'GAS DAILY VOL DOWNLOAD'!$B182+$B182</f>
        <v>0.05</v>
      </c>
      <c r="D182" s="292" t="n">
        <f aca="false">'GAS DAILY VOL DOWNLOAD'!D182-'GAS DAILY VOL DOWNLOAD'!$B182+$B182</f>
        <v>-0.05</v>
      </c>
      <c r="E182" s="292" t="n">
        <f aca="false">'GAS DAILY VOL DOWNLOAD'!E182-'GAS DAILY VOL DOWNLOAD'!$B182+$B182</f>
        <v>-0.05</v>
      </c>
      <c r="F182" s="292" t="n">
        <f aca="false">'GAS DAILY VOL DOWNLOAD'!F182-'GAS DAILY VOL DOWNLOAD'!$B182+$B182</f>
        <v>0</v>
      </c>
      <c r="G182" s="292" t="n">
        <f aca="false">'GAS DAILY VOL DOWNLOAD'!G182-'GAS DAILY VOL DOWNLOAD'!$B182+$B182</f>
        <v>0.05</v>
      </c>
      <c r="H182" s="292" t="n">
        <f aca="false">'GAS DAILY VOL DOWNLOAD'!H182-'GAS DAILY VOL DOWNLOAD'!$B182+$B182</f>
        <v>0</v>
      </c>
      <c r="I182" s="292" t="n">
        <f aca="false">'GAS DAILY VOL DOWNLOAD'!I182-'GAS DAILY VOL DOWNLOAD'!$B182+$B182</f>
        <v>-0.05</v>
      </c>
      <c r="J182" s="292" t="n">
        <f aca="false">'GAS DAILY VOL DOWNLOAD'!J182-'GAS DAILY VOL DOWNLOAD'!$B182+$B182</f>
        <v>0</v>
      </c>
      <c r="K182" s="292" t="n">
        <f aca="false">'GAS DAILY VOL DOWNLOAD'!K182-'GAS DAILY VOL DOWNLOAD'!$B182+$B182</f>
        <v>0</v>
      </c>
      <c r="L182" s="292" t="n">
        <f aca="false">'GAS DAILY VOL DOWNLOAD'!L182-'GAS DAILY VOL DOWNLOAD'!$B182+$B182</f>
        <v>0.05</v>
      </c>
      <c r="M182" s="292" t="n">
        <f aca="false">'GAS DAILY VOL DOWNLOAD'!M182-'GAS DAILY VOL DOWNLOAD'!$B182+$B182</f>
        <v>0</v>
      </c>
      <c r="N182" s="292" t="n">
        <f aca="false">'GAS DAILY VOL DOWNLOAD'!N182-'GAS DAILY VOL DOWNLOAD'!$B182+$B182</f>
        <v>0.05</v>
      </c>
      <c r="O182" s="292" t="n">
        <f aca="false">'GAS DAILY VOL DOWNLOAD'!O182-'GAS DAILY VOL DOWNLOAD'!$B182+$B182</f>
        <v>0.15</v>
      </c>
      <c r="P182" s="292" t="n">
        <f aca="false">'GAS DAILY VOL DOWNLOAD'!P182-'GAS DAILY VOL DOWNLOAD'!$B182+$B182</f>
        <v>0.05</v>
      </c>
      <c r="Q182" s="292" t="n">
        <f aca="false">'GAS DAILY VOL DOWNLOAD'!Q182-'GAS DAILY VOL DOWNLOAD'!$B182+$B182</f>
        <v>0</v>
      </c>
    </row>
    <row r="183" customFormat="false" ht="12.75" hidden="false" customHeight="false" outlineLevel="0" collapsed="false">
      <c r="A183" s="317" t="n">
        <v>42522</v>
      </c>
      <c r="B183" s="292" t="n">
        <f aca="false">STRADDLES!L205</f>
        <v>0</v>
      </c>
      <c r="C183" s="292" t="n">
        <f aca="false">'GAS DAILY VOL DOWNLOAD'!C183-'GAS DAILY VOL DOWNLOAD'!$B183+$B183</f>
        <v>0.05</v>
      </c>
      <c r="D183" s="292" t="n">
        <f aca="false">'GAS DAILY VOL DOWNLOAD'!D183-'GAS DAILY VOL DOWNLOAD'!$B183+$B183</f>
        <v>-0.05</v>
      </c>
      <c r="E183" s="292" t="n">
        <f aca="false">'GAS DAILY VOL DOWNLOAD'!E183-'GAS DAILY VOL DOWNLOAD'!$B183+$B183</f>
        <v>0.05</v>
      </c>
      <c r="F183" s="292" t="n">
        <f aca="false">'GAS DAILY VOL DOWNLOAD'!F183-'GAS DAILY VOL DOWNLOAD'!$B183+$B183</f>
        <v>0</v>
      </c>
      <c r="G183" s="292" t="n">
        <f aca="false">'GAS DAILY VOL DOWNLOAD'!G183-'GAS DAILY VOL DOWNLOAD'!$B183+$B183</f>
        <v>0.05</v>
      </c>
      <c r="H183" s="292" t="n">
        <f aca="false">'GAS DAILY VOL DOWNLOAD'!H183-'GAS DAILY VOL DOWNLOAD'!$B183+$B183</f>
        <v>0.05</v>
      </c>
      <c r="I183" s="292" t="n">
        <f aca="false">'GAS DAILY VOL DOWNLOAD'!I183-'GAS DAILY VOL DOWNLOAD'!$B183+$B183</f>
        <v>0.05</v>
      </c>
      <c r="J183" s="292" t="n">
        <f aca="false">'GAS DAILY VOL DOWNLOAD'!J183-'GAS DAILY VOL DOWNLOAD'!$B183+$B183</f>
        <v>0.05</v>
      </c>
      <c r="K183" s="292" t="n">
        <f aca="false">'GAS DAILY VOL DOWNLOAD'!K183-'GAS DAILY VOL DOWNLOAD'!$B183+$B183</f>
        <v>0</v>
      </c>
      <c r="L183" s="292" t="n">
        <f aca="false">'GAS DAILY VOL DOWNLOAD'!L183-'GAS DAILY VOL DOWNLOAD'!$B183+$B183</f>
        <v>0.05</v>
      </c>
      <c r="M183" s="292" t="n">
        <f aca="false">'GAS DAILY VOL DOWNLOAD'!M183-'GAS DAILY VOL DOWNLOAD'!$B183+$B183</f>
        <v>0</v>
      </c>
      <c r="N183" s="292" t="n">
        <f aca="false">'GAS DAILY VOL DOWNLOAD'!N183-'GAS DAILY VOL DOWNLOAD'!$B183+$B183</f>
        <v>0.05</v>
      </c>
      <c r="O183" s="292" t="n">
        <f aca="false">'GAS DAILY VOL DOWNLOAD'!O183-'GAS DAILY VOL DOWNLOAD'!$B183+$B183</f>
        <v>0.15</v>
      </c>
      <c r="P183" s="292" t="n">
        <f aca="false">'GAS DAILY VOL DOWNLOAD'!P183-'GAS DAILY VOL DOWNLOAD'!$B183+$B183</f>
        <v>0.15</v>
      </c>
      <c r="Q183" s="292" t="n">
        <f aca="false">'GAS DAILY VOL DOWNLOAD'!Q183-'GAS DAILY VOL DOWNLOAD'!$B183+$B183</f>
        <v>0</v>
      </c>
    </row>
    <row r="184" customFormat="false" ht="12.75" hidden="false" customHeight="false" outlineLevel="0" collapsed="false">
      <c r="A184" s="317" t="n">
        <v>42552</v>
      </c>
      <c r="B184" s="292" t="n">
        <f aca="false">STRADDLES!L206</f>
        <v>0</v>
      </c>
      <c r="C184" s="292" t="n">
        <f aca="false">'GAS DAILY VOL DOWNLOAD'!C184-'GAS DAILY VOL DOWNLOAD'!$B184+$B184</f>
        <v>0</v>
      </c>
      <c r="D184" s="292" t="n">
        <f aca="false">'GAS DAILY VOL DOWNLOAD'!D184-'GAS DAILY VOL DOWNLOAD'!$B184+$B184</f>
        <v>-0.1</v>
      </c>
      <c r="E184" s="292" t="n">
        <f aca="false">'GAS DAILY VOL DOWNLOAD'!E184-'GAS DAILY VOL DOWNLOAD'!$B184+$B184</f>
        <v>0</v>
      </c>
      <c r="F184" s="292" t="n">
        <f aca="false">'GAS DAILY VOL DOWNLOAD'!F184-'GAS DAILY VOL DOWNLOAD'!$B184+$B184</f>
        <v>0</v>
      </c>
      <c r="G184" s="292" t="n">
        <f aca="false">'GAS DAILY VOL DOWNLOAD'!G184-'GAS DAILY VOL DOWNLOAD'!$B184+$B184</f>
        <v>0</v>
      </c>
      <c r="H184" s="292" t="n">
        <f aca="false">'GAS DAILY VOL DOWNLOAD'!H184-'GAS DAILY VOL DOWNLOAD'!$B184+$B184</f>
        <v>0</v>
      </c>
      <c r="I184" s="292" t="n">
        <f aca="false">'GAS DAILY VOL DOWNLOAD'!I184-'GAS DAILY VOL DOWNLOAD'!$B184+$B184</f>
        <v>0</v>
      </c>
      <c r="J184" s="292" t="n">
        <f aca="false">'GAS DAILY VOL DOWNLOAD'!J184-'GAS DAILY VOL DOWNLOAD'!$B184+$B184</f>
        <v>0</v>
      </c>
      <c r="K184" s="292" t="n">
        <f aca="false">'GAS DAILY VOL DOWNLOAD'!K184-'GAS DAILY VOL DOWNLOAD'!$B184+$B184</f>
        <v>0</v>
      </c>
      <c r="L184" s="292" t="n">
        <f aca="false">'GAS DAILY VOL DOWNLOAD'!L184-'GAS DAILY VOL DOWNLOAD'!$B184+$B184</f>
        <v>0.05</v>
      </c>
      <c r="M184" s="292" t="n">
        <f aca="false">'GAS DAILY VOL DOWNLOAD'!M184-'GAS DAILY VOL DOWNLOAD'!$B184+$B184</f>
        <v>0</v>
      </c>
      <c r="N184" s="292" t="n">
        <f aca="false">'GAS DAILY VOL DOWNLOAD'!N184-'GAS DAILY VOL DOWNLOAD'!$B184+$B184</f>
        <v>0</v>
      </c>
      <c r="O184" s="292" t="n">
        <f aca="false">'GAS DAILY VOL DOWNLOAD'!O184-'GAS DAILY VOL DOWNLOAD'!$B184+$B184</f>
        <v>0.15</v>
      </c>
      <c r="P184" s="292" t="n">
        <f aca="false">'GAS DAILY VOL DOWNLOAD'!P184-'GAS DAILY VOL DOWNLOAD'!$B184+$B184</f>
        <v>0.1</v>
      </c>
      <c r="Q184" s="292" t="n">
        <f aca="false">'GAS DAILY VOL DOWNLOAD'!Q184-'GAS DAILY VOL DOWNLOAD'!$B184+$B184</f>
        <v>0</v>
      </c>
    </row>
    <row r="185" customFormat="false" ht="12.75" hidden="false" customHeight="false" outlineLevel="0" collapsed="false">
      <c r="A185" s="317" t="n">
        <v>42583</v>
      </c>
      <c r="B185" s="292" t="n">
        <f aca="false">STRADDLES!L207</f>
        <v>0</v>
      </c>
      <c r="C185" s="292" t="n">
        <f aca="false">'GAS DAILY VOL DOWNLOAD'!C185-'GAS DAILY VOL DOWNLOAD'!$B185+$B185</f>
        <v>0</v>
      </c>
      <c r="D185" s="292" t="n">
        <f aca="false">'GAS DAILY VOL DOWNLOAD'!D185-'GAS DAILY VOL DOWNLOAD'!$B185+$B185</f>
        <v>-0.05</v>
      </c>
      <c r="E185" s="292" t="n">
        <f aca="false">'GAS DAILY VOL DOWNLOAD'!E185-'GAS DAILY VOL DOWNLOAD'!$B185+$B185</f>
        <v>0.0499999999999999</v>
      </c>
      <c r="F185" s="292" t="n">
        <f aca="false">'GAS DAILY VOL DOWNLOAD'!F185-'GAS DAILY VOL DOWNLOAD'!$B185+$B185</f>
        <v>0</v>
      </c>
      <c r="G185" s="292" t="n">
        <f aca="false">'GAS DAILY VOL DOWNLOAD'!G185-'GAS DAILY VOL DOWNLOAD'!$B185+$B185</f>
        <v>0.0499999999999999</v>
      </c>
      <c r="H185" s="292" t="n">
        <f aca="false">'GAS DAILY VOL DOWNLOAD'!H185-'GAS DAILY VOL DOWNLOAD'!$B185+$B185</f>
        <v>0</v>
      </c>
      <c r="I185" s="292" t="n">
        <f aca="false">'GAS DAILY VOL DOWNLOAD'!I185-'GAS DAILY VOL DOWNLOAD'!$B185+$B185</f>
        <v>0.0499999999999999</v>
      </c>
      <c r="J185" s="292" t="n">
        <f aca="false">'GAS DAILY VOL DOWNLOAD'!J185-'GAS DAILY VOL DOWNLOAD'!$B185+$B185</f>
        <v>-0.1</v>
      </c>
      <c r="K185" s="292" t="n">
        <f aca="false">'GAS DAILY VOL DOWNLOAD'!K185-'GAS DAILY VOL DOWNLOAD'!$B185+$B185</f>
        <v>0</v>
      </c>
      <c r="L185" s="292" t="n">
        <f aca="false">'GAS DAILY VOL DOWNLOAD'!L185-'GAS DAILY VOL DOWNLOAD'!$B185+$B185</f>
        <v>0.0499999999999999</v>
      </c>
      <c r="M185" s="292" t="n">
        <f aca="false">'GAS DAILY VOL DOWNLOAD'!M185-'GAS DAILY VOL DOWNLOAD'!$B185+$B185</f>
        <v>0</v>
      </c>
      <c r="N185" s="292" t="n">
        <f aca="false">'GAS DAILY VOL DOWNLOAD'!N185-'GAS DAILY VOL DOWNLOAD'!$B185+$B185</f>
        <v>0.0499999999999999</v>
      </c>
      <c r="O185" s="292" t="n">
        <f aca="false">'GAS DAILY VOL DOWNLOAD'!O185-'GAS DAILY VOL DOWNLOAD'!$B185+$B185</f>
        <v>0.15</v>
      </c>
      <c r="P185" s="292" t="n">
        <f aca="false">'GAS DAILY VOL DOWNLOAD'!P185-'GAS DAILY VOL DOWNLOAD'!$B185+$B185</f>
        <v>0.15</v>
      </c>
      <c r="Q185" s="292" t="n">
        <f aca="false">'GAS DAILY VOL DOWNLOAD'!Q185-'GAS DAILY VOL DOWNLOAD'!$B185+$B185</f>
        <v>0</v>
      </c>
    </row>
    <row r="186" customFormat="false" ht="12.75" hidden="false" customHeight="false" outlineLevel="0" collapsed="false">
      <c r="A186" s="317" t="n">
        <v>42614</v>
      </c>
      <c r="B186" s="292" t="n">
        <f aca="false">STRADDLES!L208</f>
        <v>0</v>
      </c>
      <c r="C186" s="292" t="n">
        <f aca="false">'GAS DAILY VOL DOWNLOAD'!C186-'GAS DAILY VOL DOWNLOAD'!$B186+$B186</f>
        <v>0</v>
      </c>
      <c r="D186" s="292" t="n">
        <f aca="false">'GAS DAILY VOL DOWNLOAD'!D186-'GAS DAILY VOL DOWNLOAD'!$B186+$B186</f>
        <v>0</v>
      </c>
      <c r="E186" s="292" t="n">
        <f aca="false">'GAS DAILY VOL DOWNLOAD'!E186-'GAS DAILY VOL DOWNLOAD'!$B186+$B186</f>
        <v>0</v>
      </c>
      <c r="F186" s="292" t="n">
        <f aca="false">'GAS DAILY VOL DOWNLOAD'!F186-'GAS DAILY VOL DOWNLOAD'!$B186+$B186</f>
        <v>0</v>
      </c>
      <c r="G186" s="292" t="n">
        <f aca="false">'GAS DAILY VOL DOWNLOAD'!G186-'GAS DAILY VOL DOWNLOAD'!$B186+$B186</f>
        <v>0.0499999999999999</v>
      </c>
      <c r="H186" s="292" t="n">
        <f aca="false">'GAS DAILY VOL DOWNLOAD'!H186-'GAS DAILY VOL DOWNLOAD'!$B186+$B186</f>
        <v>0.0499999999999999</v>
      </c>
      <c r="I186" s="292" t="n">
        <f aca="false">'GAS DAILY VOL DOWNLOAD'!I186-'GAS DAILY VOL DOWNLOAD'!$B186+$B186</f>
        <v>0</v>
      </c>
      <c r="J186" s="292" t="n">
        <f aca="false">'GAS DAILY VOL DOWNLOAD'!J186-'GAS DAILY VOL DOWNLOAD'!$B186+$B186</f>
        <v>-0.05</v>
      </c>
      <c r="K186" s="292" t="n">
        <f aca="false">'GAS DAILY VOL DOWNLOAD'!K186-'GAS DAILY VOL DOWNLOAD'!$B186+$B186</f>
        <v>0</v>
      </c>
      <c r="L186" s="292" t="n">
        <f aca="false">'GAS DAILY VOL DOWNLOAD'!L186-'GAS DAILY VOL DOWNLOAD'!$B186+$B186</f>
        <v>0.0499999999999999</v>
      </c>
      <c r="M186" s="292" t="n">
        <f aca="false">'GAS DAILY VOL DOWNLOAD'!M186-'GAS DAILY VOL DOWNLOAD'!$B186+$B186</f>
        <v>0</v>
      </c>
      <c r="N186" s="292" t="n">
        <f aca="false">'GAS DAILY VOL DOWNLOAD'!N186-'GAS DAILY VOL DOWNLOAD'!$B186+$B186</f>
        <v>0.0499999999999999</v>
      </c>
      <c r="O186" s="292" t="n">
        <f aca="false">'GAS DAILY VOL DOWNLOAD'!O186-'GAS DAILY VOL DOWNLOAD'!$B186+$B186</f>
        <v>0.15</v>
      </c>
      <c r="P186" s="292" t="n">
        <f aca="false">'GAS DAILY VOL DOWNLOAD'!P186-'GAS DAILY VOL DOWNLOAD'!$B186+$B186</f>
        <v>0.1</v>
      </c>
      <c r="Q186" s="292" t="n">
        <f aca="false">'GAS DAILY VOL DOWNLOAD'!Q186-'GAS DAILY VOL DOWNLOAD'!$B186+$B186</f>
        <v>0</v>
      </c>
    </row>
    <row r="187" customFormat="false" ht="12.75" hidden="false" customHeight="false" outlineLevel="0" collapsed="false">
      <c r="A187" s="317" t="n">
        <v>42644</v>
      </c>
      <c r="B187" s="292" t="n">
        <f aca="false">STRADDLES!L209</f>
        <v>0</v>
      </c>
      <c r="C187" s="292" t="n">
        <f aca="false">'GAS DAILY VOL DOWNLOAD'!C187-'GAS DAILY VOL DOWNLOAD'!$B187+$B187</f>
        <v>0</v>
      </c>
      <c r="D187" s="292" t="n">
        <f aca="false">'GAS DAILY VOL DOWNLOAD'!D187-'GAS DAILY VOL DOWNLOAD'!$B187+$B187</f>
        <v>-0.0499999999999999</v>
      </c>
      <c r="E187" s="292" t="n">
        <f aca="false">'GAS DAILY VOL DOWNLOAD'!E187-'GAS DAILY VOL DOWNLOAD'!$B187+$B187</f>
        <v>0</v>
      </c>
      <c r="F187" s="292" t="n">
        <f aca="false">'GAS DAILY VOL DOWNLOAD'!F187-'GAS DAILY VOL DOWNLOAD'!$B187+$B187</f>
        <v>0</v>
      </c>
      <c r="G187" s="292" t="n">
        <f aca="false">'GAS DAILY VOL DOWNLOAD'!G187-'GAS DAILY VOL DOWNLOAD'!$B187+$B187</f>
        <v>0.05</v>
      </c>
      <c r="H187" s="292" t="n">
        <f aca="false">'GAS DAILY VOL DOWNLOAD'!H187-'GAS DAILY VOL DOWNLOAD'!$B187+$B187</f>
        <v>0.05</v>
      </c>
      <c r="I187" s="292" t="n">
        <f aca="false">'GAS DAILY VOL DOWNLOAD'!I187-'GAS DAILY VOL DOWNLOAD'!$B187+$B187</f>
        <v>0</v>
      </c>
      <c r="J187" s="292" t="n">
        <f aca="false">'GAS DAILY VOL DOWNLOAD'!J187-'GAS DAILY VOL DOWNLOAD'!$B187+$B187</f>
        <v>-0.1</v>
      </c>
      <c r="K187" s="292" t="n">
        <f aca="false">'GAS DAILY VOL DOWNLOAD'!K187-'GAS DAILY VOL DOWNLOAD'!$B187+$B187</f>
        <v>0</v>
      </c>
      <c r="L187" s="292" t="n">
        <f aca="false">'GAS DAILY VOL DOWNLOAD'!L187-'GAS DAILY VOL DOWNLOAD'!$B187+$B187</f>
        <v>0.05</v>
      </c>
      <c r="M187" s="292" t="n">
        <f aca="false">'GAS DAILY VOL DOWNLOAD'!M187-'GAS DAILY VOL DOWNLOAD'!$B187+$B187</f>
        <v>0</v>
      </c>
      <c r="N187" s="292" t="n">
        <f aca="false">'GAS DAILY VOL DOWNLOAD'!N187-'GAS DAILY VOL DOWNLOAD'!$B187+$B187</f>
        <v>0.05</v>
      </c>
      <c r="O187" s="292" t="n">
        <f aca="false">'GAS DAILY VOL DOWNLOAD'!O187-'GAS DAILY VOL DOWNLOAD'!$B187+$B187</f>
        <v>0.15</v>
      </c>
      <c r="P187" s="292" t="n">
        <f aca="false">'GAS DAILY VOL DOWNLOAD'!P187-'GAS DAILY VOL DOWNLOAD'!$B187+$B187</f>
        <v>0.1</v>
      </c>
      <c r="Q187" s="292" t="n">
        <f aca="false">'GAS DAILY VOL DOWNLOAD'!Q187-'GAS DAILY VOL DOWNLOAD'!$B187+$B187</f>
        <v>0</v>
      </c>
    </row>
    <row r="188" customFormat="false" ht="12.75" hidden="false" customHeight="false" outlineLevel="0" collapsed="false">
      <c r="A188" s="317" t="n">
        <v>42675</v>
      </c>
      <c r="B188" s="292" t="n">
        <f aca="false">STRADDLES!L210</f>
        <v>0</v>
      </c>
      <c r="C188" s="292" t="n">
        <f aca="false">'GAS DAILY VOL DOWNLOAD'!C188-'GAS DAILY VOL DOWNLOAD'!$B188+$B188</f>
        <v>0.0499999999999999</v>
      </c>
      <c r="D188" s="292" t="n">
        <f aca="false">'GAS DAILY VOL DOWNLOAD'!D188-'GAS DAILY VOL DOWNLOAD'!$B188+$B188</f>
        <v>0</v>
      </c>
      <c r="E188" s="292" t="n">
        <f aca="false">'GAS DAILY VOL DOWNLOAD'!E188-'GAS DAILY VOL DOWNLOAD'!$B188+$B188</f>
        <v>0</v>
      </c>
      <c r="F188" s="292" t="n">
        <f aca="false">'GAS DAILY VOL DOWNLOAD'!F188-'GAS DAILY VOL DOWNLOAD'!$B188+$B188</f>
        <v>0.1</v>
      </c>
      <c r="G188" s="292" t="n">
        <f aca="false">'GAS DAILY VOL DOWNLOAD'!G188-'GAS DAILY VOL DOWNLOAD'!$B188+$B188</f>
        <v>0.15</v>
      </c>
      <c r="H188" s="292" t="n">
        <f aca="false">'GAS DAILY VOL DOWNLOAD'!H188-'GAS DAILY VOL DOWNLOAD'!$B188+$B188</f>
        <v>0.0499999999999999</v>
      </c>
      <c r="I188" s="292" t="n">
        <f aca="false">'GAS DAILY VOL DOWNLOAD'!I188-'GAS DAILY VOL DOWNLOAD'!$B188+$B188</f>
        <v>0</v>
      </c>
      <c r="J188" s="292" t="n">
        <f aca="false">'GAS DAILY VOL DOWNLOAD'!J188-'GAS DAILY VOL DOWNLOAD'!$B188+$B188</f>
        <v>0.15</v>
      </c>
      <c r="K188" s="292" t="n">
        <f aca="false">'GAS DAILY VOL DOWNLOAD'!K188-'GAS DAILY VOL DOWNLOAD'!$B188+$B188</f>
        <v>0</v>
      </c>
      <c r="L188" s="292" t="n">
        <f aca="false">'GAS DAILY VOL DOWNLOAD'!L188-'GAS DAILY VOL DOWNLOAD'!$B188+$B188</f>
        <v>0</v>
      </c>
      <c r="M188" s="292" t="n">
        <f aca="false">'GAS DAILY VOL DOWNLOAD'!M188-'GAS DAILY VOL DOWNLOAD'!$B188+$B188</f>
        <v>0</v>
      </c>
      <c r="N188" s="292" t="n">
        <f aca="false">'GAS DAILY VOL DOWNLOAD'!N188-'GAS DAILY VOL DOWNLOAD'!$B188+$B188</f>
        <v>0.15</v>
      </c>
      <c r="O188" s="292" t="n">
        <f aca="false">'GAS DAILY VOL DOWNLOAD'!O188-'GAS DAILY VOL DOWNLOAD'!$B188+$B188</f>
        <v>0.15</v>
      </c>
      <c r="P188" s="292" t="n">
        <f aca="false">'GAS DAILY VOL DOWNLOAD'!P188-'GAS DAILY VOL DOWNLOAD'!$B188+$B188</f>
        <v>0.1</v>
      </c>
      <c r="Q188" s="292" t="n">
        <f aca="false">'GAS DAILY VOL DOWNLOAD'!Q188-'GAS DAILY VOL DOWNLOAD'!$B188+$B188</f>
        <v>0</v>
      </c>
    </row>
    <row r="189" customFormat="false" ht="12.75" hidden="false" customHeight="false" outlineLevel="0" collapsed="false">
      <c r="A189" s="317" t="n">
        <v>42705</v>
      </c>
      <c r="B189" s="292" t="n">
        <f aca="false">STRADDLES!L211</f>
        <v>0</v>
      </c>
      <c r="C189" s="292" t="n">
        <f aca="false">'GAS DAILY VOL DOWNLOAD'!C189-'GAS DAILY VOL DOWNLOAD'!$B189+$B189</f>
        <v>0.05</v>
      </c>
      <c r="D189" s="292" t="n">
        <f aca="false">'GAS DAILY VOL DOWNLOAD'!D189-'GAS DAILY VOL DOWNLOAD'!$B189+$B189</f>
        <v>0</v>
      </c>
      <c r="E189" s="292" t="n">
        <f aca="false">'GAS DAILY VOL DOWNLOAD'!E189-'GAS DAILY VOL DOWNLOAD'!$B189+$B189</f>
        <v>0</v>
      </c>
      <c r="F189" s="292" t="n">
        <f aca="false">'GAS DAILY VOL DOWNLOAD'!F189-'GAS DAILY VOL DOWNLOAD'!$B189+$B189</f>
        <v>0.15</v>
      </c>
      <c r="G189" s="292" t="n">
        <f aca="false">'GAS DAILY VOL DOWNLOAD'!G189-'GAS DAILY VOL DOWNLOAD'!$B189+$B189</f>
        <v>0.25</v>
      </c>
      <c r="H189" s="292" t="n">
        <f aca="false">'GAS DAILY VOL DOWNLOAD'!H189-'GAS DAILY VOL DOWNLOAD'!$B189+$B189</f>
        <v>0.05</v>
      </c>
      <c r="I189" s="292" t="n">
        <f aca="false">'GAS DAILY VOL DOWNLOAD'!I189-'GAS DAILY VOL DOWNLOAD'!$B189+$B189</f>
        <v>0</v>
      </c>
      <c r="J189" s="292" t="n">
        <f aca="false">'GAS DAILY VOL DOWNLOAD'!J189-'GAS DAILY VOL DOWNLOAD'!$B189+$B189</f>
        <v>0.35</v>
      </c>
      <c r="K189" s="292" t="n">
        <f aca="false">'GAS DAILY VOL DOWNLOAD'!K189-'GAS DAILY VOL DOWNLOAD'!$B189+$B189</f>
        <v>0</v>
      </c>
      <c r="L189" s="292" t="n">
        <f aca="false">'GAS DAILY VOL DOWNLOAD'!L189-'GAS DAILY VOL DOWNLOAD'!$B189+$B189</f>
        <v>0.1</v>
      </c>
      <c r="M189" s="292" t="n">
        <f aca="false">'GAS DAILY VOL DOWNLOAD'!M189-'GAS DAILY VOL DOWNLOAD'!$B189+$B189</f>
        <v>0</v>
      </c>
      <c r="N189" s="292" t="n">
        <f aca="false">'GAS DAILY VOL DOWNLOAD'!N189-'GAS DAILY VOL DOWNLOAD'!$B189+$B189</f>
        <v>0.25</v>
      </c>
      <c r="O189" s="292" t="n">
        <f aca="false">'GAS DAILY VOL DOWNLOAD'!O189-'GAS DAILY VOL DOWNLOAD'!$B189+$B189</f>
        <v>0.15</v>
      </c>
      <c r="P189" s="292" t="n">
        <f aca="false">'GAS DAILY VOL DOWNLOAD'!P189-'GAS DAILY VOL DOWNLOAD'!$B189+$B189</f>
        <v>0.1</v>
      </c>
      <c r="Q189" s="292" t="n">
        <f aca="false">'GAS DAILY VOL DOWNLOAD'!Q189-'GAS DAILY VOL DOWNLOAD'!$B189+$B189</f>
        <v>0</v>
      </c>
    </row>
    <row r="190" customFormat="false" ht="12.75" hidden="false" customHeight="false" outlineLevel="0" collapsed="false">
      <c r="A190" s="317" t="n">
        <v>42736</v>
      </c>
      <c r="B190" s="292" t="n">
        <f aca="false">STRADDLES!L212</f>
        <v>0</v>
      </c>
      <c r="C190" s="292" t="n">
        <f aca="false">'GAS DAILY VOL DOWNLOAD'!C190-'GAS DAILY VOL DOWNLOAD'!$B190+$B190</f>
        <v>0.05</v>
      </c>
      <c r="D190" s="292" t="n">
        <f aca="false">'GAS DAILY VOL DOWNLOAD'!D190-'GAS DAILY VOL DOWNLOAD'!$B190+$B190</f>
        <v>0</v>
      </c>
      <c r="E190" s="292" t="n">
        <f aca="false">'GAS DAILY VOL DOWNLOAD'!E190-'GAS DAILY VOL DOWNLOAD'!$B190+$B190</f>
        <v>0</v>
      </c>
      <c r="F190" s="292" t="n">
        <f aca="false">'GAS DAILY VOL DOWNLOAD'!F190-'GAS DAILY VOL DOWNLOAD'!$B190+$B190</f>
        <v>0.15</v>
      </c>
      <c r="G190" s="292" t="n">
        <f aca="false">'GAS DAILY VOL DOWNLOAD'!G190-'GAS DAILY VOL DOWNLOAD'!$B190+$B190</f>
        <v>0.45</v>
      </c>
      <c r="H190" s="292" t="n">
        <f aca="false">'GAS DAILY VOL DOWNLOAD'!H190-'GAS DAILY VOL DOWNLOAD'!$B190+$B190</f>
        <v>0.05</v>
      </c>
      <c r="I190" s="292" t="n">
        <f aca="false">'GAS DAILY VOL DOWNLOAD'!I190-'GAS DAILY VOL DOWNLOAD'!$B190+$B190</f>
        <v>0</v>
      </c>
      <c r="J190" s="292" t="n">
        <f aca="false">'GAS DAILY VOL DOWNLOAD'!J190-'GAS DAILY VOL DOWNLOAD'!$B190+$B190</f>
        <v>0.35</v>
      </c>
      <c r="K190" s="292" t="n">
        <f aca="false">'GAS DAILY VOL DOWNLOAD'!K190-'GAS DAILY VOL DOWNLOAD'!$B190+$B190</f>
        <v>0</v>
      </c>
      <c r="L190" s="292" t="n">
        <f aca="false">'GAS DAILY VOL DOWNLOAD'!L190-'GAS DAILY VOL DOWNLOAD'!$B190+$B190</f>
        <v>0.1</v>
      </c>
      <c r="M190" s="292" t="n">
        <f aca="false">'GAS DAILY VOL DOWNLOAD'!M190-'GAS DAILY VOL DOWNLOAD'!$B190+$B190</f>
        <v>0</v>
      </c>
      <c r="N190" s="292" t="n">
        <f aca="false">'GAS DAILY VOL DOWNLOAD'!N190-'GAS DAILY VOL DOWNLOAD'!$B190+$B190</f>
        <v>0.45</v>
      </c>
      <c r="O190" s="292" t="n">
        <f aca="false">'GAS DAILY VOL DOWNLOAD'!O190-'GAS DAILY VOL DOWNLOAD'!$B190+$B190</f>
        <v>0.15</v>
      </c>
      <c r="P190" s="292" t="n">
        <f aca="false">'GAS DAILY VOL DOWNLOAD'!P190-'GAS DAILY VOL DOWNLOAD'!$B190+$B190</f>
        <v>0.1</v>
      </c>
      <c r="Q190" s="292" t="n">
        <f aca="false">'GAS DAILY VOL DOWNLOAD'!Q190-'GAS DAILY VOL DOWNLOAD'!$B190+$B190</f>
        <v>0</v>
      </c>
    </row>
    <row r="191" customFormat="false" ht="12.75" hidden="false" customHeight="false" outlineLevel="0" collapsed="false">
      <c r="A191" s="317" t="n">
        <v>42767</v>
      </c>
      <c r="B191" s="292" t="n">
        <f aca="false">STRADDLES!L213</f>
        <v>0</v>
      </c>
      <c r="C191" s="292" t="n">
        <f aca="false">'GAS DAILY VOL DOWNLOAD'!C191-'GAS DAILY VOL DOWNLOAD'!$B191+$B191</f>
        <v>0.05</v>
      </c>
      <c r="D191" s="292" t="n">
        <f aca="false">'GAS DAILY VOL DOWNLOAD'!D191-'GAS DAILY VOL DOWNLOAD'!$B191+$B191</f>
        <v>0</v>
      </c>
      <c r="E191" s="292" t="n">
        <f aca="false">'GAS DAILY VOL DOWNLOAD'!E191-'GAS DAILY VOL DOWNLOAD'!$B191+$B191</f>
        <v>0</v>
      </c>
      <c r="F191" s="292" t="n">
        <f aca="false">'GAS DAILY VOL DOWNLOAD'!F191-'GAS DAILY VOL DOWNLOAD'!$B191+$B191</f>
        <v>0.15</v>
      </c>
      <c r="G191" s="292" t="n">
        <f aca="false">'GAS DAILY VOL DOWNLOAD'!G191-'GAS DAILY VOL DOWNLOAD'!$B191+$B191</f>
        <v>0.45</v>
      </c>
      <c r="H191" s="292" t="n">
        <f aca="false">'GAS DAILY VOL DOWNLOAD'!H191-'GAS DAILY VOL DOWNLOAD'!$B191+$B191</f>
        <v>0.05</v>
      </c>
      <c r="I191" s="292" t="n">
        <f aca="false">'GAS DAILY VOL DOWNLOAD'!I191-'GAS DAILY VOL DOWNLOAD'!$B191+$B191</f>
        <v>0</v>
      </c>
      <c r="J191" s="292" t="n">
        <f aca="false">'GAS DAILY VOL DOWNLOAD'!J191-'GAS DAILY VOL DOWNLOAD'!$B191+$B191</f>
        <v>0.35</v>
      </c>
      <c r="K191" s="292" t="n">
        <f aca="false">'GAS DAILY VOL DOWNLOAD'!K191-'GAS DAILY VOL DOWNLOAD'!$B191+$B191</f>
        <v>0</v>
      </c>
      <c r="L191" s="292" t="n">
        <f aca="false">'GAS DAILY VOL DOWNLOAD'!L191-'GAS DAILY VOL DOWNLOAD'!$B191+$B191</f>
        <v>0.1</v>
      </c>
      <c r="M191" s="292" t="n">
        <f aca="false">'GAS DAILY VOL DOWNLOAD'!M191-'GAS DAILY VOL DOWNLOAD'!$B191+$B191</f>
        <v>0</v>
      </c>
      <c r="N191" s="292" t="n">
        <f aca="false">'GAS DAILY VOL DOWNLOAD'!N191-'GAS DAILY VOL DOWNLOAD'!$B191+$B191</f>
        <v>0.45</v>
      </c>
      <c r="O191" s="292" t="n">
        <f aca="false">'GAS DAILY VOL DOWNLOAD'!O191-'GAS DAILY VOL DOWNLOAD'!$B191+$B191</f>
        <v>0.15</v>
      </c>
      <c r="P191" s="292" t="n">
        <f aca="false">'GAS DAILY VOL DOWNLOAD'!P191-'GAS DAILY VOL DOWNLOAD'!$B191+$B191</f>
        <v>0.1</v>
      </c>
      <c r="Q191" s="292" t="n">
        <f aca="false">'GAS DAILY VOL DOWNLOAD'!Q191-'GAS DAILY VOL DOWNLOAD'!$B191+$B191</f>
        <v>0</v>
      </c>
    </row>
    <row r="192" customFormat="false" ht="12.75" hidden="false" customHeight="false" outlineLevel="0" collapsed="false">
      <c r="A192" s="317" t="n">
        <v>42795</v>
      </c>
      <c r="B192" s="292" t="n">
        <f aca="false">STRADDLES!L214</f>
        <v>0</v>
      </c>
      <c r="C192" s="292" t="n">
        <f aca="false">'GAS DAILY VOL DOWNLOAD'!C192-'GAS DAILY VOL DOWNLOAD'!$B192+$B192</f>
        <v>0.05</v>
      </c>
      <c r="D192" s="292" t="n">
        <f aca="false">'GAS DAILY VOL DOWNLOAD'!D192-'GAS DAILY VOL DOWNLOAD'!$B192+$B192</f>
        <v>0</v>
      </c>
      <c r="E192" s="292" t="n">
        <f aca="false">'GAS DAILY VOL DOWNLOAD'!E192-'GAS DAILY VOL DOWNLOAD'!$B192+$B192</f>
        <v>0</v>
      </c>
      <c r="F192" s="292" t="n">
        <f aca="false">'GAS DAILY VOL DOWNLOAD'!F192-'GAS DAILY VOL DOWNLOAD'!$B192+$B192</f>
        <v>0.1</v>
      </c>
      <c r="G192" s="292" t="n">
        <f aca="false">'GAS DAILY VOL DOWNLOAD'!G192-'GAS DAILY VOL DOWNLOAD'!$B192+$B192</f>
        <v>0.25</v>
      </c>
      <c r="H192" s="292" t="n">
        <f aca="false">'GAS DAILY VOL DOWNLOAD'!H192-'GAS DAILY VOL DOWNLOAD'!$B192+$B192</f>
        <v>0</v>
      </c>
      <c r="I192" s="292" t="n">
        <f aca="false">'GAS DAILY VOL DOWNLOAD'!I192-'GAS DAILY VOL DOWNLOAD'!$B192+$B192</f>
        <v>0</v>
      </c>
      <c r="J192" s="292" t="n">
        <f aca="false">'GAS DAILY VOL DOWNLOAD'!J192-'GAS DAILY VOL DOWNLOAD'!$B192+$B192</f>
        <v>0.2</v>
      </c>
      <c r="K192" s="292" t="n">
        <f aca="false">'GAS DAILY VOL DOWNLOAD'!K192-'GAS DAILY VOL DOWNLOAD'!$B192+$B192</f>
        <v>0</v>
      </c>
      <c r="L192" s="292" t="n">
        <f aca="false">'GAS DAILY VOL DOWNLOAD'!L192-'GAS DAILY VOL DOWNLOAD'!$B192+$B192</f>
        <v>0</v>
      </c>
      <c r="M192" s="292" t="n">
        <f aca="false">'GAS DAILY VOL DOWNLOAD'!M192-'GAS DAILY VOL DOWNLOAD'!$B192+$B192</f>
        <v>0</v>
      </c>
      <c r="N192" s="292" t="n">
        <f aca="false">'GAS DAILY VOL DOWNLOAD'!N192-'GAS DAILY VOL DOWNLOAD'!$B192+$B192</f>
        <v>0.25</v>
      </c>
      <c r="O192" s="292" t="n">
        <f aca="false">'GAS DAILY VOL DOWNLOAD'!O192-'GAS DAILY VOL DOWNLOAD'!$B192+$B192</f>
        <v>0.15</v>
      </c>
      <c r="P192" s="292" t="n">
        <f aca="false">'GAS DAILY VOL DOWNLOAD'!P192-'GAS DAILY VOL DOWNLOAD'!$B192+$B192</f>
        <v>0.1</v>
      </c>
      <c r="Q192" s="292" t="n">
        <f aca="false">'GAS DAILY VOL DOWNLOAD'!Q192-'GAS DAILY VOL DOWNLOAD'!$B192+$B192</f>
        <v>0</v>
      </c>
    </row>
    <row r="193" customFormat="false" ht="12.75" hidden="false" customHeight="false" outlineLevel="0" collapsed="false">
      <c r="A193" s="317" t="n">
        <v>42826</v>
      </c>
      <c r="B193" s="292" t="n">
        <f aca="false">STRADDLES!L215</f>
        <v>0</v>
      </c>
      <c r="C193" s="292" t="n">
        <f aca="false">'GAS DAILY VOL DOWNLOAD'!C193-'GAS DAILY VOL DOWNLOAD'!$B193+$B193</f>
        <v>0.05</v>
      </c>
      <c r="D193" s="292" t="n">
        <f aca="false">'GAS DAILY VOL DOWNLOAD'!D193-'GAS DAILY VOL DOWNLOAD'!$B193+$B193</f>
        <v>0</v>
      </c>
      <c r="E193" s="292" t="n">
        <f aca="false">'GAS DAILY VOL DOWNLOAD'!E193-'GAS DAILY VOL DOWNLOAD'!$B193+$B193</f>
        <v>0.05</v>
      </c>
      <c r="F193" s="292" t="n">
        <f aca="false">'GAS DAILY VOL DOWNLOAD'!F193-'GAS DAILY VOL DOWNLOAD'!$B193+$B193</f>
        <v>0.05</v>
      </c>
      <c r="G193" s="292" t="n">
        <f aca="false">'GAS DAILY VOL DOWNLOAD'!G193-'GAS DAILY VOL DOWNLOAD'!$B193+$B193</f>
        <v>0.05</v>
      </c>
      <c r="H193" s="292" t="n">
        <f aca="false">'GAS DAILY VOL DOWNLOAD'!H193-'GAS DAILY VOL DOWNLOAD'!$B193+$B193</f>
        <v>0.05</v>
      </c>
      <c r="I193" s="292" t="n">
        <f aca="false">'GAS DAILY VOL DOWNLOAD'!I193-'GAS DAILY VOL DOWNLOAD'!$B193+$B193</f>
        <v>0.05</v>
      </c>
      <c r="J193" s="292" t="n">
        <f aca="false">'GAS DAILY VOL DOWNLOAD'!J193-'GAS DAILY VOL DOWNLOAD'!$B193+$B193</f>
        <v>0.1</v>
      </c>
      <c r="K193" s="292" t="n">
        <f aca="false">'GAS DAILY VOL DOWNLOAD'!K193-'GAS DAILY VOL DOWNLOAD'!$B193+$B193</f>
        <v>0</v>
      </c>
      <c r="L193" s="292" t="n">
        <f aca="false">'GAS DAILY VOL DOWNLOAD'!L193-'GAS DAILY VOL DOWNLOAD'!$B193+$B193</f>
        <v>0.05</v>
      </c>
      <c r="M193" s="292" t="n">
        <f aca="false">'GAS DAILY VOL DOWNLOAD'!M193-'GAS DAILY VOL DOWNLOAD'!$B193+$B193</f>
        <v>0</v>
      </c>
      <c r="N193" s="292" t="n">
        <f aca="false">'GAS DAILY VOL DOWNLOAD'!N193-'GAS DAILY VOL DOWNLOAD'!$B193+$B193</f>
        <v>0.05</v>
      </c>
      <c r="O193" s="292" t="n">
        <f aca="false">'GAS DAILY VOL DOWNLOAD'!O193-'GAS DAILY VOL DOWNLOAD'!$B193+$B193</f>
        <v>0.15</v>
      </c>
      <c r="P193" s="292" t="n">
        <f aca="false">'GAS DAILY VOL DOWNLOAD'!P193-'GAS DAILY VOL DOWNLOAD'!$B193+$B193</f>
        <v>0.15</v>
      </c>
      <c r="Q193" s="292" t="n">
        <f aca="false">'GAS DAILY VOL DOWNLOAD'!Q193-'GAS DAILY VOL DOWNLOAD'!$B193+$B193</f>
        <v>0</v>
      </c>
    </row>
    <row r="194" customFormat="false" ht="12.75" hidden="false" customHeight="false" outlineLevel="0" collapsed="false">
      <c r="A194" s="317" t="n">
        <v>42856</v>
      </c>
      <c r="B194" s="292" t="n">
        <f aca="false">STRADDLES!L216</f>
        <v>0</v>
      </c>
      <c r="C194" s="292" t="n">
        <f aca="false">'GAS DAILY VOL DOWNLOAD'!C194-'GAS DAILY VOL DOWNLOAD'!$B194+$B194</f>
        <v>0.05</v>
      </c>
      <c r="D194" s="292" t="n">
        <f aca="false">'GAS DAILY VOL DOWNLOAD'!D194-'GAS DAILY VOL DOWNLOAD'!$B194+$B194</f>
        <v>-0.05</v>
      </c>
      <c r="E194" s="292" t="n">
        <f aca="false">'GAS DAILY VOL DOWNLOAD'!E194-'GAS DAILY VOL DOWNLOAD'!$B194+$B194</f>
        <v>-0.05</v>
      </c>
      <c r="F194" s="292" t="n">
        <f aca="false">'GAS DAILY VOL DOWNLOAD'!F194-'GAS DAILY VOL DOWNLOAD'!$B194+$B194</f>
        <v>0</v>
      </c>
      <c r="G194" s="292" t="n">
        <f aca="false">'GAS DAILY VOL DOWNLOAD'!G194-'GAS DAILY VOL DOWNLOAD'!$B194+$B194</f>
        <v>0.05</v>
      </c>
      <c r="H194" s="292" t="n">
        <f aca="false">'GAS DAILY VOL DOWNLOAD'!H194-'GAS DAILY VOL DOWNLOAD'!$B194+$B194</f>
        <v>0</v>
      </c>
      <c r="I194" s="292" t="n">
        <f aca="false">'GAS DAILY VOL DOWNLOAD'!I194-'GAS DAILY VOL DOWNLOAD'!$B194+$B194</f>
        <v>-0.05</v>
      </c>
      <c r="J194" s="292" t="n">
        <f aca="false">'GAS DAILY VOL DOWNLOAD'!J194-'GAS DAILY VOL DOWNLOAD'!$B194+$B194</f>
        <v>0</v>
      </c>
      <c r="K194" s="292" t="n">
        <f aca="false">'GAS DAILY VOL DOWNLOAD'!K194-'GAS DAILY VOL DOWNLOAD'!$B194+$B194</f>
        <v>0</v>
      </c>
      <c r="L194" s="292" t="n">
        <f aca="false">'GAS DAILY VOL DOWNLOAD'!L194-'GAS DAILY VOL DOWNLOAD'!$B194+$B194</f>
        <v>0.05</v>
      </c>
      <c r="M194" s="292" t="n">
        <f aca="false">'GAS DAILY VOL DOWNLOAD'!M194-'GAS DAILY VOL DOWNLOAD'!$B194+$B194</f>
        <v>0</v>
      </c>
      <c r="N194" s="292" t="n">
        <f aca="false">'GAS DAILY VOL DOWNLOAD'!N194-'GAS DAILY VOL DOWNLOAD'!$B194+$B194</f>
        <v>0.05</v>
      </c>
      <c r="O194" s="292" t="n">
        <f aca="false">'GAS DAILY VOL DOWNLOAD'!O194-'GAS DAILY VOL DOWNLOAD'!$B194+$B194</f>
        <v>0.15</v>
      </c>
      <c r="P194" s="292" t="n">
        <f aca="false">'GAS DAILY VOL DOWNLOAD'!P194-'GAS DAILY VOL DOWNLOAD'!$B194+$B194</f>
        <v>0.05</v>
      </c>
      <c r="Q194" s="292" t="n">
        <f aca="false">'GAS DAILY VOL DOWNLOAD'!Q194-'GAS DAILY VOL DOWNLOAD'!$B194+$B194</f>
        <v>0</v>
      </c>
    </row>
    <row r="195" customFormat="false" ht="12.75" hidden="false" customHeight="false" outlineLevel="0" collapsed="false">
      <c r="A195" s="317" t="n">
        <v>42887</v>
      </c>
      <c r="B195" s="292" t="n">
        <f aca="false">STRADDLES!L217</f>
        <v>0</v>
      </c>
      <c r="C195" s="292" t="n">
        <f aca="false">'GAS DAILY VOL DOWNLOAD'!C195-'GAS DAILY VOL DOWNLOAD'!$B195+$B195</f>
        <v>0.05</v>
      </c>
      <c r="D195" s="292" t="n">
        <f aca="false">'GAS DAILY VOL DOWNLOAD'!D195-'GAS DAILY VOL DOWNLOAD'!$B195+$B195</f>
        <v>-0.05</v>
      </c>
      <c r="E195" s="292" t="n">
        <f aca="false">'GAS DAILY VOL DOWNLOAD'!E195-'GAS DAILY VOL DOWNLOAD'!$B195+$B195</f>
        <v>0.05</v>
      </c>
      <c r="F195" s="292" t="n">
        <f aca="false">'GAS DAILY VOL DOWNLOAD'!F195-'GAS DAILY VOL DOWNLOAD'!$B195+$B195</f>
        <v>0</v>
      </c>
      <c r="G195" s="292" t="n">
        <f aca="false">'GAS DAILY VOL DOWNLOAD'!G195-'GAS DAILY VOL DOWNLOAD'!$B195+$B195</f>
        <v>0.05</v>
      </c>
      <c r="H195" s="292" t="n">
        <f aca="false">'GAS DAILY VOL DOWNLOAD'!H195-'GAS DAILY VOL DOWNLOAD'!$B195+$B195</f>
        <v>0.05</v>
      </c>
      <c r="I195" s="292" t="n">
        <f aca="false">'GAS DAILY VOL DOWNLOAD'!I195-'GAS DAILY VOL DOWNLOAD'!$B195+$B195</f>
        <v>0.05</v>
      </c>
      <c r="J195" s="292" t="n">
        <f aca="false">'GAS DAILY VOL DOWNLOAD'!J195-'GAS DAILY VOL DOWNLOAD'!$B195+$B195</f>
        <v>0.05</v>
      </c>
      <c r="K195" s="292" t="n">
        <f aca="false">'GAS DAILY VOL DOWNLOAD'!K195-'GAS DAILY VOL DOWNLOAD'!$B195+$B195</f>
        <v>0</v>
      </c>
      <c r="L195" s="292" t="n">
        <f aca="false">'GAS DAILY VOL DOWNLOAD'!L195-'GAS DAILY VOL DOWNLOAD'!$B195+$B195</f>
        <v>0.05</v>
      </c>
      <c r="M195" s="292" t="n">
        <f aca="false">'GAS DAILY VOL DOWNLOAD'!M195-'GAS DAILY VOL DOWNLOAD'!$B195+$B195</f>
        <v>0</v>
      </c>
      <c r="N195" s="292" t="n">
        <f aca="false">'GAS DAILY VOL DOWNLOAD'!N195-'GAS DAILY VOL DOWNLOAD'!$B195+$B195</f>
        <v>0.05</v>
      </c>
      <c r="O195" s="292" t="n">
        <f aca="false">'GAS DAILY VOL DOWNLOAD'!O195-'GAS DAILY VOL DOWNLOAD'!$B195+$B195</f>
        <v>0.15</v>
      </c>
      <c r="P195" s="292" t="n">
        <f aca="false">'GAS DAILY VOL DOWNLOAD'!P195-'GAS DAILY VOL DOWNLOAD'!$B195+$B195</f>
        <v>0.15</v>
      </c>
      <c r="Q195" s="292" t="n">
        <f aca="false">'GAS DAILY VOL DOWNLOAD'!Q195-'GAS DAILY VOL DOWNLOAD'!$B195+$B195</f>
        <v>0</v>
      </c>
    </row>
    <row r="196" customFormat="false" ht="12.75" hidden="false" customHeight="false" outlineLevel="0" collapsed="false">
      <c r="A196" s="317" t="n">
        <v>42917</v>
      </c>
      <c r="B196" s="292" t="n">
        <f aca="false">STRADDLES!L218</f>
        <v>0</v>
      </c>
      <c r="C196" s="292" t="n">
        <f aca="false">'GAS DAILY VOL DOWNLOAD'!C196-'GAS DAILY VOL DOWNLOAD'!$B196+$B196</f>
        <v>0</v>
      </c>
      <c r="D196" s="292" t="n">
        <f aca="false">'GAS DAILY VOL DOWNLOAD'!D196-'GAS DAILY VOL DOWNLOAD'!$B196+$B196</f>
        <v>-0.1</v>
      </c>
      <c r="E196" s="292" t="n">
        <f aca="false">'GAS DAILY VOL DOWNLOAD'!E196-'GAS DAILY VOL DOWNLOAD'!$B196+$B196</f>
        <v>0</v>
      </c>
      <c r="F196" s="292" t="n">
        <f aca="false">'GAS DAILY VOL DOWNLOAD'!F196-'GAS DAILY VOL DOWNLOAD'!$B196+$B196</f>
        <v>0</v>
      </c>
      <c r="G196" s="292" t="n">
        <f aca="false">'GAS DAILY VOL DOWNLOAD'!G196-'GAS DAILY VOL DOWNLOAD'!$B196+$B196</f>
        <v>0</v>
      </c>
      <c r="H196" s="292" t="n">
        <f aca="false">'GAS DAILY VOL DOWNLOAD'!H196-'GAS DAILY VOL DOWNLOAD'!$B196+$B196</f>
        <v>0</v>
      </c>
      <c r="I196" s="292" t="n">
        <f aca="false">'GAS DAILY VOL DOWNLOAD'!I196-'GAS DAILY VOL DOWNLOAD'!$B196+$B196</f>
        <v>0</v>
      </c>
      <c r="J196" s="292" t="n">
        <f aca="false">'GAS DAILY VOL DOWNLOAD'!J196-'GAS DAILY VOL DOWNLOAD'!$B196+$B196</f>
        <v>0</v>
      </c>
      <c r="K196" s="292" t="n">
        <f aca="false">'GAS DAILY VOL DOWNLOAD'!K196-'GAS DAILY VOL DOWNLOAD'!$B196+$B196</f>
        <v>0</v>
      </c>
      <c r="L196" s="292" t="n">
        <f aca="false">'GAS DAILY VOL DOWNLOAD'!L196-'GAS DAILY VOL DOWNLOAD'!$B196+$B196</f>
        <v>0.05</v>
      </c>
      <c r="M196" s="292" t="n">
        <f aca="false">'GAS DAILY VOL DOWNLOAD'!M196-'GAS DAILY VOL DOWNLOAD'!$B196+$B196</f>
        <v>0</v>
      </c>
      <c r="N196" s="292" t="n">
        <f aca="false">'GAS DAILY VOL DOWNLOAD'!N196-'GAS DAILY VOL DOWNLOAD'!$B196+$B196</f>
        <v>0</v>
      </c>
      <c r="O196" s="292" t="n">
        <f aca="false">'GAS DAILY VOL DOWNLOAD'!O196-'GAS DAILY VOL DOWNLOAD'!$B196+$B196</f>
        <v>0.15</v>
      </c>
      <c r="P196" s="292" t="n">
        <f aca="false">'GAS DAILY VOL DOWNLOAD'!P196-'GAS DAILY VOL DOWNLOAD'!$B196+$B196</f>
        <v>0.1</v>
      </c>
      <c r="Q196" s="292" t="n">
        <f aca="false">'GAS DAILY VOL DOWNLOAD'!Q196-'GAS DAILY VOL DOWNLOAD'!$B196+$B196</f>
        <v>0</v>
      </c>
    </row>
    <row r="197" customFormat="false" ht="12.75" hidden="false" customHeight="false" outlineLevel="0" collapsed="false">
      <c r="A197" s="317" t="n">
        <v>42948</v>
      </c>
      <c r="B197" s="292" t="n">
        <f aca="false">STRADDLES!L219</f>
        <v>0</v>
      </c>
      <c r="C197" s="292" t="n">
        <f aca="false">'GAS DAILY VOL DOWNLOAD'!C197-'GAS DAILY VOL DOWNLOAD'!$B197+$B197</f>
        <v>0</v>
      </c>
      <c r="D197" s="292" t="n">
        <f aca="false">'GAS DAILY VOL DOWNLOAD'!D197-'GAS DAILY VOL DOWNLOAD'!$B197+$B197</f>
        <v>-0.05</v>
      </c>
      <c r="E197" s="292" t="n">
        <f aca="false">'GAS DAILY VOL DOWNLOAD'!E197-'GAS DAILY VOL DOWNLOAD'!$B197+$B197</f>
        <v>0.0499999999999999</v>
      </c>
      <c r="F197" s="292" t="n">
        <f aca="false">'GAS DAILY VOL DOWNLOAD'!F197-'GAS DAILY VOL DOWNLOAD'!$B197+$B197</f>
        <v>0</v>
      </c>
      <c r="G197" s="292" t="n">
        <f aca="false">'GAS DAILY VOL DOWNLOAD'!G197-'GAS DAILY VOL DOWNLOAD'!$B197+$B197</f>
        <v>0.0499999999999999</v>
      </c>
      <c r="H197" s="292" t="n">
        <f aca="false">'GAS DAILY VOL DOWNLOAD'!H197-'GAS DAILY VOL DOWNLOAD'!$B197+$B197</f>
        <v>0</v>
      </c>
      <c r="I197" s="292" t="n">
        <f aca="false">'GAS DAILY VOL DOWNLOAD'!I197-'GAS DAILY VOL DOWNLOAD'!$B197+$B197</f>
        <v>0.0499999999999999</v>
      </c>
      <c r="J197" s="292" t="n">
        <f aca="false">'GAS DAILY VOL DOWNLOAD'!J197-'GAS DAILY VOL DOWNLOAD'!$B197+$B197</f>
        <v>-0.1</v>
      </c>
      <c r="K197" s="292" t="n">
        <f aca="false">'GAS DAILY VOL DOWNLOAD'!K197-'GAS DAILY VOL DOWNLOAD'!$B197+$B197</f>
        <v>0</v>
      </c>
      <c r="L197" s="292" t="n">
        <f aca="false">'GAS DAILY VOL DOWNLOAD'!L197-'GAS DAILY VOL DOWNLOAD'!$B197+$B197</f>
        <v>0.0499999999999999</v>
      </c>
      <c r="M197" s="292" t="n">
        <f aca="false">'GAS DAILY VOL DOWNLOAD'!M197-'GAS DAILY VOL DOWNLOAD'!$B197+$B197</f>
        <v>0</v>
      </c>
      <c r="N197" s="292" t="n">
        <f aca="false">'GAS DAILY VOL DOWNLOAD'!N197-'GAS DAILY VOL DOWNLOAD'!$B197+$B197</f>
        <v>0.0499999999999999</v>
      </c>
      <c r="O197" s="292" t="n">
        <f aca="false">'GAS DAILY VOL DOWNLOAD'!O197-'GAS DAILY VOL DOWNLOAD'!$B197+$B197</f>
        <v>0.15</v>
      </c>
      <c r="P197" s="292" t="n">
        <f aca="false">'GAS DAILY VOL DOWNLOAD'!P197-'GAS DAILY VOL DOWNLOAD'!$B197+$B197</f>
        <v>0.15</v>
      </c>
      <c r="Q197" s="292" t="n">
        <f aca="false">'GAS DAILY VOL DOWNLOAD'!Q197-'GAS DAILY VOL DOWNLOAD'!$B197+$B197</f>
        <v>0</v>
      </c>
    </row>
    <row r="198" customFormat="false" ht="12.75" hidden="false" customHeight="false" outlineLevel="0" collapsed="false">
      <c r="A198" s="317" t="n">
        <v>42979</v>
      </c>
      <c r="B198" s="292" t="n">
        <f aca="false">STRADDLES!L220</f>
        <v>0</v>
      </c>
      <c r="C198" s="292" t="n">
        <f aca="false">'GAS DAILY VOL DOWNLOAD'!C198-'GAS DAILY VOL DOWNLOAD'!$B198+$B198</f>
        <v>0</v>
      </c>
      <c r="D198" s="292" t="n">
        <f aca="false">'GAS DAILY VOL DOWNLOAD'!D198-'GAS DAILY VOL DOWNLOAD'!$B198+$B198</f>
        <v>0</v>
      </c>
      <c r="E198" s="292" t="n">
        <f aca="false">'GAS DAILY VOL DOWNLOAD'!E198-'GAS DAILY VOL DOWNLOAD'!$B198+$B198</f>
        <v>0</v>
      </c>
      <c r="F198" s="292" t="n">
        <f aca="false">'GAS DAILY VOL DOWNLOAD'!F198-'GAS DAILY VOL DOWNLOAD'!$B198+$B198</f>
        <v>0</v>
      </c>
      <c r="G198" s="292" t="n">
        <f aca="false">'GAS DAILY VOL DOWNLOAD'!G198-'GAS DAILY VOL DOWNLOAD'!$B198+$B198</f>
        <v>0.0499999999999999</v>
      </c>
      <c r="H198" s="292" t="n">
        <f aca="false">'GAS DAILY VOL DOWNLOAD'!H198-'GAS DAILY VOL DOWNLOAD'!$B198+$B198</f>
        <v>0.0499999999999999</v>
      </c>
      <c r="I198" s="292" t="n">
        <f aca="false">'GAS DAILY VOL DOWNLOAD'!I198-'GAS DAILY VOL DOWNLOAD'!$B198+$B198</f>
        <v>0</v>
      </c>
      <c r="J198" s="292" t="n">
        <f aca="false">'GAS DAILY VOL DOWNLOAD'!J198-'GAS DAILY VOL DOWNLOAD'!$B198+$B198</f>
        <v>-0.05</v>
      </c>
      <c r="K198" s="292" t="n">
        <f aca="false">'GAS DAILY VOL DOWNLOAD'!K198-'GAS DAILY VOL DOWNLOAD'!$B198+$B198</f>
        <v>0</v>
      </c>
      <c r="L198" s="292" t="n">
        <f aca="false">'GAS DAILY VOL DOWNLOAD'!L198-'GAS DAILY VOL DOWNLOAD'!$B198+$B198</f>
        <v>0.0499999999999999</v>
      </c>
      <c r="M198" s="292" t="n">
        <f aca="false">'GAS DAILY VOL DOWNLOAD'!M198-'GAS DAILY VOL DOWNLOAD'!$B198+$B198</f>
        <v>0</v>
      </c>
      <c r="N198" s="292" t="n">
        <f aca="false">'GAS DAILY VOL DOWNLOAD'!N198-'GAS DAILY VOL DOWNLOAD'!$B198+$B198</f>
        <v>0.0499999999999999</v>
      </c>
      <c r="O198" s="292" t="n">
        <f aca="false">'GAS DAILY VOL DOWNLOAD'!O198-'GAS DAILY VOL DOWNLOAD'!$B198+$B198</f>
        <v>0.15</v>
      </c>
      <c r="P198" s="292" t="n">
        <f aca="false">'GAS DAILY VOL DOWNLOAD'!P198-'GAS DAILY VOL DOWNLOAD'!$B198+$B198</f>
        <v>0.1</v>
      </c>
      <c r="Q198" s="292" t="n">
        <f aca="false">'GAS DAILY VOL DOWNLOAD'!Q198-'GAS DAILY VOL DOWNLOAD'!$B198+$B198</f>
        <v>0</v>
      </c>
    </row>
    <row r="199" customFormat="false" ht="12.75" hidden="false" customHeight="false" outlineLevel="0" collapsed="false">
      <c r="A199" s="317" t="n">
        <v>43009</v>
      </c>
      <c r="B199" s="292" t="n">
        <f aca="false">STRADDLES!L221</f>
        <v>0</v>
      </c>
      <c r="C199" s="292" t="n">
        <f aca="false">'GAS DAILY VOL DOWNLOAD'!C199-'GAS DAILY VOL DOWNLOAD'!$B199+$B199</f>
        <v>0</v>
      </c>
      <c r="D199" s="292" t="n">
        <f aca="false">'GAS DAILY VOL DOWNLOAD'!D199-'GAS DAILY VOL DOWNLOAD'!$B199+$B199</f>
        <v>-0.0499999999999999</v>
      </c>
      <c r="E199" s="292" t="n">
        <f aca="false">'GAS DAILY VOL DOWNLOAD'!E199-'GAS DAILY VOL DOWNLOAD'!$B199+$B199</f>
        <v>0</v>
      </c>
      <c r="F199" s="292" t="n">
        <f aca="false">'GAS DAILY VOL DOWNLOAD'!F199-'GAS DAILY VOL DOWNLOAD'!$B199+$B199</f>
        <v>0</v>
      </c>
      <c r="G199" s="292" t="n">
        <f aca="false">'GAS DAILY VOL DOWNLOAD'!G199-'GAS DAILY VOL DOWNLOAD'!$B199+$B199</f>
        <v>0.05</v>
      </c>
      <c r="H199" s="292" t="n">
        <f aca="false">'GAS DAILY VOL DOWNLOAD'!H199-'GAS DAILY VOL DOWNLOAD'!$B199+$B199</f>
        <v>0.05</v>
      </c>
      <c r="I199" s="292" t="n">
        <f aca="false">'GAS DAILY VOL DOWNLOAD'!I199-'GAS DAILY VOL DOWNLOAD'!$B199+$B199</f>
        <v>0</v>
      </c>
      <c r="J199" s="292" t="n">
        <f aca="false">'GAS DAILY VOL DOWNLOAD'!J199-'GAS DAILY VOL DOWNLOAD'!$B199+$B199</f>
        <v>-0.1</v>
      </c>
      <c r="K199" s="292" t="n">
        <f aca="false">'GAS DAILY VOL DOWNLOAD'!K199-'GAS DAILY VOL DOWNLOAD'!$B199+$B199</f>
        <v>0</v>
      </c>
      <c r="L199" s="292" t="n">
        <f aca="false">'GAS DAILY VOL DOWNLOAD'!L199-'GAS DAILY VOL DOWNLOAD'!$B199+$B199</f>
        <v>0.05</v>
      </c>
      <c r="M199" s="292" t="n">
        <f aca="false">'GAS DAILY VOL DOWNLOAD'!M199-'GAS DAILY VOL DOWNLOAD'!$B199+$B199</f>
        <v>0</v>
      </c>
      <c r="N199" s="292" t="n">
        <f aca="false">'GAS DAILY VOL DOWNLOAD'!N199-'GAS DAILY VOL DOWNLOAD'!$B199+$B199</f>
        <v>0.05</v>
      </c>
      <c r="O199" s="292" t="n">
        <f aca="false">'GAS DAILY VOL DOWNLOAD'!O199-'GAS DAILY VOL DOWNLOAD'!$B199+$B199</f>
        <v>0.15</v>
      </c>
      <c r="P199" s="292" t="n">
        <f aca="false">'GAS DAILY VOL DOWNLOAD'!P199-'GAS DAILY VOL DOWNLOAD'!$B199+$B199</f>
        <v>0.1</v>
      </c>
      <c r="Q199" s="292" t="n">
        <f aca="false">'GAS DAILY VOL DOWNLOAD'!Q199-'GAS DAILY VOL DOWNLOAD'!$B199+$B199</f>
        <v>0</v>
      </c>
    </row>
    <row r="200" customFormat="false" ht="12.75" hidden="false" customHeight="false" outlineLevel="0" collapsed="false">
      <c r="A200" s="317" t="n">
        <v>43040</v>
      </c>
      <c r="B200" s="292" t="n">
        <f aca="false">STRADDLES!L222</f>
        <v>0</v>
      </c>
      <c r="C200" s="292" t="n">
        <f aca="false">'GAS DAILY VOL DOWNLOAD'!C200-'GAS DAILY VOL DOWNLOAD'!$B200+$B200</f>
        <v>0.0499999999999999</v>
      </c>
      <c r="D200" s="292" t="n">
        <f aca="false">'GAS DAILY VOL DOWNLOAD'!D200-'GAS DAILY VOL DOWNLOAD'!$B200+$B200</f>
        <v>0</v>
      </c>
      <c r="E200" s="292" t="n">
        <f aca="false">'GAS DAILY VOL DOWNLOAD'!E200-'GAS DAILY VOL DOWNLOAD'!$B200+$B200</f>
        <v>0</v>
      </c>
      <c r="F200" s="292" t="n">
        <f aca="false">'GAS DAILY VOL DOWNLOAD'!F200-'GAS DAILY VOL DOWNLOAD'!$B200+$B200</f>
        <v>0.1</v>
      </c>
      <c r="G200" s="292" t="n">
        <f aca="false">'GAS DAILY VOL DOWNLOAD'!G200-'GAS DAILY VOL DOWNLOAD'!$B200+$B200</f>
        <v>0.15</v>
      </c>
      <c r="H200" s="292" t="n">
        <f aca="false">'GAS DAILY VOL DOWNLOAD'!H200-'GAS DAILY VOL DOWNLOAD'!$B200+$B200</f>
        <v>0.0499999999999999</v>
      </c>
      <c r="I200" s="292" t="n">
        <f aca="false">'GAS DAILY VOL DOWNLOAD'!I200-'GAS DAILY VOL DOWNLOAD'!$B200+$B200</f>
        <v>0</v>
      </c>
      <c r="J200" s="292" t="n">
        <f aca="false">'GAS DAILY VOL DOWNLOAD'!J200-'GAS DAILY VOL DOWNLOAD'!$B200+$B200</f>
        <v>0.15</v>
      </c>
      <c r="K200" s="292" t="n">
        <f aca="false">'GAS DAILY VOL DOWNLOAD'!K200-'GAS DAILY VOL DOWNLOAD'!$B200+$B200</f>
        <v>0</v>
      </c>
      <c r="L200" s="292" t="n">
        <f aca="false">'GAS DAILY VOL DOWNLOAD'!L200-'GAS DAILY VOL DOWNLOAD'!$B200+$B200</f>
        <v>0</v>
      </c>
      <c r="M200" s="292" t="n">
        <f aca="false">'GAS DAILY VOL DOWNLOAD'!M200-'GAS DAILY VOL DOWNLOAD'!$B200+$B200</f>
        <v>0</v>
      </c>
      <c r="N200" s="292" t="n">
        <f aca="false">'GAS DAILY VOL DOWNLOAD'!N200-'GAS DAILY VOL DOWNLOAD'!$B200+$B200</f>
        <v>0.15</v>
      </c>
      <c r="O200" s="292" t="n">
        <f aca="false">'GAS DAILY VOL DOWNLOAD'!O200-'GAS DAILY VOL DOWNLOAD'!$B200+$B200</f>
        <v>0.15</v>
      </c>
      <c r="P200" s="292" t="n">
        <f aca="false">'GAS DAILY VOL DOWNLOAD'!P200-'GAS DAILY VOL DOWNLOAD'!$B200+$B200</f>
        <v>0.1</v>
      </c>
      <c r="Q200" s="292" t="n">
        <f aca="false">'GAS DAILY VOL DOWNLOAD'!Q200-'GAS DAILY VOL DOWNLOAD'!$B200+$B200</f>
        <v>0</v>
      </c>
    </row>
    <row r="201" customFormat="false" ht="12.75" hidden="false" customHeight="false" outlineLevel="0" collapsed="false">
      <c r="A201" s="317" t="n">
        <v>43070</v>
      </c>
      <c r="B201" s="292" t="n">
        <f aca="false">STRADDLES!L223</f>
        <v>0</v>
      </c>
      <c r="C201" s="292" t="n">
        <f aca="false">'GAS DAILY VOL DOWNLOAD'!C201-'GAS DAILY VOL DOWNLOAD'!$B201+$B201</f>
        <v>0.05</v>
      </c>
      <c r="D201" s="292" t="n">
        <f aca="false">'GAS DAILY VOL DOWNLOAD'!D201-'GAS DAILY VOL DOWNLOAD'!$B201+$B201</f>
        <v>0</v>
      </c>
      <c r="E201" s="292" t="n">
        <f aca="false">'GAS DAILY VOL DOWNLOAD'!E201-'GAS DAILY VOL DOWNLOAD'!$B201+$B201</f>
        <v>0</v>
      </c>
      <c r="F201" s="292" t="n">
        <f aca="false">'GAS DAILY VOL DOWNLOAD'!F201-'GAS DAILY VOL DOWNLOAD'!$B201+$B201</f>
        <v>0.15</v>
      </c>
      <c r="G201" s="292" t="n">
        <f aca="false">'GAS DAILY VOL DOWNLOAD'!G201-'GAS DAILY VOL DOWNLOAD'!$B201+$B201</f>
        <v>0.25</v>
      </c>
      <c r="H201" s="292" t="n">
        <f aca="false">'GAS DAILY VOL DOWNLOAD'!H201-'GAS DAILY VOL DOWNLOAD'!$B201+$B201</f>
        <v>0.05</v>
      </c>
      <c r="I201" s="292" t="n">
        <f aca="false">'GAS DAILY VOL DOWNLOAD'!I201-'GAS DAILY VOL DOWNLOAD'!$B201+$B201</f>
        <v>0</v>
      </c>
      <c r="J201" s="292" t="n">
        <f aca="false">'GAS DAILY VOL DOWNLOAD'!J201-'GAS DAILY VOL DOWNLOAD'!$B201+$B201</f>
        <v>0.35</v>
      </c>
      <c r="K201" s="292" t="n">
        <f aca="false">'GAS DAILY VOL DOWNLOAD'!K201-'GAS DAILY VOL DOWNLOAD'!$B201+$B201</f>
        <v>0</v>
      </c>
      <c r="L201" s="292" t="n">
        <f aca="false">'GAS DAILY VOL DOWNLOAD'!L201-'GAS DAILY VOL DOWNLOAD'!$B201+$B201</f>
        <v>0.1</v>
      </c>
      <c r="M201" s="292" t="n">
        <f aca="false">'GAS DAILY VOL DOWNLOAD'!M201-'GAS DAILY VOL DOWNLOAD'!$B201+$B201</f>
        <v>0</v>
      </c>
      <c r="N201" s="292" t="n">
        <f aca="false">'GAS DAILY VOL DOWNLOAD'!N201-'GAS DAILY VOL DOWNLOAD'!$B201+$B201</f>
        <v>0.25</v>
      </c>
      <c r="O201" s="292" t="n">
        <f aca="false">'GAS DAILY VOL DOWNLOAD'!O201-'GAS DAILY VOL DOWNLOAD'!$B201+$B201</f>
        <v>0.15</v>
      </c>
      <c r="P201" s="292" t="n">
        <f aca="false">'GAS DAILY VOL DOWNLOAD'!P201-'GAS DAILY VOL DOWNLOAD'!$B201+$B201</f>
        <v>0.1</v>
      </c>
      <c r="Q201" s="292" t="n">
        <f aca="false">'GAS DAILY VOL DOWNLOAD'!Q201-'GAS DAILY VOL DOWNLOAD'!$B201+$B201</f>
        <v>0</v>
      </c>
    </row>
    <row r="202" customFormat="false" ht="12.75" hidden="false" customHeight="false" outlineLevel="0" collapsed="false">
      <c r="A202" s="317" t="n">
        <v>43101</v>
      </c>
      <c r="B202" s="292" t="n">
        <f aca="false">STRADDLES!L224</f>
        <v>0</v>
      </c>
      <c r="C202" s="292" t="n">
        <f aca="false">'GAS DAILY VOL DOWNLOAD'!C202-'GAS DAILY VOL DOWNLOAD'!$B202+$B202</f>
        <v>0.05</v>
      </c>
      <c r="D202" s="292" t="n">
        <f aca="false">'GAS DAILY VOL DOWNLOAD'!D202-'GAS DAILY VOL DOWNLOAD'!$B202+$B202</f>
        <v>0</v>
      </c>
      <c r="E202" s="292" t="n">
        <f aca="false">'GAS DAILY VOL DOWNLOAD'!E202-'GAS DAILY VOL DOWNLOAD'!$B202+$B202</f>
        <v>0</v>
      </c>
      <c r="F202" s="292" t="n">
        <f aca="false">'GAS DAILY VOL DOWNLOAD'!F202-'GAS DAILY VOL DOWNLOAD'!$B202+$B202</f>
        <v>0.15</v>
      </c>
      <c r="G202" s="292" t="n">
        <f aca="false">'GAS DAILY VOL DOWNLOAD'!G202-'GAS DAILY VOL DOWNLOAD'!$B202+$B202</f>
        <v>0.45</v>
      </c>
      <c r="H202" s="292" t="n">
        <f aca="false">'GAS DAILY VOL DOWNLOAD'!H202-'GAS DAILY VOL DOWNLOAD'!$B202+$B202</f>
        <v>0.05</v>
      </c>
      <c r="I202" s="292" t="n">
        <f aca="false">'GAS DAILY VOL DOWNLOAD'!I202-'GAS DAILY VOL DOWNLOAD'!$B202+$B202</f>
        <v>0</v>
      </c>
      <c r="J202" s="292" t="n">
        <f aca="false">'GAS DAILY VOL DOWNLOAD'!J202-'GAS DAILY VOL DOWNLOAD'!$B202+$B202</f>
        <v>0.35</v>
      </c>
      <c r="K202" s="292" t="n">
        <f aca="false">'GAS DAILY VOL DOWNLOAD'!K202-'GAS DAILY VOL DOWNLOAD'!$B202+$B202</f>
        <v>0</v>
      </c>
      <c r="L202" s="292" t="n">
        <f aca="false">'GAS DAILY VOL DOWNLOAD'!L202-'GAS DAILY VOL DOWNLOAD'!$B202+$B202</f>
        <v>0.1</v>
      </c>
      <c r="M202" s="292" t="n">
        <f aca="false">'GAS DAILY VOL DOWNLOAD'!M202-'GAS DAILY VOL DOWNLOAD'!$B202+$B202</f>
        <v>0</v>
      </c>
      <c r="N202" s="292" t="n">
        <f aca="false">'GAS DAILY VOL DOWNLOAD'!N202-'GAS DAILY VOL DOWNLOAD'!$B202+$B202</f>
        <v>0.45</v>
      </c>
      <c r="O202" s="292" t="n">
        <f aca="false">'GAS DAILY VOL DOWNLOAD'!O202-'GAS DAILY VOL DOWNLOAD'!$B202+$B202</f>
        <v>0.15</v>
      </c>
      <c r="P202" s="292" t="n">
        <f aca="false">'GAS DAILY VOL DOWNLOAD'!P202-'GAS DAILY VOL DOWNLOAD'!$B202+$B202</f>
        <v>0.1</v>
      </c>
      <c r="Q202" s="292" t="n">
        <f aca="false">'GAS DAILY VOL DOWNLOAD'!Q202-'GAS DAILY VOL DOWNLOAD'!$B202+$B202</f>
        <v>0</v>
      </c>
    </row>
    <row r="203" customFormat="false" ht="12.75" hidden="false" customHeight="false" outlineLevel="0" collapsed="false">
      <c r="A203" s="317" t="n">
        <v>43132</v>
      </c>
      <c r="B203" s="292" t="n">
        <f aca="false">STRADDLES!L225</f>
        <v>0</v>
      </c>
      <c r="C203" s="292" t="n">
        <f aca="false">'GAS DAILY VOL DOWNLOAD'!C203-'GAS DAILY VOL DOWNLOAD'!$B203+$B203</f>
        <v>0.05</v>
      </c>
      <c r="D203" s="292" t="n">
        <f aca="false">'GAS DAILY VOL DOWNLOAD'!D203-'GAS DAILY VOL DOWNLOAD'!$B203+$B203</f>
        <v>0</v>
      </c>
      <c r="E203" s="292" t="n">
        <f aca="false">'GAS DAILY VOL DOWNLOAD'!E203-'GAS DAILY VOL DOWNLOAD'!$B203+$B203</f>
        <v>0</v>
      </c>
      <c r="F203" s="292" t="n">
        <f aca="false">'GAS DAILY VOL DOWNLOAD'!F203-'GAS DAILY VOL DOWNLOAD'!$B203+$B203</f>
        <v>0.15</v>
      </c>
      <c r="G203" s="292" t="n">
        <f aca="false">'GAS DAILY VOL DOWNLOAD'!G203-'GAS DAILY VOL DOWNLOAD'!$B203+$B203</f>
        <v>0.45</v>
      </c>
      <c r="H203" s="292" t="n">
        <f aca="false">'GAS DAILY VOL DOWNLOAD'!H203-'GAS DAILY VOL DOWNLOAD'!$B203+$B203</f>
        <v>0.05</v>
      </c>
      <c r="I203" s="292" t="n">
        <f aca="false">'GAS DAILY VOL DOWNLOAD'!I203-'GAS DAILY VOL DOWNLOAD'!$B203+$B203</f>
        <v>0</v>
      </c>
      <c r="J203" s="292" t="n">
        <f aca="false">'GAS DAILY VOL DOWNLOAD'!J203-'GAS DAILY VOL DOWNLOAD'!$B203+$B203</f>
        <v>0.35</v>
      </c>
      <c r="K203" s="292" t="n">
        <f aca="false">'GAS DAILY VOL DOWNLOAD'!K203-'GAS DAILY VOL DOWNLOAD'!$B203+$B203</f>
        <v>0</v>
      </c>
      <c r="L203" s="292" t="n">
        <f aca="false">'GAS DAILY VOL DOWNLOAD'!L203-'GAS DAILY VOL DOWNLOAD'!$B203+$B203</f>
        <v>0.1</v>
      </c>
      <c r="M203" s="292" t="n">
        <f aca="false">'GAS DAILY VOL DOWNLOAD'!M203-'GAS DAILY VOL DOWNLOAD'!$B203+$B203</f>
        <v>0</v>
      </c>
      <c r="N203" s="292" t="n">
        <f aca="false">'GAS DAILY VOL DOWNLOAD'!N203-'GAS DAILY VOL DOWNLOAD'!$B203+$B203</f>
        <v>0.45</v>
      </c>
      <c r="O203" s="292" t="n">
        <f aca="false">'GAS DAILY VOL DOWNLOAD'!O203-'GAS DAILY VOL DOWNLOAD'!$B203+$B203</f>
        <v>0.15</v>
      </c>
      <c r="P203" s="292" t="n">
        <f aca="false">'GAS DAILY VOL DOWNLOAD'!P203-'GAS DAILY VOL DOWNLOAD'!$B203+$B203</f>
        <v>0.1</v>
      </c>
      <c r="Q203" s="292" t="n">
        <f aca="false">'GAS DAILY VOL DOWNLOAD'!Q203-'GAS DAILY VOL DOWNLOAD'!$B203+$B203</f>
        <v>0</v>
      </c>
    </row>
    <row r="204" customFormat="false" ht="12.75" hidden="false" customHeight="false" outlineLevel="0" collapsed="false">
      <c r="A204" s="317" t="n">
        <v>43160</v>
      </c>
      <c r="B204" s="292" t="n">
        <f aca="false">STRADDLES!L226</f>
        <v>0</v>
      </c>
      <c r="C204" s="292" t="n">
        <f aca="false">'GAS DAILY VOL DOWNLOAD'!C204-'GAS DAILY VOL DOWNLOAD'!$B204+$B204</f>
        <v>0.05</v>
      </c>
      <c r="D204" s="292" t="n">
        <f aca="false">'GAS DAILY VOL DOWNLOAD'!D204-'GAS DAILY VOL DOWNLOAD'!$B204+$B204</f>
        <v>0</v>
      </c>
      <c r="E204" s="292" t="n">
        <f aca="false">'GAS DAILY VOL DOWNLOAD'!E204-'GAS DAILY VOL DOWNLOAD'!$B204+$B204</f>
        <v>0</v>
      </c>
      <c r="F204" s="292" t="n">
        <f aca="false">'GAS DAILY VOL DOWNLOAD'!F204-'GAS DAILY VOL DOWNLOAD'!$B204+$B204</f>
        <v>0.1</v>
      </c>
      <c r="G204" s="292" t="n">
        <f aca="false">'GAS DAILY VOL DOWNLOAD'!G204-'GAS DAILY VOL DOWNLOAD'!$B204+$B204</f>
        <v>0.25</v>
      </c>
      <c r="H204" s="292" t="n">
        <f aca="false">'GAS DAILY VOL DOWNLOAD'!H204-'GAS DAILY VOL DOWNLOAD'!$B204+$B204</f>
        <v>0</v>
      </c>
      <c r="I204" s="292" t="n">
        <f aca="false">'GAS DAILY VOL DOWNLOAD'!I204-'GAS DAILY VOL DOWNLOAD'!$B204+$B204</f>
        <v>0</v>
      </c>
      <c r="J204" s="292" t="n">
        <f aca="false">'GAS DAILY VOL DOWNLOAD'!J204-'GAS DAILY VOL DOWNLOAD'!$B204+$B204</f>
        <v>0.2</v>
      </c>
      <c r="K204" s="292" t="n">
        <f aca="false">'GAS DAILY VOL DOWNLOAD'!K204-'GAS DAILY VOL DOWNLOAD'!$B204+$B204</f>
        <v>0</v>
      </c>
      <c r="L204" s="292" t="n">
        <f aca="false">'GAS DAILY VOL DOWNLOAD'!L204-'GAS DAILY VOL DOWNLOAD'!$B204+$B204</f>
        <v>0</v>
      </c>
      <c r="M204" s="292" t="n">
        <f aca="false">'GAS DAILY VOL DOWNLOAD'!M204-'GAS DAILY VOL DOWNLOAD'!$B204+$B204</f>
        <v>0</v>
      </c>
      <c r="N204" s="292" t="n">
        <f aca="false">'GAS DAILY VOL DOWNLOAD'!N204-'GAS DAILY VOL DOWNLOAD'!$B204+$B204</f>
        <v>0.25</v>
      </c>
      <c r="O204" s="292" t="n">
        <f aca="false">'GAS DAILY VOL DOWNLOAD'!O204-'GAS DAILY VOL DOWNLOAD'!$B204+$B204</f>
        <v>0.15</v>
      </c>
      <c r="P204" s="292" t="n">
        <f aca="false">'GAS DAILY VOL DOWNLOAD'!P204-'GAS DAILY VOL DOWNLOAD'!$B204+$B204</f>
        <v>0.1</v>
      </c>
      <c r="Q204" s="292" t="n">
        <f aca="false">'GAS DAILY VOL DOWNLOAD'!Q204-'GAS DAILY VOL DOWNLOAD'!$B204+$B204</f>
        <v>0</v>
      </c>
    </row>
    <row r="205" customFormat="false" ht="12.75" hidden="false" customHeight="false" outlineLevel="0" collapsed="false">
      <c r="A205" s="317" t="n">
        <v>43191</v>
      </c>
      <c r="B205" s="292" t="n">
        <f aca="false">STRADDLES!L227</f>
        <v>0</v>
      </c>
      <c r="C205" s="292" t="n">
        <f aca="false">'GAS DAILY VOL DOWNLOAD'!C205-'GAS DAILY VOL DOWNLOAD'!$B205+$B205</f>
        <v>0.05</v>
      </c>
      <c r="D205" s="292" t="n">
        <f aca="false">'GAS DAILY VOL DOWNLOAD'!D205-'GAS DAILY VOL DOWNLOAD'!$B205+$B205</f>
        <v>0</v>
      </c>
      <c r="E205" s="292" t="n">
        <f aca="false">'GAS DAILY VOL DOWNLOAD'!E205-'GAS DAILY VOL DOWNLOAD'!$B205+$B205</f>
        <v>0.05</v>
      </c>
      <c r="F205" s="292" t="n">
        <f aca="false">'GAS DAILY VOL DOWNLOAD'!F205-'GAS DAILY VOL DOWNLOAD'!$B205+$B205</f>
        <v>0.05</v>
      </c>
      <c r="G205" s="292" t="n">
        <f aca="false">'GAS DAILY VOL DOWNLOAD'!G205-'GAS DAILY VOL DOWNLOAD'!$B205+$B205</f>
        <v>0.05</v>
      </c>
      <c r="H205" s="292" t="n">
        <f aca="false">'GAS DAILY VOL DOWNLOAD'!H205-'GAS DAILY VOL DOWNLOAD'!$B205+$B205</f>
        <v>0.05</v>
      </c>
      <c r="I205" s="292" t="n">
        <f aca="false">'GAS DAILY VOL DOWNLOAD'!I205-'GAS DAILY VOL DOWNLOAD'!$B205+$B205</f>
        <v>0.05</v>
      </c>
      <c r="J205" s="292" t="n">
        <f aca="false">'GAS DAILY VOL DOWNLOAD'!J205-'GAS DAILY VOL DOWNLOAD'!$B205+$B205</f>
        <v>0.1</v>
      </c>
      <c r="K205" s="292" t="n">
        <f aca="false">'GAS DAILY VOL DOWNLOAD'!K205-'GAS DAILY VOL DOWNLOAD'!$B205+$B205</f>
        <v>0</v>
      </c>
      <c r="L205" s="292" t="n">
        <f aca="false">'GAS DAILY VOL DOWNLOAD'!L205-'GAS DAILY VOL DOWNLOAD'!$B205+$B205</f>
        <v>0.05</v>
      </c>
      <c r="M205" s="292" t="n">
        <f aca="false">'GAS DAILY VOL DOWNLOAD'!M205-'GAS DAILY VOL DOWNLOAD'!$B205+$B205</f>
        <v>0</v>
      </c>
      <c r="N205" s="292" t="n">
        <f aca="false">'GAS DAILY VOL DOWNLOAD'!N205-'GAS DAILY VOL DOWNLOAD'!$B205+$B205</f>
        <v>0.05</v>
      </c>
      <c r="O205" s="292" t="n">
        <f aca="false">'GAS DAILY VOL DOWNLOAD'!O205-'GAS DAILY VOL DOWNLOAD'!$B205+$B205</f>
        <v>0.15</v>
      </c>
      <c r="P205" s="292" t="n">
        <f aca="false">'GAS DAILY VOL DOWNLOAD'!P205-'GAS DAILY VOL DOWNLOAD'!$B205+$B205</f>
        <v>0.15</v>
      </c>
      <c r="Q205" s="292" t="n">
        <f aca="false">'GAS DAILY VOL DOWNLOAD'!Q205-'GAS DAILY VOL DOWNLOAD'!$B205+$B205</f>
        <v>0</v>
      </c>
    </row>
    <row r="206" customFormat="false" ht="12.75" hidden="false" customHeight="false" outlineLevel="0" collapsed="false">
      <c r="A206" s="317" t="n">
        <v>43221</v>
      </c>
      <c r="B206" s="292" t="n">
        <f aca="false">STRADDLES!L228</f>
        <v>0</v>
      </c>
      <c r="C206" s="292" t="n">
        <f aca="false">'GAS DAILY VOL DOWNLOAD'!C206-'GAS DAILY VOL DOWNLOAD'!$B206+$B206</f>
        <v>0.05</v>
      </c>
      <c r="D206" s="292" t="n">
        <f aca="false">'GAS DAILY VOL DOWNLOAD'!D206-'GAS DAILY VOL DOWNLOAD'!$B206+$B206</f>
        <v>-0.05</v>
      </c>
      <c r="E206" s="292" t="n">
        <f aca="false">'GAS DAILY VOL DOWNLOAD'!E206-'GAS DAILY VOL DOWNLOAD'!$B206+$B206</f>
        <v>-0.05</v>
      </c>
      <c r="F206" s="292" t="n">
        <f aca="false">'GAS DAILY VOL DOWNLOAD'!F206-'GAS DAILY VOL DOWNLOAD'!$B206+$B206</f>
        <v>0</v>
      </c>
      <c r="G206" s="292" t="n">
        <f aca="false">'GAS DAILY VOL DOWNLOAD'!G206-'GAS DAILY VOL DOWNLOAD'!$B206+$B206</f>
        <v>0.05</v>
      </c>
      <c r="H206" s="292" t="n">
        <f aca="false">'GAS DAILY VOL DOWNLOAD'!H206-'GAS DAILY VOL DOWNLOAD'!$B206+$B206</f>
        <v>0</v>
      </c>
      <c r="I206" s="292" t="n">
        <f aca="false">'GAS DAILY VOL DOWNLOAD'!I206-'GAS DAILY VOL DOWNLOAD'!$B206+$B206</f>
        <v>-0.05</v>
      </c>
      <c r="J206" s="292" t="n">
        <f aca="false">'GAS DAILY VOL DOWNLOAD'!J206-'GAS DAILY VOL DOWNLOAD'!$B206+$B206</f>
        <v>0</v>
      </c>
      <c r="K206" s="292" t="n">
        <f aca="false">'GAS DAILY VOL DOWNLOAD'!K206-'GAS DAILY VOL DOWNLOAD'!$B206+$B206</f>
        <v>0</v>
      </c>
      <c r="L206" s="292" t="n">
        <f aca="false">'GAS DAILY VOL DOWNLOAD'!L206-'GAS DAILY VOL DOWNLOAD'!$B206+$B206</f>
        <v>0.05</v>
      </c>
      <c r="M206" s="292" t="n">
        <f aca="false">'GAS DAILY VOL DOWNLOAD'!M206-'GAS DAILY VOL DOWNLOAD'!$B206+$B206</f>
        <v>0</v>
      </c>
      <c r="N206" s="292" t="n">
        <f aca="false">'GAS DAILY VOL DOWNLOAD'!N206-'GAS DAILY VOL DOWNLOAD'!$B206+$B206</f>
        <v>0.05</v>
      </c>
      <c r="O206" s="292" t="n">
        <f aca="false">'GAS DAILY VOL DOWNLOAD'!O206-'GAS DAILY VOL DOWNLOAD'!$B206+$B206</f>
        <v>0.15</v>
      </c>
      <c r="P206" s="292" t="n">
        <f aca="false">'GAS DAILY VOL DOWNLOAD'!P206-'GAS DAILY VOL DOWNLOAD'!$B206+$B206</f>
        <v>0.05</v>
      </c>
      <c r="Q206" s="292" t="n">
        <f aca="false">'GAS DAILY VOL DOWNLOAD'!Q206-'GAS DAILY VOL DOWNLOAD'!$B206+$B206</f>
        <v>0</v>
      </c>
    </row>
    <row r="207" customFormat="false" ht="12.75" hidden="false" customHeight="false" outlineLevel="0" collapsed="false">
      <c r="A207" s="317" t="n">
        <v>43252</v>
      </c>
      <c r="B207" s="292" t="n">
        <f aca="false">STRADDLES!L229</f>
        <v>0</v>
      </c>
      <c r="C207" s="292" t="n">
        <f aca="false">'GAS DAILY VOL DOWNLOAD'!C207-'GAS DAILY VOL DOWNLOAD'!$B207+$B207</f>
        <v>0.05</v>
      </c>
      <c r="D207" s="292" t="n">
        <f aca="false">'GAS DAILY VOL DOWNLOAD'!D207-'GAS DAILY VOL DOWNLOAD'!$B207+$B207</f>
        <v>-0.05</v>
      </c>
      <c r="E207" s="292" t="n">
        <f aca="false">'GAS DAILY VOL DOWNLOAD'!E207-'GAS DAILY VOL DOWNLOAD'!$B207+$B207</f>
        <v>0.05</v>
      </c>
      <c r="F207" s="292" t="n">
        <f aca="false">'GAS DAILY VOL DOWNLOAD'!F207-'GAS DAILY VOL DOWNLOAD'!$B207+$B207</f>
        <v>0</v>
      </c>
      <c r="G207" s="292" t="n">
        <f aca="false">'GAS DAILY VOL DOWNLOAD'!G207-'GAS DAILY VOL DOWNLOAD'!$B207+$B207</f>
        <v>0.05</v>
      </c>
      <c r="H207" s="292" t="n">
        <f aca="false">'GAS DAILY VOL DOWNLOAD'!H207-'GAS DAILY VOL DOWNLOAD'!$B207+$B207</f>
        <v>0.05</v>
      </c>
      <c r="I207" s="292" t="n">
        <f aca="false">'GAS DAILY VOL DOWNLOAD'!I207-'GAS DAILY VOL DOWNLOAD'!$B207+$B207</f>
        <v>0.05</v>
      </c>
      <c r="J207" s="292" t="n">
        <f aca="false">'GAS DAILY VOL DOWNLOAD'!J207-'GAS DAILY VOL DOWNLOAD'!$B207+$B207</f>
        <v>0.05</v>
      </c>
      <c r="K207" s="292" t="n">
        <f aca="false">'GAS DAILY VOL DOWNLOAD'!K207-'GAS DAILY VOL DOWNLOAD'!$B207+$B207</f>
        <v>0</v>
      </c>
      <c r="L207" s="292" t="n">
        <f aca="false">'GAS DAILY VOL DOWNLOAD'!L207-'GAS DAILY VOL DOWNLOAD'!$B207+$B207</f>
        <v>0.05</v>
      </c>
      <c r="M207" s="292" t="n">
        <f aca="false">'GAS DAILY VOL DOWNLOAD'!M207-'GAS DAILY VOL DOWNLOAD'!$B207+$B207</f>
        <v>0</v>
      </c>
      <c r="N207" s="292" t="n">
        <f aca="false">'GAS DAILY VOL DOWNLOAD'!N207-'GAS DAILY VOL DOWNLOAD'!$B207+$B207</f>
        <v>0.05</v>
      </c>
      <c r="O207" s="292" t="n">
        <f aca="false">'GAS DAILY VOL DOWNLOAD'!O207-'GAS DAILY VOL DOWNLOAD'!$B207+$B207</f>
        <v>0.15</v>
      </c>
      <c r="P207" s="292" t="n">
        <f aca="false">'GAS DAILY VOL DOWNLOAD'!P207-'GAS DAILY VOL DOWNLOAD'!$B207+$B207</f>
        <v>0.15</v>
      </c>
      <c r="Q207" s="292" t="n">
        <f aca="false">'GAS DAILY VOL DOWNLOAD'!Q207-'GAS DAILY VOL DOWNLOAD'!$B207+$B207</f>
        <v>0</v>
      </c>
    </row>
    <row r="208" customFormat="false" ht="12.75" hidden="false" customHeight="false" outlineLevel="0" collapsed="false">
      <c r="A208" s="317" t="n">
        <v>43282</v>
      </c>
      <c r="B208" s="292" t="n">
        <f aca="false">STRADDLES!L230</f>
        <v>0</v>
      </c>
      <c r="C208" s="292" t="n">
        <f aca="false">'GAS DAILY VOL DOWNLOAD'!C208-'GAS DAILY VOL DOWNLOAD'!$B208+$B208</f>
        <v>0</v>
      </c>
      <c r="D208" s="292" t="n">
        <f aca="false">'GAS DAILY VOL DOWNLOAD'!D208-'GAS DAILY VOL DOWNLOAD'!$B208+$B208</f>
        <v>-0.1</v>
      </c>
      <c r="E208" s="292" t="n">
        <f aca="false">'GAS DAILY VOL DOWNLOAD'!E208-'GAS DAILY VOL DOWNLOAD'!$B208+$B208</f>
        <v>0</v>
      </c>
      <c r="F208" s="292" t="n">
        <f aca="false">'GAS DAILY VOL DOWNLOAD'!F208-'GAS DAILY VOL DOWNLOAD'!$B208+$B208</f>
        <v>0</v>
      </c>
      <c r="G208" s="292" t="n">
        <f aca="false">'GAS DAILY VOL DOWNLOAD'!G208-'GAS DAILY VOL DOWNLOAD'!$B208+$B208</f>
        <v>0</v>
      </c>
      <c r="H208" s="292" t="n">
        <f aca="false">'GAS DAILY VOL DOWNLOAD'!H208-'GAS DAILY VOL DOWNLOAD'!$B208+$B208</f>
        <v>0</v>
      </c>
      <c r="I208" s="292" t="n">
        <f aca="false">'GAS DAILY VOL DOWNLOAD'!I208-'GAS DAILY VOL DOWNLOAD'!$B208+$B208</f>
        <v>0</v>
      </c>
      <c r="J208" s="292" t="n">
        <f aca="false">'GAS DAILY VOL DOWNLOAD'!J208-'GAS DAILY VOL DOWNLOAD'!$B208+$B208</f>
        <v>0</v>
      </c>
      <c r="K208" s="292" t="n">
        <f aca="false">'GAS DAILY VOL DOWNLOAD'!K208-'GAS DAILY VOL DOWNLOAD'!$B208+$B208</f>
        <v>0</v>
      </c>
      <c r="L208" s="292" t="n">
        <f aca="false">'GAS DAILY VOL DOWNLOAD'!L208-'GAS DAILY VOL DOWNLOAD'!$B208+$B208</f>
        <v>0.05</v>
      </c>
      <c r="M208" s="292" t="n">
        <f aca="false">'GAS DAILY VOL DOWNLOAD'!M208-'GAS DAILY VOL DOWNLOAD'!$B208+$B208</f>
        <v>0</v>
      </c>
      <c r="N208" s="292" t="n">
        <f aca="false">'GAS DAILY VOL DOWNLOAD'!N208-'GAS DAILY VOL DOWNLOAD'!$B208+$B208</f>
        <v>0</v>
      </c>
      <c r="O208" s="292" t="n">
        <f aca="false">'GAS DAILY VOL DOWNLOAD'!O208-'GAS DAILY VOL DOWNLOAD'!$B208+$B208</f>
        <v>0.15</v>
      </c>
      <c r="P208" s="292" t="n">
        <f aca="false">'GAS DAILY VOL DOWNLOAD'!P208-'GAS DAILY VOL DOWNLOAD'!$B208+$B208</f>
        <v>0.1</v>
      </c>
      <c r="Q208" s="292" t="n">
        <f aca="false">'GAS DAILY VOL DOWNLOAD'!Q208-'GAS DAILY VOL DOWNLOAD'!$B208+$B208</f>
        <v>0</v>
      </c>
    </row>
    <row r="209" customFormat="false" ht="12.75" hidden="false" customHeight="false" outlineLevel="0" collapsed="false">
      <c r="A209" s="317" t="n">
        <v>43313</v>
      </c>
      <c r="B209" s="292" t="n">
        <f aca="false">STRADDLES!L231</f>
        <v>0</v>
      </c>
      <c r="C209" s="292" t="n">
        <f aca="false">'GAS DAILY VOL DOWNLOAD'!C209-'GAS DAILY VOL DOWNLOAD'!$B209+$B209</f>
        <v>0</v>
      </c>
      <c r="D209" s="292" t="n">
        <f aca="false">'GAS DAILY VOL DOWNLOAD'!D209-'GAS DAILY VOL DOWNLOAD'!$B209+$B209</f>
        <v>-0.05</v>
      </c>
      <c r="E209" s="292" t="n">
        <f aca="false">'GAS DAILY VOL DOWNLOAD'!E209-'GAS DAILY VOL DOWNLOAD'!$B209+$B209</f>
        <v>0.0499999999999999</v>
      </c>
      <c r="F209" s="292" t="n">
        <f aca="false">'GAS DAILY VOL DOWNLOAD'!F209-'GAS DAILY VOL DOWNLOAD'!$B209+$B209</f>
        <v>0</v>
      </c>
      <c r="G209" s="292" t="n">
        <f aca="false">'GAS DAILY VOL DOWNLOAD'!G209-'GAS DAILY VOL DOWNLOAD'!$B209+$B209</f>
        <v>0.0499999999999999</v>
      </c>
      <c r="H209" s="292" t="n">
        <f aca="false">'GAS DAILY VOL DOWNLOAD'!H209-'GAS DAILY VOL DOWNLOAD'!$B209+$B209</f>
        <v>0</v>
      </c>
      <c r="I209" s="292" t="n">
        <f aca="false">'GAS DAILY VOL DOWNLOAD'!I209-'GAS DAILY VOL DOWNLOAD'!$B209+$B209</f>
        <v>0.0499999999999999</v>
      </c>
      <c r="J209" s="292" t="n">
        <f aca="false">'GAS DAILY VOL DOWNLOAD'!J209-'GAS DAILY VOL DOWNLOAD'!$B209+$B209</f>
        <v>-0.1</v>
      </c>
      <c r="K209" s="292" t="n">
        <f aca="false">'GAS DAILY VOL DOWNLOAD'!K209-'GAS DAILY VOL DOWNLOAD'!$B209+$B209</f>
        <v>0</v>
      </c>
      <c r="L209" s="292" t="n">
        <f aca="false">'GAS DAILY VOL DOWNLOAD'!L209-'GAS DAILY VOL DOWNLOAD'!$B209+$B209</f>
        <v>0.0499999999999999</v>
      </c>
      <c r="M209" s="292" t="n">
        <f aca="false">'GAS DAILY VOL DOWNLOAD'!M209-'GAS DAILY VOL DOWNLOAD'!$B209+$B209</f>
        <v>0</v>
      </c>
      <c r="N209" s="292" t="n">
        <f aca="false">'GAS DAILY VOL DOWNLOAD'!N209-'GAS DAILY VOL DOWNLOAD'!$B209+$B209</f>
        <v>0.0499999999999999</v>
      </c>
      <c r="O209" s="292" t="n">
        <f aca="false">'GAS DAILY VOL DOWNLOAD'!O209-'GAS DAILY VOL DOWNLOAD'!$B209+$B209</f>
        <v>0.15</v>
      </c>
      <c r="P209" s="292" t="n">
        <f aca="false">'GAS DAILY VOL DOWNLOAD'!P209-'GAS DAILY VOL DOWNLOAD'!$B209+$B209</f>
        <v>0.15</v>
      </c>
      <c r="Q209" s="292" t="n">
        <f aca="false">'GAS DAILY VOL DOWNLOAD'!Q209-'GAS DAILY VOL DOWNLOAD'!$B209+$B209</f>
        <v>0</v>
      </c>
    </row>
    <row r="210" customFormat="false" ht="12.75" hidden="false" customHeight="false" outlineLevel="0" collapsed="false">
      <c r="A210" s="317" t="n">
        <v>43344</v>
      </c>
      <c r="B210" s="292" t="n">
        <f aca="false">STRADDLES!L232</f>
        <v>0</v>
      </c>
      <c r="C210" s="292" t="n">
        <f aca="false">'GAS DAILY VOL DOWNLOAD'!C210-'GAS DAILY VOL DOWNLOAD'!$B210+$B210</f>
        <v>0</v>
      </c>
      <c r="D210" s="292" t="n">
        <f aca="false">'GAS DAILY VOL DOWNLOAD'!D210-'GAS DAILY VOL DOWNLOAD'!$B210+$B210</f>
        <v>0</v>
      </c>
      <c r="E210" s="292" t="n">
        <f aca="false">'GAS DAILY VOL DOWNLOAD'!E210-'GAS DAILY VOL DOWNLOAD'!$B210+$B210</f>
        <v>0</v>
      </c>
      <c r="F210" s="292" t="n">
        <f aca="false">'GAS DAILY VOL DOWNLOAD'!F210-'GAS DAILY VOL DOWNLOAD'!$B210+$B210</f>
        <v>0</v>
      </c>
      <c r="G210" s="292" t="n">
        <f aca="false">'GAS DAILY VOL DOWNLOAD'!G210-'GAS DAILY VOL DOWNLOAD'!$B210+$B210</f>
        <v>0.0499999999999999</v>
      </c>
      <c r="H210" s="292" t="n">
        <f aca="false">'GAS DAILY VOL DOWNLOAD'!H210-'GAS DAILY VOL DOWNLOAD'!$B210+$B210</f>
        <v>0.0499999999999999</v>
      </c>
      <c r="I210" s="292" t="n">
        <f aca="false">'GAS DAILY VOL DOWNLOAD'!I210-'GAS DAILY VOL DOWNLOAD'!$B210+$B210</f>
        <v>0</v>
      </c>
      <c r="J210" s="292" t="n">
        <f aca="false">'GAS DAILY VOL DOWNLOAD'!J210-'GAS DAILY VOL DOWNLOAD'!$B210+$B210</f>
        <v>-0.05</v>
      </c>
      <c r="K210" s="292" t="n">
        <f aca="false">'GAS DAILY VOL DOWNLOAD'!K210-'GAS DAILY VOL DOWNLOAD'!$B210+$B210</f>
        <v>0</v>
      </c>
      <c r="L210" s="292" t="n">
        <f aca="false">'GAS DAILY VOL DOWNLOAD'!L210-'GAS DAILY VOL DOWNLOAD'!$B210+$B210</f>
        <v>0.0499999999999999</v>
      </c>
      <c r="M210" s="292" t="n">
        <f aca="false">'GAS DAILY VOL DOWNLOAD'!M210-'GAS DAILY VOL DOWNLOAD'!$B210+$B210</f>
        <v>0</v>
      </c>
      <c r="N210" s="292" t="n">
        <f aca="false">'GAS DAILY VOL DOWNLOAD'!N210-'GAS DAILY VOL DOWNLOAD'!$B210+$B210</f>
        <v>0.0499999999999999</v>
      </c>
      <c r="O210" s="292" t="n">
        <f aca="false">'GAS DAILY VOL DOWNLOAD'!O210-'GAS DAILY VOL DOWNLOAD'!$B210+$B210</f>
        <v>0.15</v>
      </c>
      <c r="P210" s="292" t="n">
        <f aca="false">'GAS DAILY VOL DOWNLOAD'!P210-'GAS DAILY VOL DOWNLOAD'!$B210+$B210</f>
        <v>0.1</v>
      </c>
      <c r="Q210" s="292" t="n">
        <f aca="false">'GAS DAILY VOL DOWNLOAD'!Q210-'GAS DAILY VOL DOWNLOAD'!$B210+$B210</f>
        <v>0</v>
      </c>
    </row>
    <row r="211" customFormat="false" ht="12.75" hidden="false" customHeight="false" outlineLevel="0" collapsed="false">
      <c r="A211" s="317" t="n">
        <v>43374</v>
      </c>
      <c r="B211" s="292" t="n">
        <f aca="false">STRADDLES!L233</f>
        <v>0</v>
      </c>
      <c r="C211" s="292" t="n">
        <f aca="false">'GAS DAILY VOL DOWNLOAD'!C211-'GAS DAILY VOL DOWNLOAD'!$B211+$B211</f>
        <v>0</v>
      </c>
      <c r="D211" s="292" t="n">
        <f aca="false">'GAS DAILY VOL DOWNLOAD'!D211-'GAS DAILY VOL DOWNLOAD'!$B211+$B211</f>
        <v>-0.0499999999999999</v>
      </c>
      <c r="E211" s="292" t="n">
        <f aca="false">'GAS DAILY VOL DOWNLOAD'!E211-'GAS DAILY VOL DOWNLOAD'!$B211+$B211</f>
        <v>0</v>
      </c>
      <c r="F211" s="292" t="n">
        <f aca="false">'GAS DAILY VOL DOWNLOAD'!F211-'GAS DAILY VOL DOWNLOAD'!$B211+$B211</f>
        <v>0</v>
      </c>
      <c r="G211" s="292" t="n">
        <f aca="false">'GAS DAILY VOL DOWNLOAD'!G211-'GAS DAILY VOL DOWNLOAD'!$B211+$B211</f>
        <v>0.05</v>
      </c>
      <c r="H211" s="292" t="n">
        <f aca="false">'GAS DAILY VOL DOWNLOAD'!H211-'GAS DAILY VOL DOWNLOAD'!$B211+$B211</f>
        <v>0.05</v>
      </c>
      <c r="I211" s="292" t="n">
        <f aca="false">'GAS DAILY VOL DOWNLOAD'!I211-'GAS DAILY VOL DOWNLOAD'!$B211+$B211</f>
        <v>0</v>
      </c>
      <c r="J211" s="292" t="n">
        <f aca="false">'GAS DAILY VOL DOWNLOAD'!J211-'GAS DAILY VOL DOWNLOAD'!$B211+$B211</f>
        <v>-0.1</v>
      </c>
      <c r="K211" s="292" t="n">
        <f aca="false">'GAS DAILY VOL DOWNLOAD'!K211-'GAS DAILY VOL DOWNLOAD'!$B211+$B211</f>
        <v>0</v>
      </c>
      <c r="L211" s="292" t="n">
        <f aca="false">'GAS DAILY VOL DOWNLOAD'!L211-'GAS DAILY VOL DOWNLOAD'!$B211+$B211</f>
        <v>0.05</v>
      </c>
      <c r="M211" s="292" t="n">
        <f aca="false">'GAS DAILY VOL DOWNLOAD'!M211-'GAS DAILY VOL DOWNLOAD'!$B211+$B211</f>
        <v>0</v>
      </c>
      <c r="N211" s="292" t="n">
        <f aca="false">'GAS DAILY VOL DOWNLOAD'!N211-'GAS DAILY VOL DOWNLOAD'!$B211+$B211</f>
        <v>0.05</v>
      </c>
      <c r="O211" s="292" t="n">
        <f aca="false">'GAS DAILY VOL DOWNLOAD'!O211-'GAS DAILY VOL DOWNLOAD'!$B211+$B211</f>
        <v>0.15</v>
      </c>
      <c r="P211" s="292" t="n">
        <f aca="false">'GAS DAILY VOL DOWNLOAD'!P211-'GAS DAILY VOL DOWNLOAD'!$B211+$B211</f>
        <v>0.1</v>
      </c>
      <c r="Q211" s="292" t="n">
        <f aca="false">'GAS DAILY VOL DOWNLOAD'!Q211-'GAS DAILY VOL DOWNLOAD'!$B211+$B211</f>
        <v>0</v>
      </c>
    </row>
    <row r="212" customFormat="false" ht="12.75" hidden="false" customHeight="false" outlineLevel="0" collapsed="false">
      <c r="A212" s="317" t="n">
        <v>43405</v>
      </c>
      <c r="B212" s="292" t="n">
        <f aca="false">STRADDLES!L234</f>
        <v>0</v>
      </c>
      <c r="C212" s="292" t="n">
        <f aca="false">'GAS DAILY VOL DOWNLOAD'!C212-'GAS DAILY VOL DOWNLOAD'!$B212+$B212</f>
        <v>0.0499999999999999</v>
      </c>
      <c r="D212" s="292" t="n">
        <f aca="false">'GAS DAILY VOL DOWNLOAD'!D212-'GAS DAILY VOL DOWNLOAD'!$B212+$B212</f>
        <v>0</v>
      </c>
      <c r="E212" s="292" t="n">
        <f aca="false">'GAS DAILY VOL DOWNLOAD'!E212-'GAS DAILY VOL DOWNLOAD'!$B212+$B212</f>
        <v>0</v>
      </c>
      <c r="F212" s="292" t="n">
        <f aca="false">'GAS DAILY VOL DOWNLOAD'!F212-'GAS DAILY VOL DOWNLOAD'!$B212+$B212</f>
        <v>0.1</v>
      </c>
      <c r="G212" s="292" t="n">
        <f aca="false">'GAS DAILY VOL DOWNLOAD'!G212-'GAS DAILY VOL DOWNLOAD'!$B212+$B212</f>
        <v>0.15</v>
      </c>
      <c r="H212" s="292" t="n">
        <f aca="false">'GAS DAILY VOL DOWNLOAD'!H212-'GAS DAILY VOL DOWNLOAD'!$B212+$B212</f>
        <v>0.0499999999999999</v>
      </c>
      <c r="I212" s="292" t="n">
        <f aca="false">'GAS DAILY VOL DOWNLOAD'!I212-'GAS DAILY VOL DOWNLOAD'!$B212+$B212</f>
        <v>0</v>
      </c>
      <c r="J212" s="292" t="n">
        <f aca="false">'GAS DAILY VOL DOWNLOAD'!J212-'GAS DAILY VOL DOWNLOAD'!$B212+$B212</f>
        <v>0.15</v>
      </c>
      <c r="K212" s="292" t="n">
        <f aca="false">'GAS DAILY VOL DOWNLOAD'!K212-'GAS DAILY VOL DOWNLOAD'!$B212+$B212</f>
        <v>0</v>
      </c>
      <c r="L212" s="292" t="n">
        <f aca="false">'GAS DAILY VOL DOWNLOAD'!L212-'GAS DAILY VOL DOWNLOAD'!$B212+$B212</f>
        <v>0</v>
      </c>
      <c r="M212" s="292" t="n">
        <f aca="false">'GAS DAILY VOL DOWNLOAD'!M212-'GAS DAILY VOL DOWNLOAD'!$B212+$B212</f>
        <v>0</v>
      </c>
      <c r="N212" s="292" t="n">
        <f aca="false">'GAS DAILY VOL DOWNLOAD'!N212-'GAS DAILY VOL DOWNLOAD'!$B212+$B212</f>
        <v>0.15</v>
      </c>
      <c r="O212" s="292" t="n">
        <f aca="false">'GAS DAILY VOL DOWNLOAD'!O212-'GAS DAILY VOL DOWNLOAD'!$B212+$B212</f>
        <v>0.15</v>
      </c>
      <c r="P212" s="292" t="n">
        <f aca="false">'GAS DAILY VOL DOWNLOAD'!P212-'GAS DAILY VOL DOWNLOAD'!$B212+$B212</f>
        <v>0.1</v>
      </c>
      <c r="Q212" s="292" t="n">
        <f aca="false">'GAS DAILY VOL DOWNLOAD'!Q212-'GAS DAILY VOL DOWNLOAD'!$B212+$B212</f>
        <v>0</v>
      </c>
    </row>
    <row r="213" customFormat="false" ht="12.75" hidden="false" customHeight="false" outlineLevel="0" collapsed="false">
      <c r="A213" s="317" t="n">
        <v>43435</v>
      </c>
      <c r="B213" s="292" t="n">
        <f aca="false">STRADDLES!L235</f>
        <v>0</v>
      </c>
      <c r="C213" s="292" t="n">
        <f aca="false">'GAS DAILY VOL DOWNLOAD'!C213-'GAS DAILY VOL DOWNLOAD'!$B213+$B213</f>
        <v>0.05</v>
      </c>
      <c r="D213" s="292" t="n">
        <f aca="false">'GAS DAILY VOL DOWNLOAD'!D213-'GAS DAILY VOL DOWNLOAD'!$B213+$B213</f>
        <v>0</v>
      </c>
      <c r="E213" s="292" t="n">
        <f aca="false">'GAS DAILY VOL DOWNLOAD'!E213-'GAS DAILY VOL DOWNLOAD'!$B213+$B213</f>
        <v>0</v>
      </c>
      <c r="F213" s="292" t="n">
        <f aca="false">'GAS DAILY VOL DOWNLOAD'!F213-'GAS DAILY VOL DOWNLOAD'!$B213+$B213</f>
        <v>0.15</v>
      </c>
      <c r="G213" s="292" t="n">
        <f aca="false">'GAS DAILY VOL DOWNLOAD'!G213-'GAS DAILY VOL DOWNLOAD'!$B213+$B213</f>
        <v>0.25</v>
      </c>
      <c r="H213" s="292" t="n">
        <f aca="false">'GAS DAILY VOL DOWNLOAD'!H213-'GAS DAILY VOL DOWNLOAD'!$B213+$B213</f>
        <v>0.05</v>
      </c>
      <c r="I213" s="292" t="n">
        <f aca="false">'GAS DAILY VOL DOWNLOAD'!I213-'GAS DAILY VOL DOWNLOAD'!$B213+$B213</f>
        <v>0</v>
      </c>
      <c r="J213" s="292" t="n">
        <f aca="false">'GAS DAILY VOL DOWNLOAD'!J213-'GAS DAILY VOL DOWNLOAD'!$B213+$B213</f>
        <v>0.35</v>
      </c>
      <c r="K213" s="292" t="n">
        <f aca="false">'GAS DAILY VOL DOWNLOAD'!K213-'GAS DAILY VOL DOWNLOAD'!$B213+$B213</f>
        <v>0</v>
      </c>
      <c r="L213" s="292" t="n">
        <f aca="false">'GAS DAILY VOL DOWNLOAD'!L213-'GAS DAILY VOL DOWNLOAD'!$B213+$B213</f>
        <v>0.1</v>
      </c>
      <c r="M213" s="292" t="n">
        <f aca="false">'GAS DAILY VOL DOWNLOAD'!M213-'GAS DAILY VOL DOWNLOAD'!$B213+$B213</f>
        <v>0</v>
      </c>
      <c r="N213" s="292" t="n">
        <f aca="false">'GAS DAILY VOL DOWNLOAD'!N213-'GAS DAILY VOL DOWNLOAD'!$B213+$B213</f>
        <v>0.25</v>
      </c>
      <c r="O213" s="292" t="n">
        <f aca="false">'GAS DAILY VOL DOWNLOAD'!O213-'GAS DAILY VOL DOWNLOAD'!$B213+$B213</f>
        <v>0.15</v>
      </c>
      <c r="P213" s="292" t="n">
        <f aca="false">'GAS DAILY VOL DOWNLOAD'!P213-'GAS DAILY VOL DOWNLOAD'!$B213+$B213</f>
        <v>0.1</v>
      </c>
      <c r="Q213" s="292" t="n">
        <f aca="false">'GAS DAILY VOL DOWNLOAD'!Q213-'GAS DAILY VOL DOWNLOAD'!$B213+$B213</f>
        <v>0</v>
      </c>
    </row>
    <row r="214" customFormat="false" ht="12.75" hidden="false" customHeight="false" outlineLevel="0" collapsed="false">
      <c r="A214" s="317" t="n">
        <v>43466</v>
      </c>
      <c r="B214" s="292" t="n">
        <f aca="false">STRADDLES!L236</f>
        <v>0</v>
      </c>
      <c r="C214" s="292" t="n">
        <f aca="false">'GAS DAILY VOL DOWNLOAD'!C214-'GAS DAILY VOL DOWNLOAD'!$B214+$B214</f>
        <v>0.05</v>
      </c>
      <c r="D214" s="292" t="n">
        <f aca="false">'GAS DAILY VOL DOWNLOAD'!D214-'GAS DAILY VOL DOWNLOAD'!$B214+$B214</f>
        <v>0</v>
      </c>
      <c r="E214" s="292" t="n">
        <f aca="false">'GAS DAILY VOL DOWNLOAD'!E214-'GAS DAILY VOL DOWNLOAD'!$B214+$B214</f>
        <v>0</v>
      </c>
      <c r="F214" s="292" t="n">
        <f aca="false">'GAS DAILY VOL DOWNLOAD'!F214-'GAS DAILY VOL DOWNLOAD'!$B214+$B214</f>
        <v>0.15</v>
      </c>
      <c r="G214" s="292" t="n">
        <f aca="false">'GAS DAILY VOL DOWNLOAD'!G214-'GAS DAILY VOL DOWNLOAD'!$B214+$B214</f>
        <v>0.45</v>
      </c>
      <c r="H214" s="292" t="n">
        <f aca="false">'GAS DAILY VOL DOWNLOAD'!H214-'GAS DAILY VOL DOWNLOAD'!$B214+$B214</f>
        <v>0.05</v>
      </c>
      <c r="I214" s="292" t="n">
        <f aca="false">'GAS DAILY VOL DOWNLOAD'!I214-'GAS DAILY VOL DOWNLOAD'!$B214+$B214</f>
        <v>0</v>
      </c>
      <c r="J214" s="292" t="n">
        <f aca="false">'GAS DAILY VOL DOWNLOAD'!J214-'GAS DAILY VOL DOWNLOAD'!$B214+$B214</f>
        <v>0.35</v>
      </c>
      <c r="K214" s="292" t="n">
        <f aca="false">'GAS DAILY VOL DOWNLOAD'!K214-'GAS DAILY VOL DOWNLOAD'!$B214+$B214</f>
        <v>0</v>
      </c>
      <c r="L214" s="292" t="n">
        <f aca="false">'GAS DAILY VOL DOWNLOAD'!L214-'GAS DAILY VOL DOWNLOAD'!$B214+$B214</f>
        <v>0.1</v>
      </c>
      <c r="M214" s="292" t="n">
        <f aca="false">'GAS DAILY VOL DOWNLOAD'!M214-'GAS DAILY VOL DOWNLOAD'!$B214+$B214</f>
        <v>0</v>
      </c>
      <c r="N214" s="292" t="n">
        <f aca="false">'GAS DAILY VOL DOWNLOAD'!N214-'GAS DAILY VOL DOWNLOAD'!$B214+$B214</f>
        <v>0.45</v>
      </c>
      <c r="O214" s="292" t="n">
        <f aca="false">'GAS DAILY VOL DOWNLOAD'!O214-'GAS DAILY VOL DOWNLOAD'!$B214+$B214</f>
        <v>0.15</v>
      </c>
      <c r="P214" s="292" t="n">
        <f aca="false">'GAS DAILY VOL DOWNLOAD'!P214-'GAS DAILY VOL DOWNLOAD'!$B214+$B214</f>
        <v>0.1</v>
      </c>
      <c r="Q214" s="292" t="n">
        <f aca="false">'GAS DAILY VOL DOWNLOAD'!Q214-'GAS DAILY VOL DOWNLOAD'!$B214+$B214</f>
        <v>0</v>
      </c>
    </row>
    <row r="215" customFormat="false" ht="12.75" hidden="false" customHeight="false" outlineLevel="0" collapsed="false">
      <c r="A215" s="317" t="n">
        <v>43497</v>
      </c>
      <c r="B215" s="292" t="n">
        <f aca="false">STRADDLES!L237</f>
        <v>0</v>
      </c>
      <c r="C215" s="292" t="n">
        <f aca="false">'GAS DAILY VOL DOWNLOAD'!C215-'GAS DAILY VOL DOWNLOAD'!$B215+$B215</f>
        <v>0.05</v>
      </c>
      <c r="D215" s="292" t="n">
        <f aca="false">'GAS DAILY VOL DOWNLOAD'!D215-'GAS DAILY VOL DOWNLOAD'!$B215+$B215</f>
        <v>0</v>
      </c>
      <c r="E215" s="292" t="n">
        <f aca="false">'GAS DAILY VOL DOWNLOAD'!E215-'GAS DAILY VOL DOWNLOAD'!$B215+$B215</f>
        <v>0</v>
      </c>
      <c r="F215" s="292" t="n">
        <f aca="false">'GAS DAILY VOL DOWNLOAD'!F215-'GAS DAILY VOL DOWNLOAD'!$B215+$B215</f>
        <v>0.15</v>
      </c>
      <c r="G215" s="292" t="n">
        <f aca="false">'GAS DAILY VOL DOWNLOAD'!G215-'GAS DAILY VOL DOWNLOAD'!$B215+$B215</f>
        <v>0.45</v>
      </c>
      <c r="H215" s="292" t="n">
        <f aca="false">'GAS DAILY VOL DOWNLOAD'!H215-'GAS DAILY VOL DOWNLOAD'!$B215+$B215</f>
        <v>0.05</v>
      </c>
      <c r="I215" s="292" t="n">
        <f aca="false">'GAS DAILY VOL DOWNLOAD'!I215-'GAS DAILY VOL DOWNLOAD'!$B215+$B215</f>
        <v>0</v>
      </c>
      <c r="J215" s="292" t="n">
        <f aca="false">'GAS DAILY VOL DOWNLOAD'!J215-'GAS DAILY VOL DOWNLOAD'!$B215+$B215</f>
        <v>0.35</v>
      </c>
      <c r="K215" s="292" t="n">
        <f aca="false">'GAS DAILY VOL DOWNLOAD'!K215-'GAS DAILY VOL DOWNLOAD'!$B215+$B215</f>
        <v>0</v>
      </c>
      <c r="L215" s="292" t="n">
        <f aca="false">'GAS DAILY VOL DOWNLOAD'!L215-'GAS DAILY VOL DOWNLOAD'!$B215+$B215</f>
        <v>0.1</v>
      </c>
      <c r="M215" s="292" t="n">
        <f aca="false">'GAS DAILY VOL DOWNLOAD'!M215-'GAS DAILY VOL DOWNLOAD'!$B215+$B215</f>
        <v>0</v>
      </c>
      <c r="N215" s="292" t="n">
        <f aca="false">'GAS DAILY VOL DOWNLOAD'!N215-'GAS DAILY VOL DOWNLOAD'!$B215+$B215</f>
        <v>0.45</v>
      </c>
      <c r="O215" s="292" t="n">
        <f aca="false">'GAS DAILY VOL DOWNLOAD'!O215-'GAS DAILY VOL DOWNLOAD'!$B215+$B215</f>
        <v>0.15</v>
      </c>
      <c r="P215" s="292" t="n">
        <f aca="false">'GAS DAILY VOL DOWNLOAD'!P215-'GAS DAILY VOL DOWNLOAD'!$B215+$B215</f>
        <v>0.1</v>
      </c>
      <c r="Q215" s="292" t="n">
        <f aca="false">'GAS DAILY VOL DOWNLOAD'!Q215-'GAS DAILY VOL DOWNLOAD'!$B215+$B215</f>
        <v>0</v>
      </c>
    </row>
    <row r="216" customFormat="false" ht="12.75" hidden="false" customHeight="false" outlineLevel="0" collapsed="false">
      <c r="A216" s="317" t="n">
        <v>43525</v>
      </c>
      <c r="B216" s="292" t="n">
        <f aca="false">STRADDLES!L238</f>
        <v>0</v>
      </c>
      <c r="C216" s="292" t="n">
        <f aca="false">'GAS DAILY VOL DOWNLOAD'!C216-'GAS DAILY VOL DOWNLOAD'!$B216+$B216</f>
        <v>0.05</v>
      </c>
      <c r="D216" s="292" t="n">
        <f aca="false">'GAS DAILY VOL DOWNLOAD'!D216-'GAS DAILY VOL DOWNLOAD'!$B216+$B216</f>
        <v>0</v>
      </c>
      <c r="E216" s="292" t="n">
        <f aca="false">'GAS DAILY VOL DOWNLOAD'!E216-'GAS DAILY VOL DOWNLOAD'!$B216+$B216</f>
        <v>0</v>
      </c>
      <c r="F216" s="292" t="n">
        <f aca="false">'GAS DAILY VOL DOWNLOAD'!F216-'GAS DAILY VOL DOWNLOAD'!$B216+$B216</f>
        <v>0.1</v>
      </c>
      <c r="G216" s="292" t="n">
        <f aca="false">'GAS DAILY VOL DOWNLOAD'!G216-'GAS DAILY VOL DOWNLOAD'!$B216+$B216</f>
        <v>0.25</v>
      </c>
      <c r="H216" s="292" t="n">
        <f aca="false">'GAS DAILY VOL DOWNLOAD'!H216-'GAS DAILY VOL DOWNLOAD'!$B216+$B216</f>
        <v>0</v>
      </c>
      <c r="I216" s="292" t="n">
        <f aca="false">'GAS DAILY VOL DOWNLOAD'!I216-'GAS DAILY VOL DOWNLOAD'!$B216+$B216</f>
        <v>0</v>
      </c>
      <c r="J216" s="292" t="n">
        <f aca="false">'GAS DAILY VOL DOWNLOAD'!J216-'GAS DAILY VOL DOWNLOAD'!$B216+$B216</f>
        <v>0.2</v>
      </c>
      <c r="K216" s="292" t="n">
        <f aca="false">'GAS DAILY VOL DOWNLOAD'!K216-'GAS DAILY VOL DOWNLOAD'!$B216+$B216</f>
        <v>0</v>
      </c>
      <c r="L216" s="292" t="n">
        <f aca="false">'GAS DAILY VOL DOWNLOAD'!L216-'GAS DAILY VOL DOWNLOAD'!$B216+$B216</f>
        <v>0</v>
      </c>
      <c r="M216" s="292" t="n">
        <f aca="false">'GAS DAILY VOL DOWNLOAD'!M216-'GAS DAILY VOL DOWNLOAD'!$B216+$B216</f>
        <v>0</v>
      </c>
      <c r="N216" s="292" t="n">
        <f aca="false">'GAS DAILY VOL DOWNLOAD'!N216-'GAS DAILY VOL DOWNLOAD'!$B216+$B216</f>
        <v>0.25</v>
      </c>
      <c r="O216" s="292" t="n">
        <f aca="false">'GAS DAILY VOL DOWNLOAD'!O216-'GAS DAILY VOL DOWNLOAD'!$B216+$B216</f>
        <v>0.15</v>
      </c>
      <c r="P216" s="292" t="n">
        <f aca="false">'GAS DAILY VOL DOWNLOAD'!P216-'GAS DAILY VOL DOWNLOAD'!$B216+$B216</f>
        <v>0.1</v>
      </c>
      <c r="Q216" s="292" t="n">
        <f aca="false">'GAS DAILY VOL DOWNLOAD'!Q216-'GAS DAILY VOL DOWNLOAD'!$B216+$B216</f>
        <v>0</v>
      </c>
    </row>
    <row r="217" customFormat="false" ht="12.75" hidden="false" customHeight="false" outlineLevel="0" collapsed="false">
      <c r="A217" s="317" t="n">
        <v>43556</v>
      </c>
      <c r="B217" s="292" t="n">
        <f aca="false">STRADDLES!L239</f>
        <v>0</v>
      </c>
      <c r="C217" s="292" t="n">
        <f aca="false">'GAS DAILY VOL DOWNLOAD'!C217-'GAS DAILY VOL DOWNLOAD'!$B217+$B217</f>
        <v>0.05</v>
      </c>
      <c r="D217" s="292" t="n">
        <f aca="false">'GAS DAILY VOL DOWNLOAD'!D217-'GAS DAILY VOL DOWNLOAD'!$B217+$B217</f>
        <v>0</v>
      </c>
      <c r="E217" s="292" t="n">
        <f aca="false">'GAS DAILY VOL DOWNLOAD'!E217-'GAS DAILY VOL DOWNLOAD'!$B217+$B217</f>
        <v>0.05</v>
      </c>
      <c r="F217" s="292" t="n">
        <f aca="false">'GAS DAILY VOL DOWNLOAD'!F217-'GAS DAILY VOL DOWNLOAD'!$B217+$B217</f>
        <v>0.05</v>
      </c>
      <c r="G217" s="292" t="n">
        <f aca="false">'GAS DAILY VOL DOWNLOAD'!G217-'GAS DAILY VOL DOWNLOAD'!$B217+$B217</f>
        <v>0.05</v>
      </c>
      <c r="H217" s="292" t="n">
        <f aca="false">'GAS DAILY VOL DOWNLOAD'!H217-'GAS DAILY VOL DOWNLOAD'!$B217+$B217</f>
        <v>0.05</v>
      </c>
      <c r="I217" s="292" t="n">
        <f aca="false">'GAS DAILY VOL DOWNLOAD'!I217-'GAS DAILY VOL DOWNLOAD'!$B217+$B217</f>
        <v>0.05</v>
      </c>
      <c r="J217" s="292" t="n">
        <f aca="false">'GAS DAILY VOL DOWNLOAD'!J217-'GAS DAILY VOL DOWNLOAD'!$B217+$B217</f>
        <v>0.1</v>
      </c>
      <c r="K217" s="292" t="n">
        <f aca="false">'GAS DAILY VOL DOWNLOAD'!K217-'GAS DAILY VOL DOWNLOAD'!$B217+$B217</f>
        <v>0</v>
      </c>
      <c r="L217" s="292" t="n">
        <f aca="false">'GAS DAILY VOL DOWNLOAD'!L217-'GAS DAILY VOL DOWNLOAD'!$B217+$B217</f>
        <v>0.05</v>
      </c>
      <c r="M217" s="292" t="n">
        <f aca="false">'GAS DAILY VOL DOWNLOAD'!M217-'GAS DAILY VOL DOWNLOAD'!$B217+$B217</f>
        <v>0</v>
      </c>
      <c r="N217" s="292" t="n">
        <f aca="false">'GAS DAILY VOL DOWNLOAD'!N217-'GAS DAILY VOL DOWNLOAD'!$B217+$B217</f>
        <v>0.05</v>
      </c>
      <c r="O217" s="292" t="n">
        <f aca="false">'GAS DAILY VOL DOWNLOAD'!O217-'GAS DAILY VOL DOWNLOAD'!$B217+$B217</f>
        <v>0.15</v>
      </c>
      <c r="P217" s="292" t="n">
        <f aca="false">'GAS DAILY VOL DOWNLOAD'!P217-'GAS DAILY VOL DOWNLOAD'!$B217+$B217</f>
        <v>0.15</v>
      </c>
      <c r="Q217" s="292" t="n">
        <f aca="false">'GAS DAILY VOL DOWNLOAD'!Q217-'GAS DAILY VOL DOWNLOAD'!$B217+$B217</f>
        <v>0</v>
      </c>
    </row>
    <row r="218" customFormat="false" ht="12.75" hidden="false" customHeight="false" outlineLevel="0" collapsed="false">
      <c r="A218" s="317" t="n">
        <v>43586</v>
      </c>
      <c r="B218" s="292" t="n">
        <f aca="false">STRADDLES!L240</f>
        <v>0</v>
      </c>
      <c r="C218" s="292" t="n">
        <f aca="false">'GAS DAILY VOL DOWNLOAD'!C218-'GAS DAILY VOL DOWNLOAD'!$B218+$B218</f>
        <v>0.05</v>
      </c>
      <c r="D218" s="292" t="n">
        <f aca="false">'GAS DAILY VOL DOWNLOAD'!D218-'GAS DAILY VOL DOWNLOAD'!$B218+$B218</f>
        <v>-0.05</v>
      </c>
      <c r="E218" s="292" t="n">
        <f aca="false">'GAS DAILY VOL DOWNLOAD'!E218-'GAS DAILY VOL DOWNLOAD'!$B218+$B218</f>
        <v>-0.05</v>
      </c>
      <c r="F218" s="292" t="n">
        <f aca="false">'GAS DAILY VOL DOWNLOAD'!F218-'GAS DAILY VOL DOWNLOAD'!$B218+$B218</f>
        <v>0</v>
      </c>
      <c r="G218" s="292" t="n">
        <f aca="false">'GAS DAILY VOL DOWNLOAD'!G218-'GAS DAILY VOL DOWNLOAD'!$B218+$B218</f>
        <v>0.05</v>
      </c>
      <c r="H218" s="292" t="n">
        <f aca="false">'GAS DAILY VOL DOWNLOAD'!H218-'GAS DAILY VOL DOWNLOAD'!$B218+$B218</f>
        <v>0</v>
      </c>
      <c r="I218" s="292" t="n">
        <f aca="false">'GAS DAILY VOL DOWNLOAD'!I218-'GAS DAILY VOL DOWNLOAD'!$B218+$B218</f>
        <v>-0.05</v>
      </c>
      <c r="J218" s="292" t="n">
        <f aca="false">'GAS DAILY VOL DOWNLOAD'!J218-'GAS DAILY VOL DOWNLOAD'!$B218+$B218</f>
        <v>0</v>
      </c>
      <c r="K218" s="292" t="n">
        <f aca="false">'GAS DAILY VOL DOWNLOAD'!K218-'GAS DAILY VOL DOWNLOAD'!$B218+$B218</f>
        <v>0</v>
      </c>
      <c r="L218" s="292" t="n">
        <f aca="false">'GAS DAILY VOL DOWNLOAD'!L218-'GAS DAILY VOL DOWNLOAD'!$B218+$B218</f>
        <v>0.05</v>
      </c>
      <c r="M218" s="292" t="n">
        <f aca="false">'GAS DAILY VOL DOWNLOAD'!M218-'GAS DAILY VOL DOWNLOAD'!$B218+$B218</f>
        <v>0</v>
      </c>
      <c r="N218" s="292" t="n">
        <f aca="false">'GAS DAILY VOL DOWNLOAD'!N218-'GAS DAILY VOL DOWNLOAD'!$B218+$B218</f>
        <v>0.05</v>
      </c>
      <c r="O218" s="292" t="n">
        <f aca="false">'GAS DAILY VOL DOWNLOAD'!O218-'GAS DAILY VOL DOWNLOAD'!$B218+$B218</f>
        <v>0.15</v>
      </c>
      <c r="P218" s="292" t="n">
        <f aca="false">'GAS DAILY VOL DOWNLOAD'!P218-'GAS DAILY VOL DOWNLOAD'!$B218+$B218</f>
        <v>0.05</v>
      </c>
      <c r="Q218" s="292" t="n">
        <f aca="false">'GAS DAILY VOL DOWNLOAD'!Q218-'GAS DAILY VOL DOWNLOAD'!$B218+$B218</f>
        <v>0</v>
      </c>
    </row>
    <row r="219" customFormat="false" ht="12.75" hidden="false" customHeight="false" outlineLevel="0" collapsed="false">
      <c r="A219" s="317" t="n">
        <v>43617</v>
      </c>
      <c r="B219" s="292" t="n">
        <f aca="false">STRADDLES!L241</f>
        <v>0</v>
      </c>
      <c r="C219" s="292" t="n">
        <f aca="false">'GAS DAILY VOL DOWNLOAD'!C219-'GAS DAILY VOL DOWNLOAD'!$B219+$B219</f>
        <v>0.05</v>
      </c>
      <c r="D219" s="292" t="n">
        <f aca="false">'GAS DAILY VOL DOWNLOAD'!D219-'GAS DAILY VOL DOWNLOAD'!$B219+$B219</f>
        <v>-0.05</v>
      </c>
      <c r="E219" s="292" t="n">
        <f aca="false">'GAS DAILY VOL DOWNLOAD'!E219-'GAS DAILY VOL DOWNLOAD'!$B219+$B219</f>
        <v>0.05</v>
      </c>
      <c r="F219" s="292" t="n">
        <f aca="false">'GAS DAILY VOL DOWNLOAD'!F219-'GAS DAILY VOL DOWNLOAD'!$B219+$B219</f>
        <v>0</v>
      </c>
      <c r="G219" s="292" t="n">
        <f aca="false">'GAS DAILY VOL DOWNLOAD'!G219-'GAS DAILY VOL DOWNLOAD'!$B219+$B219</f>
        <v>0.05</v>
      </c>
      <c r="H219" s="292" t="n">
        <f aca="false">'GAS DAILY VOL DOWNLOAD'!H219-'GAS DAILY VOL DOWNLOAD'!$B219+$B219</f>
        <v>0.05</v>
      </c>
      <c r="I219" s="292" t="n">
        <f aca="false">'GAS DAILY VOL DOWNLOAD'!I219-'GAS DAILY VOL DOWNLOAD'!$B219+$B219</f>
        <v>0.05</v>
      </c>
      <c r="J219" s="292" t="n">
        <f aca="false">'GAS DAILY VOL DOWNLOAD'!J219-'GAS DAILY VOL DOWNLOAD'!$B219+$B219</f>
        <v>0.05</v>
      </c>
      <c r="K219" s="292" t="n">
        <f aca="false">'GAS DAILY VOL DOWNLOAD'!K219-'GAS DAILY VOL DOWNLOAD'!$B219+$B219</f>
        <v>0</v>
      </c>
      <c r="L219" s="292" t="n">
        <f aca="false">'GAS DAILY VOL DOWNLOAD'!L219-'GAS DAILY VOL DOWNLOAD'!$B219+$B219</f>
        <v>0.05</v>
      </c>
      <c r="M219" s="292" t="n">
        <f aca="false">'GAS DAILY VOL DOWNLOAD'!M219-'GAS DAILY VOL DOWNLOAD'!$B219+$B219</f>
        <v>0</v>
      </c>
      <c r="N219" s="292" t="n">
        <f aca="false">'GAS DAILY VOL DOWNLOAD'!N219-'GAS DAILY VOL DOWNLOAD'!$B219+$B219</f>
        <v>0.05</v>
      </c>
      <c r="O219" s="292" t="n">
        <f aca="false">'GAS DAILY VOL DOWNLOAD'!O219-'GAS DAILY VOL DOWNLOAD'!$B219+$B219</f>
        <v>0.15</v>
      </c>
      <c r="P219" s="292" t="n">
        <f aca="false">'GAS DAILY VOL DOWNLOAD'!P219-'GAS DAILY VOL DOWNLOAD'!$B219+$B219</f>
        <v>0.15</v>
      </c>
      <c r="Q219" s="292" t="n">
        <f aca="false">'GAS DAILY VOL DOWNLOAD'!Q219-'GAS DAILY VOL DOWNLOAD'!$B219+$B219</f>
        <v>0</v>
      </c>
    </row>
    <row r="220" customFormat="false" ht="12.75" hidden="false" customHeight="false" outlineLevel="0" collapsed="false">
      <c r="A220" s="317" t="n">
        <v>43647</v>
      </c>
      <c r="B220" s="292" t="n">
        <f aca="false">STRADDLES!L242</f>
        <v>0</v>
      </c>
      <c r="C220" s="292" t="n">
        <f aca="false">'GAS DAILY VOL DOWNLOAD'!C220-'GAS DAILY VOL DOWNLOAD'!$B220+$B220</f>
        <v>0</v>
      </c>
      <c r="D220" s="292" t="n">
        <f aca="false">'GAS DAILY VOL DOWNLOAD'!D220-'GAS DAILY VOL DOWNLOAD'!$B220+$B220</f>
        <v>-0.1</v>
      </c>
      <c r="E220" s="292" t="n">
        <f aca="false">'GAS DAILY VOL DOWNLOAD'!E220-'GAS DAILY VOL DOWNLOAD'!$B220+$B220</f>
        <v>0</v>
      </c>
      <c r="F220" s="292" t="n">
        <f aca="false">'GAS DAILY VOL DOWNLOAD'!F220-'GAS DAILY VOL DOWNLOAD'!$B220+$B220</f>
        <v>0</v>
      </c>
      <c r="G220" s="292" t="n">
        <f aca="false">'GAS DAILY VOL DOWNLOAD'!G220-'GAS DAILY VOL DOWNLOAD'!$B220+$B220</f>
        <v>0</v>
      </c>
      <c r="H220" s="292" t="n">
        <f aca="false">'GAS DAILY VOL DOWNLOAD'!H220-'GAS DAILY VOL DOWNLOAD'!$B220+$B220</f>
        <v>0</v>
      </c>
      <c r="I220" s="292" t="n">
        <f aca="false">'GAS DAILY VOL DOWNLOAD'!I220-'GAS DAILY VOL DOWNLOAD'!$B220+$B220</f>
        <v>0</v>
      </c>
      <c r="J220" s="292" t="n">
        <f aca="false">'GAS DAILY VOL DOWNLOAD'!J220-'GAS DAILY VOL DOWNLOAD'!$B220+$B220</f>
        <v>0</v>
      </c>
      <c r="K220" s="292" t="n">
        <f aca="false">'GAS DAILY VOL DOWNLOAD'!K220-'GAS DAILY VOL DOWNLOAD'!$B220+$B220</f>
        <v>0</v>
      </c>
      <c r="L220" s="292" t="n">
        <f aca="false">'GAS DAILY VOL DOWNLOAD'!L220-'GAS DAILY VOL DOWNLOAD'!$B220+$B220</f>
        <v>0.05</v>
      </c>
      <c r="M220" s="292" t="n">
        <f aca="false">'GAS DAILY VOL DOWNLOAD'!M220-'GAS DAILY VOL DOWNLOAD'!$B220+$B220</f>
        <v>0</v>
      </c>
      <c r="N220" s="292" t="n">
        <f aca="false">'GAS DAILY VOL DOWNLOAD'!N220-'GAS DAILY VOL DOWNLOAD'!$B220+$B220</f>
        <v>0</v>
      </c>
      <c r="O220" s="292" t="n">
        <f aca="false">'GAS DAILY VOL DOWNLOAD'!O220-'GAS DAILY VOL DOWNLOAD'!$B220+$B220</f>
        <v>0.15</v>
      </c>
      <c r="P220" s="292" t="n">
        <f aca="false">'GAS DAILY VOL DOWNLOAD'!P220-'GAS DAILY VOL DOWNLOAD'!$B220+$B220</f>
        <v>0.1</v>
      </c>
      <c r="Q220" s="292" t="n">
        <f aca="false">'GAS DAILY VOL DOWNLOAD'!Q220-'GAS DAILY VOL DOWNLOAD'!$B220+$B220</f>
        <v>0</v>
      </c>
    </row>
    <row r="221" customFormat="false" ht="12.75" hidden="false" customHeight="false" outlineLevel="0" collapsed="false">
      <c r="A221" s="317" t="n">
        <v>43678</v>
      </c>
      <c r="B221" s="292" t="n">
        <f aca="false">STRADDLES!L243</f>
        <v>0</v>
      </c>
      <c r="C221" s="292" t="n">
        <f aca="false">'GAS DAILY VOL DOWNLOAD'!C221-'GAS DAILY VOL DOWNLOAD'!$B221+$B221</f>
        <v>0</v>
      </c>
      <c r="D221" s="292" t="n">
        <f aca="false">'GAS DAILY VOL DOWNLOAD'!D221-'GAS DAILY VOL DOWNLOAD'!$B221+$B221</f>
        <v>-0.05</v>
      </c>
      <c r="E221" s="292" t="n">
        <f aca="false">'GAS DAILY VOL DOWNLOAD'!E221-'GAS DAILY VOL DOWNLOAD'!$B221+$B221</f>
        <v>0.0499999999999999</v>
      </c>
      <c r="F221" s="292" t="n">
        <f aca="false">'GAS DAILY VOL DOWNLOAD'!F221-'GAS DAILY VOL DOWNLOAD'!$B221+$B221</f>
        <v>0</v>
      </c>
      <c r="G221" s="292" t="n">
        <f aca="false">'GAS DAILY VOL DOWNLOAD'!G221-'GAS DAILY VOL DOWNLOAD'!$B221+$B221</f>
        <v>0.0499999999999999</v>
      </c>
      <c r="H221" s="292" t="n">
        <f aca="false">'GAS DAILY VOL DOWNLOAD'!H221-'GAS DAILY VOL DOWNLOAD'!$B221+$B221</f>
        <v>0</v>
      </c>
      <c r="I221" s="292" t="n">
        <f aca="false">'GAS DAILY VOL DOWNLOAD'!I221-'GAS DAILY VOL DOWNLOAD'!$B221+$B221</f>
        <v>0.0499999999999999</v>
      </c>
      <c r="J221" s="292" t="n">
        <f aca="false">'GAS DAILY VOL DOWNLOAD'!J221-'GAS DAILY VOL DOWNLOAD'!$B221+$B221</f>
        <v>-0.1</v>
      </c>
      <c r="K221" s="292" t="n">
        <f aca="false">'GAS DAILY VOL DOWNLOAD'!K221-'GAS DAILY VOL DOWNLOAD'!$B221+$B221</f>
        <v>0</v>
      </c>
      <c r="L221" s="292" t="n">
        <f aca="false">'GAS DAILY VOL DOWNLOAD'!L221-'GAS DAILY VOL DOWNLOAD'!$B221+$B221</f>
        <v>0.0499999999999999</v>
      </c>
      <c r="M221" s="292" t="n">
        <f aca="false">'GAS DAILY VOL DOWNLOAD'!M221-'GAS DAILY VOL DOWNLOAD'!$B221+$B221</f>
        <v>0</v>
      </c>
      <c r="N221" s="292" t="n">
        <f aca="false">'GAS DAILY VOL DOWNLOAD'!N221-'GAS DAILY VOL DOWNLOAD'!$B221+$B221</f>
        <v>0.0499999999999999</v>
      </c>
      <c r="O221" s="292" t="n">
        <f aca="false">'GAS DAILY VOL DOWNLOAD'!O221-'GAS DAILY VOL DOWNLOAD'!$B221+$B221</f>
        <v>0.15</v>
      </c>
      <c r="P221" s="292" t="n">
        <f aca="false">'GAS DAILY VOL DOWNLOAD'!P221-'GAS DAILY VOL DOWNLOAD'!$B221+$B221</f>
        <v>0.15</v>
      </c>
      <c r="Q221" s="292" t="n">
        <f aca="false">'GAS DAILY VOL DOWNLOAD'!Q221-'GAS DAILY VOL DOWNLOAD'!$B221+$B221</f>
        <v>0</v>
      </c>
    </row>
    <row r="222" customFormat="false" ht="12.75" hidden="false" customHeight="false" outlineLevel="0" collapsed="false">
      <c r="A222" s="317" t="n">
        <v>43709</v>
      </c>
      <c r="B222" s="292" t="n">
        <f aca="false">STRADDLES!L244</f>
        <v>0</v>
      </c>
      <c r="C222" s="292" t="n">
        <f aca="false">'GAS DAILY VOL DOWNLOAD'!C222-'GAS DAILY VOL DOWNLOAD'!$B222+$B222</f>
        <v>0</v>
      </c>
      <c r="D222" s="292" t="n">
        <f aca="false">'GAS DAILY VOL DOWNLOAD'!D222-'GAS DAILY VOL DOWNLOAD'!$B222+$B222</f>
        <v>0</v>
      </c>
      <c r="E222" s="292" t="n">
        <f aca="false">'GAS DAILY VOL DOWNLOAD'!E222-'GAS DAILY VOL DOWNLOAD'!$B222+$B222</f>
        <v>0</v>
      </c>
      <c r="F222" s="292" t="n">
        <f aca="false">'GAS DAILY VOL DOWNLOAD'!F222-'GAS DAILY VOL DOWNLOAD'!$B222+$B222</f>
        <v>0</v>
      </c>
      <c r="G222" s="292" t="n">
        <f aca="false">'GAS DAILY VOL DOWNLOAD'!G222-'GAS DAILY VOL DOWNLOAD'!$B222+$B222</f>
        <v>0.0499999999999999</v>
      </c>
      <c r="H222" s="292" t="n">
        <f aca="false">'GAS DAILY VOL DOWNLOAD'!H222-'GAS DAILY VOL DOWNLOAD'!$B222+$B222</f>
        <v>0.0499999999999999</v>
      </c>
      <c r="I222" s="292" t="n">
        <f aca="false">'GAS DAILY VOL DOWNLOAD'!I222-'GAS DAILY VOL DOWNLOAD'!$B222+$B222</f>
        <v>0</v>
      </c>
      <c r="J222" s="292" t="n">
        <f aca="false">'GAS DAILY VOL DOWNLOAD'!J222-'GAS DAILY VOL DOWNLOAD'!$B222+$B222</f>
        <v>-0.05</v>
      </c>
      <c r="K222" s="292" t="n">
        <f aca="false">'GAS DAILY VOL DOWNLOAD'!K222-'GAS DAILY VOL DOWNLOAD'!$B222+$B222</f>
        <v>0</v>
      </c>
      <c r="L222" s="292" t="n">
        <f aca="false">'GAS DAILY VOL DOWNLOAD'!L222-'GAS DAILY VOL DOWNLOAD'!$B222+$B222</f>
        <v>0.0499999999999999</v>
      </c>
      <c r="M222" s="292" t="n">
        <f aca="false">'GAS DAILY VOL DOWNLOAD'!M222-'GAS DAILY VOL DOWNLOAD'!$B222+$B222</f>
        <v>0</v>
      </c>
      <c r="N222" s="292" t="n">
        <f aca="false">'GAS DAILY VOL DOWNLOAD'!N222-'GAS DAILY VOL DOWNLOAD'!$B222+$B222</f>
        <v>0.0499999999999999</v>
      </c>
      <c r="O222" s="292" t="n">
        <f aca="false">'GAS DAILY VOL DOWNLOAD'!O222-'GAS DAILY VOL DOWNLOAD'!$B222+$B222</f>
        <v>0.15</v>
      </c>
      <c r="P222" s="292" t="n">
        <f aca="false">'GAS DAILY VOL DOWNLOAD'!P222-'GAS DAILY VOL DOWNLOAD'!$B222+$B222</f>
        <v>0.1</v>
      </c>
      <c r="Q222" s="292" t="n">
        <f aca="false">'GAS DAILY VOL DOWNLOAD'!Q222-'GAS DAILY VOL DOWNLOAD'!$B222+$B222</f>
        <v>0</v>
      </c>
    </row>
    <row r="223" customFormat="false" ht="12.75" hidden="false" customHeight="false" outlineLevel="0" collapsed="false">
      <c r="A223" s="317" t="n">
        <v>43739</v>
      </c>
      <c r="B223" s="292" t="n">
        <f aca="false">STRADDLES!L245</f>
        <v>0</v>
      </c>
      <c r="C223" s="292" t="n">
        <f aca="false">'GAS DAILY VOL DOWNLOAD'!C223-'GAS DAILY VOL DOWNLOAD'!$B223+$B223</f>
        <v>0</v>
      </c>
      <c r="D223" s="292" t="n">
        <f aca="false">'GAS DAILY VOL DOWNLOAD'!D223-'GAS DAILY VOL DOWNLOAD'!$B223+$B223</f>
        <v>-0.0499999999999999</v>
      </c>
      <c r="E223" s="292" t="n">
        <f aca="false">'GAS DAILY VOL DOWNLOAD'!E223-'GAS DAILY VOL DOWNLOAD'!$B223+$B223</f>
        <v>0</v>
      </c>
      <c r="F223" s="292" t="n">
        <f aca="false">'GAS DAILY VOL DOWNLOAD'!F223-'GAS DAILY VOL DOWNLOAD'!$B223+$B223</f>
        <v>0</v>
      </c>
      <c r="G223" s="292" t="n">
        <f aca="false">'GAS DAILY VOL DOWNLOAD'!G223-'GAS DAILY VOL DOWNLOAD'!$B223+$B223</f>
        <v>0.05</v>
      </c>
      <c r="H223" s="292" t="n">
        <f aca="false">'GAS DAILY VOL DOWNLOAD'!H223-'GAS DAILY VOL DOWNLOAD'!$B223+$B223</f>
        <v>0.05</v>
      </c>
      <c r="I223" s="292" t="n">
        <f aca="false">'GAS DAILY VOL DOWNLOAD'!I223-'GAS DAILY VOL DOWNLOAD'!$B223+$B223</f>
        <v>0</v>
      </c>
      <c r="J223" s="292" t="n">
        <f aca="false">'GAS DAILY VOL DOWNLOAD'!J223-'GAS DAILY VOL DOWNLOAD'!$B223+$B223</f>
        <v>-0.1</v>
      </c>
      <c r="K223" s="292" t="n">
        <f aca="false">'GAS DAILY VOL DOWNLOAD'!K223-'GAS DAILY VOL DOWNLOAD'!$B223+$B223</f>
        <v>0</v>
      </c>
      <c r="L223" s="292" t="n">
        <f aca="false">'GAS DAILY VOL DOWNLOAD'!L223-'GAS DAILY VOL DOWNLOAD'!$B223+$B223</f>
        <v>0.05</v>
      </c>
      <c r="M223" s="292" t="n">
        <f aca="false">'GAS DAILY VOL DOWNLOAD'!M223-'GAS DAILY VOL DOWNLOAD'!$B223+$B223</f>
        <v>0</v>
      </c>
      <c r="N223" s="292" t="n">
        <f aca="false">'GAS DAILY VOL DOWNLOAD'!N223-'GAS DAILY VOL DOWNLOAD'!$B223+$B223</f>
        <v>0.05</v>
      </c>
      <c r="O223" s="292" t="n">
        <f aca="false">'GAS DAILY VOL DOWNLOAD'!O223-'GAS DAILY VOL DOWNLOAD'!$B223+$B223</f>
        <v>0.15</v>
      </c>
      <c r="P223" s="292" t="n">
        <f aca="false">'GAS DAILY VOL DOWNLOAD'!P223-'GAS DAILY VOL DOWNLOAD'!$B223+$B223</f>
        <v>0.1</v>
      </c>
      <c r="Q223" s="292" t="n">
        <f aca="false">'GAS DAILY VOL DOWNLOAD'!Q223-'GAS DAILY VOL DOWNLOAD'!$B223+$B223</f>
        <v>0</v>
      </c>
    </row>
    <row r="224" customFormat="false" ht="12.75" hidden="false" customHeight="false" outlineLevel="0" collapsed="false">
      <c r="A224" s="317" t="n">
        <v>43770</v>
      </c>
      <c r="B224" s="292" t="n">
        <f aca="false">STRADDLES!L246</f>
        <v>0</v>
      </c>
      <c r="C224" s="292" t="n">
        <f aca="false">'GAS DAILY VOL DOWNLOAD'!C224-'GAS DAILY VOL DOWNLOAD'!$B224+$B224</f>
        <v>0.0499999999999999</v>
      </c>
      <c r="D224" s="292" t="n">
        <f aca="false">'GAS DAILY VOL DOWNLOAD'!D224-'GAS DAILY VOL DOWNLOAD'!$B224+$B224</f>
        <v>0</v>
      </c>
      <c r="E224" s="292" t="n">
        <f aca="false">'GAS DAILY VOL DOWNLOAD'!E224-'GAS DAILY VOL DOWNLOAD'!$B224+$B224</f>
        <v>0</v>
      </c>
      <c r="F224" s="292" t="n">
        <f aca="false">'GAS DAILY VOL DOWNLOAD'!F224-'GAS DAILY VOL DOWNLOAD'!$B224+$B224</f>
        <v>0.1</v>
      </c>
      <c r="G224" s="292" t="n">
        <f aca="false">'GAS DAILY VOL DOWNLOAD'!G224-'GAS DAILY VOL DOWNLOAD'!$B224+$B224</f>
        <v>0.15</v>
      </c>
      <c r="H224" s="292" t="n">
        <f aca="false">'GAS DAILY VOL DOWNLOAD'!H224-'GAS DAILY VOL DOWNLOAD'!$B224+$B224</f>
        <v>0.0499999999999999</v>
      </c>
      <c r="I224" s="292" t="n">
        <f aca="false">'GAS DAILY VOL DOWNLOAD'!I224-'GAS DAILY VOL DOWNLOAD'!$B224+$B224</f>
        <v>0</v>
      </c>
      <c r="J224" s="292" t="n">
        <f aca="false">'GAS DAILY VOL DOWNLOAD'!J224-'GAS DAILY VOL DOWNLOAD'!$B224+$B224</f>
        <v>0.15</v>
      </c>
      <c r="K224" s="292" t="n">
        <f aca="false">'GAS DAILY VOL DOWNLOAD'!K224-'GAS DAILY VOL DOWNLOAD'!$B224+$B224</f>
        <v>0</v>
      </c>
      <c r="L224" s="292" t="n">
        <f aca="false">'GAS DAILY VOL DOWNLOAD'!L224-'GAS DAILY VOL DOWNLOAD'!$B224+$B224</f>
        <v>0</v>
      </c>
      <c r="M224" s="292" t="n">
        <f aca="false">'GAS DAILY VOL DOWNLOAD'!M224-'GAS DAILY VOL DOWNLOAD'!$B224+$B224</f>
        <v>0</v>
      </c>
      <c r="N224" s="292" t="n">
        <f aca="false">'GAS DAILY VOL DOWNLOAD'!N224-'GAS DAILY VOL DOWNLOAD'!$B224+$B224</f>
        <v>0.15</v>
      </c>
      <c r="O224" s="292" t="n">
        <f aca="false">'GAS DAILY VOL DOWNLOAD'!O224-'GAS DAILY VOL DOWNLOAD'!$B224+$B224</f>
        <v>0.15</v>
      </c>
      <c r="P224" s="292" t="n">
        <f aca="false">'GAS DAILY VOL DOWNLOAD'!P224-'GAS DAILY VOL DOWNLOAD'!$B224+$B224</f>
        <v>0.1</v>
      </c>
      <c r="Q224" s="292" t="n">
        <f aca="false">'GAS DAILY VOL DOWNLOAD'!Q224-'GAS DAILY VOL DOWNLOAD'!$B224+$B224</f>
        <v>0</v>
      </c>
    </row>
    <row r="225" customFormat="false" ht="12.75" hidden="false" customHeight="false" outlineLevel="0" collapsed="false">
      <c r="A225" s="317" t="n">
        <v>43800</v>
      </c>
      <c r="B225" s="292" t="n">
        <f aca="false">STRADDLES!L247</f>
        <v>0</v>
      </c>
      <c r="C225" s="292" t="n">
        <f aca="false">'GAS DAILY VOL DOWNLOAD'!C225-'GAS DAILY VOL DOWNLOAD'!$B225+$B225</f>
        <v>0.05</v>
      </c>
      <c r="D225" s="292" t="n">
        <f aca="false">'GAS DAILY VOL DOWNLOAD'!D225-'GAS DAILY VOL DOWNLOAD'!$B225+$B225</f>
        <v>0</v>
      </c>
      <c r="E225" s="292" t="n">
        <f aca="false">'GAS DAILY VOL DOWNLOAD'!E225-'GAS DAILY VOL DOWNLOAD'!$B225+$B225</f>
        <v>0</v>
      </c>
      <c r="F225" s="292" t="n">
        <f aca="false">'GAS DAILY VOL DOWNLOAD'!F225-'GAS DAILY VOL DOWNLOAD'!$B225+$B225</f>
        <v>0.15</v>
      </c>
      <c r="G225" s="292" t="n">
        <f aca="false">'GAS DAILY VOL DOWNLOAD'!G225-'GAS DAILY VOL DOWNLOAD'!$B225+$B225</f>
        <v>0.25</v>
      </c>
      <c r="H225" s="292" t="n">
        <f aca="false">'GAS DAILY VOL DOWNLOAD'!H225-'GAS DAILY VOL DOWNLOAD'!$B225+$B225</f>
        <v>0.05</v>
      </c>
      <c r="I225" s="292" t="n">
        <f aca="false">'GAS DAILY VOL DOWNLOAD'!I225-'GAS DAILY VOL DOWNLOAD'!$B225+$B225</f>
        <v>0</v>
      </c>
      <c r="J225" s="292" t="n">
        <f aca="false">'GAS DAILY VOL DOWNLOAD'!J225-'GAS DAILY VOL DOWNLOAD'!$B225+$B225</f>
        <v>0.35</v>
      </c>
      <c r="K225" s="292" t="n">
        <f aca="false">'GAS DAILY VOL DOWNLOAD'!K225-'GAS DAILY VOL DOWNLOAD'!$B225+$B225</f>
        <v>0</v>
      </c>
      <c r="L225" s="292" t="n">
        <f aca="false">'GAS DAILY VOL DOWNLOAD'!L225-'GAS DAILY VOL DOWNLOAD'!$B225+$B225</f>
        <v>0.1</v>
      </c>
      <c r="M225" s="292" t="n">
        <f aca="false">'GAS DAILY VOL DOWNLOAD'!M225-'GAS DAILY VOL DOWNLOAD'!$B225+$B225</f>
        <v>0</v>
      </c>
      <c r="N225" s="292" t="n">
        <f aca="false">'GAS DAILY VOL DOWNLOAD'!N225-'GAS DAILY VOL DOWNLOAD'!$B225+$B225</f>
        <v>0.25</v>
      </c>
      <c r="O225" s="292" t="n">
        <f aca="false">'GAS DAILY VOL DOWNLOAD'!O225-'GAS DAILY VOL DOWNLOAD'!$B225+$B225</f>
        <v>0.15</v>
      </c>
      <c r="P225" s="292" t="n">
        <f aca="false">'GAS DAILY VOL DOWNLOAD'!P225-'GAS DAILY VOL DOWNLOAD'!$B225+$B225</f>
        <v>0.1</v>
      </c>
      <c r="Q225" s="292" t="n">
        <f aca="false">'GAS DAILY VOL DOWNLOAD'!Q225-'GAS DAILY VOL DOWNLOAD'!$B225+$B225</f>
        <v>0</v>
      </c>
    </row>
    <row r="226" customFormat="false" ht="12.75" hidden="false" customHeight="false" outlineLevel="0" collapsed="false">
      <c r="A226" s="317" t="n">
        <v>43831</v>
      </c>
      <c r="B226" s="292" t="n">
        <f aca="false">STRADDLES!L248</f>
        <v>0</v>
      </c>
      <c r="C226" s="292" t="n">
        <f aca="false">'GAS DAILY VOL DOWNLOAD'!C226-'GAS DAILY VOL DOWNLOAD'!$B226+$B226</f>
        <v>0.05</v>
      </c>
      <c r="D226" s="292" t="n">
        <f aca="false">'GAS DAILY VOL DOWNLOAD'!D226-'GAS DAILY VOL DOWNLOAD'!$B226+$B226</f>
        <v>0</v>
      </c>
      <c r="E226" s="292" t="n">
        <f aca="false">'GAS DAILY VOL DOWNLOAD'!E226-'GAS DAILY VOL DOWNLOAD'!$B226+$B226</f>
        <v>0</v>
      </c>
      <c r="F226" s="292" t="n">
        <f aca="false">'GAS DAILY VOL DOWNLOAD'!F226-'GAS DAILY VOL DOWNLOAD'!$B226+$B226</f>
        <v>0.15</v>
      </c>
      <c r="G226" s="292" t="n">
        <f aca="false">'GAS DAILY VOL DOWNLOAD'!G226-'GAS DAILY VOL DOWNLOAD'!$B226+$B226</f>
        <v>0.45</v>
      </c>
      <c r="H226" s="292" t="n">
        <f aca="false">'GAS DAILY VOL DOWNLOAD'!H226-'GAS DAILY VOL DOWNLOAD'!$B226+$B226</f>
        <v>0.05</v>
      </c>
      <c r="I226" s="292" t="n">
        <f aca="false">'GAS DAILY VOL DOWNLOAD'!I226-'GAS DAILY VOL DOWNLOAD'!$B226+$B226</f>
        <v>0</v>
      </c>
      <c r="J226" s="292" t="n">
        <f aca="false">'GAS DAILY VOL DOWNLOAD'!J226-'GAS DAILY VOL DOWNLOAD'!$B226+$B226</f>
        <v>0.35</v>
      </c>
      <c r="K226" s="292" t="n">
        <f aca="false">'GAS DAILY VOL DOWNLOAD'!K226-'GAS DAILY VOL DOWNLOAD'!$B226+$B226</f>
        <v>0</v>
      </c>
      <c r="L226" s="292" t="n">
        <f aca="false">'GAS DAILY VOL DOWNLOAD'!L226-'GAS DAILY VOL DOWNLOAD'!$B226+$B226</f>
        <v>0.1</v>
      </c>
      <c r="M226" s="292" t="n">
        <f aca="false">'GAS DAILY VOL DOWNLOAD'!M226-'GAS DAILY VOL DOWNLOAD'!$B226+$B226</f>
        <v>0</v>
      </c>
      <c r="N226" s="292" t="n">
        <f aca="false">'GAS DAILY VOL DOWNLOAD'!N226-'GAS DAILY VOL DOWNLOAD'!$B226+$B226</f>
        <v>0.45</v>
      </c>
      <c r="O226" s="292" t="n">
        <f aca="false">'GAS DAILY VOL DOWNLOAD'!O226-'GAS DAILY VOL DOWNLOAD'!$B226+$B226</f>
        <v>0.15</v>
      </c>
      <c r="P226" s="292" t="n">
        <f aca="false">'GAS DAILY VOL DOWNLOAD'!P226-'GAS DAILY VOL DOWNLOAD'!$B226+$B226</f>
        <v>0.1</v>
      </c>
      <c r="Q226" s="292" t="n">
        <f aca="false">'GAS DAILY VOL DOWNLOAD'!Q226-'GAS DAILY VOL DOWNLOAD'!$B226+$B226</f>
        <v>0</v>
      </c>
    </row>
    <row r="227" customFormat="false" ht="12.75" hidden="false" customHeight="false" outlineLevel="0" collapsed="false">
      <c r="A227" s="317" t="n">
        <v>43862</v>
      </c>
      <c r="B227" s="292" t="n">
        <f aca="false">STRADDLES!L249</f>
        <v>0</v>
      </c>
      <c r="C227" s="292" t="n">
        <f aca="false">'GAS DAILY VOL DOWNLOAD'!C227-'GAS DAILY VOL DOWNLOAD'!$B227+$B227</f>
        <v>0.05</v>
      </c>
      <c r="D227" s="292" t="n">
        <f aca="false">'GAS DAILY VOL DOWNLOAD'!D227-'GAS DAILY VOL DOWNLOAD'!$B227+$B227</f>
        <v>0</v>
      </c>
      <c r="E227" s="292" t="n">
        <f aca="false">'GAS DAILY VOL DOWNLOAD'!E227-'GAS DAILY VOL DOWNLOAD'!$B227+$B227</f>
        <v>0</v>
      </c>
      <c r="F227" s="292" t="n">
        <f aca="false">'GAS DAILY VOL DOWNLOAD'!F227-'GAS DAILY VOL DOWNLOAD'!$B227+$B227</f>
        <v>0.15</v>
      </c>
      <c r="G227" s="292" t="n">
        <f aca="false">'GAS DAILY VOL DOWNLOAD'!G227-'GAS DAILY VOL DOWNLOAD'!$B227+$B227</f>
        <v>0.45</v>
      </c>
      <c r="H227" s="292" t="n">
        <f aca="false">'GAS DAILY VOL DOWNLOAD'!H227-'GAS DAILY VOL DOWNLOAD'!$B227+$B227</f>
        <v>0.05</v>
      </c>
      <c r="I227" s="292" t="n">
        <f aca="false">'GAS DAILY VOL DOWNLOAD'!I227-'GAS DAILY VOL DOWNLOAD'!$B227+$B227</f>
        <v>0</v>
      </c>
      <c r="J227" s="292" t="n">
        <f aca="false">'GAS DAILY VOL DOWNLOAD'!J227-'GAS DAILY VOL DOWNLOAD'!$B227+$B227</f>
        <v>0.35</v>
      </c>
      <c r="K227" s="292" t="n">
        <f aca="false">'GAS DAILY VOL DOWNLOAD'!K227-'GAS DAILY VOL DOWNLOAD'!$B227+$B227</f>
        <v>0</v>
      </c>
      <c r="L227" s="292" t="n">
        <f aca="false">'GAS DAILY VOL DOWNLOAD'!L227-'GAS DAILY VOL DOWNLOAD'!$B227+$B227</f>
        <v>0.1</v>
      </c>
      <c r="M227" s="292" t="n">
        <f aca="false">'GAS DAILY VOL DOWNLOAD'!M227-'GAS DAILY VOL DOWNLOAD'!$B227+$B227</f>
        <v>0</v>
      </c>
      <c r="N227" s="292" t="n">
        <f aca="false">'GAS DAILY VOL DOWNLOAD'!N227-'GAS DAILY VOL DOWNLOAD'!$B227+$B227</f>
        <v>0.45</v>
      </c>
      <c r="O227" s="292" t="n">
        <f aca="false">'GAS DAILY VOL DOWNLOAD'!O227-'GAS DAILY VOL DOWNLOAD'!$B227+$B227</f>
        <v>0.15</v>
      </c>
      <c r="P227" s="292" t="n">
        <f aca="false">'GAS DAILY VOL DOWNLOAD'!P227-'GAS DAILY VOL DOWNLOAD'!$B227+$B227</f>
        <v>0.1</v>
      </c>
      <c r="Q227" s="292" t="n">
        <f aca="false">'GAS DAILY VOL DOWNLOAD'!Q227-'GAS DAILY VOL DOWNLOAD'!$B227+$B227</f>
        <v>0</v>
      </c>
    </row>
    <row r="228" customFormat="false" ht="12.75" hidden="false" customHeight="false" outlineLevel="0" collapsed="false">
      <c r="A228" s="317" t="n">
        <v>43891</v>
      </c>
      <c r="B228" s="292" t="n">
        <f aca="false">STRADDLES!L250</f>
        <v>0</v>
      </c>
      <c r="C228" s="292" t="n">
        <f aca="false">'GAS DAILY VOL DOWNLOAD'!C228-'GAS DAILY VOL DOWNLOAD'!$B228+$B228</f>
        <v>0.05</v>
      </c>
      <c r="D228" s="292" t="n">
        <f aca="false">'GAS DAILY VOL DOWNLOAD'!D228-'GAS DAILY VOL DOWNLOAD'!$B228+$B228</f>
        <v>0</v>
      </c>
      <c r="E228" s="292" t="n">
        <f aca="false">'GAS DAILY VOL DOWNLOAD'!E228-'GAS DAILY VOL DOWNLOAD'!$B228+$B228</f>
        <v>0</v>
      </c>
      <c r="F228" s="292" t="n">
        <f aca="false">'GAS DAILY VOL DOWNLOAD'!F228-'GAS DAILY VOL DOWNLOAD'!$B228+$B228</f>
        <v>0.1</v>
      </c>
      <c r="G228" s="292" t="n">
        <f aca="false">'GAS DAILY VOL DOWNLOAD'!G228-'GAS DAILY VOL DOWNLOAD'!$B228+$B228</f>
        <v>0.25</v>
      </c>
      <c r="H228" s="292" t="n">
        <f aca="false">'GAS DAILY VOL DOWNLOAD'!H228-'GAS DAILY VOL DOWNLOAD'!$B228+$B228</f>
        <v>0</v>
      </c>
      <c r="I228" s="292" t="n">
        <f aca="false">'GAS DAILY VOL DOWNLOAD'!I228-'GAS DAILY VOL DOWNLOAD'!$B228+$B228</f>
        <v>0</v>
      </c>
      <c r="J228" s="292" t="n">
        <f aca="false">'GAS DAILY VOL DOWNLOAD'!J228-'GAS DAILY VOL DOWNLOAD'!$B228+$B228</f>
        <v>0.2</v>
      </c>
      <c r="K228" s="292" t="n">
        <f aca="false">'GAS DAILY VOL DOWNLOAD'!K228-'GAS DAILY VOL DOWNLOAD'!$B228+$B228</f>
        <v>0</v>
      </c>
      <c r="L228" s="292" t="n">
        <f aca="false">'GAS DAILY VOL DOWNLOAD'!L228-'GAS DAILY VOL DOWNLOAD'!$B228+$B228</f>
        <v>0</v>
      </c>
      <c r="M228" s="292" t="n">
        <f aca="false">'GAS DAILY VOL DOWNLOAD'!M228-'GAS DAILY VOL DOWNLOAD'!$B228+$B228</f>
        <v>0</v>
      </c>
      <c r="N228" s="292" t="n">
        <f aca="false">'GAS DAILY VOL DOWNLOAD'!N228-'GAS DAILY VOL DOWNLOAD'!$B228+$B228</f>
        <v>0.25</v>
      </c>
      <c r="O228" s="292" t="n">
        <f aca="false">'GAS DAILY VOL DOWNLOAD'!O228-'GAS DAILY VOL DOWNLOAD'!$B228+$B228</f>
        <v>0.15</v>
      </c>
      <c r="P228" s="292" t="n">
        <f aca="false">'GAS DAILY VOL DOWNLOAD'!P228-'GAS DAILY VOL DOWNLOAD'!$B228+$B228</f>
        <v>0.1</v>
      </c>
      <c r="Q228" s="292" t="n">
        <f aca="false">'GAS DAILY VOL DOWNLOAD'!Q228-'GAS DAILY VOL DOWNLOAD'!$B228+$B228</f>
        <v>0</v>
      </c>
    </row>
    <row r="229" customFormat="false" ht="12.75" hidden="false" customHeight="false" outlineLevel="0" collapsed="false">
      <c r="A229" s="317" t="n">
        <v>43922</v>
      </c>
      <c r="B229" s="292" t="n">
        <f aca="false">STRADDLES!L251</f>
        <v>0</v>
      </c>
      <c r="C229" s="292" t="n">
        <f aca="false">'GAS DAILY VOL DOWNLOAD'!C229-'GAS DAILY VOL DOWNLOAD'!$B229+$B229</f>
        <v>0.05</v>
      </c>
      <c r="D229" s="292" t="n">
        <f aca="false">'GAS DAILY VOL DOWNLOAD'!D229-'GAS DAILY VOL DOWNLOAD'!$B229+$B229</f>
        <v>0</v>
      </c>
      <c r="E229" s="292" t="n">
        <f aca="false">'GAS DAILY VOL DOWNLOAD'!E229-'GAS DAILY VOL DOWNLOAD'!$B229+$B229</f>
        <v>0.05</v>
      </c>
      <c r="F229" s="292" t="n">
        <f aca="false">'GAS DAILY VOL DOWNLOAD'!F229-'GAS DAILY VOL DOWNLOAD'!$B229+$B229</f>
        <v>0.05</v>
      </c>
      <c r="G229" s="292" t="n">
        <f aca="false">'GAS DAILY VOL DOWNLOAD'!G229-'GAS DAILY VOL DOWNLOAD'!$B229+$B229</f>
        <v>0.05</v>
      </c>
      <c r="H229" s="292" t="n">
        <f aca="false">'GAS DAILY VOL DOWNLOAD'!H229-'GAS DAILY VOL DOWNLOAD'!$B229+$B229</f>
        <v>0.05</v>
      </c>
      <c r="I229" s="292" t="n">
        <f aca="false">'GAS DAILY VOL DOWNLOAD'!I229-'GAS DAILY VOL DOWNLOAD'!$B229+$B229</f>
        <v>0.05</v>
      </c>
      <c r="J229" s="292" t="n">
        <f aca="false">'GAS DAILY VOL DOWNLOAD'!J229-'GAS DAILY VOL DOWNLOAD'!$B229+$B229</f>
        <v>0.1</v>
      </c>
      <c r="K229" s="292" t="n">
        <f aca="false">'GAS DAILY VOL DOWNLOAD'!K229-'GAS DAILY VOL DOWNLOAD'!$B229+$B229</f>
        <v>0</v>
      </c>
      <c r="L229" s="292" t="n">
        <f aca="false">'GAS DAILY VOL DOWNLOAD'!L229-'GAS DAILY VOL DOWNLOAD'!$B229+$B229</f>
        <v>0.05</v>
      </c>
      <c r="M229" s="292" t="n">
        <f aca="false">'GAS DAILY VOL DOWNLOAD'!M229-'GAS DAILY VOL DOWNLOAD'!$B229+$B229</f>
        <v>0</v>
      </c>
      <c r="N229" s="292" t="n">
        <f aca="false">'GAS DAILY VOL DOWNLOAD'!N229-'GAS DAILY VOL DOWNLOAD'!$B229+$B229</f>
        <v>0.05</v>
      </c>
      <c r="O229" s="292" t="n">
        <f aca="false">'GAS DAILY VOL DOWNLOAD'!O229-'GAS DAILY VOL DOWNLOAD'!$B229+$B229</f>
        <v>0.15</v>
      </c>
      <c r="P229" s="292" t="n">
        <f aca="false">'GAS DAILY VOL DOWNLOAD'!P229-'GAS DAILY VOL DOWNLOAD'!$B229+$B229</f>
        <v>0.15</v>
      </c>
      <c r="Q229" s="292" t="n">
        <f aca="false">'GAS DAILY VOL DOWNLOAD'!Q229-'GAS DAILY VOL DOWNLOAD'!$B229+$B229</f>
        <v>0</v>
      </c>
    </row>
    <row r="230" customFormat="false" ht="12.75" hidden="false" customHeight="false" outlineLevel="0" collapsed="false">
      <c r="A230" s="317" t="n">
        <v>43952</v>
      </c>
      <c r="B230" s="292" t="n">
        <f aca="false">STRADDLES!L252</f>
        <v>0</v>
      </c>
      <c r="C230" s="292" t="n">
        <f aca="false">'GAS DAILY VOL DOWNLOAD'!C230-'GAS DAILY VOL DOWNLOAD'!$B230+$B230</f>
        <v>0.05</v>
      </c>
      <c r="D230" s="292" t="n">
        <f aca="false">'GAS DAILY VOL DOWNLOAD'!D230-'GAS DAILY VOL DOWNLOAD'!$B230+$B230</f>
        <v>-0.05</v>
      </c>
      <c r="E230" s="292" t="n">
        <f aca="false">'GAS DAILY VOL DOWNLOAD'!E230-'GAS DAILY VOL DOWNLOAD'!$B230+$B230</f>
        <v>-0.05</v>
      </c>
      <c r="F230" s="292" t="n">
        <f aca="false">'GAS DAILY VOL DOWNLOAD'!F230-'GAS DAILY VOL DOWNLOAD'!$B230+$B230</f>
        <v>0</v>
      </c>
      <c r="G230" s="292" t="n">
        <f aca="false">'GAS DAILY VOL DOWNLOAD'!G230-'GAS DAILY VOL DOWNLOAD'!$B230+$B230</f>
        <v>0.05</v>
      </c>
      <c r="H230" s="292" t="n">
        <f aca="false">'GAS DAILY VOL DOWNLOAD'!H230-'GAS DAILY VOL DOWNLOAD'!$B230+$B230</f>
        <v>0</v>
      </c>
      <c r="I230" s="292" t="n">
        <f aca="false">'GAS DAILY VOL DOWNLOAD'!I230-'GAS DAILY VOL DOWNLOAD'!$B230+$B230</f>
        <v>-0.05</v>
      </c>
      <c r="J230" s="292" t="n">
        <f aca="false">'GAS DAILY VOL DOWNLOAD'!J230-'GAS DAILY VOL DOWNLOAD'!$B230+$B230</f>
        <v>0</v>
      </c>
      <c r="K230" s="292" t="n">
        <f aca="false">'GAS DAILY VOL DOWNLOAD'!K230-'GAS DAILY VOL DOWNLOAD'!$B230+$B230</f>
        <v>0</v>
      </c>
      <c r="L230" s="292" t="n">
        <f aca="false">'GAS DAILY VOL DOWNLOAD'!L230-'GAS DAILY VOL DOWNLOAD'!$B230+$B230</f>
        <v>0.05</v>
      </c>
      <c r="M230" s="292" t="n">
        <f aca="false">'GAS DAILY VOL DOWNLOAD'!M230-'GAS DAILY VOL DOWNLOAD'!$B230+$B230</f>
        <v>0</v>
      </c>
      <c r="N230" s="292" t="n">
        <f aca="false">'GAS DAILY VOL DOWNLOAD'!N230-'GAS DAILY VOL DOWNLOAD'!$B230+$B230</f>
        <v>0.05</v>
      </c>
      <c r="O230" s="292" t="n">
        <f aca="false">'GAS DAILY VOL DOWNLOAD'!O230-'GAS DAILY VOL DOWNLOAD'!$B230+$B230</f>
        <v>0.15</v>
      </c>
      <c r="P230" s="292" t="n">
        <f aca="false">'GAS DAILY VOL DOWNLOAD'!P230-'GAS DAILY VOL DOWNLOAD'!$B230+$B230</f>
        <v>0.05</v>
      </c>
      <c r="Q230" s="292" t="n">
        <f aca="false">'GAS DAILY VOL DOWNLOAD'!Q230-'GAS DAILY VOL DOWNLOAD'!$B230+$B230</f>
        <v>0</v>
      </c>
    </row>
    <row r="231" customFormat="false" ht="12.75" hidden="false" customHeight="false" outlineLevel="0" collapsed="false">
      <c r="A231" s="317" t="n">
        <v>43983</v>
      </c>
      <c r="B231" s="292" t="n">
        <f aca="false">STRADDLES!L253</f>
        <v>0</v>
      </c>
      <c r="C231" s="292" t="n">
        <f aca="false">'GAS DAILY VOL DOWNLOAD'!C231-'GAS DAILY VOL DOWNLOAD'!$B231+$B231</f>
        <v>0.05</v>
      </c>
      <c r="D231" s="292" t="n">
        <f aca="false">'GAS DAILY VOL DOWNLOAD'!D231-'GAS DAILY VOL DOWNLOAD'!$B231+$B231</f>
        <v>-0.05</v>
      </c>
      <c r="E231" s="292" t="n">
        <f aca="false">'GAS DAILY VOL DOWNLOAD'!E231-'GAS DAILY VOL DOWNLOAD'!$B231+$B231</f>
        <v>0.05</v>
      </c>
      <c r="F231" s="292" t="n">
        <f aca="false">'GAS DAILY VOL DOWNLOAD'!F231-'GAS DAILY VOL DOWNLOAD'!$B231+$B231</f>
        <v>0</v>
      </c>
      <c r="G231" s="292" t="n">
        <f aca="false">'GAS DAILY VOL DOWNLOAD'!G231-'GAS DAILY VOL DOWNLOAD'!$B231+$B231</f>
        <v>0.05</v>
      </c>
      <c r="H231" s="292" t="n">
        <f aca="false">'GAS DAILY VOL DOWNLOAD'!H231-'GAS DAILY VOL DOWNLOAD'!$B231+$B231</f>
        <v>0.05</v>
      </c>
      <c r="I231" s="292" t="n">
        <f aca="false">'GAS DAILY VOL DOWNLOAD'!I231-'GAS DAILY VOL DOWNLOAD'!$B231+$B231</f>
        <v>0.05</v>
      </c>
      <c r="J231" s="292" t="n">
        <f aca="false">'GAS DAILY VOL DOWNLOAD'!J231-'GAS DAILY VOL DOWNLOAD'!$B231+$B231</f>
        <v>0.05</v>
      </c>
      <c r="K231" s="292" t="n">
        <f aca="false">'GAS DAILY VOL DOWNLOAD'!K231-'GAS DAILY VOL DOWNLOAD'!$B231+$B231</f>
        <v>0</v>
      </c>
      <c r="L231" s="292" t="n">
        <f aca="false">'GAS DAILY VOL DOWNLOAD'!L231-'GAS DAILY VOL DOWNLOAD'!$B231+$B231</f>
        <v>0.05</v>
      </c>
      <c r="M231" s="292" t="n">
        <f aca="false">'GAS DAILY VOL DOWNLOAD'!M231-'GAS DAILY VOL DOWNLOAD'!$B231+$B231</f>
        <v>0</v>
      </c>
      <c r="N231" s="292" t="n">
        <f aca="false">'GAS DAILY VOL DOWNLOAD'!N231-'GAS DAILY VOL DOWNLOAD'!$B231+$B231</f>
        <v>0.05</v>
      </c>
      <c r="O231" s="292" t="n">
        <f aca="false">'GAS DAILY VOL DOWNLOAD'!O231-'GAS DAILY VOL DOWNLOAD'!$B231+$B231</f>
        <v>0.15</v>
      </c>
      <c r="P231" s="292" t="n">
        <f aca="false">'GAS DAILY VOL DOWNLOAD'!P231-'GAS DAILY VOL DOWNLOAD'!$B231+$B231</f>
        <v>0.15</v>
      </c>
      <c r="Q231" s="292" t="n">
        <f aca="false">'GAS DAILY VOL DOWNLOAD'!Q231-'GAS DAILY VOL DOWNLOAD'!$B231+$B231</f>
        <v>0</v>
      </c>
    </row>
    <row r="232" customFormat="false" ht="12.75" hidden="false" customHeight="false" outlineLevel="0" collapsed="false">
      <c r="A232" s="317" t="n">
        <v>44013</v>
      </c>
      <c r="B232" s="292" t="n">
        <f aca="false">STRADDLES!L254</f>
        <v>0</v>
      </c>
      <c r="C232" s="292" t="n">
        <f aca="false">'GAS DAILY VOL DOWNLOAD'!C232-'GAS DAILY VOL DOWNLOAD'!$B232+$B232</f>
        <v>0</v>
      </c>
      <c r="D232" s="292" t="n">
        <f aca="false">'GAS DAILY VOL DOWNLOAD'!D232-'GAS DAILY VOL DOWNLOAD'!$B232+$B232</f>
        <v>-0.1</v>
      </c>
      <c r="E232" s="292" t="n">
        <f aca="false">'GAS DAILY VOL DOWNLOAD'!E232-'GAS DAILY VOL DOWNLOAD'!$B232+$B232</f>
        <v>0</v>
      </c>
      <c r="F232" s="292" t="n">
        <f aca="false">'GAS DAILY VOL DOWNLOAD'!F232-'GAS DAILY VOL DOWNLOAD'!$B232+$B232</f>
        <v>0</v>
      </c>
      <c r="G232" s="292" t="n">
        <f aca="false">'GAS DAILY VOL DOWNLOAD'!G232-'GAS DAILY VOL DOWNLOAD'!$B232+$B232</f>
        <v>0</v>
      </c>
      <c r="H232" s="292" t="n">
        <f aca="false">'GAS DAILY VOL DOWNLOAD'!H232-'GAS DAILY VOL DOWNLOAD'!$B232+$B232</f>
        <v>0</v>
      </c>
      <c r="I232" s="292" t="n">
        <f aca="false">'GAS DAILY VOL DOWNLOAD'!I232-'GAS DAILY VOL DOWNLOAD'!$B232+$B232</f>
        <v>0</v>
      </c>
      <c r="J232" s="292" t="n">
        <f aca="false">'GAS DAILY VOL DOWNLOAD'!J232-'GAS DAILY VOL DOWNLOAD'!$B232+$B232</f>
        <v>0</v>
      </c>
      <c r="K232" s="292" t="n">
        <f aca="false">'GAS DAILY VOL DOWNLOAD'!K232-'GAS DAILY VOL DOWNLOAD'!$B232+$B232</f>
        <v>0</v>
      </c>
      <c r="L232" s="292" t="n">
        <f aca="false">'GAS DAILY VOL DOWNLOAD'!L232-'GAS DAILY VOL DOWNLOAD'!$B232+$B232</f>
        <v>0.05</v>
      </c>
      <c r="M232" s="292" t="n">
        <f aca="false">'GAS DAILY VOL DOWNLOAD'!M232-'GAS DAILY VOL DOWNLOAD'!$B232+$B232</f>
        <v>0</v>
      </c>
      <c r="N232" s="292" t="n">
        <f aca="false">'GAS DAILY VOL DOWNLOAD'!N232-'GAS DAILY VOL DOWNLOAD'!$B232+$B232</f>
        <v>0</v>
      </c>
      <c r="O232" s="292" t="n">
        <f aca="false">'GAS DAILY VOL DOWNLOAD'!O232-'GAS DAILY VOL DOWNLOAD'!$B232+$B232</f>
        <v>0.15</v>
      </c>
      <c r="P232" s="292" t="n">
        <f aca="false">'GAS DAILY VOL DOWNLOAD'!P232-'GAS DAILY VOL DOWNLOAD'!$B232+$B232</f>
        <v>0.1</v>
      </c>
      <c r="Q232" s="292" t="n">
        <f aca="false">'GAS DAILY VOL DOWNLOAD'!Q232-'GAS DAILY VOL DOWNLOAD'!$B232+$B232</f>
        <v>0</v>
      </c>
    </row>
    <row r="233" customFormat="false" ht="12.75" hidden="false" customHeight="false" outlineLevel="0" collapsed="false">
      <c r="A233" s="317" t="n">
        <v>44044</v>
      </c>
      <c r="B233" s="292" t="n">
        <f aca="false">STRADDLES!L255</f>
        <v>0</v>
      </c>
      <c r="C233" s="292" t="n">
        <f aca="false">'GAS DAILY VOL DOWNLOAD'!C233-'GAS DAILY VOL DOWNLOAD'!$B233+$B233</f>
        <v>0</v>
      </c>
      <c r="D233" s="292" t="n">
        <f aca="false">'GAS DAILY VOL DOWNLOAD'!D233-'GAS DAILY VOL DOWNLOAD'!$B233+$B233</f>
        <v>-0.05</v>
      </c>
      <c r="E233" s="292" t="n">
        <f aca="false">'GAS DAILY VOL DOWNLOAD'!E233-'GAS DAILY VOL DOWNLOAD'!$B233+$B233</f>
        <v>0.0499999999999999</v>
      </c>
      <c r="F233" s="292" t="n">
        <f aca="false">'GAS DAILY VOL DOWNLOAD'!F233-'GAS DAILY VOL DOWNLOAD'!$B233+$B233</f>
        <v>0</v>
      </c>
      <c r="G233" s="292" t="n">
        <f aca="false">'GAS DAILY VOL DOWNLOAD'!G233-'GAS DAILY VOL DOWNLOAD'!$B233+$B233</f>
        <v>0.0499999999999999</v>
      </c>
      <c r="H233" s="292" t="n">
        <f aca="false">'GAS DAILY VOL DOWNLOAD'!H233-'GAS DAILY VOL DOWNLOAD'!$B233+$B233</f>
        <v>0</v>
      </c>
      <c r="I233" s="292" t="n">
        <f aca="false">'GAS DAILY VOL DOWNLOAD'!I233-'GAS DAILY VOL DOWNLOAD'!$B233+$B233</f>
        <v>0.0499999999999999</v>
      </c>
      <c r="J233" s="292" t="n">
        <f aca="false">'GAS DAILY VOL DOWNLOAD'!J233-'GAS DAILY VOL DOWNLOAD'!$B233+$B233</f>
        <v>-0.1</v>
      </c>
      <c r="K233" s="292" t="n">
        <f aca="false">'GAS DAILY VOL DOWNLOAD'!K233-'GAS DAILY VOL DOWNLOAD'!$B233+$B233</f>
        <v>0</v>
      </c>
      <c r="L233" s="292" t="n">
        <f aca="false">'GAS DAILY VOL DOWNLOAD'!L233-'GAS DAILY VOL DOWNLOAD'!$B233+$B233</f>
        <v>0.0499999999999999</v>
      </c>
      <c r="M233" s="292" t="n">
        <f aca="false">'GAS DAILY VOL DOWNLOAD'!M233-'GAS DAILY VOL DOWNLOAD'!$B233+$B233</f>
        <v>0</v>
      </c>
      <c r="N233" s="292" t="n">
        <f aca="false">'GAS DAILY VOL DOWNLOAD'!N233-'GAS DAILY VOL DOWNLOAD'!$B233+$B233</f>
        <v>0.0499999999999999</v>
      </c>
      <c r="O233" s="292" t="n">
        <f aca="false">'GAS DAILY VOL DOWNLOAD'!O233-'GAS DAILY VOL DOWNLOAD'!$B233+$B233</f>
        <v>0.15</v>
      </c>
      <c r="P233" s="292" t="n">
        <f aca="false">'GAS DAILY VOL DOWNLOAD'!P233-'GAS DAILY VOL DOWNLOAD'!$B233+$B233</f>
        <v>0.15</v>
      </c>
      <c r="Q233" s="292" t="n">
        <f aca="false">'GAS DAILY VOL DOWNLOAD'!Q233-'GAS DAILY VOL DOWNLOAD'!$B233+$B233</f>
        <v>0</v>
      </c>
    </row>
    <row r="234" customFormat="false" ht="12.75" hidden="false" customHeight="false" outlineLevel="0" collapsed="false">
      <c r="A234" s="317" t="n">
        <v>44075</v>
      </c>
      <c r="B234" s="292" t="n">
        <f aca="false">STRADDLES!L256</f>
        <v>0</v>
      </c>
      <c r="C234" s="292" t="n">
        <f aca="false">'GAS DAILY VOL DOWNLOAD'!C234-'GAS DAILY VOL DOWNLOAD'!$B234+$B234</f>
        <v>0</v>
      </c>
      <c r="D234" s="292" t="n">
        <f aca="false">'GAS DAILY VOL DOWNLOAD'!D234-'GAS DAILY VOL DOWNLOAD'!$B234+$B234</f>
        <v>0</v>
      </c>
      <c r="E234" s="292" t="n">
        <f aca="false">'GAS DAILY VOL DOWNLOAD'!E234-'GAS DAILY VOL DOWNLOAD'!$B234+$B234</f>
        <v>0</v>
      </c>
      <c r="F234" s="292" t="n">
        <f aca="false">'GAS DAILY VOL DOWNLOAD'!F234-'GAS DAILY VOL DOWNLOAD'!$B234+$B234</f>
        <v>0</v>
      </c>
      <c r="G234" s="292" t="n">
        <f aca="false">'GAS DAILY VOL DOWNLOAD'!G234-'GAS DAILY VOL DOWNLOAD'!$B234+$B234</f>
        <v>0.0499999999999999</v>
      </c>
      <c r="H234" s="292" t="n">
        <f aca="false">'GAS DAILY VOL DOWNLOAD'!H234-'GAS DAILY VOL DOWNLOAD'!$B234+$B234</f>
        <v>0.0499999999999999</v>
      </c>
      <c r="I234" s="292" t="n">
        <f aca="false">'GAS DAILY VOL DOWNLOAD'!I234-'GAS DAILY VOL DOWNLOAD'!$B234+$B234</f>
        <v>0</v>
      </c>
      <c r="J234" s="292" t="n">
        <f aca="false">'GAS DAILY VOL DOWNLOAD'!J234-'GAS DAILY VOL DOWNLOAD'!$B234+$B234</f>
        <v>-0.05</v>
      </c>
      <c r="K234" s="292" t="n">
        <f aca="false">'GAS DAILY VOL DOWNLOAD'!K234-'GAS DAILY VOL DOWNLOAD'!$B234+$B234</f>
        <v>0</v>
      </c>
      <c r="L234" s="292" t="n">
        <f aca="false">'GAS DAILY VOL DOWNLOAD'!L234-'GAS DAILY VOL DOWNLOAD'!$B234+$B234</f>
        <v>0.0499999999999999</v>
      </c>
      <c r="M234" s="292" t="n">
        <f aca="false">'GAS DAILY VOL DOWNLOAD'!M234-'GAS DAILY VOL DOWNLOAD'!$B234+$B234</f>
        <v>0</v>
      </c>
      <c r="N234" s="292" t="n">
        <f aca="false">'GAS DAILY VOL DOWNLOAD'!N234-'GAS DAILY VOL DOWNLOAD'!$B234+$B234</f>
        <v>0.0499999999999999</v>
      </c>
      <c r="O234" s="292" t="n">
        <f aca="false">'GAS DAILY VOL DOWNLOAD'!O234-'GAS DAILY VOL DOWNLOAD'!$B234+$B234</f>
        <v>0.15</v>
      </c>
      <c r="P234" s="292" t="n">
        <f aca="false">'GAS DAILY VOL DOWNLOAD'!P234-'GAS DAILY VOL DOWNLOAD'!$B234+$B234</f>
        <v>0.1</v>
      </c>
      <c r="Q234" s="292" t="n">
        <f aca="false">'GAS DAILY VOL DOWNLOAD'!Q234-'GAS DAILY VOL DOWNLOAD'!$B234+$B234</f>
        <v>0</v>
      </c>
    </row>
    <row r="235" customFormat="false" ht="12.75" hidden="false" customHeight="false" outlineLevel="0" collapsed="false">
      <c r="A235" s="317" t="n">
        <v>44105</v>
      </c>
      <c r="B235" s="292" t="n">
        <f aca="false">STRADDLES!L257</f>
        <v>0</v>
      </c>
      <c r="C235" s="292" t="n">
        <f aca="false">'GAS DAILY VOL DOWNLOAD'!C235-'GAS DAILY VOL DOWNLOAD'!$B235+$B235</f>
        <v>0</v>
      </c>
      <c r="D235" s="292" t="n">
        <f aca="false">'GAS DAILY VOL DOWNLOAD'!D235-'GAS DAILY VOL DOWNLOAD'!$B235+$B235</f>
        <v>-0.0499999999999999</v>
      </c>
      <c r="E235" s="292" t="n">
        <f aca="false">'GAS DAILY VOL DOWNLOAD'!E235-'GAS DAILY VOL DOWNLOAD'!$B235+$B235</f>
        <v>0</v>
      </c>
      <c r="F235" s="292" t="n">
        <f aca="false">'GAS DAILY VOL DOWNLOAD'!F235-'GAS DAILY VOL DOWNLOAD'!$B235+$B235</f>
        <v>0</v>
      </c>
      <c r="G235" s="292" t="n">
        <f aca="false">'GAS DAILY VOL DOWNLOAD'!G235-'GAS DAILY VOL DOWNLOAD'!$B235+$B235</f>
        <v>0.05</v>
      </c>
      <c r="H235" s="292" t="n">
        <f aca="false">'GAS DAILY VOL DOWNLOAD'!H235-'GAS DAILY VOL DOWNLOAD'!$B235+$B235</f>
        <v>0.05</v>
      </c>
      <c r="I235" s="292" t="n">
        <f aca="false">'GAS DAILY VOL DOWNLOAD'!I235-'GAS DAILY VOL DOWNLOAD'!$B235+$B235</f>
        <v>0</v>
      </c>
      <c r="J235" s="292" t="n">
        <f aca="false">'GAS DAILY VOL DOWNLOAD'!J235-'GAS DAILY VOL DOWNLOAD'!$B235+$B235</f>
        <v>-0.1</v>
      </c>
      <c r="K235" s="292" t="n">
        <f aca="false">'GAS DAILY VOL DOWNLOAD'!K235-'GAS DAILY VOL DOWNLOAD'!$B235+$B235</f>
        <v>0</v>
      </c>
      <c r="L235" s="292" t="n">
        <f aca="false">'GAS DAILY VOL DOWNLOAD'!L235-'GAS DAILY VOL DOWNLOAD'!$B235+$B235</f>
        <v>0.05</v>
      </c>
      <c r="M235" s="292" t="n">
        <f aca="false">'GAS DAILY VOL DOWNLOAD'!M235-'GAS DAILY VOL DOWNLOAD'!$B235+$B235</f>
        <v>0</v>
      </c>
      <c r="N235" s="292" t="n">
        <f aca="false">'GAS DAILY VOL DOWNLOAD'!N235-'GAS DAILY VOL DOWNLOAD'!$B235+$B235</f>
        <v>0.05</v>
      </c>
      <c r="O235" s="292" t="n">
        <f aca="false">'GAS DAILY VOL DOWNLOAD'!O235-'GAS DAILY VOL DOWNLOAD'!$B235+$B235</f>
        <v>0.15</v>
      </c>
      <c r="P235" s="292" t="n">
        <f aca="false">'GAS DAILY VOL DOWNLOAD'!P235-'GAS DAILY VOL DOWNLOAD'!$B235+$B235</f>
        <v>0.1</v>
      </c>
      <c r="Q235" s="292" t="n">
        <f aca="false">'GAS DAILY VOL DOWNLOAD'!Q235-'GAS DAILY VOL DOWNLOAD'!$B235+$B235</f>
        <v>0</v>
      </c>
    </row>
    <row r="236" customFormat="false" ht="12.75" hidden="false" customHeight="false" outlineLevel="0" collapsed="false">
      <c r="A236" s="317" t="n">
        <v>44136</v>
      </c>
      <c r="B236" s="292" t="n">
        <f aca="false">STRADDLES!L258</f>
        <v>0</v>
      </c>
      <c r="C236" s="292" t="n">
        <f aca="false">'GAS DAILY VOL DOWNLOAD'!C236-'GAS DAILY VOL DOWNLOAD'!$B236+$B236</f>
        <v>0.0499999999999999</v>
      </c>
      <c r="D236" s="292" t="n">
        <f aca="false">'GAS DAILY VOL DOWNLOAD'!D236-'GAS DAILY VOL DOWNLOAD'!$B236+$B236</f>
        <v>0</v>
      </c>
      <c r="E236" s="292" t="n">
        <f aca="false">'GAS DAILY VOL DOWNLOAD'!E236-'GAS DAILY VOL DOWNLOAD'!$B236+$B236</f>
        <v>0</v>
      </c>
      <c r="F236" s="292" t="n">
        <f aca="false">'GAS DAILY VOL DOWNLOAD'!F236-'GAS DAILY VOL DOWNLOAD'!$B236+$B236</f>
        <v>0.1</v>
      </c>
      <c r="G236" s="292" t="n">
        <f aca="false">'GAS DAILY VOL DOWNLOAD'!G236-'GAS DAILY VOL DOWNLOAD'!$B236+$B236</f>
        <v>0.15</v>
      </c>
      <c r="H236" s="292" t="n">
        <f aca="false">'GAS DAILY VOL DOWNLOAD'!H236-'GAS DAILY VOL DOWNLOAD'!$B236+$B236</f>
        <v>0.0499999999999999</v>
      </c>
      <c r="I236" s="292" t="n">
        <f aca="false">'GAS DAILY VOL DOWNLOAD'!I236-'GAS DAILY VOL DOWNLOAD'!$B236+$B236</f>
        <v>0</v>
      </c>
      <c r="J236" s="292" t="n">
        <f aca="false">'GAS DAILY VOL DOWNLOAD'!J236-'GAS DAILY VOL DOWNLOAD'!$B236+$B236</f>
        <v>0.15</v>
      </c>
      <c r="K236" s="292" t="n">
        <f aca="false">'GAS DAILY VOL DOWNLOAD'!K236-'GAS DAILY VOL DOWNLOAD'!$B236+$B236</f>
        <v>0</v>
      </c>
      <c r="L236" s="292" t="n">
        <f aca="false">'GAS DAILY VOL DOWNLOAD'!L236-'GAS DAILY VOL DOWNLOAD'!$B236+$B236</f>
        <v>0</v>
      </c>
      <c r="M236" s="292" t="n">
        <f aca="false">'GAS DAILY VOL DOWNLOAD'!M236-'GAS DAILY VOL DOWNLOAD'!$B236+$B236</f>
        <v>0</v>
      </c>
      <c r="N236" s="292" t="n">
        <f aca="false">'GAS DAILY VOL DOWNLOAD'!N236-'GAS DAILY VOL DOWNLOAD'!$B236+$B236</f>
        <v>0.15</v>
      </c>
      <c r="O236" s="292" t="n">
        <f aca="false">'GAS DAILY VOL DOWNLOAD'!O236-'GAS DAILY VOL DOWNLOAD'!$B236+$B236</f>
        <v>0.15</v>
      </c>
      <c r="P236" s="292" t="n">
        <f aca="false">'GAS DAILY VOL DOWNLOAD'!P236-'GAS DAILY VOL DOWNLOAD'!$B236+$B236</f>
        <v>0.1</v>
      </c>
      <c r="Q236" s="292" t="n">
        <f aca="false">'GAS DAILY VOL DOWNLOAD'!Q236-'GAS DAILY VOL DOWNLOAD'!$B236+$B236</f>
        <v>0</v>
      </c>
    </row>
    <row r="237" customFormat="false" ht="12.75" hidden="false" customHeight="false" outlineLevel="0" collapsed="false">
      <c r="A237" s="317" t="n">
        <v>44166</v>
      </c>
      <c r="B237" s="292" t="n">
        <f aca="false">STRADDLES!L259</f>
        <v>0</v>
      </c>
      <c r="C237" s="292" t="n">
        <f aca="false">'GAS DAILY VOL DOWNLOAD'!C237-'GAS DAILY VOL DOWNLOAD'!$B237+$B237</f>
        <v>0.05</v>
      </c>
      <c r="D237" s="292" t="n">
        <f aca="false">'GAS DAILY VOL DOWNLOAD'!D237-'GAS DAILY VOL DOWNLOAD'!$B237+$B237</f>
        <v>0</v>
      </c>
      <c r="E237" s="292" t="n">
        <f aca="false">'GAS DAILY VOL DOWNLOAD'!E237-'GAS DAILY VOL DOWNLOAD'!$B237+$B237</f>
        <v>0</v>
      </c>
      <c r="F237" s="292" t="n">
        <f aca="false">'GAS DAILY VOL DOWNLOAD'!F237-'GAS DAILY VOL DOWNLOAD'!$B237+$B237</f>
        <v>0.15</v>
      </c>
      <c r="G237" s="292" t="n">
        <f aca="false">'GAS DAILY VOL DOWNLOAD'!G237-'GAS DAILY VOL DOWNLOAD'!$B237+$B237</f>
        <v>0.25</v>
      </c>
      <c r="H237" s="292" t="n">
        <f aca="false">'GAS DAILY VOL DOWNLOAD'!H237-'GAS DAILY VOL DOWNLOAD'!$B237+$B237</f>
        <v>0.05</v>
      </c>
      <c r="I237" s="292" t="n">
        <f aca="false">'GAS DAILY VOL DOWNLOAD'!I237-'GAS DAILY VOL DOWNLOAD'!$B237+$B237</f>
        <v>0</v>
      </c>
      <c r="J237" s="292" t="n">
        <f aca="false">'GAS DAILY VOL DOWNLOAD'!J237-'GAS DAILY VOL DOWNLOAD'!$B237+$B237</f>
        <v>0.35</v>
      </c>
      <c r="K237" s="292" t="n">
        <f aca="false">'GAS DAILY VOL DOWNLOAD'!K237-'GAS DAILY VOL DOWNLOAD'!$B237+$B237</f>
        <v>0</v>
      </c>
      <c r="L237" s="292" t="n">
        <f aca="false">'GAS DAILY VOL DOWNLOAD'!L237-'GAS DAILY VOL DOWNLOAD'!$B237+$B237</f>
        <v>0.1</v>
      </c>
      <c r="M237" s="292" t="n">
        <f aca="false">'GAS DAILY VOL DOWNLOAD'!M237-'GAS DAILY VOL DOWNLOAD'!$B237+$B237</f>
        <v>0</v>
      </c>
      <c r="N237" s="292" t="n">
        <f aca="false">'GAS DAILY VOL DOWNLOAD'!N237-'GAS DAILY VOL DOWNLOAD'!$B237+$B237</f>
        <v>0.25</v>
      </c>
      <c r="O237" s="292" t="n">
        <f aca="false">'GAS DAILY VOL DOWNLOAD'!O237-'GAS DAILY VOL DOWNLOAD'!$B237+$B237</f>
        <v>0.15</v>
      </c>
      <c r="P237" s="292" t="n">
        <f aca="false">'GAS DAILY VOL DOWNLOAD'!P237-'GAS DAILY VOL DOWNLOAD'!$B237+$B237</f>
        <v>0.1</v>
      </c>
      <c r="Q237" s="292" t="n">
        <f aca="false">'GAS DAILY VOL DOWNLOAD'!Q237-'GAS DAILY VOL DOWNLOAD'!$B237+$B237</f>
        <v>0</v>
      </c>
    </row>
    <row r="238" customFormat="false" ht="12.75" hidden="false" customHeight="false" outlineLevel="0" collapsed="false">
      <c r="A238" s="317" t="n">
        <v>44197</v>
      </c>
      <c r="B238" s="292" t="n">
        <f aca="false">STRADDLES!L260</f>
        <v>0</v>
      </c>
      <c r="C238" s="292" t="n">
        <f aca="false">'GAS DAILY VOL DOWNLOAD'!C238-'GAS DAILY VOL DOWNLOAD'!$B238+$B238</f>
        <v>0.05</v>
      </c>
      <c r="D238" s="292" t="n">
        <f aca="false">'GAS DAILY VOL DOWNLOAD'!D238-'GAS DAILY VOL DOWNLOAD'!$B238+$B238</f>
        <v>0</v>
      </c>
      <c r="E238" s="292" t="n">
        <f aca="false">'GAS DAILY VOL DOWNLOAD'!E238-'GAS DAILY VOL DOWNLOAD'!$B238+$B238</f>
        <v>0</v>
      </c>
      <c r="F238" s="292" t="n">
        <f aca="false">'GAS DAILY VOL DOWNLOAD'!F238-'GAS DAILY VOL DOWNLOAD'!$B238+$B238</f>
        <v>0.15</v>
      </c>
      <c r="G238" s="292" t="n">
        <f aca="false">'GAS DAILY VOL DOWNLOAD'!G238-'GAS DAILY VOL DOWNLOAD'!$B238+$B238</f>
        <v>0.45</v>
      </c>
      <c r="H238" s="292" t="n">
        <f aca="false">'GAS DAILY VOL DOWNLOAD'!H238-'GAS DAILY VOL DOWNLOAD'!$B238+$B238</f>
        <v>0.05</v>
      </c>
      <c r="I238" s="292" t="n">
        <f aca="false">'GAS DAILY VOL DOWNLOAD'!I238-'GAS DAILY VOL DOWNLOAD'!$B238+$B238</f>
        <v>0</v>
      </c>
      <c r="J238" s="292" t="n">
        <f aca="false">'GAS DAILY VOL DOWNLOAD'!J238-'GAS DAILY VOL DOWNLOAD'!$B238+$B238</f>
        <v>0.35</v>
      </c>
      <c r="K238" s="292" t="n">
        <f aca="false">'GAS DAILY VOL DOWNLOAD'!K238-'GAS DAILY VOL DOWNLOAD'!$B238+$B238</f>
        <v>0</v>
      </c>
      <c r="L238" s="292" t="n">
        <f aca="false">'GAS DAILY VOL DOWNLOAD'!L238-'GAS DAILY VOL DOWNLOAD'!$B238+$B238</f>
        <v>0.1</v>
      </c>
      <c r="M238" s="292" t="n">
        <f aca="false">'GAS DAILY VOL DOWNLOAD'!M238-'GAS DAILY VOL DOWNLOAD'!$B238+$B238</f>
        <v>0</v>
      </c>
      <c r="N238" s="292" t="n">
        <f aca="false">'GAS DAILY VOL DOWNLOAD'!N238-'GAS DAILY VOL DOWNLOAD'!$B238+$B238</f>
        <v>0.45</v>
      </c>
      <c r="O238" s="292" t="n">
        <f aca="false">'GAS DAILY VOL DOWNLOAD'!O238-'GAS DAILY VOL DOWNLOAD'!$B238+$B238</f>
        <v>0.15</v>
      </c>
      <c r="P238" s="292" t="n">
        <f aca="false">'GAS DAILY VOL DOWNLOAD'!P238-'GAS DAILY VOL DOWNLOAD'!$B238+$B238</f>
        <v>0.1</v>
      </c>
      <c r="Q238" s="292" t="n">
        <f aca="false">'GAS DAILY VOL DOWNLOAD'!Q238-'GAS DAILY VOL DOWNLOAD'!$B238+$B238</f>
        <v>0</v>
      </c>
    </row>
    <row r="239" customFormat="false" ht="12.75" hidden="false" customHeight="false" outlineLevel="0" collapsed="false">
      <c r="A239" s="317" t="n">
        <v>44228</v>
      </c>
      <c r="B239" s="292" t="n">
        <f aca="false">STRADDLES!L261</f>
        <v>0</v>
      </c>
      <c r="C239" s="292" t="n">
        <f aca="false">'GAS DAILY VOL DOWNLOAD'!C239-'GAS DAILY VOL DOWNLOAD'!$B239+$B239</f>
        <v>0.05</v>
      </c>
      <c r="D239" s="292" t="n">
        <f aca="false">'GAS DAILY VOL DOWNLOAD'!D239-'GAS DAILY VOL DOWNLOAD'!$B239+$B239</f>
        <v>0</v>
      </c>
      <c r="E239" s="292" t="n">
        <f aca="false">'GAS DAILY VOL DOWNLOAD'!E239-'GAS DAILY VOL DOWNLOAD'!$B239+$B239</f>
        <v>0</v>
      </c>
      <c r="F239" s="292" t="n">
        <f aca="false">'GAS DAILY VOL DOWNLOAD'!F239-'GAS DAILY VOL DOWNLOAD'!$B239+$B239</f>
        <v>0.15</v>
      </c>
      <c r="G239" s="292" t="n">
        <f aca="false">'GAS DAILY VOL DOWNLOAD'!G239-'GAS DAILY VOL DOWNLOAD'!$B239+$B239</f>
        <v>0.45</v>
      </c>
      <c r="H239" s="292" t="n">
        <f aca="false">'GAS DAILY VOL DOWNLOAD'!H239-'GAS DAILY VOL DOWNLOAD'!$B239+$B239</f>
        <v>0.05</v>
      </c>
      <c r="I239" s="292" t="n">
        <f aca="false">'GAS DAILY VOL DOWNLOAD'!I239-'GAS DAILY VOL DOWNLOAD'!$B239+$B239</f>
        <v>0</v>
      </c>
      <c r="J239" s="292" t="n">
        <f aca="false">'GAS DAILY VOL DOWNLOAD'!J239-'GAS DAILY VOL DOWNLOAD'!$B239+$B239</f>
        <v>0.35</v>
      </c>
      <c r="K239" s="292" t="n">
        <f aca="false">'GAS DAILY VOL DOWNLOAD'!K239-'GAS DAILY VOL DOWNLOAD'!$B239+$B239</f>
        <v>0</v>
      </c>
      <c r="L239" s="292" t="n">
        <f aca="false">'GAS DAILY VOL DOWNLOAD'!L239-'GAS DAILY VOL DOWNLOAD'!$B239+$B239</f>
        <v>0.1</v>
      </c>
      <c r="M239" s="292" t="n">
        <f aca="false">'GAS DAILY VOL DOWNLOAD'!M239-'GAS DAILY VOL DOWNLOAD'!$B239+$B239</f>
        <v>0</v>
      </c>
      <c r="N239" s="292" t="n">
        <f aca="false">'GAS DAILY VOL DOWNLOAD'!N239-'GAS DAILY VOL DOWNLOAD'!$B239+$B239</f>
        <v>0.45</v>
      </c>
      <c r="O239" s="292" t="n">
        <f aca="false">'GAS DAILY VOL DOWNLOAD'!O239-'GAS DAILY VOL DOWNLOAD'!$B239+$B239</f>
        <v>0.15</v>
      </c>
      <c r="P239" s="292" t="n">
        <f aca="false">'GAS DAILY VOL DOWNLOAD'!P239-'GAS DAILY VOL DOWNLOAD'!$B239+$B239</f>
        <v>0.1</v>
      </c>
      <c r="Q239" s="292" t="n">
        <f aca="false">'GAS DAILY VOL DOWNLOAD'!Q239-'GAS DAILY VOL DOWNLOAD'!$B239+$B239</f>
        <v>0</v>
      </c>
    </row>
    <row r="240" customFormat="false" ht="12.75" hidden="false" customHeight="false" outlineLevel="0" collapsed="false">
      <c r="A240" s="317" t="n">
        <v>44256</v>
      </c>
      <c r="B240" s="292" t="n">
        <f aca="false">STRADDLES!L262</f>
        <v>0</v>
      </c>
      <c r="C240" s="292" t="n">
        <f aca="false">'GAS DAILY VOL DOWNLOAD'!C240-'GAS DAILY VOL DOWNLOAD'!$B240+$B240</f>
        <v>0.05</v>
      </c>
      <c r="D240" s="292" t="n">
        <f aca="false">'GAS DAILY VOL DOWNLOAD'!D240-'GAS DAILY VOL DOWNLOAD'!$B240+$B240</f>
        <v>0</v>
      </c>
      <c r="E240" s="292" t="n">
        <f aca="false">'GAS DAILY VOL DOWNLOAD'!E240-'GAS DAILY VOL DOWNLOAD'!$B240+$B240</f>
        <v>0</v>
      </c>
      <c r="F240" s="292" t="n">
        <f aca="false">'GAS DAILY VOL DOWNLOAD'!F240-'GAS DAILY VOL DOWNLOAD'!$B240+$B240</f>
        <v>0.1</v>
      </c>
      <c r="G240" s="292" t="n">
        <f aca="false">'GAS DAILY VOL DOWNLOAD'!G240-'GAS DAILY VOL DOWNLOAD'!$B240+$B240</f>
        <v>0.25</v>
      </c>
      <c r="H240" s="292" t="n">
        <f aca="false">'GAS DAILY VOL DOWNLOAD'!H240-'GAS DAILY VOL DOWNLOAD'!$B240+$B240</f>
        <v>0</v>
      </c>
      <c r="I240" s="292" t="n">
        <f aca="false">'GAS DAILY VOL DOWNLOAD'!I240-'GAS DAILY VOL DOWNLOAD'!$B240+$B240</f>
        <v>0</v>
      </c>
      <c r="J240" s="292" t="n">
        <f aca="false">'GAS DAILY VOL DOWNLOAD'!J240-'GAS DAILY VOL DOWNLOAD'!$B240+$B240</f>
        <v>0.2</v>
      </c>
      <c r="K240" s="292" t="n">
        <f aca="false">'GAS DAILY VOL DOWNLOAD'!K240-'GAS DAILY VOL DOWNLOAD'!$B240+$B240</f>
        <v>0</v>
      </c>
      <c r="L240" s="292" t="n">
        <f aca="false">'GAS DAILY VOL DOWNLOAD'!L240-'GAS DAILY VOL DOWNLOAD'!$B240+$B240</f>
        <v>0</v>
      </c>
      <c r="M240" s="292" t="n">
        <f aca="false">'GAS DAILY VOL DOWNLOAD'!M240-'GAS DAILY VOL DOWNLOAD'!$B240+$B240</f>
        <v>0</v>
      </c>
      <c r="N240" s="292" t="n">
        <f aca="false">'GAS DAILY VOL DOWNLOAD'!N240-'GAS DAILY VOL DOWNLOAD'!$B240+$B240</f>
        <v>0.25</v>
      </c>
      <c r="O240" s="292" t="n">
        <f aca="false">'GAS DAILY VOL DOWNLOAD'!O240-'GAS DAILY VOL DOWNLOAD'!$B240+$B240</f>
        <v>0.15</v>
      </c>
      <c r="P240" s="292" t="n">
        <f aca="false">'GAS DAILY VOL DOWNLOAD'!P240-'GAS DAILY VOL DOWNLOAD'!$B240+$B240</f>
        <v>0.1</v>
      </c>
      <c r="Q240" s="292" t="n">
        <f aca="false">'GAS DAILY VOL DOWNLOAD'!Q240-'GAS DAILY VOL DOWNLOAD'!$B240+$B240</f>
        <v>0</v>
      </c>
    </row>
    <row r="241" customFormat="false" ht="12.75" hidden="false" customHeight="false" outlineLevel="0" collapsed="false">
      <c r="A241" s="317" t="n">
        <v>44287</v>
      </c>
      <c r="B241" s="292" t="n">
        <f aca="false">STRADDLES!L263</f>
        <v>0</v>
      </c>
      <c r="C241" s="292" t="n">
        <f aca="false">'GAS DAILY VOL DOWNLOAD'!C241-'GAS DAILY VOL DOWNLOAD'!$B241+$B241</f>
        <v>0.05</v>
      </c>
      <c r="D241" s="292" t="n">
        <f aca="false">'GAS DAILY VOL DOWNLOAD'!D241-'GAS DAILY VOL DOWNLOAD'!$B241+$B241</f>
        <v>0</v>
      </c>
      <c r="E241" s="292" t="n">
        <f aca="false">'GAS DAILY VOL DOWNLOAD'!E241-'GAS DAILY VOL DOWNLOAD'!$B241+$B241</f>
        <v>0.05</v>
      </c>
      <c r="F241" s="292" t="n">
        <f aca="false">'GAS DAILY VOL DOWNLOAD'!F241-'GAS DAILY VOL DOWNLOAD'!$B241+$B241</f>
        <v>0.05</v>
      </c>
      <c r="G241" s="292" t="n">
        <f aca="false">'GAS DAILY VOL DOWNLOAD'!G241-'GAS DAILY VOL DOWNLOAD'!$B241+$B241</f>
        <v>0.05</v>
      </c>
      <c r="H241" s="292" t="n">
        <f aca="false">'GAS DAILY VOL DOWNLOAD'!H241-'GAS DAILY VOL DOWNLOAD'!$B241+$B241</f>
        <v>0.05</v>
      </c>
      <c r="I241" s="292" t="n">
        <f aca="false">'GAS DAILY VOL DOWNLOAD'!I241-'GAS DAILY VOL DOWNLOAD'!$B241+$B241</f>
        <v>0.05</v>
      </c>
      <c r="J241" s="292" t="n">
        <f aca="false">'GAS DAILY VOL DOWNLOAD'!J241-'GAS DAILY VOL DOWNLOAD'!$B241+$B241</f>
        <v>0.1</v>
      </c>
      <c r="K241" s="292" t="n">
        <f aca="false">'GAS DAILY VOL DOWNLOAD'!K241-'GAS DAILY VOL DOWNLOAD'!$B241+$B241</f>
        <v>0</v>
      </c>
      <c r="L241" s="292" t="n">
        <f aca="false">'GAS DAILY VOL DOWNLOAD'!L241-'GAS DAILY VOL DOWNLOAD'!$B241+$B241</f>
        <v>0.05</v>
      </c>
      <c r="M241" s="292" t="n">
        <f aca="false">'GAS DAILY VOL DOWNLOAD'!M241-'GAS DAILY VOL DOWNLOAD'!$B241+$B241</f>
        <v>0</v>
      </c>
      <c r="N241" s="292" t="n">
        <f aca="false">'GAS DAILY VOL DOWNLOAD'!N241-'GAS DAILY VOL DOWNLOAD'!$B241+$B241</f>
        <v>0.05</v>
      </c>
      <c r="O241" s="292" t="n">
        <f aca="false">'GAS DAILY VOL DOWNLOAD'!O241-'GAS DAILY VOL DOWNLOAD'!$B241+$B241</f>
        <v>0.15</v>
      </c>
      <c r="P241" s="292" t="n">
        <f aca="false">'GAS DAILY VOL DOWNLOAD'!P241-'GAS DAILY VOL DOWNLOAD'!$B241+$B241</f>
        <v>0.15</v>
      </c>
      <c r="Q241" s="292" t="n">
        <f aca="false">'GAS DAILY VOL DOWNLOAD'!Q241-'GAS DAILY VOL DOWNLOAD'!$B241+$B241</f>
        <v>0</v>
      </c>
    </row>
    <row r="242" customFormat="false" ht="12.75" hidden="false" customHeight="false" outlineLevel="0" collapsed="false">
      <c r="A242" s="317" t="n">
        <v>44317</v>
      </c>
      <c r="B242" s="292" t="n">
        <f aca="false">STRADDLES!L264</f>
        <v>0</v>
      </c>
      <c r="C242" s="292" t="n">
        <f aca="false">'GAS DAILY VOL DOWNLOAD'!C242-'GAS DAILY VOL DOWNLOAD'!$B242+$B242</f>
        <v>0.05</v>
      </c>
      <c r="D242" s="292" t="n">
        <f aca="false">'GAS DAILY VOL DOWNLOAD'!D242-'GAS DAILY VOL DOWNLOAD'!$B242+$B242</f>
        <v>-0.05</v>
      </c>
      <c r="E242" s="292" t="n">
        <f aca="false">'GAS DAILY VOL DOWNLOAD'!E242-'GAS DAILY VOL DOWNLOAD'!$B242+$B242</f>
        <v>-0.05</v>
      </c>
      <c r="F242" s="292" t="n">
        <f aca="false">'GAS DAILY VOL DOWNLOAD'!F242-'GAS DAILY VOL DOWNLOAD'!$B242+$B242</f>
        <v>0</v>
      </c>
      <c r="G242" s="292" t="n">
        <f aca="false">'GAS DAILY VOL DOWNLOAD'!G242-'GAS DAILY VOL DOWNLOAD'!$B242+$B242</f>
        <v>0.05</v>
      </c>
      <c r="H242" s="292" t="n">
        <f aca="false">'GAS DAILY VOL DOWNLOAD'!H242-'GAS DAILY VOL DOWNLOAD'!$B242+$B242</f>
        <v>0</v>
      </c>
      <c r="I242" s="292" t="n">
        <f aca="false">'GAS DAILY VOL DOWNLOAD'!I242-'GAS DAILY VOL DOWNLOAD'!$B242+$B242</f>
        <v>-0.05</v>
      </c>
      <c r="J242" s="292" t="n">
        <f aca="false">'GAS DAILY VOL DOWNLOAD'!J242-'GAS DAILY VOL DOWNLOAD'!$B242+$B242</f>
        <v>0</v>
      </c>
      <c r="K242" s="292" t="n">
        <f aca="false">'GAS DAILY VOL DOWNLOAD'!K242-'GAS DAILY VOL DOWNLOAD'!$B242+$B242</f>
        <v>0</v>
      </c>
      <c r="L242" s="292" t="n">
        <f aca="false">'GAS DAILY VOL DOWNLOAD'!L242-'GAS DAILY VOL DOWNLOAD'!$B242+$B242</f>
        <v>0.05</v>
      </c>
      <c r="M242" s="292" t="n">
        <f aca="false">'GAS DAILY VOL DOWNLOAD'!M242-'GAS DAILY VOL DOWNLOAD'!$B242+$B242</f>
        <v>0</v>
      </c>
      <c r="N242" s="292" t="n">
        <f aca="false">'GAS DAILY VOL DOWNLOAD'!N242-'GAS DAILY VOL DOWNLOAD'!$B242+$B242</f>
        <v>0.05</v>
      </c>
      <c r="O242" s="292" t="n">
        <f aca="false">'GAS DAILY VOL DOWNLOAD'!O242-'GAS DAILY VOL DOWNLOAD'!$B242+$B242</f>
        <v>0.15</v>
      </c>
      <c r="P242" s="292" t="n">
        <f aca="false">'GAS DAILY VOL DOWNLOAD'!P242-'GAS DAILY VOL DOWNLOAD'!$B242+$B242</f>
        <v>0.05</v>
      </c>
      <c r="Q242" s="292" t="n">
        <f aca="false">'GAS DAILY VOL DOWNLOAD'!Q242-'GAS DAILY VOL DOWNLOAD'!$B242+$B242</f>
        <v>0</v>
      </c>
    </row>
    <row r="243" customFormat="false" ht="12.75" hidden="false" customHeight="false" outlineLevel="0" collapsed="false">
      <c r="A243" s="317" t="n">
        <v>44348</v>
      </c>
      <c r="B243" s="292" t="n">
        <f aca="false">STRADDLES!L265</f>
        <v>0</v>
      </c>
      <c r="C243" s="292" t="n">
        <f aca="false">'GAS DAILY VOL DOWNLOAD'!C243-'GAS DAILY VOL DOWNLOAD'!$B243+$B243</f>
        <v>0.05</v>
      </c>
      <c r="D243" s="292" t="n">
        <f aca="false">'GAS DAILY VOL DOWNLOAD'!D243-'GAS DAILY VOL DOWNLOAD'!$B243+$B243</f>
        <v>-0.05</v>
      </c>
      <c r="E243" s="292" t="n">
        <f aca="false">'GAS DAILY VOL DOWNLOAD'!E243-'GAS DAILY VOL DOWNLOAD'!$B243+$B243</f>
        <v>0.05</v>
      </c>
      <c r="F243" s="292" t="n">
        <f aca="false">'GAS DAILY VOL DOWNLOAD'!F243-'GAS DAILY VOL DOWNLOAD'!$B243+$B243</f>
        <v>0</v>
      </c>
      <c r="G243" s="292" t="n">
        <f aca="false">'GAS DAILY VOL DOWNLOAD'!G243-'GAS DAILY VOL DOWNLOAD'!$B243+$B243</f>
        <v>0.05</v>
      </c>
      <c r="H243" s="292" t="n">
        <f aca="false">'GAS DAILY VOL DOWNLOAD'!H243-'GAS DAILY VOL DOWNLOAD'!$B243+$B243</f>
        <v>0.05</v>
      </c>
      <c r="I243" s="292" t="n">
        <f aca="false">'GAS DAILY VOL DOWNLOAD'!I243-'GAS DAILY VOL DOWNLOAD'!$B243+$B243</f>
        <v>0.05</v>
      </c>
      <c r="J243" s="292" t="n">
        <f aca="false">'GAS DAILY VOL DOWNLOAD'!J243-'GAS DAILY VOL DOWNLOAD'!$B243+$B243</f>
        <v>0.05</v>
      </c>
      <c r="K243" s="292" t="n">
        <f aca="false">'GAS DAILY VOL DOWNLOAD'!K243-'GAS DAILY VOL DOWNLOAD'!$B243+$B243</f>
        <v>0</v>
      </c>
      <c r="L243" s="292" t="n">
        <f aca="false">'GAS DAILY VOL DOWNLOAD'!L243-'GAS DAILY VOL DOWNLOAD'!$B243+$B243</f>
        <v>0.05</v>
      </c>
      <c r="M243" s="292" t="n">
        <f aca="false">'GAS DAILY VOL DOWNLOAD'!M243-'GAS DAILY VOL DOWNLOAD'!$B243+$B243</f>
        <v>0</v>
      </c>
      <c r="N243" s="292" t="n">
        <f aca="false">'GAS DAILY VOL DOWNLOAD'!N243-'GAS DAILY VOL DOWNLOAD'!$B243+$B243</f>
        <v>0.05</v>
      </c>
      <c r="O243" s="292" t="n">
        <f aca="false">'GAS DAILY VOL DOWNLOAD'!O243-'GAS DAILY VOL DOWNLOAD'!$B243+$B243</f>
        <v>0.15</v>
      </c>
      <c r="P243" s="292" t="n">
        <f aca="false">'GAS DAILY VOL DOWNLOAD'!P243-'GAS DAILY VOL DOWNLOAD'!$B243+$B243</f>
        <v>0.15</v>
      </c>
      <c r="Q243" s="292" t="n">
        <f aca="false">'GAS DAILY VOL DOWNLOAD'!Q243-'GAS DAILY VOL DOWNLOAD'!$B243+$B243</f>
        <v>0</v>
      </c>
    </row>
    <row r="244" customFormat="false" ht="12.75" hidden="false" customHeight="false" outlineLevel="0" collapsed="false">
      <c r="A244" s="317" t="n">
        <v>44378</v>
      </c>
      <c r="B244" s="292" t="n">
        <f aca="false">STRADDLES!L266</f>
        <v>0</v>
      </c>
      <c r="C244" s="292" t="n">
        <f aca="false">'GAS DAILY VOL DOWNLOAD'!C244-'GAS DAILY VOL DOWNLOAD'!$B244+$B244</f>
        <v>0</v>
      </c>
      <c r="D244" s="292" t="n">
        <f aca="false">'GAS DAILY VOL DOWNLOAD'!D244-'GAS DAILY VOL DOWNLOAD'!$B244+$B244</f>
        <v>-0.1</v>
      </c>
      <c r="E244" s="292" t="n">
        <f aca="false">'GAS DAILY VOL DOWNLOAD'!E244-'GAS DAILY VOL DOWNLOAD'!$B244+$B244</f>
        <v>0</v>
      </c>
      <c r="F244" s="292" t="n">
        <f aca="false">'GAS DAILY VOL DOWNLOAD'!F244-'GAS DAILY VOL DOWNLOAD'!$B244+$B244</f>
        <v>0</v>
      </c>
      <c r="G244" s="292" t="n">
        <f aca="false">'GAS DAILY VOL DOWNLOAD'!G244-'GAS DAILY VOL DOWNLOAD'!$B244+$B244</f>
        <v>0</v>
      </c>
      <c r="H244" s="292" t="n">
        <f aca="false">'GAS DAILY VOL DOWNLOAD'!H244-'GAS DAILY VOL DOWNLOAD'!$B244+$B244</f>
        <v>0</v>
      </c>
      <c r="I244" s="292" t="n">
        <f aca="false">'GAS DAILY VOL DOWNLOAD'!I244-'GAS DAILY VOL DOWNLOAD'!$B244+$B244</f>
        <v>0</v>
      </c>
      <c r="J244" s="292" t="n">
        <f aca="false">'GAS DAILY VOL DOWNLOAD'!J244-'GAS DAILY VOL DOWNLOAD'!$B244+$B244</f>
        <v>0</v>
      </c>
      <c r="K244" s="292" t="n">
        <f aca="false">'GAS DAILY VOL DOWNLOAD'!K244-'GAS DAILY VOL DOWNLOAD'!$B244+$B244</f>
        <v>0</v>
      </c>
      <c r="L244" s="292" t="n">
        <f aca="false">'GAS DAILY VOL DOWNLOAD'!L244-'GAS DAILY VOL DOWNLOAD'!$B244+$B244</f>
        <v>0.05</v>
      </c>
      <c r="M244" s="292" t="n">
        <f aca="false">'GAS DAILY VOL DOWNLOAD'!M244-'GAS DAILY VOL DOWNLOAD'!$B244+$B244</f>
        <v>0</v>
      </c>
      <c r="N244" s="292" t="n">
        <f aca="false">'GAS DAILY VOL DOWNLOAD'!N244-'GAS DAILY VOL DOWNLOAD'!$B244+$B244</f>
        <v>0</v>
      </c>
      <c r="O244" s="292" t="n">
        <f aca="false">'GAS DAILY VOL DOWNLOAD'!O244-'GAS DAILY VOL DOWNLOAD'!$B244+$B244</f>
        <v>0.15</v>
      </c>
      <c r="P244" s="292" t="n">
        <f aca="false">'GAS DAILY VOL DOWNLOAD'!P244-'GAS DAILY VOL DOWNLOAD'!$B244+$B244</f>
        <v>0.1</v>
      </c>
      <c r="Q244" s="292" t="n">
        <f aca="false">'GAS DAILY VOL DOWNLOAD'!Q244-'GAS DAILY VOL DOWNLOAD'!$B244+$B244</f>
        <v>0</v>
      </c>
    </row>
    <row r="245" customFormat="false" ht="12.75" hidden="false" customHeight="false" outlineLevel="0" collapsed="false">
      <c r="A245" s="317" t="n">
        <v>44409</v>
      </c>
      <c r="B245" s="292" t="n">
        <f aca="false">STRADDLES!L267</f>
        <v>0</v>
      </c>
      <c r="C245" s="292" t="n">
        <f aca="false">'GAS DAILY VOL DOWNLOAD'!C245-'GAS DAILY VOL DOWNLOAD'!$B245+$B245</f>
        <v>0</v>
      </c>
      <c r="D245" s="292" t="n">
        <f aca="false">'GAS DAILY VOL DOWNLOAD'!D245-'GAS DAILY VOL DOWNLOAD'!$B245+$B245</f>
        <v>-0.05</v>
      </c>
      <c r="E245" s="292" t="n">
        <f aca="false">'GAS DAILY VOL DOWNLOAD'!E245-'GAS DAILY VOL DOWNLOAD'!$B245+$B245</f>
        <v>0.0499999999999999</v>
      </c>
      <c r="F245" s="292" t="n">
        <f aca="false">'GAS DAILY VOL DOWNLOAD'!F245-'GAS DAILY VOL DOWNLOAD'!$B245+$B245</f>
        <v>0</v>
      </c>
      <c r="G245" s="292" t="n">
        <f aca="false">'GAS DAILY VOL DOWNLOAD'!G245-'GAS DAILY VOL DOWNLOAD'!$B245+$B245</f>
        <v>0.0499999999999999</v>
      </c>
      <c r="H245" s="292" t="n">
        <f aca="false">'GAS DAILY VOL DOWNLOAD'!H245-'GAS DAILY VOL DOWNLOAD'!$B245+$B245</f>
        <v>0</v>
      </c>
      <c r="I245" s="292" t="n">
        <f aca="false">'GAS DAILY VOL DOWNLOAD'!I245-'GAS DAILY VOL DOWNLOAD'!$B245+$B245</f>
        <v>0.0499999999999999</v>
      </c>
      <c r="J245" s="292" t="n">
        <f aca="false">'GAS DAILY VOL DOWNLOAD'!J245-'GAS DAILY VOL DOWNLOAD'!$B245+$B245</f>
        <v>-0.1</v>
      </c>
      <c r="K245" s="292" t="n">
        <f aca="false">'GAS DAILY VOL DOWNLOAD'!K245-'GAS DAILY VOL DOWNLOAD'!$B245+$B245</f>
        <v>0</v>
      </c>
      <c r="L245" s="292" t="n">
        <f aca="false">'GAS DAILY VOL DOWNLOAD'!L245-'GAS DAILY VOL DOWNLOAD'!$B245+$B245</f>
        <v>0.0499999999999999</v>
      </c>
      <c r="M245" s="292" t="n">
        <f aca="false">'GAS DAILY VOL DOWNLOAD'!M245-'GAS DAILY VOL DOWNLOAD'!$B245+$B245</f>
        <v>0</v>
      </c>
      <c r="N245" s="292" t="n">
        <f aca="false">'GAS DAILY VOL DOWNLOAD'!N245-'GAS DAILY VOL DOWNLOAD'!$B245+$B245</f>
        <v>0.0499999999999999</v>
      </c>
      <c r="O245" s="292" t="n">
        <f aca="false">'GAS DAILY VOL DOWNLOAD'!O245-'GAS DAILY VOL DOWNLOAD'!$B245+$B245</f>
        <v>0.15</v>
      </c>
      <c r="P245" s="292" t="n">
        <f aca="false">'GAS DAILY VOL DOWNLOAD'!P245-'GAS DAILY VOL DOWNLOAD'!$B245+$B245</f>
        <v>0.15</v>
      </c>
      <c r="Q245" s="292" t="n">
        <f aca="false">'GAS DAILY VOL DOWNLOAD'!Q245-'GAS DAILY VOL DOWNLOAD'!$B245+$B245</f>
        <v>0</v>
      </c>
    </row>
    <row r="246" customFormat="false" ht="12.75" hidden="false" customHeight="false" outlineLevel="0" collapsed="false">
      <c r="A246" s="317" t="n">
        <v>44440</v>
      </c>
      <c r="B246" s="292" t="n">
        <f aca="false">STRADDLES!L268</f>
        <v>0</v>
      </c>
      <c r="C246" s="292" t="n">
        <f aca="false">'GAS DAILY VOL DOWNLOAD'!C246-'GAS DAILY VOL DOWNLOAD'!$B246+$B246</f>
        <v>0</v>
      </c>
      <c r="D246" s="292" t="n">
        <f aca="false">'GAS DAILY VOL DOWNLOAD'!D246-'GAS DAILY VOL DOWNLOAD'!$B246+$B246</f>
        <v>0</v>
      </c>
      <c r="E246" s="292" t="n">
        <f aca="false">'GAS DAILY VOL DOWNLOAD'!E246-'GAS DAILY VOL DOWNLOAD'!$B246+$B246</f>
        <v>0</v>
      </c>
      <c r="F246" s="292" t="n">
        <f aca="false">'GAS DAILY VOL DOWNLOAD'!F246-'GAS DAILY VOL DOWNLOAD'!$B246+$B246</f>
        <v>0</v>
      </c>
      <c r="G246" s="292" t="n">
        <f aca="false">'GAS DAILY VOL DOWNLOAD'!G246-'GAS DAILY VOL DOWNLOAD'!$B246+$B246</f>
        <v>0.0499999999999999</v>
      </c>
      <c r="H246" s="292" t="n">
        <f aca="false">'GAS DAILY VOL DOWNLOAD'!H246-'GAS DAILY VOL DOWNLOAD'!$B246+$B246</f>
        <v>0.0499999999999999</v>
      </c>
      <c r="I246" s="292" t="n">
        <f aca="false">'GAS DAILY VOL DOWNLOAD'!I246-'GAS DAILY VOL DOWNLOAD'!$B246+$B246</f>
        <v>0</v>
      </c>
      <c r="J246" s="292" t="n">
        <f aca="false">'GAS DAILY VOL DOWNLOAD'!J246-'GAS DAILY VOL DOWNLOAD'!$B246+$B246</f>
        <v>-0.05</v>
      </c>
      <c r="K246" s="292" t="n">
        <f aca="false">'GAS DAILY VOL DOWNLOAD'!K246-'GAS DAILY VOL DOWNLOAD'!$B246+$B246</f>
        <v>0</v>
      </c>
      <c r="L246" s="292" t="n">
        <f aca="false">'GAS DAILY VOL DOWNLOAD'!L246-'GAS DAILY VOL DOWNLOAD'!$B246+$B246</f>
        <v>0.0499999999999999</v>
      </c>
      <c r="M246" s="292" t="n">
        <f aca="false">'GAS DAILY VOL DOWNLOAD'!M246-'GAS DAILY VOL DOWNLOAD'!$B246+$B246</f>
        <v>0</v>
      </c>
      <c r="N246" s="292" t="n">
        <f aca="false">'GAS DAILY VOL DOWNLOAD'!N246-'GAS DAILY VOL DOWNLOAD'!$B246+$B246</f>
        <v>0.0499999999999999</v>
      </c>
      <c r="O246" s="292" t="n">
        <f aca="false">'GAS DAILY VOL DOWNLOAD'!O246-'GAS DAILY VOL DOWNLOAD'!$B246+$B246</f>
        <v>0.15</v>
      </c>
      <c r="P246" s="292" t="n">
        <f aca="false">'GAS DAILY VOL DOWNLOAD'!P246-'GAS DAILY VOL DOWNLOAD'!$B246+$B246</f>
        <v>0.1</v>
      </c>
      <c r="Q246" s="292" t="n">
        <f aca="false">'GAS DAILY VOL DOWNLOAD'!Q246-'GAS DAILY VOL DOWNLOAD'!$B246+$B246</f>
        <v>0</v>
      </c>
    </row>
    <row r="247" customFormat="false" ht="12.75" hidden="false" customHeight="false" outlineLevel="0" collapsed="false">
      <c r="A247" s="317" t="n">
        <v>44470</v>
      </c>
      <c r="B247" s="292" t="n">
        <f aca="false">STRADDLES!L269</f>
        <v>0</v>
      </c>
      <c r="C247" s="292" t="n">
        <f aca="false">'GAS DAILY VOL DOWNLOAD'!C247-'GAS DAILY VOL DOWNLOAD'!$B247+$B247</f>
        <v>0</v>
      </c>
      <c r="D247" s="292" t="n">
        <f aca="false">'GAS DAILY VOL DOWNLOAD'!D247-'GAS DAILY VOL DOWNLOAD'!$B247+$B247</f>
        <v>-0.0499999999999999</v>
      </c>
      <c r="E247" s="292" t="n">
        <f aca="false">'GAS DAILY VOL DOWNLOAD'!E247-'GAS DAILY VOL DOWNLOAD'!$B247+$B247</f>
        <v>0</v>
      </c>
      <c r="F247" s="292" t="n">
        <f aca="false">'GAS DAILY VOL DOWNLOAD'!F247-'GAS DAILY VOL DOWNLOAD'!$B247+$B247</f>
        <v>0</v>
      </c>
      <c r="G247" s="292" t="n">
        <f aca="false">'GAS DAILY VOL DOWNLOAD'!G247-'GAS DAILY VOL DOWNLOAD'!$B247+$B247</f>
        <v>0.05</v>
      </c>
      <c r="H247" s="292" t="n">
        <f aca="false">'GAS DAILY VOL DOWNLOAD'!H247-'GAS DAILY VOL DOWNLOAD'!$B247+$B247</f>
        <v>0.05</v>
      </c>
      <c r="I247" s="292" t="n">
        <f aca="false">'GAS DAILY VOL DOWNLOAD'!I247-'GAS DAILY VOL DOWNLOAD'!$B247+$B247</f>
        <v>0</v>
      </c>
      <c r="J247" s="292" t="n">
        <f aca="false">'GAS DAILY VOL DOWNLOAD'!J247-'GAS DAILY VOL DOWNLOAD'!$B247+$B247</f>
        <v>-0.1</v>
      </c>
      <c r="K247" s="292" t="n">
        <f aca="false">'GAS DAILY VOL DOWNLOAD'!K247-'GAS DAILY VOL DOWNLOAD'!$B247+$B247</f>
        <v>0</v>
      </c>
      <c r="L247" s="292" t="n">
        <f aca="false">'GAS DAILY VOL DOWNLOAD'!L247-'GAS DAILY VOL DOWNLOAD'!$B247+$B247</f>
        <v>0.05</v>
      </c>
      <c r="M247" s="292" t="n">
        <f aca="false">'GAS DAILY VOL DOWNLOAD'!M247-'GAS DAILY VOL DOWNLOAD'!$B247+$B247</f>
        <v>0</v>
      </c>
      <c r="N247" s="292" t="n">
        <f aca="false">'GAS DAILY VOL DOWNLOAD'!N247-'GAS DAILY VOL DOWNLOAD'!$B247+$B247</f>
        <v>0.05</v>
      </c>
      <c r="O247" s="292" t="n">
        <f aca="false">'GAS DAILY VOL DOWNLOAD'!O247-'GAS DAILY VOL DOWNLOAD'!$B247+$B247</f>
        <v>0.15</v>
      </c>
      <c r="P247" s="292" t="n">
        <f aca="false">'GAS DAILY VOL DOWNLOAD'!P247-'GAS DAILY VOL DOWNLOAD'!$B247+$B247</f>
        <v>0.1</v>
      </c>
      <c r="Q247" s="292" t="n">
        <f aca="false">'GAS DAILY VOL DOWNLOAD'!Q247-'GAS DAILY VOL DOWNLOAD'!$B247+$B247</f>
        <v>0</v>
      </c>
    </row>
    <row r="248" customFormat="false" ht="12.75" hidden="false" customHeight="false" outlineLevel="0" collapsed="false">
      <c r="A248" s="317" t="n">
        <v>44501</v>
      </c>
      <c r="B248" s="292" t="n">
        <f aca="false">STRADDLES!L270</f>
        <v>0</v>
      </c>
      <c r="C248" s="292" t="n">
        <f aca="false">'GAS DAILY VOL DOWNLOAD'!C248-'GAS DAILY VOL DOWNLOAD'!$B248+$B248</f>
        <v>0.0499999999999999</v>
      </c>
      <c r="D248" s="292" t="n">
        <f aca="false">'GAS DAILY VOL DOWNLOAD'!D248-'GAS DAILY VOL DOWNLOAD'!$B248+$B248</f>
        <v>0</v>
      </c>
      <c r="E248" s="292" t="n">
        <f aca="false">'GAS DAILY VOL DOWNLOAD'!E248-'GAS DAILY VOL DOWNLOAD'!$B248+$B248</f>
        <v>0</v>
      </c>
      <c r="F248" s="292" t="n">
        <f aca="false">'GAS DAILY VOL DOWNLOAD'!F248-'GAS DAILY VOL DOWNLOAD'!$B248+$B248</f>
        <v>0.1</v>
      </c>
      <c r="G248" s="292" t="n">
        <f aca="false">'GAS DAILY VOL DOWNLOAD'!G248-'GAS DAILY VOL DOWNLOAD'!$B248+$B248</f>
        <v>0.15</v>
      </c>
      <c r="H248" s="292" t="n">
        <f aca="false">'GAS DAILY VOL DOWNLOAD'!H248-'GAS DAILY VOL DOWNLOAD'!$B248+$B248</f>
        <v>0.0499999999999999</v>
      </c>
      <c r="I248" s="292" t="n">
        <f aca="false">'GAS DAILY VOL DOWNLOAD'!I248-'GAS DAILY VOL DOWNLOAD'!$B248+$B248</f>
        <v>0</v>
      </c>
      <c r="J248" s="292" t="n">
        <f aca="false">'GAS DAILY VOL DOWNLOAD'!J248-'GAS DAILY VOL DOWNLOAD'!$B248+$B248</f>
        <v>0.15</v>
      </c>
      <c r="K248" s="292" t="n">
        <f aca="false">'GAS DAILY VOL DOWNLOAD'!K248-'GAS DAILY VOL DOWNLOAD'!$B248+$B248</f>
        <v>0</v>
      </c>
      <c r="L248" s="292" t="n">
        <f aca="false">'GAS DAILY VOL DOWNLOAD'!L248-'GAS DAILY VOL DOWNLOAD'!$B248+$B248</f>
        <v>0</v>
      </c>
      <c r="M248" s="292" t="n">
        <f aca="false">'GAS DAILY VOL DOWNLOAD'!M248-'GAS DAILY VOL DOWNLOAD'!$B248+$B248</f>
        <v>0</v>
      </c>
      <c r="N248" s="292" t="n">
        <f aca="false">'GAS DAILY VOL DOWNLOAD'!N248-'GAS DAILY VOL DOWNLOAD'!$B248+$B248</f>
        <v>0.15</v>
      </c>
      <c r="O248" s="292" t="n">
        <f aca="false">'GAS DAILY VOL DOWNLOAD'!O248-'GAS DAILY VOL DOWNLOAD'!$B248+$B248</f>
        <v>0.15</v>
      </c>
      <c r="P248" s="292" t="n">
        <f aca="false">'GAS DAILY VOL DOWNLOAD'!P248-'GAS DAILY VOL DOWNLOAD'!$B248+$B248</f>
        <v>0.1</v>
      </c>
      <c r="Q248" s="292" t="n">
        <f aca="false">'GAS DAILY VOL DOWNLOAD'!Q248-'GAS DAILY VOL DOWNLOAD'!$B248+$B248</f>
        <v>0</v>
      </c>
    </row>
    <row r="249" customFormat="false" ht="12.75" hidden="false" customHeight="false" outlineLevel="0" collapsed="false">
      <c r="A249" s="317" t="n">
        <v>44531</v>
      </c>
      <c r="B249" s="292" t="n">
        <f aca="false">STRADDLES!L271</f>
        <v>0</v>
      </c>
      <c r="C249" s="292" t="n">
        <f aca="false">'GAS DAILY VOL DOWNLOAD'!C249-'GAS DAILY VOL DOWNLOAD'!$B249+$B249</f>
        <v>0.05</v>
      </c>
      <c r="D249" s="292" t="n">
        <f aca="false">'GAS DAILY VOL DOWNLOAD'!D249-'GAS DAILY VOL DOWNLOAD'!$B249+$B249</f>
        <v>0</v>
      </c>
      <c r="E249" s="292" t="n">
        <f aca="false">'GAS DAILY VOL DOWNLOAD'!E249-'GAS DAILY VOL DOWNLOAD'!$B249+$B249</f>
        <v>0</v>
      </c>
      <c r="F249" s="292" t="n">
        <f aca="false">'GAS DAILY VOL DOWNLOAD'!F249-'GAS DAILY VOL DOWNLOAD'!$B249+$B249</f>
        <v>0.15</v>
      </c>
      <c r="G249" s="292" t="n">
        <f aca="false">'GAS DAILY VOL DOWNLOAD'!G249-'GAS DAILY VOL DOWNLOAD'!$B249+$B249</f>
        <v>0.25</v>
      </c>
      <c r="H249" s="292" t="n">
        <f aca="false">'GAS DAILY VOL DOWNLOAD'!H249-'GAS DAILY VOL DOWNLOAD'!$B249+$B249</f>
        <v>0.05</v>
      </c>
      <c r="I249" s="292" t="n">
        <f aca="false">'GAS DAILY VOL DOWNLOAD'!I249-'GAS DAILY VOL DOWNLOAD'!$B249+$B249</f>
        <v>0</v>
      </c>
      <c r="J249" s="292" t="n">
        <f aca="false">'GAS DAILY VOL DOWNLOAD'!J249-'GAS DAILY VOL DOWNLOAD'!$B249+$B249</f>
        <v>0.35</v>
      </c>
      <c r="K249" s="292" t="n">
        <f aca="false">'GAS DAILY VOL DOWNLOAD'!K249-'GAS DAILY VOL DOWNLOAD'!$B249+$B249</f>
        <v>0</v>
      </c>
      <c r="L249" s="292" t="n">
        <f aca="false">'GAS DAILY VOL DOWNLOAD'!L249-'GAS DAILY VOL DOWNLOAD'!$B249+$B249</f>
        <v>0.1</v>
      </c>
      <c r="M249" s="292" t="n">
        <f aca="false">'GAS DAILY VOL DOWNLOAD'!M249-'GAS DAILY VOL DOWNLOAD'!$B249+$B249</f>
        <v>0</v>
      </c>
      <c r="N249" s="292" t="n">
        <f aca="false">'GAS DAILY VOL DOWNLOAD'!N249-'GAS DAILY VOL DOWNLOAD'!$B249+$B249</f>
        <v>0.25</v>
      </c>
      <c r="O249" s="292" t="n">
        <f aca="false">'GAS DAILY VOL DOWNLOAD'!O249-'GAS DAILY VOL DOWNLOAD'!$B249+$B249</f>
        <v>0.15</v>
      </c>
      <c r="P249" s="292" t="n">
        <f aca="false">'GAS DAILY VOL DOWNLOAD'!P249-'GAS DAILY VOL DOWNLOAD'!$B249+$B249</f>
        <v>0.1</v>
      </c>
      <c r="Q249" s="292" t="n">
        <f aca="false">'GAS DAILY VOL DOWNLOAD'!Q249-'GAS DAILY VOL DOWNLOAD'!$B249+$B249</f>
        <v>0</v>
      </c>
    </row>
    <row r="250" customFormat="false" ht="12.75" hidden="false" customHeight="false" outlineLevel="0" collapsed="false">
      <c r="A250" s="317" t="n">
        <v>44562</v>
      </c>
      <c r="B250" s="292" t="n">
        <f aca="false">STRADDLES!L272</f>
        <v>0</v>
      </c>
      <c r="C250" s="292" t="n">
        <f aca="false">'GAS DAILY VOL DOWNLOAD'!C250-'GAS DAILY VOL DOWNLOAD'!$B250+$B250</f>
        <v>1.05</v>
      </c>
      <c r="D250" s="292" t="n">
        <f aca="false">'GAS DAILY VOL DOWNLOAD'!D250-'GAS DAILY VOL DOWNLOAD'!$B250+$B250</f>
        <v>1</v>
      </c>
      <c r="E250" s="292" t="n">
        <f aca="false">'GAS DAILY VOL DOWNLOAD'!E250-'GAS DAILY VOL DOWNLOAD'!$B250+$B250</f>
        <v>1</v>
      </c>
      <c r="F250" s="292" t="n">
        <f aca="false">'GAS DAILY VOL DOWNLOAD'!F250-'GAS DAILY VOL DOWNLOAD'!$B250+$B250</f>
        <v>1.15</v>
      </c>
      <c r="G250" s="292" t="n">
        <f aca="false">'GAS DAILY VOL DOWNLOAD'!G250-'GAS DAILY VOL DOWNLOAD'!$B250+$B250</f>
        <v>1.45</v>
      </c>
      <c r="H250" s="292" t="n">
        <f aca="false">'GAS DAILY VOL DOWNLOAD'!H250-'GAS DAILY VOL DOWNLOAD'!$B250+$B250</f>
        <v>1.05</v>
      </c>
      <c r="I250" s="292" t="n">
        <f aca="false">'GAS DAILY VOL DOWNLOAD'!I250-'GAS DAILY VOL DOWNLOAD'!$B250+$B250</f>
        <v>1</v>
      </c>
      <c r="J250" s="292" t="n">
        <f aca="false">'GAS DAILY VOL DOWNLOAD'!J250-'GAS DAILY VOL DOWNLOAD'!$B250+$B250</f>
        <v>1.35</v>
      </c>
      <c r="K250" s="292" t="n">
        <f aca="false">'GAS DAILY VOL DOWNLOAD'!K250-'GAS DAILY VOL DOWNLOAD'!$B250+$B250</f>
        <v>0</v>
      </c>
      <c r="L250" s="292" t="n">
        <f aca="false">'GAS DAILY VOL DOWNLOAD'!L250-'GAS DAILY VOL DOWNLOAD'!$B250+$B250</f>
        <v>1.1</v>
      </c>
      <c r="M250" s="292" t="n">
        <f aca="false">'GAS DAILY VOL DOWNLOAD'!M250-'GAS DAILY VOL DOWNLOAD'!$B250+$B250</f>
        <v>1</v>
      </c>
      <c r="N250" s="292" t="n">
        <f aca="false">'GAS DAILY VOL DOWNLOAD'!N250-'GAS DAILY VOL DOWNLOAD'!$B250+$B250</f>
        <v>1.45</v>
      </c>
      <c r="O250" s="292" t="n">
        <f aca="false">'GAS DAILY VOL DOWNLOAD'!O250-'GAS DAILY VOL DOWNLOAD'!$B250+$B250</f>
        <v>0.15</v>
      </c>
      <c r="P250" s="292" t="n">
        <f aca="false">'GAS DAILY VOL DOWNLOAD'!P250-'GAS DAILY VOL DOWNLOAD'!$B250+$B250</f>
        <v>1.1</v>
      </c>
      <c r="Q250" s="292" t="n">
        <f aca="false">'GAS DAILY VOL DOWNLOAD'!Q250-'GAS DAILY VOL DOWNLOAD'!$B250+$B250</f>
        <v>0</v>
      </c>
    </row>
    <row r="251" customFormat="false" ht="12.75" hidden="false" customHeight="false" outlineLevel="0" collapsed="false">
      <c r="A251" s="317" t="n">
        <v>44593</v>
      </c>
      <c r="B251" s="292" t="n">
        <f aca="false">STRADDLES!L273</f>
        <v>0</v>
      </c>
      <c r="C251" s="292" t="n">
        <f aca="false">'GAS DAILY VOL DOWNLOAD'!C251-'GAS DAILY VOL DOWNLOAD'!$B251+$B251</f>
        <v>1.05</v>
      </c>
      <c r="D251" s="292" t="n">
        <f aca="false">'GAS DAILY VOL DOWNLOAD'!D251-'GAS DAILY VOL DOWNLOAD'!$B251+$B251</f>
        <v>1</v>
      </c>
      <c r="E251" s="292" t="n">
        <f aca="false">'GAS DAILY VOL DOWNLOAD'!E251-'GAS DAILY VOL DOWNLOAD'!$B251+$B251</f>
        <v>1</v>
      </c>
      <c r="F251" s="292" t="n">
        <f aca="false">'GAS DAILY VOL DOWNLOAD'!F251-'GAS DAILY VOL DOWNLOAD'!$B251+$B251</f>
        <v>1.15</v>
      </c>
      <c r="G251" s="292" t="n">
        <f aca="false">'GAS DAILY VOL DOWNLOAD'!G251-'GAS DAILY VOL DOWNLOAD'!$B251+$B251</f>
        <v>1.45</v>
      </c>
      <c r="H251" s="292" t="n">
        <f aca="false">'GAS DAILY VOL DOWNLOAD'!H251-'GAS DAILY VOL DOWNLOAD'!$B251+$B251</f>
        <v>1.05</v>
      </c>
      <c r="I251" s="292" t="n">
        <f aca="false">'GAS DAILY VOL DOWNLOAD'!I251-'GAS DAILY VOL DOWNLOAD'!$B251+$B251</f>
        <v>1</v>
      </c>
      <c r="J251" s="292" t="n">
        <f aca="false">'GAS DAILY VOL DOWNLOAD'!J251-'GAS DAILY VOL DOWNLOAD'!$B251+$B251</f>
        <v>1.35</v>
      </c>
      <c r="K251" s="292" t="n">
        <f aca="false">'GAS DAILY VOL DOWNLOAD'!K251-'GAS DAILY VOL DOWNLOAD'!$B251+$B251</f>
        <v>0</v>
      </c>
      <c r="L251" s="292" t="n">
        <f aca="false">'GAS DAILY VOL DOWNLOAD'!L251-'GAS DAILY VOL DOWNLOAD'!$B251+$B251</f>
        <v>1.1</v>
      </c>
      <c r="M251" s="292" t="n">
        <f aca="false">'GAS DAILY VOL DOWNLOAD'!M251-'GAS DAILY VOL DOWNLOAD'!$B251+$B251</f>
        <v>1</v>
      </c>
      <c r="N251" s="292" t="n">
        <f aca="false">'GAS DAILY VOL DOWNLOAD'!N251-'GAS DAILY VOL DOWNLOAD'!$B251+$B251</f>
        <v>1.45</v>
      </c>
      <c r="O251" s="292" t="n">
        <f aca="false">'GAS DAILY VOL DOWNLOAD'!O251-'GAS DAILY VOL DOWNLOAD'!$B251+$B251</f>
        <v>0.15</v>
      </c>
      <c r="P251" s="292" t="n">
        <f aca="false">'GAS DAILY VOL DOWNLOAD'!P251-'GAS DAILY VOL DOWNLOAD'!$B251+$B251</f>
        <v>1.1</v>
      </c>
      <c r="Q251" s="292" t="n">
        <f aca="false">'GAS DAILY VOL DOWNLOAD'!Q251-'GAS DAILY VOL DOWNLOAD'!$B251+$B251</f>
        <v>0</v>
      </c>
    </row>
    <row r="252" customFormat="false" ht="12.75" hidden="false" customHeight="false" outlineLevel="0" collapsed="false">
      <c r="A252" s="317" t="n">
        <v>44621</v>
      </c>
      <c r="B252" s="292" t="n">
        <f aca="false">STRADDLES!L274</f>
        <v>0</v>
      </c>
      <c r="C252" s="292" t="n">
        <f aca="false">'GAS DAILY VOL DOWNLOAD'!C252-'GAS DAILY VOL DOWNLOAD'!$B252+$B252</f>
        <v>0.8</v>
      </c>
      <c r="D252" s="292" t="n">
        <f aca="false">'GAS DAILY VOL DOWNLOAD'!D252-'GAS DAILY VOL DOWNLOAD'!$B252+$B252</f>
        <v>0.75</v>
      </c>
      <c r="E252" s="292" t="n">
        <f aca="false">'GAS DAILY VOL DOWNLOAD'!E252-'GAS DAILY VOL DOWNLOAD'!$B252+$B252</f>
        <v>0.75</v>
      </c>
      <c r="F252" s="292" t="n">
        <f aca="false">'GAS DAILY VOL DOWNLOAD'!F252-'GAS DAILY VOL DOWNLOAD'!$B252+$B252</f>
        <v>0.85</v>
      </c>
      <c r="G252" s="292" t="n">
        <f aca="false">'GAS DAILY VOL DOWNLOAD'!G252-'GAS DAILY VOL DOWNLOAD'!$B252+$B252</f>
        <v>1</v>
      </c>
      <c r="H252" s="292" t="n">
        <f aca="false">'GAS DAILY VOL DOWNLOAD'!H252-'GAS DAILY VOL DOWNLOAD'!$B252+$B252</f>
        <v>0.75</v>
      </c>
      <c r="I252" s="292" t="n">
        <f aca="false">'GAS DAILY VOL DOWNLOAD'!I252-'GAS DAILY VOL DOWNLOAD'!$B252+$B252</f>
        <v>0.75</v>
      </c>
      <c r="J252" s="292" t="n">
        <f aca="false">'GAS DAILY VOL DOWNLOAD'!J252-'GAS DAILY VOL DOWNLOAD'!$B252+$B252</f>
        <v>0.95</v>
      </c>
      <c r="K252" s="292" t="n">
        <f aca="false">'GAS DAILY VOL DOWNLOAD'!K252-'GAS DAILY VOL DOWNLOAD'!$B252+$B252</f>
        <v>0</v>
      </c>
      <c r="L252" s="292" t="n">
        <f aca="false">'GAS DAILY VOL DOWNLOAD'!L252-'GAS DAILY VOL DOWNLOAD'!$B252+$B252</f>
        <v>0.75</v>
      </c>
      <c r="M252" s="292" t="n">
        <f aca="false">'GAS DAILY VOL DOWNLOAD'!M252-'GAS DAILY VOL DOWNLOAD'!$B252+$B252</f>
        <v>0.75</v>
      </c>
      <c r="N252" s="292" t="n">
        <f aca="false">'GAS DAILY VOL DOWNLOAD'!N252-'GAS DAILY VOL DOWNLOAD'!$B252+$B252</f>
        <v>1</v>
      </c>
      <c r="O252" s="292" t="n">
        <f aca="false">'GAS DAILY VOL DOWNLOAD'!O252-'GAS DAILY VOL DOWNLOAD'!$B252+$B252</f>
        <v>0.15</v>
      </c>
      <c r="P252" s="292" t="n">
        <f aca="false">'GAS DAILY VOL DOWNLOAD'!P252-'GAS DAILY VOL DOWNLOAD'!$B252+$B252</f>
        <v>0.85</v>
      </c>
      <c r="Q252" s="292" t="n">
        <f aca="false">'GAS DAILY VOL DOWNLOAD'!Q252-'GAS DAILY VOL DOWNLOAD'!$B252+$B252</f>
        <v>0</v>
      </c>
    </row>
    <row r="253" customFormat="false" ht="12.75" hidden="false" customHeight="false" outlineLevel="0" collapsed="false">
      <c r="A253" s="317" t="n">
        <v>44652</v>
      </c>
      <c r="B253" s="292" t="n">
        <f aca="false">STRADDLES!L275</f>
        <v>0</v>
      </c>
      <c r="C253" s="292" t="n">
        <f aca="false">'GAS DAILY VOL DOWNLOAD'!C253-'GAS DAILY VOL DOWNLOAD'!$B253+$B253</f>
        <v>0.45</v>
      </c>
      <c r="D253" s="292" t="n">
        <f aca="false">'GAS DAILY VOL DOWNLOAD'!D253-'GAS DAILY VOL DOWNLOAD'!$B253+$B253</f>
        <v>0.4</v>
      </c>
      <c r="E253" s="292" t="n">
        <f aca="false">'GAS DAILY VOL DOWNLOAD'!E253-'GAS DAILY VOL DOWNLOAD'!$B253+$B253</f>
        <v>0.45</v>
      </c>
      <c r="F253" s="292" t="n">
        <f aca="false">'GAS DAILY VOL DOWNLOAD'!F253-'GAS DAILY VOL DOWNLOAD'!$B253+$B253</f>
        <v>0.45</v>
      </c>
      <c r="G253" s="292" t="n">
        <f aca="false">'GAS DAILY VOL DOWNLOAD'!G253-'GAS DAILY VOL DOWNLOAD'!$B253+$B253</f>
        <v>0.45</v>
      </c>
      <c r="H253" s="292" t="n">
        <f aca="false">'GAS DAILY VOL DOWNLOAD'!H253-'GAS DAILY VOL DOWNLOAD'!$B253+$B253</f>
        <v>0.45</v>
      </c>
      <c r="I253" s="292" t="n">
        <f aca="false">'GAS DAILY VOL DOWNLOAD'!I253-'GAS DAILY VOL DOWNLOAD'!$B253+$B253</f>
        <v>0.45</v>
      </c>
      <c r="J253" s="292" t="n">
        <f aca="false">'GAS DAILY VOL DOWNLOAD'!J253-'GAS DAILY VOL DOWNLOAD'!$B253+$B253</f>
        <v>0.5</v>
      </c>
      <c r="K253" s="292" t="n">
        <f aca="false">'GAS DAILY VOL DOWNLOAD'!K253-'GAS DAILY VOL DOWNLOAD'!$B253+$B253</f>
        <v>0</v>
      </c>
      <c r="L253" s="292" t="n">
        <f aca="false">'GAS DAILY VOL DOWNLOAD'!L253-'GAS DAILY VOL DOWNLOAD'!$B253+$B253</f>
        <v>0.45</v>
      </c>
      <c r="M253" s="292" t="n">
        <f aca="false">'GAS DAILY VOL DOWNLOAD'!M253-'GAS DAILY VOL DOWNLOAD'!$B253+$B253</f>
        <v>0.4</v>
      </c>
      <c r="N253" s="292" t="n">
        <f aca="false">'GAS DAILY VOL DOWNLOAD'!N253-'GAS DAILY VOL DOWNLOAD'!$B253+$B253</f>
        <v>0.45</v>
      </c>
      <c r="O253" s="292" t="n">
        <f aca="false">'GAS DAILY VOL DOWNLOAD'!O253-'GAS DAILY VOL DOWNLOAD'!$B253+$B253</f>
        <v>0.15</v>
      </c>
      <c r="P253" s="292" t="n">
        <f aca="false">'GAS DAILY VOL DOWNLOAD'!P253-'GAS DAILY VOL DOWNLOAD'!$B253+$B253</f>
        <v>0.55</v>
      </c>
      <c r="Q253" s="292" t="n">
        <f aca="false">'GAS DAILY VOL DOWNLOAD'!Q253-'GAS DAILY VOL DOWNLOAD'!$B253+$B253</f>
        <v>0</v>
      </c>
    </row>
    <row r="254" customFormat="false" ht="12.75" hidden="false" customHeight="false" outlineLevel="0" collapsed="false">
      <c r="A254" s="317" t="n">
        <v>44682</v>
      </c>
      <c r="B254" s="292" t="n">
        <f aca="false">STRADDLES!L276</f>
        <v>0</v>
      </c>
      <c r="C254" s="292" t="n">
        <f aca="false">'GAS DAILY VOL DOWNLOAD'!C254-'GAS DAILY VOL DOWNLOAD'!$B254+$B254</f>
        <v>0.5</v>
      </c>
      <c r="D254" s="292" t="n">
        <f aca="false">'GAS DAILY VOL DOWNLOAD'!D254-'GAS DAILY VOL DOWNLOAD'!$B254+$B254</f>
        <v>0.4</v>
      </c>
      <c r="E254" s="292" t="n">
        <f aca="false">'GAS DAILY VOL DOWNLOAD'!E254-'GAS DAILY VOL DOWNLOAD'!$B254+$B254</f>
        <v>0.4</v>
      </c>
      <c r="F254" s="292" t="n">
        <f aca="false">'GAS DAILY VOL DOWNLOAD'!F254-'GAS DAILY VOL DOWNLOAD'!$B254+$B254</f>
        <v>0.45</v>
      </c>
      <c r="G254" s="292" t="n">
        <f aca="false">'GAS DAILY VOL DOWNLOAD'!G254-'GAS DAILY VOL DOWNLOAD'!$B254+$B254</f>
        <v>0.5</v>
      </c>
      <c r="H254" s="292" t="n">
        <f aca="false">'GAS DAILY VOL DOWNLOAD'!H254-'GAS DAILY VOL DOWNLOAD'!$B254+$B254</f>
        <v>0.45</v>
      </c>
      <c r="I254" s="292" t="n">
        <f aca="false">'GAS DAILY VOL DOWNLOAD'!I254-'GAS DAILY VOL DOWNLOAD'!$B254+$B254</f>
        <v>0.4</v>
      </c>
      <c r="J254" s="292" t="n">
        <f aca="false">'GAS DAILY VOL DOWNLOAD'!J254-'GAS DAILY VOL DOWNLOAD'!$B254+$B254</f>
        <v>0.45</v>
      </c>
      <c r="K254" s="292" t="n">
        <f aca="false">'GAS DAILY VOL DOWNLOAD'!K254-'GAS DAILY VOL DOWNLOAD'!$B254+$B254</f>
        <v>0</v>
      </c>
      <c r="L254" s="292" t="n">
        <f aca="false">'GAS DAILY VOL DOWNLOAD'!L254-'GAS DAILY VOL DOWNLOAD'!$B254+$B254</f>
        <v>0.5</v>
      </c>
      <c r="M254" s="292" t="n">
        <f aca="false">'GAS DAILY VOL DOWNLOAD'!M254-'GAS DAILY VOL DOWNLOAD'!$B254+$B254</f>
        <v>0.45</v>
      </c>
      <c r="N254" s="292" t="n">
        <f aca="false">'GAS DAILY VOL DOWNLOAD'!N254-'GAS DAILY VOL DOWNLOAD'!$B254+$B254</f>
        <v>0.5</v>
      </c>
      <c r="O254" s="292" t="n">
        <f aca="false">'GAS DAILY VOL DOWNLOAD'!O254-'GAS DAILY VOL DOWNLOAD'!$B254+$B254</f>
        <v>0.15</v>
      </c>
      <c r="P254" s="292" t="n">
        <f aca="false">'GAS DAILY VOL DOWNLOAD'!P254-'GAS DAILY VOL DOWNLOAD'!$B254+$B254</f>
        <v>0.5</v>
      </c>
      <c r="Q254" s="292" t="n">
        <f aca="false">'GAS DAILY VOL DOWNLOAD'!Q254-'GAS DAILY VOL DOWNLOAD'!$B254+$B254</f>
        <v>0</v>
      </c>
    </row>
    <row r="255" customFormat="false" ht="12.75" hidden="false" customHeight="false" outlineLevel="0" collapsed="false">
      <c r="A255" s="317" t="n">
        <v>44713</v>
      </c>
      <c r="B255" s="292" t="n">
        <f aca="false">STRADDLES!L277</f>
        <v>0</v>
      </c>
      <c r="C255" s="292" t="n">
        <f aca="false">'GAS DAILY VOL DOWNLOAD'!C255-'GAS DAILY VOL DOWNLOAD'!$B255+$B255</f>
        <v>0.5</v>
      </c>
      <c r="D255" s="292" t="n">
        <f aca="false">'GAS DAILY VOL DOWNLOAD'!D255-'GAS DAILY VOL DOWNLOAD'!$B255+$B255</f>
        <v>0.4</v>
      </c>
      <c r="E255" s="292" t="n">
        <f aca="false">'GAS DAILY VOL DOWNLOAD'!E255-'GAS DAILY VOL DOWNLOAD'!$B255+$B255</f>
        <v>0.5</v>
      </c>
      <c r="F255" s="292" t="n">
        <f aca="false">'GAS DAILY VOL DOWNLOAD'!F255-'GAS DAILY VOL DOWNLOAD'!$B255+$B255</f>
        <v>0.45</v>
      </c>
      <c r="G255" s="292" t="n">
        <f aca="false">'GAS DAILY VOL DOWNLOAD'!G255-'GAS DAILY VOL DOWNLOAD'!$B255+$B255</f>
        <v>0.5</v>
      </c>
      <c r="H255" s="292" t="n">
        <f aca="false">'GAS DAILY VOL DOWNLOAD'!H255-'GAS DAILY VOL DOWNLOAD'!$B255+$B255</f>
        <v>0.5</v>
      </c>
      <c r="I255" s="292" t="n">
        <f aca="false">'GAS DAILY VOL DOWNLOAD'!I255-'GAS DAILY VOL DOWNLOAD'!$B255+$B255</f>
        <v>0.5</v>
      </c>
      <c r="J255" s="292" t="n">
        <f aca="false">'GAS DAILY VOL DOWNLOAD'!J255-'GAS DAILY VOL DOWNLOAD'!$B255+$B255</f>
        <v>0.5</v>
      </c>
      <c r="K255" s="292" t="n">
        <f aca="false">'GAS DAILY VOL DOWNLOAD'!K255-'GAS DAILY VOL DOWNLOAD'!$B255+$B255</f>
        <v>0</v>
      </c>
      <c r="L255" s="292" t="n">
        <f aca="false">'GAS DAILY VOL DOWNLOAD'!L255-'GAS DAILY VOL DOWNLOAD'!$B255+$B255</f>
        <v>0.5</v>
      </c>
      <c r="M255" s="292" t="n">
        <f aca="false">'GAS DAILY VOL DOWNLOAD'!M255-'GAS DAILY VOL DOWNLOAD'!$B255+$B255</f>
        <v>0.45</v>
      </c>
      <c r="N255" s="292" t="n">
        <f aca="false">'GAS DAILY VOL DOWNLOAD'!N255-'GAS DAILY VOL DOWNLOAD'!$B255+$B255</f>
        <v>0.5</v>
      </c>
      <c r="O255" s="292" t="n">
        <f aca="false">'GAS DAILY VOL DOWNLOAD'!O255-'GAS DAILY VOL DOWNLOAD'!$B255+$B255</f>
        <v>0.15</v>
      </c>
      <c r="P255" s="292" t="n">
        <f aca="false">'GAS DAILY VOL DOWNLOAD'!P255-'GAS DAILY VOL DOWNLOAD'!$B255+$B255</f>
        <v>0.6</v>
      </c>
      <c r="Q255" s="292" t="n">
        <f aca="false">'GAS DAILY VOL DOWNLOAD'!Q255-'GAS DAILY VOL DOWNLOAD'!$B255+$B255</f>
        <v>0</v>
      </c>
    </row>
    <row r="256" customFormat="false" ht="12.75" hidden="false" customHeight="false" outlineLevel="0" collapsed="false">
      <c r="A256" s="317" t="n">
        <v>44743</v>
      </c>
      <c r="B256" s="292" t="n">
        <f aca="false">STRADDLES!L278</f>
        <v>0</v>
      </c>
      <c r="C256" s="292" t="n">
        <f aca="false">'GAS DAILY VOL DOWNLOAD'!C256-'GAS DAILY VOL DOWNLOAD'!$B256+$B256</f>
        <v>0.5</v>
      </c>
      <c r="D256" s="292" t="n">
        <f aca="false">'GAS DAILY VOL DOWNLOAD'!D256-'GAS DAILY VOL DOWNLOAD'!$B256+$B256</f>
        <v>0.4</v>
      </c>
      <c r="E256" s="292" t="n">
        <f aca="false">'GAS DAILY VOL DOWNLOAD'!E256-'GAS DAILY VOL DOWNLOAD'!$B256+$B256</f>
        <v>0.5</v>
      </c>
      <c r="F256" s="292" t="n">
        <f aca="false">'GAS DAILY VOL DOWNLOAD'!F256-'GAS DAILY VOL DOWNLOAD'!$B256+$B256</f>
        <v>0.5</v>
      </c>
      <c r="G256" s="292" t="n">
        <f aca="false">'GAS DAILY VOL DOWNLOAD'!G256-'GAS DAILY VOL DOWNLOAD'!$B256+$B256</f>
        <v>0.5</v>
      </c>
      <c r="H256" s="292" t="n">
        <f aca="false">'GAS DAILY VOL DOWNLOAD'!H256-'GAS DAILY VOL DOWNLOAD'!$B256+$B256</f>
        <v>0.5</v>
      </c>
      <c r="I256" s="292" t="n">
        <f aca="false">'GAS DAILY VOL DOWNLOAD'!I256-'GAS DAILY VOL DOWNLOAD'!$B256+$B256</f>
        <v>0.5</v>
      </c>
      <c r="J256" s="292" t="n">
        <f aca="false">'GAS DAILY VOL DOWNLOAD'!J256-'GAS DAILY VOL DOWNLOAD'!$B256+$B256</f>
        <v>0.5</v>
      </c>
      <c r="K256" s="292" t="n">
        <f aca="false">'GAS DAILY VOL DOWNLOAD'!K256-'GAS DAILY VOL DOWNLOAD'!$B256+$B256</f>
        <v>0</v>
      </c>
      <c r="L256" s="292" t="n">
        <f aca="false">'GAS DAILY VOL DOWNLOAD'!L256-'GAS DAILY VOL DOWNLOAD'!$B256+$B256</f>
        <v>0.55</v>
      </c>
      <c r="M256" s="292" t="n">
        <f aca="false">'GAS DAILY VOL DOWNLOAD'!M256-'GAS DAILY VOL DOWNLOAD'!$B256+$B256</f>
        <v>0.5</v>
      </c>
      <c r="N256" s="292" t="n">
        <f aca="false">'GAS DAILY VOL DOWNLOAD'!N256-'GAS DAILY VOL DOWNLOAD'!$B256+$B256</f>
        <v>0.5</v>
      </c>
      <c r="O256" s="292" t="n">
        <f aca="false">'GAS DAILY VOL DOWNLOAD'!O256-'GAS DAILY VOL DOWNLOAD'!$B256+$B256</f>
        <v>0.15</v>
      </c>
      <c r="P256" s="292" t="n">
        <f aca="false">'GAS DAILY VOL DOWNLOAD'!P256-'GAS DAILY VOL DOWNLOAD'!$B256+$B256</f>
        <v>0.6</v>
      </c>
      <c r="Q256" s="292" t="n">
        <f aca="false">'GAS DAILY VOL DOWNLOAD'!Q256-'GAS DAILY VOL DOWNLOAD'!$B256+$B256</f>
        <v>0</v>
      </c>
    </row>
    <row r="257" customFormat="false" ht="12.75" hidden="false" customHeight="false" outlineLevel="0" collapsed="false">
      <c r="A257" s="317" t="n">
        <v>44774</v>
      </c>
      <c r="B257" s="292" t="n">
        <f aca="false">STRADDLES!L279</f>
        <v>0</v>
      </c>
      <c r="C257" s="292" t="n">
        <f aca="false">'GAS DAILY VOL DOWNLOAD'!C257-'GAS DAILY VOL DOWNLOAD'!$B257+$B257</f>
        <v>0.55</v>
      </c>
      <c r="D257" s="292" t="n">
        <f aca="false">'GAS DAILY VOL DOWNLOAD'!D257-'GAS DAILY VOL DOWNLOAD'!$B257+$B257</f>
        <v>0.5</v>
      </c>
      <c r="E257" s="292" t="n">
        <f aca="false">'GAS DAILY VOL DOWNLOAD'!E257-'GAS DAILY VOL DOWNLOAD'!$B257+$B257</f>
        <v>0.6</v>
      </c>
      <c r="F257" s="292" t="n">
        <f aca="false">'GAS DAILY VOL DOWNLOAD'!F257-'GAS DAILY VOL DOWNLOAD'!$B257+$B257</f>
        <v>0.55</v>
      </c>
      <c r="G257" s="292" t="n">
        <f aca="false">'GAS DAILY VOL DOWNLOAD'!G257-'GAS DAILY VOL DOWNLOAD'!$B257+$B257</f>
        <v>0.6</v>
      </c>
      <c r="H257" s="292" t="n">
        <f aca="false">'GAS DAILY VOL DOWNLOAD'!H257-'GAS DAILY VOL DOWNLOAD'!$B257+$B257</f>
        <v>0.55</v>
      </c>
      <c r="I257" s="292" t="n">
        <f aca="false">'GAS DAILY VOL DOWNLOAD'!I257-'GAS DAILY VOL DOWNLOAD'!$B257+$B257</f>
        <v>0.6</v>
      </c>
      <c r="J257" s="292" t="n">
        <f aca="false">'GAS DAILY VOL DOWNLOAD'!J257-'GAS DAILY VOL DOWNLOAD'!$B257+$B257</f>
        <v>0.45</v>
      </c>
      <c r="K257" s="292" t="n">
        <f aca="false">'GAS DAILY VOL DOWNLOAD'!K257-'GAS DAILY VOL DOWNLOAD'!$B257+$B257</f>
        <v>0</v>
      </c>
      <c r="L257" s="292" t="n">
        <f aca="false">'GAS DAILY VOL DOWNLOAD'!L257-'GAS DAILY VOL DOWNLOAD'!$B257+$B257</f>
        <v>0.6</v>
      </c>
      <c r="M257" s="292" t="n">
        <f aca="false">'GAS DAILY VOL DOWNLOAD'!M257-'GAS DAILY VOL DOWNLOAD'!$B257+$B257</f>
        <v>0.55</v>
      </c>
      <c r="N257" s="292" t="n">
        <f aca="false">'GAS DAILY VOL DOWNLOAD'!N257-'GAS DAILY VOL DOWNLOAD'!$B257+$B257</f>
        <v>0.6</v>
      </c>
      <c r="O257" s="292" t="n">
        <f aca="false">'GAS DAILY VOL DOWNLOAD'!O257-'GAS DAILY VOL DOWNLOAD'!$B257+$B257</f>
        <v>0.15</v>
      </c>
      <c r="P257" s="292" t="n">
        <f aca="false">'GAS DAILY VOL DOWNLOAD'!P257-'GAS DAILY VOL DOWNLOAD'!$B257+$B257</f>
        <v>0.7</v>
      </c>
      <c r="Q257" s="292" t="n">
        <f aca="false">'GAS DAILY VOL DOWNLOAD'!Q257-'GAS DAILY VOL DOWNLOAD'!$B257+$B257</f>
        <v>0</v>
      </c>
    </row>
    <row r="258" customFormat="false" ht="12.75" hidden="false" customHeight="false" outlineLevel="0" collapsed="false">
      <c r="A258" s="317" t="n">
        <v>44805</v>
      </c>
      <c r="B258" s="292" t="n">
        <f aca="false">STRADDLES!L280</f>
        <v>0</v>
      </c>
      <c r="C258" s="292" t="n">
        <f aca="false">'GAS DAILY VOL DOWNLOAD'!C258-'GAS DAILY VOL DOWNLOAD'!$B258+$B258</f>
        <v>0.55</v>
      </c>
      <c r="D258" s="292" t="n">
        <f aca="false">'GAS DAILY VOL DOWNLOAD'!D258-'GAS DAILY VOL DOWNLOAD'!$B258+$B258</f>
        <v>0.55</v>
      </c>
      <c r="E258" s="292" t="n">
        <f aca="false">'GAS DAILY VOL DOWNLOAD'!E258-'GAS DAILY VOL DOWNLOAD'!$B258+$B258</f>
        <v>0.55</v>
      </c>
      <c r="F258" s="292" t="n">
        <f aca="false">'GAS DAILY VOL DOWNLOAD'!F258-'GAS DAILY VOL DOWNLOAD'!$B258+$B258</f>
        <v>0.55</v>
      </c>
      <c r="G258" s="292" t="n">
        <f aca="false">'GAS DAILY VOL DOWNLOAD'!G258-'GAS DAILY VOL DOWNLOAD'!$B258+$B258</f>
        <v>0.6</v>
      </c>
      <c r="H258" s="292" t="n">
        <f aca="false">'GAS DAILY VOL DOWNLOAD'!H258-'GAS DAILY VOL DOWNLOAD'!$B258+$B258</f>
        <v>0.6</v>
      </c>
      <c r="I258" s="292" t="n">
        <f aca="false">'GAS DAILY VOL DOWNLOAD'!I258-'GAS DAILY VOL DOWNLOAD'!$B258+$B258</f>
        <v>0.55</v>
      </c>
      <c r="J258" s="292" t="n">
        <f aca="false">'GAS DAILY VOL DOWNLOAD'!J258-'GAS DAILY VOL DOWNLOAD'!$B258+$B258</f>
        <v>0.5</v>
      </c>
      <c r="K258" s="292" t="n">
        <f aca="false">'GAS DAILY VOL DOWNLOAD'!K258-'GAS DAILY VOL DOWNLOAD'!$B258+$B258</f>
        <v>0</v>
      </c>
      <c r="L258" s="292" t="n">
        <f aca="false">'GAS DAILY VOL DOWNLOAD'!L258-'GAS DAILY VOL DOWNLOAD'!$B258+$B258</f>
        <v>0.6</v>
      </c>
      <c r="M258" s="292" t="n">
        <f aca="false">'GAS DAILY VOL DOWNLOAD'!M258-'GAS DAILY VOL DOWNLOAD'!$B258+$B258</f>
        <v>0.55</v>
      </c>
      <c r="N258" s="292" t="n">
        <f aca="false">'GAS DAILY VOL DOWNLOAD'!N258-'GAS DAILY VOL DOWNLOAD'!$B258+$B258</f>
        <v>0.6</v>
      </c>
      <c r="O258" s="292" t="n">
        <f aca="false">'GAS DAILY VOL DOWNLOAD'!O258-'GAS DAILY VOL DOWNLOAD'!$B258+$B258</f>
        <v>0.15</v>
      </c>
      <c r="P258" s="292" t="n">
        <f aca="false">'GAS DAILY VOL DOWNLOAD'!P258-'GAS DAILY VOL DOWNLOAD'!$B258+$B258</f>
        <v>0.65</v>
      </c>
      <c r="Q258" s="292" t="n">
        <f aca="false">'GAS DAILY VOL DOWNLOAD'!Q258-'GAS DAILY VOL DOWNLOAD'!$B258+$B258</f>
        <v>0</v>
      </c>
    </row>
    <row r="259" customFormat="false" ht="12.75" hidden="false" customHeight="false" outlineLevel="0" collapsed="false">
      <c r="A259" s="317" t="n">
        <v>44835</v>
      </c>
      <c r="B259" s="292" t="n">
        <f aca="false">STRADDLES!L281</f>
        <v>0</v>
      </c>
      <c r="C259" s="292" t="n">
        <f aca="false">'GAS DAILY VOL DOWNLOAD'!C259-'GAS DAILY VOL DOWNLOAD'!$B259+$B259</f>
        <v>0.6</v>
      </c>
      <c r="D259" s="292" t="n">
        <f aca="false">'GAS DAILY VOL DOWNLOAD'!D259-'GAS DAILY VOL DOWNLOAD'!$B259+$B259</f>
        <v>0.55</v>
      </c>
      <c r="E259" s="292" t="n">
        <f aca="false">'GAS DAILY VOL DOWNLOAD'!E259-'GAS DAILY VOL DOWNLOAD'!$B259+$B259</f>
        <v>0.6</v>
      </c>
      <c r="F259" s="292" t="n">
        <f aca="false">'GAS DAILY VOL DOWNLOAD'!F259-'GAS DAILY VOL DOWNLOAD'!$B259+$B259</f>
        <v>0.6</v>
      </c>
      <c r="G259" s="292" t="n">
        <f aca="false">'GAS DAILY VOL DOWNLOAD'!G259-'GAS DAILY VOL DOWNLOAD'!$B259+$B259</f>
        <v>0.65</v>
      </c>
      <c r="H259" s="292" t="n">
        <f aca="false">'GAS DAILY VOL DOWNLOAD'!H259-'GAS DAILY VOL DOWNLOAD'!$B259+$B259</f>
        <v>0.65</v>
      </c>
      <c r="I259" s="292" t="n">
        <f aca="false">'GAS DAILY VOL DOWNLOAD'!I259-'GAS DAILY VOL DOWNLOAD'!$B259+$B259</f>
        <v>0.6</v>
      </c>
      <c r="J259" s="292" t="n">
        <f aca="false">'GAS DAILY VOL DOWNLOAD'!J259-'GAS DAILY VOL DOWNLOAD'!$B259+$B259</f>
        <v>0.5</v>
      </c>
      <c r="K259" s="292" t="n">
        <f aca="false">'GAS DAILY VOL DOWNLOAD'!K259-'GAS DAILY VOL DOWNLOAD'!$B259+$B259</f>
        <v>0</v>
      </c>
      <c r="L259" s="292" t="n">
        <f aca="false">'GAS DAILY VOL DOWNLOAD'!L259-'GAS DAILY VOL DOWNLOAD'!$B259+$B259</f>
        <v>0.65</v>
      </c>
      <c r="M259" s="292" t="n">
        <f aca="false">'GAS DAILY VOL DOWNLOAD'!M259-'GAS DAILY VOL DOWNLOAD'!$B259+$B259</f>
        <v>0.6</v>
      </c>
      <c r="N259" s="292" t="n">
        <f aca="false">'GAS DAILY VOL DOWNLOAD'!N259-'GAS DAILY VOL DOWNLOAD'!$B259+$B259</f>
        <v>0.65</v>
      </c>
      <c r="O259" s="292" t="n">
        <f aca="false">'GAS DAILY VOL DOWNLOAD'!O259-'GAS DAILY VOL DOWNLOAD'!$B259+$B259</f>
        <v>0.15</v>
      </c>
      <c r="P259" s="292" t="n">
        <f aca="false">'GAS DAILY VOL DOWNLOAD'!P259-'GAS DAILY VOL DOWNLOAD'!$B259+$B259</f>
        <v>0.7</v>
      </c>
      <c r="Q259" s="292" t="n">
        <f aca="false">'GAS DAILY VOL DOWNLOAD'!Q259-'GAS DAILY VOL DOWNLOAD'!$B259+$B259</f>
        <v>0</v>
      </c>
    </row>
    <row r="260" customFormat="false" ht="12.75" hidden="false" customHeight="false" outlineLevel="0" collapsed="false">
      <c r="A260" s="317" t="n">
        <v>44866</v>
      </c>
      <c r="B260" s="292" t="n">
        <f aca="false">STRADDLES!L282</f>
        <v>0</v>
      </c>
      <c r="C260" s="292" t="n">
        <f aca="false">'GAS DAILY VOL DOWNLOAD'!C260-'GAS DAILY VOL DOWNLOAD'!$B260+$B260</f>
        <v>0.85</v>
      </c>
      <c r="D260" s="292" t="n">
        <f aca="false">'GAS DAILY VOL DOWNLOAD'!D260-'GAS DAILY VOL DOWNLOAD'!$B260+$B260</f>
        <v>0.8</v>
      </c>
      <c r="E260" s="292" t="n">
        <f aca="false">'GAS DAILY VOL DOWNLOAD'!E260-'GAS DAILY VOL DOWNLOAD'!$B260+$B260</f>
        <v>0.8</v>
      </c>
      <c r="F260" s="292" t="n">
        <f aca="false">'GAS DAILY VOL DOWNLOAD'!F260-'GAS DAILY VOL DOWNLOAD'!$B260+$B260</f>
        <v>0.9</v>
      </c>
      <c r="G260" s="292" t="n">
        <f aca="false">'GAS DAILY VOL DOWNLOAD'!G260-'GAS DAILY VOL DOWNLOAD'!$B260+$B260</f>
        <v>0.95</v>
      </c>
      <c r="H260" s="292" t="n">
        <f aca="false">'GAS DAILY VOL DOWNLOAD'!H260-'GAS DAILY VOL DOWNLOAD'!$B260+$B260</f>
        <v>0.85</v>
      </c>
      <c r="I260" s="292" t="n">
        <f aca="false">'GAS DAILY VOL DOWNLOAD'!I260-'GAS DAILY VOL DOWNLOAD'!$B260+$B260</f>
        <v>0.8</v>
      </c>
      <c r="J260" s="292" t="n">
        <f aca="false">'GAS DAILY VOL DOWNLOAD'!J260-'GAS DAILY VOL DOWNLOAD'!$B260+$B260</f>
        <v>0.95</v>
      </c>
      <c r="K260" s="292" t="n">
        <f aca="false">'GAS DAILY VOL DOWNLOAD'!K260-'GAS DAILY VOL DOWNLOAD'!$B260+$B260</f>
        <v>0</v>
      </c>
      <c r="L260" s="292" t="n">
        <f aca="false">'GAS DAILY VOL DOWNLOAD'!L260-'GAS DAILY VOL DOWNLOAD'!$B260+$B260</f>
        <v>0.8</v>
      </c>
      <c r="M260" s="292" t="n">
        <f aca="false">'GAS DAILY VOL DOWNLOAD'!M260-'GAS DAILY VOL DOWNLOAD'!$B260+$B260</f>
        <v>0.8</v>
      </c>
      <c r="N260" s="292" t="n">
        <f aca="false">'GAS DAILY VOL DOWNLOAD'!N260-'GAS DAILY VOL DOWNLOAD'!$B260+$B260</f>
        <v>0.95</v>
      </c>
      <c r="O260" s="292" t="n">
        <f aca="false">'GAS DAILY VOL DOWNLOAD'!O260-'GAS DAILY VOL DOWNLOAD'!$B260+$B260</f>
        <v>0.15</v>
      </c>
      <c r="P260" s="292" t="n">
        <f aca="false">'GAS DAILY VOL DOWNLOAD'!P260-'GAS DAILY VOL DOWNLOAD'!$B260+$B260</f>
        <v>0.9</v>
      </c>
      <c r="Q260" s="292" t="n">
        <f aca="false">'GAS DAILY VOL DOWNLOAD'!Q260-'GAS DAILY VOL DOWNLOAD'!$B260+$B260</f>
        <v>0</v>
      </c>
    </row>
    <row r="261" customFormat="false" ht="12.75" hidden="false" customHeight="false" outlineLevel="0" collapsed="false">
      <c r="A261" s="317" t="n">
        <v>44896</v>
      </c>
      <c r="B261" s="292" t="n">
        <f aca="false">STRADDLES!L283</f>
        <v>0</v>
      </c>
      <c r="C261" s="292" t="n">
        <f aca="false">'GAS DAILY VOL DOWNLOAD'!C261-'GAS DAILY VOL DOWNLOAD'!$B261+$B261</f>
        <v>1.05</v>
      </c>
      <c r="D261" s="292" t="n">
        <f aca="false">'GAS DAILY VOL DOWNLOAD'!D261-'GAS DAILY VOL DOWNLOAD'!$B261+$B261</f>
        <v>1</v>
      </c>
      <c r="E261" s="292" t="n">
        <f aca="false">'GAS DAILY VOL DOWNLOAD'!E261-'GAS DAILY VOL DOWNLOAD'!$B261+$B261</f>
        <v>1</v>
      </c>
      <c r="F261" s="292" t="n">
        <f aca="false">'GAS DAILY VOL DOWNLOAD'!F261-'GAS DAILY VOL DOWNLOAD'!$B261+$B261</f>
        <v>1.15</v>
      </c>
      <c r="G261" s="292" t="n">
        <f aca="false">'GAS DAILY VOL DOWNLOAD'!G261-'GAS DAILY VOL DOWNLOAD'!$B261+$B261</f>
        <v>1.25</v>
      </c>
      <c r="H261" s="292" t="n">
        <f aca="false">'GAS DAILY VOL DOWNLOAD'!H261-'GAS DAILY VOL DOWNLOAD'!$B261+$B261</f>
        <v>1.05</v>
      </c>
      <c r="I261" s="292" t="n">
        <f aca="false">'GAS DAILY VOL DOWNLOAD'!I261-'GAS DAILY VOL DOWNLOAD'!$B261+$B261</f>
        <v>1</v>
      </c>
      <c r="J261" s="292" t="n">
        <f aca="false">'GAS DAILY VOL DOWNLOAD'!J261-'GAS DAILY VOL DOWNLOAD'!$B261+$B261</f>
        <v>1.35</v>
      </c>
      <c r="K261" s="292" t="n">
        <f aca="false">'GAS DAILY VOL DOWNLOAD'!K261-'GAS DAILY VOL DOWNLOAD'!$B261+$B261</f>
        <v>0</v>
      </c>
      <c r="L261" s="292" t="n">
        <f aca="false">'GAS DAILY VOL DOWNLOAD'!L261-'GAS DAILY VOL DOWNLOAD'!$B261+$B261</f>
        <v>1.1</v>
      </c>
      <c r="M261" s="292" t="n">
        <f aca="false">'GAS DAILY VOL DOWNLOAD'!M261-'GAS DAILY VOL DOWNLOAD'!$B261+$B261</f>
        <v>1</v>
      </c>
      <c r="N261" s="292" t="n">
        <f aca="false">'GAS DAILY VOL DOWNLOAD'!N261-'GAS DAILY VOL DOWNLOAD'!$B261+$B261</f>
        <v>1.25</v>
      </c>
      <c r="O261" s="292" t="n">
        <f aca="false">'GAS DAILY VOL DOWNLOAD'!O261-'GAS DAILY VOL DOWNLOAD'!$B261+$B261</f>
        <v>0.15</v>
      </c>
      <c r="P261" s="292" t="n">
        <f aca="false">'GAS DAILY VOL DOWNLOAD'!P261-'GAS DAILY VOL DOWNLOAD'!$B261+$B261</f>
        <v>1.1</v>
      </c>
      <c r="Q261" s="292" t="n">
        <f aca="false">'GAS DAILY VOL DOWNLOAD'!Q261-'GAS DAILY VOL DOWNLOAD'!$B261+$B261</f>
        <v>0</v>
      </c>
    </row>
    <row r="262" customFormat="false" ht="12.75" hidden="false" customHeight="false" outlineLevel="0" collapsed="false">
      <c r="A262" s="317" t="n">
        <v>44927</v>
      </c>
      <c r="B262" s="292" t="n">
        <f aca="false">STRADDLES!L284</f>
        <v>0</v>
      </c>
      <c r="C262" s="292" t="n">
        <f aca="false">'GAS DAILY VOL DOWNLOAD'!C262-'GAS DAILY VOL DOWNLOAD'!$B262+$B262</f>
        <v>1.05</v>
      </c>
      <c r="D262" s="292" t="n">
        <f aca="false">'GAS DAILY VOL DOWNLOAD'!D262-'GAS DAILY VOL DOWNLOAD'!$B262+$B262</f>
        <v>1</v>
      </c>
      <c r="E262" s="292" t="n">
        <f aca="false">'GAS DAILY VOL DOWNLOAD'!E262-'GAS DAILY VOL DOWNLOAD'!$B262+$B262</f>
        <v>1</v>
      </c>
      <c r="F262" s="292" t="n">
        <f aca="false">'GAS DAILY VOL DOWNLOAD'!F262-'GAS DAILY VOL DOWNLOAD'!$B262+$B262</f>
        <v>1.15</v>
      </c>
      <c r="G262" s="292" t="n">
        <f aca="false">'GAS DAILY VOL DOWNLOAD'!G262-'GAS DAILY VOL DOWNLOAD'!$B262+$B262</f>
        <v>1.45</v>
      </c>
      <c r="H262" s="292" t="n">
        <f aca="false">'GAS DAILY VOL DOWNLOAD'!H262-'GAS DAILY VOL DOWNLOAD'!$B262+$B262</f>
        <v>1.05</v>
      </c>
      <c r="I262" s="292" t="n">
        <f aca="false">'GAS DAILY VOL DOWNLOAD'!I262-'GAS DAILY VOL DOWNLOAD'!$B262+$B262</f>
        <v>1</v>
      </c>
      <c r="J262" s="292" t="n">
        <f aca="false">'GAS DAILY VOL DOWNLOAD'!J262-'GAS DAILY VOL DOWNLOAD'!$B262+$B262</f>
        <v>1.35</v>
      </c>
      <c r="K262" s="292" t="n">
        <f aca="false">'GAS DAILY VOL DOWNLOAD'!K262-'GAS DAILY VOL DOWNLOAD'!$B262+$B262</f>
        <v>0</v>
      </c>
      <c r="L262" s="292" t="n">
        <f aca="false">'GAS DAILY VOL DOWNLOAD'!L262-'GAS DAILY VOL DOWNLOAD'!$B262+$B262</f>
        <v>1.1</v>
      </c>
      <c r="M262" s="292" t="n">
        <f aca="false">'GAS DAILY VOL DOWNLOAD'!M262-'GAS DAILY VOL DOWNLOAD'!$B262+$B262</f>
        <v>1</v>
      </c>
      <c r="N262" s="292" t="n">
        <f aca="false">'GAS DAILY VOL DOWNLOAD'!N262-'GAS DAILY VOL DOWNLOAD'!$B262+$B262</f>
        <v>1.45</v>
      </c>
      <c r="O262" s="292" t="n">
        <f aca="false">'GAS DAILY VOL DOWNLOAD'!O262-'GAS DAILY VOL DOWNLOAD'!$B262+$B262</f>
        <v>0.15</v>
      </c>
      <c r="P262" s="292" t="n">
        <f aca="false">'GAS DAILY VOL DOWNLOAD'!P262-'GAS DAILY VOL DOWNLOAD'!$B262+$B262</f>
        <v>1.1</v>
      </c>
      <c r="Q262" s="292" t="n">
        <f aca="false">'GAS DAILY VOL DOWNLOAD'!Q262-'GAS DAILY VOL DOWNLOAD'!$B262+$B262</f>
        <v>0</v>
      </c>
    </row>
    <row r="263" customFormat="false" ht="12.75" hidden="false" customHeight="false" outlineLevel="0" collapsed="false">
      <c r="A263" s="317" t="n">
        <v>44958</v>
      </c>
      <c r="B263" s="292" t="n">
        <f aca="false">STRADDLES!L285</f>
        <v>0</v>
      </c>
      <c r="C263" s="292" t="n">
        <f aca="false">'GAS DAILY VOL DOWNLOAD'!C263-'GAS DAILY VOL DOWNLOAD'!$B263+$B263</f>
        <v>1.05</v>
      </c>
      <c r="D263" s="292" t="n">
        <f aca="false">'GAS DAILY VOL DOWNLOAD'!D263-'GAS DAILY VOL DOWNLOAD'!$B263+$B263</f>
        <v>1</v>
      </c>
      <c r="E263" s="292" t="n">
        <f aca="false">'GAS DAILY VOL DOWNLOAD'!E263-'GAS DAILY VOL DOWNLOAD'!$B263+$B263</f>
        <v>1</v>
      </c>
      <c r="F263" s="292" t="n">
        <f aca="false">'GAS DAILY VOL DOWNLOAD'!F263-'GAS DAILY VOL DOWNLOAD'!$B263+$B263</f>
        <v>1.15</v>
      </c>
      <c r="G263" s="292" t="n">
        <f aca="false">'GAS DAILY VOL DOWNLOAD'!G263-'GAS DAILY VOL DOWNLOAD'!$B263+$B263</f>
        <v>1.45</v>
      </c>
      <c r="H263" s="292" t="n">
        <f aca="false">'GAS DAILY VOL DOWNLOAD'!H263-'GAS DAILY VOL DOWNLOAD'!$B263+$B263</f>
        <v>1.05</v>
      </c>
      <c r="I263" s="292" t="n">
        <f aca="false">'GAS DAILY VOL DOWNLOAD'!I263-'GAS DAILY VOL DOWNLOAD'!$B263+$B263</f>
        <v>1</v>
      </c>
      <c r="J263" s="292" t="n">
        <f aca="false">'GAS DAILY VOL DOWNLOAD'!J263-'GAS DAILY VOL DOWNLOAD'!$B263+$B263</f>
        <v>1.35</v>
      </c>
      <c r="K263" s="292" t="n">
        <f aca="false">'GAS DAILY VOL DOWNLOAD'!K263-'GAS DAILY VOL DOWNLOAD'!$B263+$B263</f>
        <v>0</v>
      </c>
      <c r="L263" s="292" t="n">
        <f aca="false">'GAS DAILY VOL DOWNLOAD'!L263-'GAS DAILY VOL DOWNLOAD'!$B263+$B263</f>
        <v>1.1</v>
      </c>
      <c r="M263" s="292" t="n">
        <f aca="false">'GAS DAILY VOL DOWNLOAD'!M263-'GAS DAILY VOL DOWNLOAD'!$B263+$B263</f>
        <v>1</v>
      </c>
      <c r="N263" s="292" t="n">
        <f aca="false">'GAS DAILY VOL DOWNLOAD'!N263-'GAS DAILY VOL DOWNLOAD'!$B263+$B263</f>
        <v>1.45</v>
      </c>
      <c r="O263" s="292" t="n">
        <f aca="false">'GAS DAILY VOL DOWNLOAD'!O263-'GAS DAILY VOL DOWNLOAD'!$B263+$B263</f>
        <v>0.15</v>
      </c>
      <c r="P263" s="292" t="n">
        <f aca="false">'GAS DAILY VOL DOWNLOAD'!P263-'GAS DAILY VOL DOWNLOAD'!$B263+$B263</f>
        <v>1.1</v>
      </c>
      <c r="Q263" s="292" t="n">
        <f aca="false">'GAS DAILY VOL DOWNLOAD'!Q263-'GAS DAILY VOL DOWNLOAD'!$B263+$B263</f>
        <v>0</v>
      </c>
    </row>
    <row r="264" customFormat="false" ht="12.75" hidden="false" customHeight="false" outlineLevel="0" collapsed="false">
      <c r="A264" s="317" t="n">
        <v>44986</v>
      </c>
      <c r="B264" s="292" t="n">
        <f aca="false">STRADDLES!L286</f>
        <v>0</v>
      </c>
      <c r="C264" s="292" t="n">
        <f aca="false">'GAS DAILY VOL DOWNLOAD'!C264-'GAS DAILY VOL DOWNLOAD'!$B264+$B264</f>
        <v>0.8</v>
      </c>
      <c r="D264" s="292" t="n">
        <f aca="false">'GAS DAILY VOL DOWNLOAD'!D264-'GAS DAILY VOL DOWNLOAD'!$B264+$B264</f>
        <v>0.75</v>
      </c>
      <c r="E264" s="292" t="n">
        <f aca="false">'GAS DAILY VOL DOWNLOAD'!E264-'GAS DAILY VOL DOWNLOAD'!$B264+$B264</f>
        <v>0.75</v>
      </c>
      <c r="F264" s="292" t="n">
        <f aca="false">'GAS DAILY VOL DOWNLOAD'!F264-'GAS DAILY VOL DOWNLOAD'!$B264+$B264</f>
        <v>0.85</v>
      </c>
      <c r="G264" s="292" t="n">
        <f aca="false">'GAS DAILY VOL DOWNLOAD'!G264-'GAS DAILY VOL DOWNLOAD'!$B264+$B264</f>
        <v>1</v>
      </c>
      <c r="H264" s="292" t="n">
        <f aca="false">'GAS DAILY VOL DOWNLOAD'!H264-'GAS DAILY VOL DOWNLOAD'!$B264+$B264</f>
        <v>0.75</v>
      </c>
      <c r="I264" s="292" t="n">
        <f aca="false">'GAS DAILY VOL DOWNLOAD'!I264-'GAS DAILY VOL DOWNLOAD'!$B264+$B264</f>
        <v>0.75</v>
      </c>
      <c r="J264" s="292" t="n">
        <f aca="false">'GAS DAILY VOL DOWNLOAD'!J264-'GAS DAILY VOL DOWNLOAD'!$B264+$B264</f>
        <v>0.95</v>
      </c>
      <c r="K264" s="292" t="n">
        <f aca="false">'GAS DAILY VOL DOWNLOAD'!K264-'GAS DAILY VOL DOWNLOAD'!$B264+$B264</f>
        <v>0</v>
      </c>
      <c r="L264" s="292" t="n">
        <f aca="false">'GAS DAILY VOL DOWNLOAD'!L264-'GAS DAILY VOL DOWNLOAD'!$B264+$B264</f>
        <v>0.75</v>
      </c>
      <c r="M264" s="292" t="n">
        <f aca="false">'GAS DAILY VOL DOWNLOAD'!M264-'GAS DAILY VOL DOWNLOAD'!$B264+$B264</f>
        <v>0.75</v>
      </c>
      <c r="N264" s="292" t="n">
        <f aca="false">'GAS DAILY VOL DOWNLOAD'!N264-'GAS DAILY VOL DOWNLOAD'!$B264+$B264</f>
        <v>1</v>
      </c>
      <c r="O264" s="292" t="n">
        <f aca="false">'GAS DAILY VOL DOWNLOAD'!O264-'GAS DAILY VOL DOWNLOAD'!$B264+$B264</f>
        <v>0.15</v>
      </c>
      <c r="P264" s="292" t="n">
        <f aca="false">'GAS DAILY VOL DOWNLOAD'!P264-'GAS DAILY VOL DOWNLOAD'!$B264+$B264</f>
        <v>0.85</v>
      </c>
      <c r="Q264" s="292" t="n">
        <f aca="false">'GAS DAILY VOL DOWNLOAD'!Q264-'GAS DAILY VOL DOWNLOAD'!$B264+$B264</f>
        <v>0</v>
      </c>
    </row>
    <row r="265" customFormat="false" ht="12.75" hidden="false" customHeight="false" outlineLevel="0" collapsed="false">
      <c r="A265" s="317" t="n">
        <v>45017</v>
      </c>
      <c r="B265" s="292" t="n">
        <f aca="false">STRADDLES!L287</f>
        <v>0</v>
      </c>
      <c r="C265" s="292" t="n">
        <f aca="false">'GAS DAILY VOL DOWNLOAD'!C265-'GAS DAILY VOL DOWNLOAD'!$B265+$B265</f>
        <v>0.45</v>
      </c>
      <c r="D265" s="292" t="n">
        <f aca="false">'GAS DAILY VOL DOWNLOAD'!D265-'GAS DAILY VOL DOWNLOAD'!$B265+$B265</f>
        <v>0.4</v>
      </c>
      <c r="E265" s="292" t="n">
        <f aca="false">'GAS DAILY VOL DOWNLOAD'!E265-'GAS DAILY VOL DOWNLOAD'!$B265+$B265</f>
        <v>0.45</v>
      </c>
      <c r="F265" s="292" t="n">
        <f aca="false">'GAS DAILY VOL DOWNLOAD'!F265-'GAS DAILY VOL DOWNLOAD'!$B265+$B265</f>
        <v>0.45</v>
      </c>
      <c r="G265" s="292" t="n">
        <f aca="false">'GAS DAILY VOL DOWNLOAD'!G265-'GAS DAILY VOL DOWNLOAD'!$B265+$B265</f>
        <v>0.45</v>
      </c>
      <c r="H265" s="292" t="n">
        <f aca="false">'GAS DAILY VOL DOWNLOAD'!H265-'GAS DAILY VOL DOWNLOAD'!$B265+$B265</f>
        <v>0.45</v>
      </c>
      <c r="I265" s="292" t="n">
        <f aca="false">'GAS DAILY VOL DOWNLOAD'!I265-'GAS DAILY VOL DOWNLOAD'!$B265+$B265</f>
        <v>0.45</v>
      </c>
      <c r="J265" s="292" t="n">
        <f aca="false">'GAS DAILY VOL DOWNLOAD'!J265-'GAS DAILY VOL DOWNLOAD'!$B265+$B265</f>
        <v>0.5</v>
      </c>
      <c r="K265" s="292" t="n">
        <f aca="false">'GAS DAILY VOL DOWNLOAD'!K265-'GAS DAILY VOL DOWNLOAD'!$B265+$B265</f>
        <v>0</v>
      </c>
      <c r="L265" s="292" t="n">
        <f aca="false">'GAS DAILY VOL DOWNLOAD'!L265-'GAS DAILY VOL DOWNLOAD'!$B265+$B265</f>
        <v>0.45</v>
      </c>
      <c r="M265" s="292" t="n">
        <f aca="false">'GAS DAILY VOL DOWNLOAD'!M265-'GAS DAILY VOL DOWNLOAD'!$B265+$B265</f>
        <v>0.4</v>
      </c>
      <c r="N265" s="292" t="n">
        <f aca="false">'GAS DAILY VOL DOWNLOAD'!N265-'GAS DAILY VOL DOWNLOAD'!$B265+$B265</f>
        <v>0.45</v>
      </c>
      <c r="O265" s="292" t="n">
        <f aca="false">'GAS DAILY VOL DOWNLOAD'!O265-'GAS DAILY VOL DOWNLOAD'!$B265+$B265</f>
        <v>0.15</v>
      </c>
      <c r="P265" s="292" t="n">
        <f aca="false">'GAS DAILY VOL DOWNLOAD'!P265-'GAS DAILY VOL DOWNLOAD'!$B265+$B265</f>
        <v>0.55</v>
      </c>
      <c r="Q265" s="292" t="n">
        <f aca="false">'GAS DAILY VOL DOWNLOAD'!Q265-'GAS DAILY VOL DOWNLOAD'!$B265+$B265</f>
        <v>0</v>
      </c>
    </row>
    <row r="266" customFormat="false" ht="12.75" hidden="false" customHeight="false" outlineLevel="0" collapsed="false">
      <c r="A266" s="317" t="n">
        <v>45047</v>
      </c>
      <c r="B266" s="292" t="n">
        <f aca="false">STRADDLES!L288</f>
        <v>0</v>
      </c>
      <c r="C266" s="292" t="n">
        <f aca="false">'GAS DAILY VOL DOWNLOAD'!C266-'GAS DAILY VOL DOWNLOAD'!$B266+$B266</f>
        <v>0.5</v>
      </c>
      <c r="D266" s="292" t="n">
        <f aca="false">'GAS DAILY VOL DOWNLOAD'!D266-'GAS DAILY VOL DOWNLOAD'!$B266+$B266</f>
        <v>0.4</v>
      </c>
      <c r="E266" s="292" t="n">
        <f aca="false">'GAS DAILY VOL DOWNLOAD'!E266-'GAS DAILY VOL DOWNLOAD'!$B266+$B266</f>
        <v>0.4</v>
      </c>
      <c r="F266" s="292" t="n">
        <f aca="false">'GAS DAILY VOL DOWNLOAD'!F266-'GAS DAILY VOL DOWNLOAD'!$B266+$B266</f>
        <v>0.45</v>
      </c>
      <c r="G266" s="292" t="n">
        <f aca="false">'GAS DAILY VOL DOWNLOAD'!G266-'GAS DAILY VOL DOWNLOAD'!$B266+$B266</f>
        <v>0.5</v>
      </c>
      <c r="H266" s="292" t="n">
        <f aca="false">'GAS DAILY VOL DOWNLOAD'!H266-'GAS DAILY VOL DOWNLOAD'!$B266+$B266</f>
        <v>0.45</v>
      </c>
      <c r="I266" s="292" t="n">
        <f aca="false">'GAS DAILY VOL DOWNLOAD'!I266-'GAS DAILY VOL DOWNLOAD'!$B266+$B266</f>
        <v>0.4</v>
      </c>
      <c r="J266" s="292" t="n">
        <f aca="false">'GAS DAILY VOL DOWNLOAD'!J266-'GAS DAILY VOL DOWNLOAD'!$B266+$B266</f>
        <v>0.45</v>
      </c>
      <c r="K266" s="292" t="n">
        <f aca="false">'GAS DAILY VOL DOWNLOAD'!K266-'GAS DAILY VOL DOWNLOAD'!$B266+$B266</f>
        <v>0</v>
      </c>
      <c r="L266" s="292" t="n">
        <f aca="false">'GAS DAILY VOL DOWNLOAD'!L266-'GAS DAILY VOL DOWNLOAD'!$B266+$B266</f>
        <v>0.5</v>
      </c>
      <c r="M266" s="292" t="n">
        <f aca="false">'GAS DAILY VOL DOWNLOAD'!M266-'GAS DAILY VOL DOWNLOAD'!$B266+$B266</f>
        <v>0.45</v>
      </c>
      <c r="N266" s="292" t="n">
        <f aca="false">'GAS DAILY VOL DOWNLOAD'!N266-'GAS DAILY VOL DOWNLOAD'!$B266+$B266</f>
        <v>0.5</v>
      </c>
      <c r="O266" s="292" t="n">
        <f aca="false">'GAS DAILY VOL DOWNLOAD'!O266-'GAS DAILY VOL DOWNLOAD'!$B266+$B266</f>
        <v>0.15</v>
      </c>
      <c r="P266" s="292" t="n">
        <f aca="false">'GAS DAILY VOL DOWNLOAD'!P266-'GAS DAILY VOL DOWNLOAD'!$B266+$B266</f>
        <v>0.5</v>
      </c>
      <c r="Q266" s="292" t="n">
        <f aca="false">'GAS DAILY VOL DOWNLOAD'!Q266-'GAS DAILY VOL DOWNLOAD'!$B266+$B266</f>
        <v>0</v>
      </c>
    </row>
    <row r="267" customFormat="false" ht="12.75" hidden="false" customHeight="false" outlineLevel="0" collapsed="false">
      <c r="A267" s="317" t="n">
        <v>45078</v>
      </c>
      <c r="B267" s="292" t="n">
        <f aca="false">STRADDLES!L289</f>
        <v>0</v>
      </c>
      <c r="C267" s="292" t="n">
        <f aca="false">'GAS DAILY VOL DOWNLOAD'!C267-'GAS DAILY VOL DOWNLOAD'!$B267+$B267</f>
        <v>0.5</v>
      </c>
      <c r="D267" s="292" t="n">
        <f aca="false">'GAS DAILY VOL DOWNLOAD'!D267-'GAS DAILY VOL DOWNLOAD'!$B267+$B267</f>
        <v>0.4</v>
      </c>
      <c r="E267" s="292" t="n">
        <f aca="false">'GAS DAILY VOL DOWNLOAD'!E267-'GAS DAILY VOL DOWNLOAD'!$B267+$B267</f>
        <v>0.5</v>
      </c>
      <c r="F267" s="292" t="n">
        <f aca="false">'GAS DAILY VOL DOWNLOAD'!F267-'GAS DAILY VOL DOWNLOAD'!$B267+$B267</f>
        <v>0.45</v>
      </c>
      <c r="G267" s="292" t="n">
        <f aca="false">'GAS DAILY VOL DOWNLOAD'!G267-'GAS DAILY VOL DOWNLOAD'!$B267+$B267</f>
        <v>0.5</v>
      </c>
      <c r="H267" s="292" t="n">
        <f aca="false">'GAS DAILY VOL DOWNLOAD'!H267-'GAS DAILY VOL DOWNLOAD'!$B267+$B267</f>
        <v>0.5</v>
      </c>
      <c r="I267" s="292" t="n">
        <f aca="false">'GAS DAILY VOL DOWNLOAD'!I267-'GAS DAILY VOL DOWNLOAD'!$B267+$B267</f>
        <v>0.5</v>
      </c>
      <c r="J267" s="292" t="n">
        <f aca="false">'GAS DAILY VOL DOWNLOAD'!J267-'GAS DAILY VOL DOWNLOAD'!$B267+$B267</f>
        <v>0.5</v>
      </c>
      <c r="K267" s="292" t="n">
        <f aca="false">'GAS DAILY VOL DOWNLOAD'!K267-'GAS DAILY VOL DOWNLOAD'!$B267+$B267</f>
        <v>0</v>
      </c>
      <c r="L267" s="292" t="n">
        <f aca="false">'GAS DAILY VOL DOWNLOAD'!L267-'GAS DAILY VOL DOWNLOAD'!$B267+$B267</f>
        <v>0.5</v>
      </c>
      <c r="M267" s="292" t="n">
        <f aca="false">'GAS DAILY VOL DOWNLOAD'!M267-'GAS DAILY VOL DOWNLOAD'!$B267+$B267</f>
        <v>0.45</v>
      </c>
      <c r="N267" s="292" t="n">
        <f aca="false">'GAS DAILY VOL DOWNLOAD'!N267-'GAS DAILY VOL DOWNLOAD'!$B267+$B267</f>
        <v>0.5</v>
      </c>
      <c r="O267" s="292" t="n">
        <f aca="false">'GAS DAILY VOL DOWNLOAD'!O267-'GAS DAILY VOL DOWNLOAD'!$B267+$B267</f>
        <v>0.15</v>
      </c>
      <c r="P267" s="292" t="n">
        <f aca="false">'GAS DAILY VOL DOWNLOAD'!P267-'GAS DAILY VOL DOWNLOAD'!$B267+$B267</f>
        <v>0.6</v>
      </c>
      <c r="Q267" s="292" t="n">
        <f aca="false">'GAS DAILY VOL DOWNLOAD'!Q267-'GAS DAILY VOL DOWNLOAD'!$B267+$B267</f>
        <v>0</v>
      </c>
    </row>
    <row r="268" customFormat="false" ht="12.75" hidden="false" customHeight="false" outlineLevel="0" collapsed="false">
      <c r="A268" s="317" t="n">
        <v>45108</v>
      </c>
      <c r="B268" s="292" t="n">
        <f aca="false">STRADDLES!L290</f>
        <v>0</v>
      </c>
      <c r="C268" s="292" t="n">
        <f aca="false">'GAS DAILY VOL DOWNLOAD'!C268-'GAS DAILY VOL DOWNLOAD'!$B268+$B268</f>
        <v>0.5</v>
      </c>
      <c r="D268" s="292" t="n">
        <f aca="false">'GAS DAILY VOL DOWNLOAD'!D268-'GAS DAILY VOL DOWNLOAD'!$B268+$B268</f>
        <v>0.4</v>
      </c>
      <c r="E268" s="292" t="n">
        <f aca="false">'GAS DAILY VOL DOWNLOAD'!E268-'GAS DAILY VOL DOWNLOAD'!$B268+$B268</f>
        <v>0.5</v>
      </c>
      <c r="F268" s="292" t="n">
        <f aca="false">'GAS DAILY VOL DOWNLOAD'!F268-'GAS DAILY VOL DOWNLOAD'!$B268+$B268</f>
        <v>0.5</v>
      </c>
      <c r="G268" s="292" t="n">
        <f aca="false">'GAS DAILY VOL DOWNLOAD'!G268-'GAS DAILY VOL DOWNLOAD'!$B268+$B268</f>
        <v>0.5</v>
      </c>
      <c r="H268" s="292" t="n">
        <f aca="false">'GAS DAILY VOL DOWNLOAD'!H268-'GAS DAILY VOL DOWNLOAD'!$B268+$B268</f>
        <v>0.5</v>
      </c>
      <c r="I268" s="292" t="n">
        <f aca="false">'GAS DAILY VOL DOWNLOAD'!I268-'GAS DAILY VOL DOWNLOAD'!$B268+$B268</f>
        <v>0.5</v>
      </c>
      <c r="J268" s="292" t="n">
        <f aca="false">'GAS DAILY VOL DOWNLOAD'!J268-'GAS DAILY VOL DOWNLOAD'!$B268+$B268</f>
        <v>0.5</v>
      </c>
      <c r="K268" s="292" t="n">
        <f aca="false">'GAS DAILY VOL DOWNLOAD'!K268-'GAS DAILY VOL DOWNLOAD'!$B268+$B268</f>
        <v>0</v>
      </c>
      <c r="L268" s="292" t="n">
        <f aca="false">'GAS DAILY VOL DOWNLOAD'!L268-'GAS DAILY VOL DOWNLOAD'!$B268+$B268</f>
        <v>0.55</v>
      </c>
      <c r="M268" s="292" t="n">
        <f aca="false">'GAS DAILY VOL DOWNLOAD'!M268-'GAS DAILY VOL DOWNLOAD'!$B268+$B268</f>
        <v>0.5</v>
      </c>
      <c r="N268" s="292" t="n">
        <f aca="false">'GAS DAILY VOL DOWNLOAD'!N268-'GAS DAILY VOL DOWNLOAD'!$B268+$B268</f>
        <v>0.5</v>
      </c>
      <c r="O268" s="292" t="n">
        <f aca="false">'GAS DAILY VOL DOWNLOAD'!O268-'GAS DAILY VOL DOWNLOAD'!$B268+$B268</f>
        <v>0.15</v>
      </c>
      <c r="P268" s="292" t="n">
        <f aca="false">'GAS DAILY VOL DOWNLOAD'!P268-'GAS DAILY VOL DOWNLOAD'!$B268+$B268</f>
        <v>0.6</v>
      </c>
      <c r="Q268" s="292" t="n">
        <f aca="false">'GAS DAILY VOL DOWNLOAD'!Q268-'GAS DAILY VOL DOWNLOAD'!$B268+$B268</f>
        <v>0</v>
      </c>
    </row>
    <row r="269" customFormat="false" ht="12.75" hidden="false" customHeight="false" outlineLevel="0" collapsed="false">
      <c r="A269" s="317" t="n">
        <v>45139</v>
      </c>
      <c r="B269" s="292" t="n">
        <f aca="false">STRADDLES!L291</f>
        <v>0</v>
      </c>
      <c r="C269" s="292" t="n">
        <f aca="false">'GAS DAILY VOL DOWNLOAD'!C269-'GAS DAILY VOL DOWNLOAD'!$B269+$B269</f>
        <v>0.55</v>
      </c>
      <c r="D269" s="292" t="n">
        <f aca="false">'GAS DAILY VOL DOWNLOAD'!D269-'GAS DAILY VOL DOWNLOAD'!$B269+$B269</f>
        <v>0.5</v>
      </c>
      <c r="E269" s="292" t="n">
        <f aca="false">'GAS DAILY VOL DOWNLOAD'!E269-'GAS DAILY VOL DOWNLOAD'!$B269+$B269</f>
        <v>0.6</v>
      </c>
      <c r="F269" s="292" t="n">
        <f aca="false">'GAS DAILY VOL DOWNLOAD'!F269-'GAS DAILY VOL DOWNLOAD'!$B269+$B269</f>
        <v>0.55</v>
      </c>
      <c r="G269" s="292" t="n">
        <f aca="false">'GAS DAILY VOL DOWNLOAD'!G269-'GAS DAILY VOL DOWNLOAD'!$B269+$B269</f>
        <v>0.6</v>
      </c>
      <c r="H269" s="292" t="n">
        <f aca="false">'GAS DAILY VOL DOWNLOAD'!H269-'GAS DAILY VOL DOWNLOAD'!$B269+$B269</f>
        <v>0.55</v>
      </c>
      <c r="I269" s="292" t="n">
        <f aca="false">'GAS DAILY VOL DOWNLOAD'!I269-'GAS DAILY VOL DOWNLOAD'!$B269+$B269</f>
        <v>0.6</v>
      </c>
      <c r="J269" s="292" t="n">
        <f aca="false">'GAS DAILY VOL DOWNLOAD'!J269-'GAS DAILY VOL DOWNLOAD'!$B269+$B269</f>
        <v>0.45</v>
      </c>
      <c r="K269" s="292" t="n">
        <f aca="false">'GAS DAILY VOL DOWNLOAD'!K269-'GAS DAILY VOL DOWNLOAD'!$B269+$B269</f>
        <v>0</v>
      </c>
      <c r="L269" s="292" t="n">
        <f aca="false">'GAS DAILY VOL DOWNLOAD'!L269-'GAS DAILY VOL DOWNLOAD'!$B269+$B269</f>
        <v>0.6</v>
      </c>
      <c r="M269" s="292" t="n">
        <f aca="false">'GAS DAILY VOL DOWNLOAD'!M269-'GAS DAILY VOL DOWNLOAD'!$B269+$B269</f>
        <v>0.55</v>
      </c>
      <c r="N269" s="292" t="n">
        <f aca="false">'GAS DAILY VOL DOWNLOAD'!N269-'GAS DAILY VOL DOWNLOAD'!$B269+$B269</f>
        <v>0.6</v>
      </c>
      <c r="O269" s="292" t="n">
        <f aca="false">'GAS DAILY VOL DOWNLOAD'!O269-'GAS DAILY VOL DOWNLOAD'!$B269+$B269</f>
        <v>0.15</v>
      </c>
      <c r="P269" s="292" t="n">
        <f aca="false">'GAS DAILY VOL DOWNLOAD'!P269-'GAS DAILY VOL DOWNLOAD'!$B269+$B269</f>
        <v>0.7</v>
      </c>
      <c r="Q269" s="292" t="n">
        <f aca="false">'GAS DAILY VOL DOWNLOAD'!Q269-'GAS DAILY VOL DOWNLOAD'!$B269+$B269</f>
        <v>0</v>
      </c>
    </row>
    <row r="270" customFormat="false" ht="12.75" hidden="false" customHeight="false" outlineLevel="0" collapsed="false">
      <c r="A270" s="317" t="n">
        <v>45170</v>
      </c>
      <c r="B270" s="292" t="n">
        <f aca="false">STRADDLES!L292</f>
        <v>0</v>
      </c>
      <c r="C270" s="292" t="n">
        <f aca="false">'GAS DAILY VOL DOWNLOAD'!C270-'GAS DAILY VOL DOWNLOAD'!$B270+$B270</f>
        <v>0.55</v>
      </c>
      <c r="D270" s="292" t="n">
        <f aca="false">'GAS DAILY VOL DOWNLOAD'!D270-'GAS DAILY VOL DOWNLOAD'!$B270+$B270</f>
        <v>0.55</v>
      </c>
      <c r="E270" s="292" t="n">
        <f aca="false">'GAS DAILY VOL DOWNLOAD'!E270-'GAS DAILY VOL DOWNLOAD'!$B270+$B270</f>
        <v>0.55</v>
      </c>
      <c r="F270" s="292" t="n">
        <f aca="false">'GAS DAILY VOL DOWNLOAD'!F270-'GAS DAILY VOL DOWNLOAD'!$B270+$B270</f>
        <v>0.55</v>
      </c>
      <c r="G270" s="292" t="n">
        <f aca="false">'GAS DAILY VOL DOWNLOAD'!G270-'GAS DAILY VOL DOWNLOAD'!$B270+$B270</f>
        <v>0.6</v>
      </c>
      <c r="H270" s="292" t="n">
        <f aca="false">'GAS DAILY VOL DOWNLOAD'!H270-'GAS DAILY VOL DOWNLOAD'!$B270+$B270</f>
        <v>0.6</v>
      </c>
      <c r="I270" s="292" t="n">
        <f aca="false">'GAS DAILY VOL DOWNLOAD'!I270-'GAS DAILY VOL DOWNLOAD'!$B270+$B270</f>
        <v>0.55</v>
      </c>
      <c r="J270" s="292" t="n">
        <f aca="false">'GAS DAILY VOL DOWNLOAD'!J270-'GAS DAILY VOL DOWNLOAD'!$B270+$B270</f>
        <v>0.5</v>
      </c>
      <c r="K270" s="292" t="n">
        <f aca="false">'GAS DAILY VOL DOWNLOAD'!K270-'GAS DAILY VOL DOWNLOAD'!$B270+$B270</f>
        <v>0</v>
      </c>
      <c r="L270" s="292" t="n">
        <f aca="false">'GAS DAILY VOL DOWNLOAD'!L270-'GAS DAILY VOL DOWNLOAD'!$B270+$B270</f>
        <v>0.6</v>
      </c>
      <c r="M270" s="292" t="n">
        <f aca="false">'GAS DAILY VOL DOWNLOAD'!M270-'GAS DAILY VOL DOWNLOAD'!$B270+$B270</f>
        <v>0.55</v>
      </c>
      <c r="N270" s="292" t="n">
        <f aca="false">'GAS DAILY VOL DOWNLOAD'!N270-'GAS DAILY VOL DOWNLOAD'!$B270+$B270</f>
        <v>0.6</v>
      </c>
      <c r="O270" s="292" t="n">
        <f aca="false">'GAS DAILY VOL DOWNLOAD'!O270-'GAS DAILY VOL DOWNLOAD'!$B270+$B270</f>
        <v>0.15</v>
      </c>
      <c r="P270" s="292" t="n">
        <f aca="false">'GAS DAILY VOL DOWNLOAD'!P270-'GAS DAILY VOL DOWNLOAD'!$B270+$B270</f>
        <v>0.65</v>
      </c>
      <c r="Q270" s="292" t="n">
        <f aca="false">'GAS DAILY VOL DOWNLOAD'!Q270-'GAS DAILY VOL DOWNLOAD'!$B270+$B270</f>
        <v>0</v>
      </c>
    </row>
    <row r="271" customFormat="false" ht="12.75" hidden="false" customHeight="false" outlineLevel="0" collapsed="false">
      <c r="A271" s="317" t="n">
        <v>45200</v>
      </c>
      <c r="B271" s="292" t="n">
        <f aca="false">STRADDLES!L293</f>
        <v>0</v>
      </c>
      <c r="C271" s="292" t="n">
        <f aca="false">'GAS DAILY VOL DOWNLOAD'!C271-'GAS DAILY VOL DOWNLOAD'!$B271+$B271</f>
        <v>0.6</v>
      </c>
      <c r="D271" s="292" t="n">
        <f aca="false">'GAS DAILY VOL DOWNLOAD'!D271-'GAS DAILY VOL DOWNLOAD'!$B271+$B271</f>
        <v>0.55</v>
      </c>
      <c r="E271" s="292" t="n">
        <f aca="false">'GAS DAILY VOL DOWNLOAD'!E271-'GAS DAILY VOL DOWNLOAD'!$B271+$B271</f>
        <v>0.6</v>
      </c>
      <c r="F271" s="292" t="n">
        <f aca="false">'GAS DAILY VOL DOWNLOAD'!F271-'GAS DAILY VOL DOWNLOAD'!$B271+$B271</f>
        <v>0.6</v>
      </c>
      <c r="G271" s="292" t="n">
        <f aca="false">'GAS DAILY VOL DOWNLOAD'!G271-'GAS DAILY VOL DOWNLOAD'!$B271+$B271</f>
        <v>0.65</v>
      </c>
      <c r="H271" s="292" t="n">
        <f aca="false">'GAS DAILY VOL DOWNLOAD'!H271-'GAS DAILY VOL DOWNLOAD'!$B271+$B271</f>
        <v>0.65</v>
      </c>
      <c r="I271" s="292" t="n">
        <f aca="false">'GAS DAILY VOL DOWNLOAD'!I271-'GAS DAILY VOL DOWNLOAD'!$B271+$B271</f>
        <v>0.6</v>
      </c>
      <c r="J271" s="292" t="n">
        <f aca="false">'GAS DAILY VOL DOWNLOAD'!J271-'GAS DAILY VOL DOWNLOAD'!$B271+$B271</f>
        <v>0.5</v>
      </c>
      <c r="K271" s="292" t="n">
        <f aca="false">'GAS DAILY VOL DOWNLOAD'!K271-'GAS DAILY VOL DOWNLOAD'!$B271+$B271</f>
        <v>0</v>
      </c>
      <c r="L271" s="292" t="n">
        <f aca="false">'GAS DAILY VOL DOWNLOAD'!L271-'GAS DAILY VOL DOWNLOAD'!$B271+$B271</f>
        <v>0.65</v>
      </c>
      <c r="M271" s="292" t="n">
        <f aca="false">'GAS DAILY VOL DOWNLOAD'!M271-'GAS DAILY VOL DOWNLOAD'!$B271+$B271</f>
        <v>0.6</v>
      </c>
      <c r="N271" s="292" t="n">
        <f aca="false">'GAS DAILY VOL DOWNLOAD'!N271-'GAS DAILY VOL DOWNLOAD'!$B271+$B271</f>
        <v>0.65</v>
      </c>
      <c r="O271" s="292" t="n">
        <f aca="false">'GAS DAILY VOL DOWNLOAD'!O271-'GAS DAILY VOL DOWNLOAD'!$B271+$B271</f>
        <v>0.15</v>
      </c>
      <c r="P271" s="292" t="n">
        <f aca="false">'GAS DAILY VOL DOWNLOAD'!P271-'GAS DAILY VOL DOWNLOAD'!$B271+$B271</f>
        <v>0.7</v>
      </c>
      <c r="Q271" s="292" t="n">
        <f aca="false">'GAS DAILY VOL DOWNLOAD'!Q271-'GAS DAILY VOL DOWNLOAD'!$B271+$B271</f>
        <v>0</v>
      </c>
    </row>
    <row r="272" customFormat="false" ht="12.75" hidden="false" customHeight="false" outlineLevel="0" collapsed="false">
      <c r="A272" s="317" t="n">
        <v>45231</v>
      </c>
      <c r="B272" s="292" t="n">
        <f aca="false">STRADDLES!L294</f>
        <v>0</v>
      </c>
      <c r="C272" s="292" t="n">
        <f aca="false">'GAS DAILY VOL DOWNLOAD'!C272-'GAS DAILY VOL DOWNLOAD'!$B272+$B272</f>
        <v>0.85</v>
      </c>
      <c r="D272" s="292" t="n">
        <f aca="false">'GAS DAILY VOL DOWNLOAD'!D272-'GAS DAILY VOL DOWNLOAD'!$B272+$B272</f>
        <v>0.8</v>
      </c>
      <c r="E272" s="292" t="n">
        <f aca="false">'GAS DAILY VOL DOWNLOAD'!E272-'GAS DAILY VOL DOWNLOAD'!$B272+$B272</f>
        <v>0.8</v>
      </c>
      <c r="F272" s="292" t="n">
        <f aca="false">'GAS DAILY VOL DOWNLOAD'!F272-'GAS DAILY VOL DOWNLOAD'!$B272+$B272</f>
        <v>0.9</v>
      </c>
      <c r="G272" s="292" t="n">
        <f aca="false">'GAS DAILY VOL DOWNLOAD'!G272-'GAS DAILY VOL DOWNLOAD'!$B272+$B272</f>
        <v>0.95</v>
      </c>
      <c r="H272" s="292" t="n">
        <f aca="false">'GAS DAILY VOL DOWNLOAD'!H272-'GAS DAILY VOL DOWNLOAD'!$B272+$B272</f>
        <v>0.85</v>
      </c>
      <c r="I272" s="292" t="n">
        <f aca="false">'GAS DAILY VOL DOWNLOAD'!I272-'GAS DAILY VOL DOWNLOAD'!$B272+$B272</f>
        <v>0.8</v>
      </c>
      <c r="J272" s="292" t="n">
        <f aca="false">'GAS DAILY VOL DOWNLOAD'!J272-'GAS DAILY VOL DOWNLOAD'!$B272+$B272</f>
        <v>0.95</v>
      </c>
      <c r="K272" s="292" t="n">
        <f aca="false">'GAS DAILY VOL DOWNLOAD'!K272-'GAS DAILY VOL DOWNLOAD'!$B272+$B272</f>
        <v>0</v>
      </c>
      <c r="L272" s="292" t="n">
        <f aca="false">'GAS DAILY VOL DOWNLOAD'!L272-'GAS DAILY VOL DOWNLOAD'!$B272+$B272</f>
        <v>0.8</v>
      </c>
      <c r="M272" s="292" t="n">
        <f aca="false">'GAS DAILY VOL DOWNLOAD'!M272-'GAS DAILY VOL DOWNLOAD'!$B272+$B272</f>
        <v>0.8</v>
      </c>
      <c r="N272" s="292" t="n">
        <f aca="false">'GAS DAILY VOL DOWNLOAD'!N272-'GAS DAILY VOL DOWNLOAD'!$B272+$B272</f>
        <v>0.95</v>
      </c>
      <c r="O272" s="292" t="n">
        <f aca="false">'GAS DAILY VOL DOWNLOAD'!O272-'GAS DAILY VOL DOWNLOAD'!$B272+$B272</f>
        <v>0.15</v>
      </c>
      <c r="P272" s="292" t="n">
        <f aca="false">'GAS DAILY VOL DOWNLOAD'!P272-'GAS DAILY VOL DOWNLOAD'!$B272+$B272</f>
        <v>0.9</v>
      </c>
      <c r="Q272" s="292" t="n">
        <f aca="false">'GAS DAILY VOL DOWNLOAD'!Q272-'GAS DAILY VOL DOWNLOAD'!$B272+$B272</f>
        <v>0</v>
      </c>
    </row>
    <row r="273" customFormat="false" ht="12.75" hidden="false" customHeight="false" outlineLevel="0" collapsed="false">
      <c r="A273" s="317" t="n">
        <v>45261</v>
      </c>
      <c r="B273" s="292" t="n">
        <f aca="false">STRADDLES!L295</f>
        <v>0</v>
      </c>
      <c r="C273" s="292" t="n">
        <f aca="false">'GAS DAILY VOL DOWNLOAD'!C273-'GAS DAILY VOL DOWNLOAD'!$B273+$B273</f>
        <v>1.05</v>
      </c>
      <c r="D273" s="292" t="n">
        <f aca="false">'GAS DAILY VOL DOWNLOAD'!D273-'GAS DAILY VOL DOWNLOAD'!$B273+$B273</f>
        <v>1</v>
      </c>
      <c r="E273" s="292" t="n">
        <f aca="false">'GAS DAILY VOL DOWNLOAD'!E273-'GAS DAILY VOL DOWNLOAD'!$B273+$B273</f>
        <v>1</v>
      </c>
      <c r="F273" s="292" t="n">
        <f aca="false">'GAS DAILY VOL DOWNLOAD'!F273-'GAS DAILY VOL DOWNLOAD'!$B273+$B273</f>
        <v>1.15</v>
      </c>
      <c r="G273" s="292" t="n">
        <f aca="false">'GAS DAILY VOL DOWNLOAD'!G273-'GAS DAILY VOL DOWNLOAD'!$B273+$B273</f>
        <v>1.25</v>
      </c>
      <c r="H273" s="292" t="n">
        <f aca="false">'GAS DAILY VOL DOWNLOAD'!H273-'GAS DAILY VOL DOWNLOAD'!$B273+$B273</f>
        <v>1.05</v>
      </c>
      <c r="I273" s="292" t="n">
        <f aca="false">'GAS DAILY VOL DOWNLOAD'!I273-'GAS DAILY VOL DOWNLOAD'!$B273+$B273</f>
        <v>1</v>
      </c>
      <c r="J273" s="292" t="n">
        <f aca="false">'GAS DAILY VOL DOWNLOAD'!J273-'GAS DAILY VOL DOWNLOAD'!$B273+$B273</f>
        <v>1.35</v>
      </c>
      <c r="K273" s="292" t="n">
        <f aca="false">'GAS DAILY VOL DOWNLOAD'!K273-'GAS DAILY VOL DOWNLOAD'!$B273+$B273</f>
        <v>0</v>
      </c>
      <c r="L273" s="292" t="n">
        <f aca="false">'GAS DAILY VOL DOWNLOAD'!L273-'GAS DAILY VOL DOWNLOAD'!$B273+$B273</f>
        <v>1.1</v>
      </c>
      <c r="M273" s="292" t="n">
        <f aca="false">'GAS DAILY VOL DOWNLOAD'!M273-'GAS DAILY VOL DOWNLOAD'!$B273+$B273</f>
        <v>1</v>
      </c>
      <c r="N273" s="292" t="n">
        <f aca="false">'GAS DAILY VOL DOWNLOAD'!N273-'GAS DAILY VOL DOWNLOAD'!$B273+$B273</f>
        <v>1.25</v>
      </c>
      <c r="O273" s="292" t="n">
        <f aca="false">'GAS DAILY VOL DOWNLOAD'!O273-'GAS DAILY VOL DOWNLOAD'!$B273+$B273</f>
        <v>0.15</v>
      </c>
      <c r="P273" s="292" t="n">
        <f aca="false">'GAS DAILY VOL DOWNLOAD'!P273-'GAS DAILY VOL DOWNLOAD'!$B273+$B273</f>
        <v>1.1</v>
      </c>
      <c r="Q273" s="292" t="n">
        <f aca="false">'GAS DAILY VOL DOWNLOAD'!Q273-'GAS DAILY VOL DOWNLOAD'!$B273+$B273</f>
        <v>0</v>
      </c>
    </row>
    <row r="274" customFormat="false" ht="12.75" hidden="false" customHeight="false" outlineLevel="0" collapsed="false">
      <c r="A274" s="317" t="n">
        <v>45292</v>
      </c>
      <c r="B274" s="292" t="n">
        <f aca="false">STRADDLES!L296</f>
        <v>0</v>
      </c>
      <c r="C274" s="292" t="n">
        <f aca="false">'GAS DAILY VOL DOWNLOAD'!C274-'GAS DAILY VOL DOWNLOAD'!$B274+$B274</f>
        <v>1.05</v>
      </c>
      <c r="D274" s="292" t="n">
        <f aca="false">'GAS DAILY VOL DOWNLOAD'!D274-'GAS DAILY VOL DOWNLOAD'!$B274+$B274</f>
        <v>1</v>
      </c>
      <c r="E274" s="292" t="n">
        <f aca="false">'GAS DAILY VOL DOWNLOAD'!E274-'GAS DAILY VOL DOWNLOAD'!$B274+$B274</f>
        <v>1</v>
      </c>
      <c r="F274" s="292" t="n">
        <f aca="false">'GAS DAILY VOL DOWNLOAD'!F274-'GAS DAILY VOL DOWNLOAD'!$B274+$B274</f>
        <v>1.15</v>
      </c>
      <c r="G274" s="292" t="n">
        <f aca="false">'GAS DAILY VOL DOWNLOAD'!G274-'GAS DAILY VOL DOWNLOAD'!$B274+$B274</f>
        <v>1.45</v>
      </c>
      <c r="H274" s="292" t="n">
        <f aca="false">'GAS DAILY VOL DOWNLOAD'!H274-'GAS DAILY VOL DOWNLOAD'!$B274+$B274</f>
        <v>1.05</v>
      </c>
      <c r="I274" s="292" t="n">
        <f aca="false">'GAS DAILY VOL DOWNLOAD'!I274-'GAS DAILY VOL DOWNLOAD'!$B274+$B274</f>
        <v>1</v>
      </c>
      <c r="J274" s="292" t="n">
        <f aca="false">'GAS DAILY VOL DOWNLOAD'!J274-'GAS DAILY VOL DOWNLOAD'!$B274+$B274</f>
        <v>1.35</v>
      </c>
      <c r="K274" s="292" t="n">
        <f aca="false">'GAS DAILY VOL DOWNLOAD'!K274-'GAS DAILY VOL DOWNLOAD'!$B274+$B274</f>
        <v>0</v>
      </c>
      <c r="L274" s="292" t="n">
        <f aca="false">'GAS DAILY VOL DOWNLOAD'!L274-'GAS DAILY VOL DOWNLOAD'!$B274+$B274</f>
        <v>1.1</v>
      </c>
      <c r="M274" s="292" t="n">
        <f aca="false">'GAS DAILY VOL DOWNLOAD'!M274-'GAS DAILY VOL DOWNLOAD'!$B274+$B274</f>
        <v>1</v>
      </c>
      <c r="N274" s="292" t="n">
        <f aca="false">'GAS DAILY VOL DOWNLOAD'!N274-'GAS DAILY VOL DOWNLOAD'!$B274+$B274</f>
        <v>1.45</v>
      </c>
      <c r="O274" s="292" t="n">
        <f aca="false">'GAS DAILY VOL DOWNLOAD'!O274-'GAS DAILY VOL DOWNLOAD'!$B274+$B274</f>
        <v>0.15</v>
      </c>
      <c r="P274" s="292" t="n">
        <f aca="false">'GAS DAILY VOL DOWNLOAD'!P274-'GAS DAILY VOL DOWNLOAD'!$B274+$B274</f>
        <v>1.1</v>
      </c>
      <c r="Q274" s="292" t="n">
        <f aca="false">'GAS DAILY VOL DOWNLOAD'!Q274-'GAS DAILY VOL DOWNLOAD'!$B274+$B274</f>
        <v>0</v>
      </c>
    </row>
    <row r="275" customFormat="false" ht="12.75" hidden="false" customHeight="false" outlineLevel="0" collapsed="false">
      <c r="A275" s="317" t="n">
        <v>45323</v>
      </c>
      <c r="B275" s="292" t="n">
        <f aca="false">STRADDLES!L297</f>
        <v>0</v>
      </c>
      <c r="C275" s="292" t="n">
        <f aca="false">'GAS DAILY VOL DOWNLOAD'!C275-'GAS DAILY VOL DOWNLOAD'!$B275+$B275</f>
        <v>1.05</v>
      </c>
      <c r="D275" s="292" t="n">
        <f aca="false">'GAS DAILY VOL DOWNLOAD'!D275-'GAS DAILY VOL DOWNLOAD'!$B275+$B275</f>
        <v>1</v>
      </c>
      <c r="E275" s="292" t="n">
        <f aca="false">'GAS DAILY VOL DOWNLOAD'!E275-'GAS DAILY VOL DOWNLOAD'!$B275+$B275</f>
        <v>1</v>
      </c>
      <c r="F275" s="292" t="n">
        <f aca="false">'GAS DAILY VOL DOWNLOAD'!F275-'GAS DAILY VOL DOWNLOAD'!$B275+$B275</f>
        <v>1.15</v>
      </c>
      <c r="G275" s="292" t="n">
        <f aca="false">'GAS DAILY VOL DOWNLOAD'!G275-'GAS DAILY VOL DOWNLOAD'!$B275+$B275</f>
        <v>1.45</v>
      </c>
      <c r="H275" s="292" t="n">
        <f aca="false">'GAS DAILY VOL DOWNLOAD'!H275-'GAS DAILY VOL DOWNLOAD'!$B275+$B275</f>
        <v>1.05</v>
      </c>
      <c r="I275" s="292" t="n">
        <f aca="false">'GAS DAILY VOL DOWNLOAD'!I275-'GAS DAILY VOL DOWNLOAD'!$B275+$B275</f>
        <v>1</v>
      </c>
      <c r="J275" s="292" t="n">
        <f aca="false">'GAS DAILY VOL DOWNLOAD'!J275-'GAS DAILY VOL DOWNLOAD'!$B275+$B275</f>
        <v>1.35</v>
      </c>
      <c r="K275" s="292" t="n">
        <f aca="false">'GAS DAILY VOL DOWNLOAD'!K275-'GAS DAILY VOL DOWNLOAD'!$B275+$B275</f>
        <v>0</v>
      </c>
      <c r="L275" s="292" t="n">
        <f aca="false">'GAS DAILY VOL DOWNLOAD'!L275-'GAS DAILY VOL DOWNLOAD'!$B275+$B275</f>
        <v>1.1</v>
      </c>
      <c r="M275" s="292" t="n">
        <f aca="false">'GAS DAILY VOL DOWNLOAD'!M275-'GAS DAILY VOL DOWNLOAD'!$B275+$B275</f>
        <v>1</v>
      </c>
      <c r="N275" s="292" t="n">
        <f aca="false">'GAS DAILY VOL DOWNLOAD'!N275-'GAS DAILY VOL DOWNLOAD'!$B275+$B275</f>
        <v>1.45</v>
      </c>
      <c r="O275" s="292" t="n">
        <f aca="false">'GAS DAILY VOL DOWNLOAD'!O275-'GAS DAILY VOL DOWNLOAD'!$B275+$B275</f>
        <v>0.15</v>
      </c>
      <c r="P275" s="292" t="n">
        <f aca="false">'GAS DAILY VOL DOWNLOAD'!P275-'GAS DAILY VOL DOWNLOAD'!$B275+$B275</f>
        <v>1.1</v>
      </c>
      <c r="Q275" s="292" t="n">
        <f aca="false">'GAS DAILY VOL DOWNLOAD'!Q275-'GAS DAILY VOL DOWNLOAD'!$B275+$B275</f>
        <v>0</v>
      </c>
    </row>
    <row r="276" customFormat="false" ht="12.75" hidden="false" customHeight="false" outlineLevel="0" collapsed="false">
      <c r="A276" s="317" t="n">
        <v>45352</v>
      </c>
      <c r="B276" s="292" t="n">
        <f aca="false">STRADDLES!L298</f>
        <v>0</v>
      </c>
      <c r="C276" s="292" t="n">
        <f aca="false">'GAS DAILY VOL DOWNLOAD'!C276-'GAS DAILY VOL DOWNLOAD'!$B276+$B276</f>
        <v>0.8</v>
      </c>
      <c r="D276" s="292" t="n">
        <f aca="false">'GAS DAILY VOL DOWNLOAD'!D276-'GAS DAILY VOL DOWNLOAD'!$B276+$B276</f>
        <v>0.75</v>
      </c>
      <c r="E276" s="292" t="n">
        <f aca="false">'GAS DAILY VOL DOWNLOAD'!E276-'GAS DAILY VOL DOWNLOAD'!$B276+$B276</f>
        <v>0.75</v>
      </c>
      <c r="F276" s="292" t="n">
        <f aca="false">'GAS DAILY VOL DOWNLOAD'!F276-'GAS DAILY VOL DOWNLOAD'!$B276+$B276</f>
        <v>0.85</v>
      </c>
      <c r="G276" s="292" t="n">
        <f aca="false">'GAS DAILY VOL DOWNLOAD'!G276-'GAS DAILY VOL DOWNLOAD'!$B276+$B276</f>
        <v>1</v>
      </c>
      <c r="H276" s="292" t="n">
        <f aca="false">'GAS DAILY VOL DOWNLOAD'!H276-'GAS DAILY VOL DOWNLOAD'!$B276+$B276</f>
        <v>0.75</v>
      </c>
      <c r="I276" s="292" t="n">
        <f aca="false">'GAS DAILY VOL DOWNLOAD'!I276-'GAS DAILY VOL DOWNLOAD'!$B276+$B276</f>
        <v>0.75</v>
      </c>
      <c r="J276" s="292" t="n">
        <f aca="false">'GAS DAILY VOL DOWNLOAD'!J276-'GAS DAILY VOL DOWNLOAD'!$B276+$B276</f>
        <v>0.95</v>
      </c>
      <c r="K276" s="292" t="n">
        <f aca="false">'GAS DAILY VOL DOWNLOAD'!K276-'GAS DAILY VOL DOWNLOAD'!$B276+$B276</f>
        <v>0</v>
      </c>
      <c r="L276" s="292" t="n">
        <f aca="false">'GAS DAILY VOL DOWNLOAD'!L276-'GAS DAILY VOL DOWNLOAD'!$B276+$B276</f>
        <v>0.75</v>
      </c>
      <c r="M276" s="292" t="n">
        <f aca="false">'GAS DAILY VOL DOWNLOAD'!M276-'GAS DAILY VOL DOWNLOAD'!$B276+$B276</f>
        <v>0.75</v>
      </c>
      <c r="N276" s="292" t="n">
        <f aca="false">'GAS DAILY VOL DOWNLOAD'!N276-'GAS DAILY VOL DOWNLOAD'!$B276+$B276</f>
        <v>1</v>
      </c>
      <c r="O276" s="292" t="n">
        <f aca="false">'GAS DAILY VOL DOWNLOAD'!O276-'GAS DAILY VOL DOWNLOAD'!$B276+$B276</f>
        <v>0.15</v>
      </c>
      <c r="P276" s="292" t="n">
        <f aca="false">'GAS DAILY VOL DOWNLOAD'!P276-'GAS DAILY VOL DOWNLOAD'!$B276+$B276</f>
        <v>0.85</v>
      </c>
      <c r="Q276" s="292" t="n">
        <f aca="false">'GAS DAILY VOL DOWNLOAD'!Q276-'GAS DAILY VOL DOWNLOAD'!$B276+$B276</f>
        <v>0</v>
      </c>
    </row>
    <row r="277" customFormat="false" ht="12.75" hidden="false" customHeight="false" outlineLevel="0" collapsed="false">
      <c r="A277" s="317" t="n">
        <v>45383</v>
      </c>
      <c r="B277" s="292" t="n">
        <f aca="false">STRADDLES!L299</f>
        <v>0</v>
      </c>
      <c r="C277" s="292" t="n">
        <f aca="false">'GAS DAILY VOL DOWNLOAD'!C277-'GAS DAILY VOL DOWNLOAD'!$B277+$B277</f>
        <v>0.45</v>
      </c>
      <c r="D277" s="292" t="n">
        <f aca="false">'GAS DAILY VOL DOWNLOAD'!D277-'GAS DAILY VOL DOWNLOAD'!$B277+$B277</f>
        <v>0.4</v>
      </c>
      <c r="E277" s="292" t="n">
        <f aca="false">'GAS DAILY VOL DOWNLOAD'!E277-'GAS DAILY VOL DOWNLOAD'!$B277+$B277</f>
        <v>0.45</v>
      </c>
      <c r="F277" s="292" t="n">
        <f aca="false">'GAS DAILY VOL DOWNLOAD'!F277-'GAS DAILY VOL DOWNLOAD'!$B277+$B277</f>
        <v>0.45</v>
      </c>
      <c r="G277" s="292" t="n">
        <f aca="false">'GAS DAILY VOL DOWNLOAD'!G277-'GAS DAILY VOL DOWNLOAD'!$B277+$B277</f>
        <v>0.45</v>
      </c>
      <c r="H277" s="292" t="n">
        <f aca="false">'GAS DAILY VOL DOWNLOAD'!H277-'GAS DAILY VOL DOWNLOAD'!$B277+$B277</f>
        <v>0.45</v>
      </c>
      <c r="I277" s="292" t="n">
        <f aca="false">'GAS DAILY VOL DOWNLOAD'!I277-'GAS DAILY VOL DOWNLOAD'!$B277+$B277</f>
        <v>0.45</v>
      </c>
      <c r="J277" s="292" t="n">
        <f aca="false">'GAS DAILY VOL DOWNLOAD'!J277-'GAS DAILY VOL DOWNLOAD'!$B277+$B277</f>
        <v>0.5</v>
      </c>
      <c r="K277" s="292" t="n">
        <f aca="false">'GAS DAILY VOL DOWNLOAD'!K277-'GAS DAILY VOL DOWNLOAD'!$B277+$B277</f>
        <v>0</v>
      </c>
      <c r="L277" s="292" t="n">
        <f aca="false">'GAS DAILY VOL DOWNLOAD'!L277-'GAS DAILY VOL DOWNLOAD'!$B277+$B277</f>
        <v>0.45</v>
      </c>
      <c r="M277" s="292" t="n">
        <f aca="false">'GAS DAILY VOL DOWNLOAD'!M277-'GAS DAILY VOL DOWNLOAD'!$B277+$B277</f>
        <v>0.4</v>
      </c>
      <c r="N277" s="292" t="n">
        <f aca="false">'GAS DAILY VOL DOWNLOAD'!N277-'GAS DAILY VOL DOWNLOAD'!$B277+$B277</f>
        <v>0.45</v>
      </c>
      <c r="O277" s="292" t="n">
        <f aca="false">'GAS DAILY VOL DOWNLOAD'!O277-'GAS DAILY VOL DOWNLOAD'!$B277+$B277</f>
        <v>0.15</v>
      </c>
      <c r="P277" s="292" t="n">
        <f aca="false">'GAS DAILY VOL DOWNLOAD'!P277-'GAS DAILY VOL DOWNLOAD'!$B277+$B277</f>
        <v>0.55</v>
      </c>
      <c r="Q277" s="292" t="n">
        <f aca="false">'GAS DAILY VOL DOWNLOAD'!Q277-'GAS DAILY VOL DOWNLOAD'!$B277+$B277</f>
        <v>0</v>
      </c>
    </row>
    <row r="278" customFormat="false" ht="12.75" hidden="false" customHeight="false" outlineLevel="0" collapsed="false">
      <c r="A278" s="317" t="n">
        <v>45413</v>
      </c>
      <c r="B278" s="292" t="n">
        <f aca="false">STRADDLES!L300</f>
        <v>0</v>
      </c>
      <c r="C278" s="292" t="n">
        <f aca="false">'GAS DAILY VOL DOWNLOAD'!C278-'GAS DAILY VOL DOWNLOAD'!$B278+$B278</f>
        <v>0.5</v>
      </c>
      <c r="D278" s="292" t="n">
        <f aca="false">'GAS DAILY VOL DOWNLOAD'!D278-'GAS DAILY VOL DOWNLOAD'!$B278+$B278</f>
        <v>0.4</v>
      </c>
      <c r="E278" s="292" t="n">
        <f aca="false">'GAS DAILY VOL DOWNLOAD'!E278-'GAS DAILY VOL DOWNLOAD'!$B278+$B278</f>
        <v>0.4</v>
      </c>
      <c r="F278" s="292" t="n">
        <f aca="false">'GAS DAILY VOL DOWNLOAD'!F278-'GAS DAILY VOL DOWNLOAD'!$B278+$B278</f>
        <v>0.45</v>
      </c>
      <c r="G278" s="292" t="n">
        <f aca="false">'GAS DAILY VOL DOWNLOAD'!G278-'GAS DAILY VOL DOWNLOAD'!$B278+$B278</f>
        <v>0.5</v>
      </c>
      <c r="H278" s="292" t="n">
        <f aca="false">'GAS DAILY VOL DOWNLOAD'!H278-'GAS DAILY VOL DOWNLOAD'!$B278+$B278</f>
        <v>0.45</v>
      </c>
      <c r="I278" s="292" t="n">
        <f aca="false">'GAS DAILY VOL DOWNLOAD'!I278-'GAS DAILY VOL DOWNLOAD'!$B278+$B278</f>
        <v>0.4</v>
      </c>
      <c r="J278" s="292" t="n">
        <f aca="false">'GAS DAILY VOL DOWNLOAD'!J278-'GAS DAILY VOL DOWNLOAD'!$B278+$B278</f>
        <v>0.45</v>
      </c>
      <c r="K278" s="292" t="n">
        <f aca="false">'GAS DAILY VOL DOWNLOAD'!K278-'GAS DAILY VOL DOWNLOAD'!$B278+$B278</f>
        <v>0</v>
      </c>
      <c r="L278" s="292" t="n">
        <f aca="false">'GAS DAILY VOL DOWNLOAD'!L278-'GAS DAILY VOL DOWNLOAD'!$B278+$B278</f>
        <v>0.5</v>
      </c>
      <c r="M278" s="292" t="n">
        <f aca="false">'GAS DAILY VOL DOWNLOAD'!M278-'GAS DAILY VOL DOWNLOAD'!$B278+$B278</f>
        <v>0.45</v>
      </c>
      <c r="N278" s="292" t="n">
        <f aca="false">'GAS DAILY VOL DOWNLOAD'!N278-'GAS DAILY VOL DOWNLOAD'!$B278+$B278</f>
        <v>0.5</v>
      </c>
      <c r="O278" s="292" t="n">
        <f aca="false">'GAS DAILY VOL DOWNLOAD'!O278-'GAS DAILY VOL DOWNLOAD'!$B278+$B278</f>
        <v>0.15</v>
      </c>
      <c r="P278" s="292" t="n">
        <f aca="false">'GAS DAILY VOL DOWNLOAD'!P278-'GAS DAILY VOL DOWNLOAD'!$B278+$B278</f>
        <v>0.5</v>
      </c>
      <c r="Q278" s="292" t="n">
        <f aca="false">'GAS DAILY VOL DOWNLOAD'!Q278-'GAS DAILY VOL DOWNLOAD'!$B278+$B278</f>
        <v>0</v>
      </c>
    </row>
    <row r="279" customFormat="false" ht="12.75" hidden="false" customHeight="false" outlineLevel="0" collapsed="false">
      <c r="A279" s="317" t="n">
        <v>45444</v>
      </c>
      <c r="B279" s="292" t="n">
        <f aca="false">STRADDLES!L301</f>
        <v>0</v>
      </c>
      <c r="C279" s="292" t="n">
        <f aca="false">'GAS DAILY VOL DOWNLOAD'!C279-'GAS DAILY VOL DOWNLOAD'!$B279+$B279</f>
        <v>0.5</v>
      </c>
      <c r="D279" s="292" t="n">
        <f aca="false">'GAS DAILY VOL DOWNLOAD'!D279-'GAS DAILY VOL DOWNLOAD'!$B279+$B279</f>
        <v>0.4</v>
      </c>
      <c r="E279" s="292" t="n">
        <f aca="false">'GAS DAILY VOL DOWNLOAD'!E279-'GAS DAILY VOL DOWNLOAD'!$B279+$B279</f>
        <v>0.5</v>
      </c>
      <c r="F279" s="292" t="n">
        <f aca="false">'GAS DAILY VOL DOWNLOAD'!F279-'GAS DAILY VOL DOWNLOAD'!$B279+$B279</f>
        <v>0.45</v>
      </c>
      <c r="G279" s="292" t="n">
        <f aca="false">'GAS DAILY VOL DOWNLOAD'!G279-'GAS DAILY VOL DOWNLOAD'!$B279+$B279</f>
        <v>0.5</v>
      </c>
      <c r="H279" s="292" t="n">
        <f aca="false">'GAS DAILY VOL DOWNLOAD'!H279-'GAS DAILY VOL DOWNLOAD'!$B279+$B279</f>
        <v>0.5</v>
      </c>
      <c r="I279" s="292" t="n">
        <f aca="false">'GAS DAILY VOL DOWNLOAD'!I279-'GAS DAILY VOL DOWNLOAD'!$B279+$B279</f>
        <v>0.5</v>
      </c>
      <c r="J279" s="292" t="n">
        <f aca="false">'GAS DAILY VOL DOWNLOAD'!J279-'GAS DAILY VOL DOWNLOAD'!$B279+$B279</f>
        <v>0.5</v>
      </c>
      <c r="K279" s="292" t="n">
        <f aca="false">'GAS DAILY VOL DOWNLOAD'!K279-'GAS DAILY VOL DOWNLOAD'!$B279+$B279</f>
        <v>0</v>
      </c>
      <c r="L279" s="292" t="n">
        <f aca="false">'GAS DAILY VOL DOWNLOAD'!L279-'GAS DAILY VOL DOWNLOAD'!$B279+$B279</f>
        <v>0.5</v>
      </c>
      <c r="M279" s="292" t="n">
        <f aca="false">'GAS DAILY VOL DOWNLOAD'!M279-'GAS DAILY VOL DOWNLOAD'!$B279+$B279</f>
        <v>0.45</v>
      </c>
      <c r="N279" s="292" t="n">
        <f aca="false">'GAS DAILY VOL DOWNLOAD'!N279-'GAS DAILY VOL DOWNLOAD'!$B279+$B279</f>
        <v>0.5</v>
      </c>
      <c r="O279" s="292" t="n">
        <f aca="false">'GAS DAILY VOL DOWNLOAD'!O279-'GAS DAILY VOL DOWNLOAD'!$B279+$B279</f>
        <v>0.15</v>
      </c>
      <c r="P279" s="292" t="n">
        <f aca="false">'GAS DAILY VOL DOWNLOAD'!P279-'GAS DAILY VOL DOWNLOAD'!$B279+$B279</f>
        <v>0.6</v>
      </c>
      <c r="Q279" s="292" t="n">
        <f aca="false">'GAS DAILY VOL DOWNLOAD'!Q279-'GAS DAILY VOL DOWNLOAD'!$B279+$B279</f>
        <v>0</v>
      </c>
    </row>
    <row r="280" customFormat="false" ht="12.75" hidden="false" customHeight="false" outlineLevel="0" collapsed="false">
      <c r="A280" s="317" t="n">
        <v>45474</v>
      </c>
      <c r="B280" s="292" t="n">
        <f aca="false">STRADDLES!L302</f>
        <v>0</v>
      </c>
      <c r="C280" s="292" t="n">
        <f aca="false">'GAS DAILY VOL DOWNLOAD'!C280-'GAS DAILY VOL DOWNLOAD'!$B280+$B280</f>
        <v>0.5</v>
      </c>
      <c r="D280" s="292" t="n">
        <f aca="false">'GAS DAILY VOL DOWNLOAD'!D280-'GAS DAILY VOL DOWNLOAD'!$B280+$B280</f>
        <v>0.4</v>
      </c>
      <c r="E280" s="292" t="n">
        <f aca="false">'GAS DAILY VOL DOWNLOAD'!E280-'GAS DAILY VOL DOWNLOAD'!$B280+$B280</f>
        <v>0.5</v>
      </c>
      <c r="F280" s="292" t="n">
        <f aca="false">'GAS DAILY VOL DOWNLOAD'!F280-'GAS DAILY VOL DOWNLOAD'!$B280+$B280</f>
        <v>0.5</v>
      </c>
      <c r="G280" s="292" t="n">
        <f aca="false">'GAS DAILY VOL DOWNLOAD'!G280-'GAS DAILY VOL DOWNLOAD'!$B280+$B280</f>
        <v>0.5</v>
      </c>
      <c r="H280" s="292" t="n">
        <f aca="false">'GAS DAILY VOL DOWNLOAD'!H280-'GAS DAILY VOL DOWNLOAD'!$B280+$B280</f>
        <v>0.5</v>
      </c>
      <c r="I280" s="292" t="n">
        <f aca="false">'GAS DAILY VOL DOWNLOAD'!I280-'GAS DAILY VOL DOWNLOAD'!$B280+$B280</f>
        <v>0.5</v>
      </c>
      <c r="J280" s="292" t="n">
        <f aca="false">'GAS DAILY VOL DOWNLOAD'!J280-'GAS DAILY VOL DOWNLOAD'!$B280+$B280</f>
        <v>0.5</v>
      </c>
      <c r="K280" s="292" t="n">
        <f aca="false">'GAS DAILY VOL DOWNLOAD'!K280-'GAS DAILY VOL DOWNLOAD'!$B280+$B280</f>
        <v>0</v>
      </c>
      <c r="L280" s="292" t="n">
        <f aca="false">'GAS DAILY VOL DOWNLOAD'!L280-'GAS DAILY VOL DOWNLOAD'!$B280+$B280</f>
        <v>0.55</v>
      </c>
      <c r="M280" s="292" t="n">
        <f aca="false">'GAS DAILY VOL DOWNLOAD'!M280-'GAS DAILY VOL DOWNLOAD'!$B280+$B280</f>
        <v>0.5</v>
      </c>
      <c r="N280" s="292" t="n">
        <f aca="false">'GAS DAILY VOL DOWNLOAD'!N280-'GAS DAILY VOL DOWNLOAD'!$B280+$B280</f>
        <v>0.5</v>
      </c>
      <c r="O280" s="292" t="n">
        <f aca="false">'GAS DAILY VOL DOWNLOAD'!O280-'GAS DAILY VOL DOWNLOAD'!$B280+$B280</f>
        <v>0.15</v>
      </c>
      <c r="P280" s="292" t="n">
        <f aca="false">'GAS DAILY VOL DOWNLOAD'!P280-'GAS DAILY VOL DOWNLOAD'!$B280+$B280</f>
        <v>0.6</v>
      </c>
      <c r="Q280" s="292" t="n">
        <f aca="false">'GAS DAILY VOL DOWNLOAD'!Q280-'GAS DAILY VOL DOWNLOAD'!$B280+$B280</f>
        <v>0</v>
      </c>
    </row>
    <row r="281" customFormat="false" ht="12.75" hidden="false" customHeight="false" outlineLevel="0" collapsed="false">
      <c r="A281" s="317" t="n">
        <v>45505</v>
      </c>
      <c r="B281" s="292" t="n">
        <f aca="false">STRADDLES!L303</f>
        <v>0</v>
      </c>
      <c r="C281" s="292" t="n">
        <f aca="false">'GAS DAILY VOL DOWNLOAD'!C281-'GAS DAILY VOL DOWNLOAD'!$B281+$B281</f>
        <v>0.55</v>
      </c>
      <c r="D281" s="292" t="n">
        <f aca="false">'GAS DAILY VOL DOWNLOAD'!D281-'GAS DAILY VOL DOWNLOAD'!$B281+$B281</f>
        <v>0.5</v>
      </c>
      <c r="E281" s="292" t="n">
        <f aca="false">'GAS DAILY VOL DOWNLOAD'!E281-'GAS DAILY VOL DOWNLOAD'!$B281+$B281</f>
        <v>0.6</v>
      </c>
      <c r="F281" s="292" t="n">
        <f aca="false">'GAS DAILY VOL DOWNLOAD'!F281-'GAS DAILY VOL DOWNLOAD'!$B281+$B281</f>
        <v>0.55</v>
      </c>
      <c r="G281" s="292" t="n">
        <f aca="false">'GAS DAILY VOL DOWNLOAD'!G281-'GAS DAILY VOL DOWNLOAD'!$B281+$B281</f>
        <v>0.6</v>
      </c>
      <c r="H281" s="292" t="n">
        <f aca="false">'GAS DAILY VOL DOWNLOAD'!H281-'GAS DAILY VOL DOWNLOAD'!$B281+$B281</f>
        <v>0.55</v>
      </c>
      <c r="I281" s="292" t="n">
        <f aca="false">'GAS DAILY VOL DOWNLOAD'!I281-'GAS DAILY VOL DOWNLOAD'!$B281+$B281</f>
        <v>0.6</v>
      </c>
      <c r="J281" s="292" t="n">
        <f aca="false">'GAS DAILY VOL DOWNLOAD'!J281-'GAS DAILY VOL DOWNLOAD'!$B281+$B281</f>
        <v>0.45</v>
      </c>
      <c r="K281" s="292" t="n">
        <f aca="false">'GAS DAILY VOL DOWNLOAD'!K281-'GAS DAILY VOL DOWNLOAD'!$B281+$B281</f>
        <v>0</v>
      </c>
      <c r="L281" s="292" t="n">
        <f aca="false">'GAS DAILY VOL DOWNLOAD'!L281-'GAS DAILY VOL DOWNLOAD'!$B281+$B281</f>
        <v>0.6</v>
      </c>
      <c r="M281" s="292" t="n">
        <f aca="false">'GAS DAILY VOL DOWNLOAD'!M281-'GAS DAILY VOL DOWNLOAD'!$B281+$B281</f>
        <v>0.55</v>
      </c>
      <c r="N281" s="292" t="n">
        <f aca="false">'GAS DAILY VOL DOWNLOAD'!N281-'GAS DAILY VOL DOWNLOAD'!$B281+$B281</f>
        <v>0.6</v>
      </c>
      <c r="O281" s="292" t="n">
        <f aca="false">'GAS DAILY VOL DOWNLOAD'!O281-'GAS DAILY VOL DOWNLOAD'!$B281+$B281</f>
        <v>0.15</v>
      </c>
      <c r="P281" s="292" t="n">
        <f aca="false">'GAS DAILY VOL DOWNLOAD'!P281-'GAS DAILY VOL DOWNLOAD'!$B281+$B281</f>
        <v>0.7</v>
      </c>
      <c r="Q281" s="292" t="n">
        <f aca="false">'GAS DAILY VOL DOWNLOAD'!Q281-'GAS DAILY VOL DOWNLOAD'!$B281+$B281</f>
        <v>0</v>
      </c>
    </row>
    <row r="282" customFormat="false" ht="12.75" hidden="false" customHeight="false" outlineLevel="0" collapsed="false">
      <c r="A282" s="317" t="n">
        <v>45536</v>
      </c>
      <c r="B282" s="292" t="n">
        <f aca="false">STRADDLES!L304</f>
        <v>0</v>
      </c>
      <c r="C282" s="292" t="n">
        <f aca="false">'GAS DAILY VOL DOWNLOAD'!C282-'GAS DAILY VOL DOWNLOAD'!$B282+$B282</f>
        <v>0.55</v>
      </c>
      <c r="D282" s="292" t="n">
        <f aca="false">'GAS DAILY VOL DOWNLOAD'!D282-'GAS DAILY VOL DOWNLOAD'!$B282+$B282</f>
        <v>0.55</v>
      </c>
      <c r="E282" s="292" t="n">
        <f aca="false">'GAS DAILY VOL DOWNLOAD'!E282-'GAS DAILY VOL DOWNLOAD'!$B282+$B282</f>
        <v>0.55</v>
      </c>
      <c r="F282" s="292" t="n">
        <f aca="false">'GAS DAILY VOL DOWNLOAD'!F282-'GAS DAILY VOL DOWNLOAD'!$B282+$B282</f>
        <v>0.55</v>
      </c>
      <c r="G282" s="292" t="n">
        <f aca="false">'GAS DAILY VOL DOWNLOAD'!G282-'GAS DAILY VOL DOWNLOAD'!$B282+$B282</f>
        <v>0.6</v>
      </c>
      <c r="H282" s="292" t="n">
        <f aca="false">'GAS DAILY VOL DOWNLOAD'!H282-'GAS DAILY VOL DOWNLOAD'!$B282+$B282</f>
        <v>0.6</v>
      </c>
      <c r="I282" s="292" t="n">
        <f aca="false">'GAS DAILY VOL DOWNLOAD'!I282-'GAS DAILY VOL DOWNLOAD'!$B282+$B282</f>
        <v>0.55</v>
      </c>
      <c r="J282" s="292" t="n">
        <f aca="false">'GAS DAILY VOL DOWNLOAD'!J282-'GAS DAILY VOL DOWNLOAD'!$B282+$B282</f>
        <v>0.5</v>
      </c>
      <c r="K282" s="292" t="n">
        <f aca="false">'GAS DAILY VOL DOWNLOAD'!K282-'GAS DAILY VOL DOWNLOAD'!$B282+$B282</f>
        <v>0</v>
      </c>
      <c r="L282" s="292" t="n">
        <f aca="false">'GAS DAILY VOL DOWNLOAD'!L282-'GAS DAILY VOL DOWNLOAD'!$B282+$B282</f>
        <v>0.6</v>
      </c>
      <c r="M282" s="292" t="n">
        <f aca="false">'GAS DAILY VOL DOWNLOAD'!M282-'GAS DAILY VOL DOWNLOAD'!$B282+$B282</f>
        <v>0.55</v>
      </c>
      <c r="N282" s="292" t="n">
        <f aca="false">'GAS DAILY VOL DOWNLOAD'!N282-'GAS DAILY VOL DOWNLOAD'!$B282+$B282</f>
        <v>0.6</v>
      </c>
      <c r="O282" s="292" t="n">
        <f aca="false">'GAS DAILY VOL DOWNLOAD'!O282-'GAS DAILY VOL DOWNLOAD'!$B282+$B282</f>
        <v>0.15</v>
      </c>
      <c r="P282" s="292" t="n">
        <f aca="false">'GAS DAILY VOL DOWNLOAD'!P282-'GAS DAILY VOL DOWNLOAD'!$B282+$B282</f>
        <v>0.65</v>
      </c>
      <c r="Q282" s="292" t="n">
        <f aca="false">'GAS DAILY VOL DOWNLOAD'!Q282-'GAS DAILY VOL DOWNLOAD'!$B282+$B282</f>
        <v>0</v>
      </c>
    </row>
    <row r="283" customFormat="false" ht="12.75" hidden="false" customHeight="false" outlineLevel="0" collapsed="false">
      <c r="A283" s="317" t="n">
        <v>45566</v>
      </c>
      <c r="B283" s="292" t="n">
        <f aca="false">STRADDLES!L305</f>
        <v>0</v>
      </c>
      <c r="C283" s="292" t="n">
        <f aca="false">'GAS DAILY VOL DOWNLOAD'!C283-'GAS DAILY VOL DOWNLOAD'!$B283+$B283</f>
        <v>0.6</v>
      </c>
      <c r="D283" s="292" t="n">
        <f aca="false">'GAS DAILY VOL DOWNLOAD'!D283-'GAS DAILY VOL DOWNLOAD'!$B283+$B283</f>
        <v>0.55</v>
      </c>
      <c r="E283" s="292" t="n">
        <f aca="false">'GAS DAILY VOL DOWNLOAD'!E283-'GAS DAILY VOL DOWNLOAD'!$B283+$B283</f>
        <v>0.6</v>
      </c>
      <c r="F283" s="292" t="n">
        <f aca="false">'GAS DAILY VOL DOWNLOAD'!F283-'GAS DAILY VOL DOWNLOAD'!$B283+$B283</f>
        <v>0.6</v>
      </c>
      <c r="G283" s="292" t="n">
        <f aca="false">'GAS DAILY VOL DOWNLOAD'!G283-'GAS DAILY VOL DOWNLOAD'!$B283+$B283</f>
        <v>0.65</v>
      </c>
      <c r="H283" s="292" t="n">
        <f aca="false">'GAS DAILY VOL DOWNLOAD'!H283-'GAS DAILY VOL DOWNLOAD'!$B283+$B283</f>
        <v>0.65</v>
      </c>
      <c r="I283" s="292" t="n">
        <f aca="false">'GAS DAILY VOL DOWNLOAD'!I283-'GAS DAILY VOL DOWNLOAD'!$B283+$B283</f>
        <v>0.6</v>
      </c>
      <c r="J283" s="292" t="n">
        <f aca="false">'GAS DAILY VOL DOWNLOAD'!J283-'GAS DAILY VOL DOWNLOAD'!$B283+$B283</f>
        <v>0.5</v>
      </c>
      <c r="K283" s="292" t="n">
        <f aca="false">'GAS DAILY VOL DOWNLOAD'!K283-'GAS DAILY VOL DOWNLOAD'!$B283+$B283</f>
        <v>0</v>
      </c>
      <c r="L283" s="292" t="n">
        <f aca="false">'GAS DAILY VOL DOWNLOAD'!L283-'GAS DAILY VOL DOWNLOAD'!$B283+$B283</f>
        <v>0.65</v>
      </c>
      <c r="M283" s="292" t="n">
        <f aca="false">'GAS DAILY VOL DOWNLOAD'!M283-'GAS DAILY VOL DOWNLOAD'!$B283+$B283</f>
        <v>0.6</v>
      </c>
      <c r="N283" s="292" t="n">
        <f aca="false">'GAS DAILY VOL DOWNLOAD'!N283-'GAS DAILY VOL DOWNLOAD'!$B283+$B283</f>
        <v>0.65</v>
      </c>
      <c r="O283" s="292" t="n">
        <f aca="false">'GAS DAILY VOL DOWNLOAD'!O283-'GAS DAILY VOL DOWNLOAD'!$B283+$B283</f>
        <v>0.15</v>
      </c>
      <c r="P283" s="292" t="n">
        <f aca="false">'GAS DAILY VOL DOWNLOAD'!P283-'GAS DAILY VOL DOWNLOAD'!$B283+$B283</f>
        <v>0.7</v>
      </c>
      <c r="Q283" s="292" t="n">
        <f aca="false">'GAS DAILY VOL DOWNLOAD'!Q283-'GAS DAILY VOL DOWNLOAD'!$B283+$B283</f>
        <v>0</v>
      </c>
    </row>
    <row r="284" customFormat="false" ht="12.75" hidden="false" customHeight="false" outlineLevel="0" collapsed="false">
      <c r="A284" s="317" t="n">
        <v>45597</v>
      </c>
      <c r="B284" s="292" t="n">
        <f aca="false">STRADDLES!L306</f>
        <v>0</v>
      </c>
      <c r="C284" s="292" t="n">
        <f aca="false">'GAS DAILY VOL DOWNLOAD'!C284-'GAS DAILY VOL DOWNLOAD'!$B284+$B284</f>
        <v>0.85</v>
      </c>
      <c r="D284" s="292" t="n">
        <f aca="false">'GAS DAILY VOL DOWNLOAD'!D284-'GAS DAILY VOL DOWNLOAD'!$B284+$B284</f>
        <v>0.8</v>
      </c>
      <c r="E284" s="292" t="n">
        <f aca="false">'GAS DAILY VOL DOWNLOAD'!E284-'GAS DAILY VOL DOWNLOAD'!$B284+$B284</f>
        <v>0.8</v>
      </c>
      <c r="F284" s="292" t="n">
        <f aca="false">'GAS DAILY VOL DOWNLOAD'!F284-'GAS DAILY VOL DOWNLOAD'!$B284+$B284</f>
        <v>0.9</v>
      </c>
      <c r="G284" s="292" t="n">
        <f aca="false">'GAS DAILY VOL DOWNLOAD'!G284-'GAS DAILY VOL DOWNLOAD'!$B284+$B284</f>
        <v>0.95</v>
      </c>
      <c r="H284" s="292" t="n">
        <f aca="false">'GAS DAILY VOL DOWNLOAD'!H284-'GAS DAILY VOL DOWNLOAD'!$B284+$B284</f>
        <v>0.85</v>
      </c>
      <c r="I284" s="292" t="n">
        <f aca="false">'GAS DAILY VOL DOWNLOAD'!I284-'GAS DAILY VOL DOWNLOAD'!$B284+$B284</f>
        <v>0.8</v>
      </c>
      <c r="J284" s="292" t="n">
        <f aca="false">'GAS DAILY VOL DOWNLOAD'!J284-'GAS DAILY VOL DOWNLOAD'!$B284+$B284</f>
        <v>0.95</v>
      </c>
      <c r="K284" s="292" t="n">
        <f aca="false">'GAS DAILY VOL DOWNLOAD'!K284-'GAS DAILY VOL DOWNLOAD'!$B284+$B284</f>
        <v>0</v>
      </c>
      <c r="L284" s="292" t="n">
        <f aca="false">'GAS DAILY VOL DOWNLOAD'!L284-'GAS DAILY VOL DOWNLOAD'!$B284+$B284</f>
        <v>0.8</v>
      </c>
      <c r="M284" s="292" t="n">
        <f aca="false">'GAS DAILY VOL DOWNLOAD'!M284-'GAS DAILY VOL DOWNLOAD'!$B284+$B284</f>
        <v>0.8</v>
      </c>
      <c r="N284" s="292" t="n">
        <f aca="false">'GAS DAILY VOL DOWNLOAD'!N284-'GAS DAILY VOL DOWNLOAD'!$B284+$B284</f>
        <v>0.95</v>
      </c>
      <c r="O284" s="292" t="n">
        <f aca="false">'GAS DAILY VOL DOWNLOAD'!O284-'GAS DAILY VOL DOWNLOAD'!$B284+$B284</f>
        <v>0.15</v>
      </c>
      <c r="P284" s="292" t="n">
        <f aca="false">'GAS DAILY VOL DOWNLOAD'!P284-'GAS DAILY VOL DOWNLOAD'!$B284+$B284</f>
        <v>0.9</v>
      </c>
      <c r="Q284" s="292" t="n">
        <f aca="false">'GAS DAILY VOL DOWNLOAD'!Q284-'GAS DAILY VOL DOWNLOAD'!$B284+$B284</f>
        <v>0</v>
      </c>
    </row>
    <row r="285" customFormat="false" ht="12.75" hidden="false" customHeight="false" outlineLevel="0" collapsed="false">
      <c r="A285" s="317" t="n">
        <v>45627</v>
      </c>
      <c r="B285" s="292" t="n">
        <f aca="false">STRADDLES!L307</f>
        <v>0</v>
      </c>
      <c r="C285" s="292" t="n">
        <f aca="false">'GAS DAILY VOL DOWNLOAD'!C285-'GAS DAILY VOL DOWNLOAD'!$B285+$B285</f>
        <v>1.05</v>
      </c>
      <c r="D285" s="292" t="n">
        <f aca="false">'GAS DAILY VOL DOWNLOAD'!D285-'GAS DAILY VOL DOWNLOAD'!$B285+$B285</f>
        <v>1</v>
      </c>
      <c r="E285" s="292" t="n">
        <f aca="false">'GAS DAILY VOL DOWNLOAD'!E285-'GAS DAILY VOL DOWNLOAD'!$B285+$B285</f>
        <v>1</v>
      </c>
      <c r="F285" s="292" t="n">
        <f aca="false">'GAS DAILY VOL DOWNLOAD'!F285-'GAS DAILY VOL DOWNLOAD'!$B285+$B285</f>
        <v>1.15</v>
      </c>
      <c r="G285" s="292" t="n">
        <f aca="false">'GAS DAILY VOL DOWNLOAD'!G285-'GAS DAILY VOL DOWNLOAD'!$B285+$B285</f>
        <v>1.25</v>
      </c>
      <c r="H285" s="292" t="n">
        <f aca="false">'GAS DAILY VOL DOWNLOAD'!H285-'GAS DAILY VOL DOWNLOAD'!$B285+$B285</f>
        <v>1.05</v>
      </c>
      <c r="I285" s="292" t="n">
        <f aca="false">'GAS DAILY VOL DOWNLOAD'!I285-'GAS DAILY VOL DOWNLOAD'!$B285+$B285</f>
        <v>1</v>
      </c>
      <c r="J285" s="292" t="n">
        <f aca="false">'GAS DAILY VOL DOWNLOAD'!J285-'GAS DAILY VOL DOWNLOAD'!$B285+$B285</f>
        <v>1.35</v>
      </c>
      <c r="K285" s="292" t="n">
        <f aca="false">'GAS DAILY VOL DOWNLOAD'!K285-'GAS DAILY VOL DOWNLOAD'!$B285+$B285</f>
        <v>0</v>
      </c>
      <c r="L285" s="292" t="n">
        <f aca="false">'GAS DAILY VOL DOWNLOAD'!L285-'GAS DAILY VOL DOWNLOAD'!$B285+$B285</f>
        <v>1.1</v>
      </c>
      <c r="M285" s="292" t="n">
        <f aca="false">'GAS DAILY VOL DOWNLOAD'!M285-'GAS DAILY VOL DOWNLOAD'!$B285+$B285</f>
        <v>1</v>
      </c>
      <c r="N285" s="292" t="n">
        <f aca="false">'GAS DAILY VOL DOWNLOAD'!N285-'GAS DAILY VOL DOWNLOAD'!$B285+$B285</f>
        <v>1.25</v>
      </c>
      <c r="O285" s="292" t="n">
        <f aca="false">'GAS DAILY VOL DOWNLOAD'!O285-'GAS DAILY VOL DOWNLOAD'!$B285+$B285</f>
        <v>0.15</v>
      </c>
      <c r="P285" s="292" t="n">
        <f aca="false">'GAS DAILY VOL DOWNLOAD'!P285-'GAS DAILY VOL DOWNLOAD'!$B285+$B285</f>
        <v>1.1</v>
      </c>
      <c r="Q285" s="292" t="n">
        <f aca="false">'GAS DAILY VOL DOWNLOAD'!Q285-'GAS DAILY VOL DOWNLOAD'!$B285+$B285</f>
        <v>0</v>
      </c>
    </row>
    <row r="286" customFormat="false" ht="12.75" hidden="false" customHeight="false" outlineLevel="0" collapsed="false">
      <c r="A286" s="317" t="n">
        <v>45658</v>
      </c>
      <c r="B286" s="292" t="n">
        <f aca="false">STRADDLES!L308</f>
        <v>0</v>
      </c>
      <c r="C286" s="292" t="n">
        <f aca="false">'GAS DAILY VOL DOWNLOAD'!C286-'GAS DAILY VOL DOWNLOAD'!$B286+$B286</f>
        <v>1.05</v>
      </c>
      <c r="D286" s="292" t="n">
        <f aca="false">'GAS DAILY VOL DOWNLOAD'!D286-'GAS DAILY VOL DOWNLOAD'!$B286+$B286</f>
        <v>1</v>
      </c>
      <c r="E286" s="292" t="n">
        <f aca="false">'GAS DAILY VOL DOWNLOAD'!E286-'GAS DAILY VOL DOWNLOAD'!$B286+$B286</f>
        <v>1</v>
      </c>
      <c r="F286" s="292" t="n">
        <f aca="false">'GAS DAILY VOL DOWNLOAD'!F286-'GAS DAILY VOL DOWNLOAD'!$B286+$B286</f>
        <v>1.15</v>
      </c>
      <c r="G286" s="292" t="n">
        <f aca="false">'GAS DAILY VOL DOWNLOAD'!G286-'GAS DAILY VOL DOWNLOAD'!$B286+$B286</f>
        <v>1.45</v>
      </c>
      <c r="H286" s="292" t="n">
        <f aca="false">'GAS DAILY VOL DOWNLOAD'!H286-'GAS DAILY VOL DOWNLOAD'!$B286+$B286</f>
        <v>1.05</v>
      </c>
      <c r="I286" s="292" t="n">
        <f aca="false">'GAS DAILY VOL DOWNLOAD'!I286-'GAS DAILY VOL DOWNLOAD'!$B286+$B286</f>
        <v>1</v>
      </c>
      <c r="J286" s="292" t="n">
        <f aca="false">'GAS DAILY VOL DOWNLOAD'!J286-'GAS DAILY VOL DOWNLOAD'!$B286+$B286</f>
        <v>1.35</v>
      </c>
      <c r="K286" s="292" t="n">
        <f aca="false">'GAS DAILY VOL DOWNLOAD'!K286-'GAS DAILY VOL DOWNLOAD'!$B286+$B286</f>
        <v>0</v>
      </c>
      <c r="L286" s="292" t="n">
        <f aca="false">'GAS DAILY VOL DOWNLOAD'!L286-'GAS DAILY VOL DOWNLOAD'!$B286+$B286</f>
        <v>1.1</v>
      </c>
      <c r="M286" s="292" t="n">
        <f aca="false">'GAS DAILY VOL DOWNLOAD'!M286-'GAS DAILY VOL DOWNLOAD'!$B286+$B286</f>
        <v>1</v>
      </c>
      <c r="N286" s="292" t="n">
        <f aca="false">'GAS DAILY VOL DOWNLOAD'!N286-'GAS DAILY VOL DOWNLOAD'!$B286+$B286</f>
        <v>1.45</v>
      </c>
      <c r="O286" s="292" t="n">
        <f aca="false">'GAS DAILY VOL DOWNLOAD'!O286-'GAS DAILY VOL DOWNLOAD'!$B286+$B286</f>
        <v>0.15</v>
      </c>
      <c r="P286" s="292" t="n">
        <f aca="false">'GAS DAILY VOL DOWNLOAD'!P286-'GAS DAILY VOL DOWNLOAD'!$B286+$B286</f>
        <v>1.1</v>
      </c>
      <c r="Q286" s="292" t="n">
        <f aca="false">'GAS DAILY VOL DOWNLOAD'!Q286-'GAS DAILY VOL DOWNLOAD'!$B286+$B286</f>
        <v>0</v>
      </c>
    </row>
    <row r="287" customFormat="false" ht="12.75" hidden="false" customHeight="false" outlineLevel="0" collapsed="false">
      <c r="A287" s="317" t="n">
        <v>45689</v>
      </c>
      <c r="B287" s="292" t="n">
        <f aca="false">STRADDLES!L309</f>
        <v>0</v>
      </c>
      <c r="C287" s="292" t="n">
        <f aca="false">'GAS DAILY VOL DOWNLOAD'!C287-'GAS DAILY VOL DOWNLOAD'!$B287+$B287</f>
        <v>1.05</v>
      </c>
      <c r="D287" s="292" t="n">
        <f aca="false">'GAS DAILY VOL DOWNLOAD'!D287-'GAS DAILY VOL DOWNLOAD'!$B287+$B287</f>
        <v>1</v>
      </c>
      <c r="E287" s="292" t="n">
        <f aca="false">'GAS DAILY VOL DOWNLOAD'!E287-'GAS DAILY VOL DOWNLOAD'!$B287+$B287</f>
        <v>1</v>
      </c>
      <c r="F287" s="292" t="n">
        <f aca="false">'GAS DAILY VOL DOWNLOAD'!F287-'GAS DAILY VOL DOWNLOAD'!$B287+$B287</f>
        <v>1.15</v>
      </c>
      <c r="G287" s="292" t="n">
        <f aca="false">'GAS DAILY VOL DOWNLOAD'!G287-'GAS DAILY VOL DOWNLOAD'!$B287+$B287</f>
        <v>1.45</v>
      </c>
      <c r="H287" s="292" t="n">
        <f aca="false">'GAS DAILY VOL DOWNLOAD'!H287-'GAS DAILY VOL DOWNLOAD'!$B287+$B287</f>
        <v>1.05</v>
      </c>
      <c r="I287" s="292" t="n">
        <f aca="false">'GAS DAILY VOL DOWNLOAD'!I287-'GAS DAILY VOL DOWNLOAD'!$B287+$B287</f>
        <v>1</v>
      </c>
      <c r="J287" s="292" t="n">
        <f aca="false">'GAS DAILY VOL DOWNLOAD'!J287-'GAS DAILY VOL DOWNLOAD'!$B287+$B287</f>
        <v>1.35</v>
      </c>
      <c r="K287" s="292" t="n">
        <f aca="false">'GAS DAILY VOL DOWNLOAD'!K287-'GAS DAILY VOL DOWNLOAD'!$B287+$B287</f>
        <v>0</v>
      </c>
      <c r="L287" s="292" t="n">
        <f aca="false">'GAS DAILY VOL DOWNLOAD'!L287-'GAS DAILY VOL DOWNLOAD'!$B287+$B287</f>
        <v>1.1</v>
      </c>
      <c r="M287" s="292" t="n">
        <f aca="false">'GAS DAILY VOL DOWNLOAD'!M287-'GAS DAILY VOL DOWNLOAD'!$B287+$B287</f>
        <v>1</v>
      </c>
      <c r="N287" s="292" t="n">
        <f aca="false">'GAS DAILY VOL DOWNLOAD'!N287-'GAS DAILY VOL DOWNLOAD'!$B287+$B287</f>
        <v>1.45</v>
      </c>
      <c r="O287" s="292" t="n">
        <f aca="false">'GAS DAILY VOL DOWNLOAD'!O287-'GAS DAILY VOL DOWNLOAD'!$B287+$B287</f>
        <v>0.15</v>
      </c>
      <c r="P287" s="292" t="n">
        <f aca="false">'GAS DAILY VOL DOWNLOAD'!P287-'GAS DAILY VOL DOWNLOAD'!$B287+$B287</f>
        <v>1.1</v>
      </c>
      <c r="Q287" s="292" t="n">
        <f aca="false">'GAS DAILY VOL DOWNLOAD'!Q287-'GAS DAILY VOL DOWNLOAD'!$B287+$B287</f>
        <v>0</v>
      </c>
    </row>
    <row r="288" customFormat="false" ht="12.75" hidden="false" customHeight="false" outlineLevel="0" collapsed="false">
      <c r="A288" s="317" t="n">
        <v>45717</v>
      </c>
      <c r="B288" s="292" t="n">
        <f aca="false">STRADDLES!L310</f>
        <v>0</v>
      </c>
      <c r="C288" s="292" t="n">
        <f aca="false">'GAS DAILY VOL DOWNLOAD'!C288-'GAS DAILY VOL DOWNLOAD'!$B288+$B288</f>
        <v>0.8</v>
      </c>
      <c r="D288" s="292" t="n">
        <f aca="false">'GAS DAILY VOL DOWNLOAD'!D288-'GAS DAILY VOL DOWNLOAD'!$B288+$B288</f>
        <v>0.75</v>
      </c>
      <c r="E288" s="292" t="n">
        <f aca="false">'GAS DAILY VOL DOWNLOAD'!E288-'GAS DAILY VOL DOWNLOAD'!$B288+$B288</f>
        <v>0.75</v>
      </c>
      <c r="F288" s="292" t="n">
        <f aca="false">'GAS DAILY VOL DOWNLOAD'!F288-'GAS DAILY VOL DOWNLOAD'!$B288+$B288</f>
        <v>0.85</v>
      </c>
      <c r="G288" s="292" t="n">
        <f aca="false">'GAS DAILY VOL DOWNLOAD'!G288-'GAS DAILY VOL DOWNLOAD'!$B288+$B288</f>
        <v>1</v>
      </c>
      <c r="H288" s="292" t="n">
        <f aca="false">'GAS DAILY VOL DOWNLOAD'!H288-'GAS DAILY VOL DOWNLOAD'!$B288+$B288</f>
        <v>0.75</v>
      </c>
      <c r="I288" s="292" t="n">
        <f aca="false">'GAS DAILY VOL DOWNLOAD'!I288-'GAS DAILY VOL DOWNLOAD'!$B288+$B288</f>
        <v>0.75</v>
      </c>
      <c r="J288" s="292" t="n">
        <f aca="false">'GAS DAILY VOL DOWNLOAD'!J288-'GAS DAILY VOL DOWNLOAD'!$B288+$B288</f>
        <v>0.95</v>
      </c>
      <c r="K288" s="292" t="n">
        <f aca="false">'GAS DAILY VOL DOWNLOAD'!K288-'GAS DAILY VOL DOWNLOAD'!$B288+$B288</f>
        <v>0</v>
      </c>
      <c r="L288" s="292" t="n">
        <f aca="false">'GAS DAILY VOL DOWNLOAD'!L288-'GAS DAILY VOL DOWNLOAD'!$B288+$B288</f>
        <v>0.75</v>
      </c>
      <c r="M288" s="292" t="n">
        <f aca="false">'GAS DAILY VOL DOWNLOAD'!M288-'GAS DAILY VOL DOWNLOAD'!$B288+$B288</f>
        <v>0.75</v>
      </c>
      <c r="N288" s="292" t="n">
        <f aca="false">'GAS DAILY VOL DOWNLOAD'!N288-'GAS DAILY VOL DOWNLOAD'!$B288+$B288</f>
        <v>1</v>
      </c>
      <c r="O288" s="292" t="n">
        <f aca="false">'GAS DAILY VOL DOWNLOAD'!O288-'GAS DAILY VOL DOWNLOAD'!$B288+$B288</f>
        <v>0.15</v>
      </c>
      <c r="P288" s="292" t="n">
        <f aca="false">'GAS DAILY VOL DOWNLOAD'!P288-'GAS DAILY VOL DOWNLOAD'!$B288+$B288</f>
        <v>0.85</v>
      </c>
      <c r="Q288" s="292" t="n">
        <f aca="false">'GAS DAILY VOL DOWNLOAD'!Q288-'GAS DAILY VOL DOWNLOAD'!$B288+$B288</f>
        <v>0</v>
      </c>
    </row>
    <row r="289" customFormat="false" ht="12.75" hidden="false" customHeight="false" outlineLevel="0" collapsed="false">
      <c r="A289" s="317" t="n">
        <v>45748</v>
      </c>
      <c r="B289" s="292" t="n">
        <f aca="false">STRADDLES!L311</f>
        <v>0</v>
      </c>
      <c r="C289" s="292" t="n">
        <f aca="false">'GAS DAILY VOL DOWNLOAD'!C289-'GAS DAILY VOL DOWNLOAD'!$B289+$B289</f>
        <v>0.45</v>
      </c>
      <c r="D289" s="292" t="n">
        <f aca="false">'GAS DAILY VOL DOWNLOAD'!D289-'GAS DAILY VOL DOWNLOAD'!$B289+$B289</f>
        <v>0.4</v>
      </c>
      <c r="E289" s="292" t="n">
        <f aca="false">'GAS DAILY VOL DOWNLOAD'!E289-'GAS DAILY VOL DOWNLOAD'!$B289+$B289</f>
        <v>0.45</v>
      </c>
      <c r="F289" s="292" t="n">
        <f aca="false">'GAS DAILY VOL DOWNLOAD'!F289-'GAS DAILY VOL DOWNLOAD'!$B289+$B289</f>
        <v>0.45</v>
      </c>
      <c r="G289" s="292" t="n">
        <f aca="false">'GAS DAILY VOL DOWNLOAD'!G289-'GAS DAILY VOL DOWNLOAD'!$B289+$B289</f>
        <v>0.45</v>
      </c>
      <c r="H289" s="292" t="n">
        <f aca="false">'GAS DAILY VOL DOWNLOAD'!H289-'GAS DAILY VOL DOWNLOAD'!$B289+$B289</f>
        <v>0.45</v>
      </c>
      <c r="I289" s="292" t="n">
        <f aca="false">'GAS DAILY VOL DOWNLOAD'!I289-'GAS DAILY VOL DOWNLOAD'!$B289+$B289</f>
        <v>0.45</v>
      </c>
      <c r="J289" s="292" t="n">
        <f aca="false">'GAS DAILY VOL DOWNLOAD'!J289-'GAS DAILY VOL DOWNLOAD'!$B289+$B289</f>
        <v>0.5</v>
      </c>
      <c r="K289" s="292" t="n">
        <f aca="false">'GAS DAILY VOL DOWNLOAD'!K289-'GAS DAILY VOL DOWNLOAD'!$B289+$B289</f>
        <v>0</v>
      </c>
      <c r="L289" s="292" t="n">
        <f aca="false">'GAS DAILY VOL DOWNLOAD'!L289-'GAS DAILY VOL DOWNLOAD'!$B289+$B289</f>
        <v>0.45</v>
      </c>
      <c r="M289" s="292" t="n">
        <f aca="false">'GAS DAILY VOL DOWNLOAD'!M289-'GAS DAILY VOL DOWNLOAD'!$B289+$B289</f>
        <v>0.4</v>
      </c>
      <c r="N289" s="292" t="n">
        <f aca="false">'GAS DAILY VOL DOWNLOAD'!N289-'GAS DAILY VOL DOWNLOAD'!$B289+$B289</f>
        <v>0.45</v>
      </c>
      <c r="O289" s="292" t="n">
        <f aca="false">'GAS DAILY VOL DOWNLOAD'!O289-'GAS DAILY VOL DOWNLOAD'!$B289+$B289</f>
        <v>0.15</v>
      </c>
      <c r="P289" s="292" t="n">
        <f aca="false">'GAS DAILY VOL DOWNLOAD'!P289-'GAS DAILY VOL DOWNLOAD'!$B289+$B289</f>
        <v>0.55</v>
      </c>
      <c r="Q289" s="292" t="n">
        <f aca="false">'GAS DAILY VOL DOWNLOAD'!Q289-'GAS DAILY VOL DOWNLOAD'!$B289+$B289</f>
        <v>0</v>
      </c>
    </row>
    <row r="290" customFormat="false" ht="12.75" hidden="false" customHeight="false" outlineLevel="0" collapsed="false">
      <c r="A290" s="317" t="n">
        <v>45778</v>
      </c>
      <c r="B290" s="292" t="n">
        <f aca="false">STRADDLES!L312</f>
        <v>0</v>
      </c>
      <c r="C290" s="292" t="n">
        <f aca="false">'GAS DAILY VOL DOWNLOAD'!C290-'GAS DAILY VOL DOWNLOAD'!$B290+$B290</f>
        <v>0.5</v>
      </c>
      <c r="D290" s="292" t="n">
        <f aca="false">'GAS DAILY VOL DOWNLOAD'!D290-'GAS DAILY VOL DOWNLOAD'!$B290+$B290</f>
        <v>0.4</v>
      </c>
      <c r="E290" s="292" t="n">
        <f aca="false">'GAS DAILY VOL DOWNLOAD'!E290-'GAS DAILY VOL DOWNLOAD'!$B290+$B290</f>
        <v>0.4</v>
      </c>
      <c r="F290" s="292" t="n">
        <f aca="false">'GAS DAILY VOL DOWNLOAD'!F290-'GAS DAILY VOL DOWNLOAD'!$B290+$B290</f>
        <v>0.45</v>
      </c>
      <c r="G290" s="292" t="n">
        <f aca="false">'GAS DAILY VOL DOWNLOAD'!G290-'GAS DAILY VOL DOWNLOAD'!$B290+$B290</f>
        <v>0.5</v>
      </c>
      <c r="H290" s="292" t="n">
        <f aca="false">'GAS DAILY VOL DOWNLOAD'!H290-'GAS DAILY VOL DOWNLOAD'!$B290+$B290</f>
        <v>0.45</v>
      </c>
      <c r="I290" s="292" t="n">
        <f aca="false">'GAS DAILY VOL DOWNLOAD'!I290-'GAS DAILY VOL DOWNLOAD'!$B290+$B290</f>
        <v>0.4</v>
      </c>
      <c r="J290" s="292" t="n">
        <f aca="false">'GAS DAILY VOL DOWNLOAD'!J290-'GAS DAILY VOL DOWNLOAD'!$B290+$B290</f>
        <v>0.45</v>
      </c>
      <c r="K290" s="292" t="n">
        <f aca="false">'GAS DAILY VOL DOWNLOAD'!K290-'GAS DAILY VOL DOWNLOAD'!$B290+$B290</f>
        <v>0</v>
      </c>
      <c r="L290" s="292" t="n">
        <f aca="false">'GAS DAILY VOL DOWNLOAD'!L290-'GAS DAILY VOL DOWNLOAD'!$B290+$B290</f>
        <v>0.5</v>
      </c>
      <c r="M290" s="292" t="n">
        <f aca="false">'GAS DAILY VOL DOWNLOAD'!M290-'GAS DAILY VOL DOWNLOAD'!$B290+$B290</f>
        <v>0.45</v>
      </c>
      <c r="N290" s="292" t="n">
        <f aca="false">'GAS DAILY VOL DOWNLOAD'!N290-'GAS DAILY VOL DOWNLOAD'!$B290+$B290</f>
        <v>0.5</v>
      </c>
      <c r="O290" s="292" t="n">
        <f aca="false">'GAS DAILY VOL DOWNLOAD'!O290-'GAS DAILY VOL DOWNLOAD'!$B290+$B290</f>
        <v>0.15</v>
      </c>
      <c r="P290" s="292" t="n">
        <f aca="false">'GAS DAILY VOL DOWNLOAD'!P290-'GAS DAILY VOL DOWNLOAD'!$B290+$B290</f>
        <v>0.5</v>
      </c>
      <c r="Q290" s="292" t="n">
        <f aca="false">'GAS DAILY VOL DOWNLOAD'!Q290-'GAS DAILY VOL DOWNLOAD'!$B290+$B290</f>
        <v>0</v>
      </c>
    </row>
    <row r="291" customFormat="false" ht="12.75" hidden="false" customHeight="false" outlineLevel="0" collapsed="false">
      <c r="A291" s="317" t="n">
        <v>45809</v>
      </c>
      <c r="B291" s="292" t="n">
        <f aca="false">STRADDLES!L313</f>
        <v>0</v>
      </c>
      <c r="C291" s="292" t="n">
        <f aca="false">'GAS DAILY VOL DOWNLOAD'!C291-'GAS DAILY VOL DOWNLOAD'!$B291+$B291</f>
        <v>0.5</v>
      </c>
      <c r="D291" s="292" t="n">
        <f aca="false">'GAS DAILY VOL DOWNLOAD'!D291-'GAS DAILY VOL DOWNLOAD'!$B291+$B291</f>
        <v>0.4</v>
      </c>
      <c r="E291" s="292" t="n">
        <f aca="false">'GAS DAILY VOL DOWNLOAD'!E291-'GAS DAILY VOL DOWNLOAD'!$B291+$B291</f>
        <v>0.5</v>
      </c>
      <c r="F291" s="292" t="n">
        <f aca="false">'GAS DAILY VOL DOWNLOAD'!F291-'GAS DAILY VOL DOWNLOAD'!$B291+$B291</f>
        <v>0.45</v>
      </c>
      <c r="G291" s="292" t="n">
        <f aca="false">'GAS DAILY VOL DOWNLOAD'!G291-'GAS DAILY VOL DOWNLOAD'!$B291+$B291</f>
        <v>0.5</v>
      </c>
      <c r="H291" s="292" t="n">
        <f aca="false">'GAS DAILY VOL DOWNLOAD'!H291-'GAS DAILY VOL DOWNLOAD'!$B291+$B291</f>
        <v>0.5</v>
      </c>
      <c r="I291" s="292" t="n">
        <f aca="false">'GAS DAILY VOL DOWNLOAD'!I291-'GAS DAILY VOL DOWNLOAD'!$B291+$B291</f>
        <v>0.5</v>
      </c>
      <c r="J291" s="292" t="n">
        <f aca="false">'GAS DAILY VOL DOWNLOAD'!J291-'GAS DAILY VOL DOWNLOAD'!$B291+$B291</f>
        <v>0.5</v>
      </c>
      <c r="K291" s="292" t="n">
        <f aca="false">'GAS DAILY VOL DOWNLOAD'!K291-'GAS DAILY VOL DOWNLOAD'!$B291+$B291</f>
        <v>0</v>
      </c>
      <c r="L291" s="292" t="n">
        <f aca="false">'GAS DAILY VOL DOWNLOAD'!L291-'GAS DAILY VOL DOWNLOAD'!$B291+$B291</f>
        <v>0.5</v>
      </c>
      <c r="M291" s="292" t="n">
        <f aca="false">'GAS DAILY VOL DOWNLOAD'!M291-'GAS DAILY VOL DOWNLOAD'!$B291+$B291</f>
        <v>0.45</v>
      </c>
      <c r="N291" s="292" t="n">
        <f aca="false">'GAS DAILY VOL DOWNLOAD'!N291-'GAS DAILY VOL DOWNLOAD'!$B291+$B291</f>
        <v>0.5</v>
      </c>
      <c r="O291" s="292" t="n">
        <f aca="false">'GAS DAILY VOL DOWNLOAD'!O291-'GAS DAILY VOL DOWNLOAD'!$B291+$B291</f>
        <v>0.15</v>
      </c>
      <c r="P291" s="292" t="n">
        <f aca="false">'GAS DAILY VOL DOWNLOAD'!P291-'GAS DAILY VOL DOWNLOAD'!$B291+$B291</f>
        <v>0.6</v>
      </c>
      <c r="Q291" s="292" t="n">
        <f aca="false">'GAS DAILY VOL DOWNLOAD'!Q291-'GAS DAILY VOL DOWNLOAD'!$B291+$B291</f>
        <v>0</v>
      </c>
    </row>
    <row r="292" customFormat="false" ht="12.75" hidden="false" customHeight="false" outlineLevel="0" collapsed="false">
      <c r="A292" s="317" t="n">
        <v>45839</v>
      </c>
      <c r="B292" s="292" t="n">
        <f aca="false">STRADDLES!L314</f>
        <v>0</v>
      </c>
      <c r="C292" s="292" t="n">
        <f aca="false">'GAS DAILY VOL DOWNLOAD'!C292-'GAS DAILY VOL DOWNLOAD'!$B292+$B292</f>
        <v>0.5</v>
      </c>
      <c r="D292" s="292" t="n">
        <f aca="false">'GAS DAILY VOL DOWNLOAD'!D292-'GAS DAILY VOL DOWNLOAD'!$B292+$B292</f>
        <v>0.4</v>
      </c>
      <c r="E292" s="292" t="n">
        <f aca="false">'GAS DAILY VOL DOWNLOAD'!E292-'GAS DAILY VOL DOWNLOAD'!$B292+$B292</f>
        <v>0.5</v>
      </c>
      <c r="F292" s="292" t="n">
        <f aca="false">'GAS DAILY VOL DOWNLOAD'!F292-'GAS DAILY VOL DOWNLOAD'!$B292+$B292</f>
        <v>0.5</v>
      </c>
      <c r="G292" s="292" t="n">
        <f aca="false">'GAS DAILY VOL DOWNLOAD'!G292-'GAS DAILY VOL DOWNLOAD'!$B292+$B292</f>
        <v>0.5</v>
      </c>
      <c r="H292" s="292" t="n">
        <f aca="false">'GAS DAILY VOL DOWNLOAD'!H292-'GAS DAILY VOL DOWNLOAD'!$B292+$B292</f>
        <v>0.5</v>
      </c>
      <c r="I292" s="292" t="n">
        <f aca="false">'GAS DAILY VOL DOWNLOAD'!I292-'GAS DAILY VOL DOWNLOAD'!$B292+$B292</f>
        <v>0.5</v>
      </c>
      <c r="J292" s="292" t="n">
        <f aca="false">'GAS DAILY VOL DOWNLOAD'!J292-'GAS DAILY VOL DOWNLOAD'!$B292+$B292</f>
        <v>0.5</v>
      </c>
      <c r="K292" s="292" t="n">
        <f aca="false">'GAS DAILY VOL DOWNLOAD'!K292-'GAS DAILY VOL DOWNLOAD'!$B292+$B292</f>
        <v>0</v>
      </c>
      <c r="L292" s="292" t="n">
        <f aca="false">'GAS DAILY VOL DOWNLOAD'!L292-'GAS DAILY VOL DOWNLOAD'!$B292+$B292</f>
        <v>0.55</v>
      </c>
      <c r="M292" s="292" t="n">
        <f aca="false">'GAS DAILY VOL DOWNLOAD'!M292-'GAS DAILY VOL DOWNLOAD'!$B292+$B292</f>
        <v>0.5</v>
      </c>
      <c r="N292" s="292" t="n">
        <f aca="false">'GAS DAILY VOL DOWNLOAD'!N292-'GAS DAILY VOL DOWNLOAD'!$B292+$B292</f>
        <v>0.5</v>
      </c>
      <c r="O292" s="292" t="n">
        <f aca="false">'GAS DAILY VOL DOWNLOAD'!O292-'GAS DAILY VOL DOWNLOAD'!$B292+$B292</f>
        <v>0.15</v>
      </c>
      <c r="P292" s="292" t="n">
        <f aca="false">'GAS DAILY VOL DOWNLOAD'!P292-'GAS DAILY VOL DOWNLOAD'!$B292+$B292</f>
        <v>0.6</v>
      </c>
      <c r="Q292" s="292" t="n">
        <f aca="false">'GAS DAILY VOL DOWNLOAD'!Q292-'GAS DAILY VOL DOWNLOAD'!$B292+$B292</f>
        <v>0</v>
      </c>
    </row>
    <row r="293" customFormat="false" ht="12.75" hidden="false" customHeight="false" outlineLevel="0" collapsed="false">
      <c r="A293" s="317" t="n">
        <v>45870</v>
      </c>
      <c r="B293" s="292" t="n">
        <f aca="false">STRADDLES!L315</f>
        <v>0</v>
      </c>
      <c r="C293" s="292" t="n">
        <f aca="false">'GAS DAILY VOL DOWNLOAD'!C293-'GAS DAILY VOL DOWNLOAD'!$B293+$B293</f>
        <v>0.55</v>
      </c>
      <c r="D293" s="292" t="n">
        <f aca="false">'GAS DAILY VOL DOWNLOAD'!D293-'GAS DAILY VOL DOWNLOAD'!$B293+$B293</f>
        <v>0.5</v>
      </c>
      <c r="E293" s="292" t="n">
        <f aca="false">'GAS DAILY VOL DOWNLOAD'!E293-'GAS DAILY VOL DOWNLOAD'!$B293+$B293</f>
        <v>0.6</v>
      </c>
      <c r="F293" s="292" t="n">
        <f aca="false">'GAS DAILY VOL DOWNLOAD'!F293-'GAS DAILY VOL DOWNLOAD'!$B293+$B293</f>
        <v>0.55</v>
      </c>
      <c r="G293" s="292" t="n">
        <f aca="false">'GAS DAILY VOL DOWNLOAD'!G293-'GAS DAILY VOL DOWNLOAD'!$B293+$B293</f>
        <v>0.6</v>
      </c>
      <c r="H293" s="292" t="n">
        <f aca="false">'GAS DAILY VOL DOWNLOAD'!H293-'GAS DAILY VOL DOWNLOAD'!$B293+$B293</f>
        <v>0.55</v>
      </c>
      <c r="I293" s="292" t="n">
        <f aca="false">'GAS DAILY VOL DOWNLOAD'!I293-'GAS DAILY VOL DOWNLOAD'!$B293+$B293</f>
        <v>0.6</v>
      </c>
      <c r="J293" s="292" t="n">
        <f aca="false">'GAS DAILY VOL DOWNLOAD'!J293-'GAS DAILY VOL DOWNLOAD'!$B293+$B293</f>
        <v>0.45</v>
      </c>
      <c r="K293" s="292" t="n">
        <f aca="false">'GAS DAILY VOL DOWNLOAD'!K293-'GAS DAILY VOL DOWNLOAD'!$B293+$B293</f>
        <v>0</v>
      </c>
      <c r="L293" s="292" t="n">
        <f aca="false">'GAS DAILY VOL DOWNLOAD'!L293-'GAS DAILY VOL DOWNLOAD'!$B293+$B293</f>
        <v>0.6</v>
      </c>
      <c r="M293" s="292" t="n">
        <f aca="false">'GAS DAILY VOL DOWNLOAD'!M293-'GAS DAILY VOL DOWNLOAD'!$B293+$B293</f>
        <v>0.55</v>
      </c>
      <c r="N293" s="292" t="n">
        <f aca="false">'GAS DAILY VOL DOWNLOAD'!N293-'GAS DAILY VOL DOWNLOAD'!$B293+$B293</f>
        <v>0.6</v>
      </c>
      <c r="O293" s="292" t="n">
        <f aca="false">'GAS DAILY VOL DOWNLOAD'!O293-'GAS DAILY VOL DOWNLOAD'!$B293+$B293</f>
        <v>0.15</v>
      </c>
      <c r="P293" s="292" t="n">
        <f aca="false">'GAS DAILY VOL DOWNLOAD'!P293-'GAS DAILY VOL DOWNLOAD'!$B293+$B293</f>
        <v>0.7</v>
      </c>
      <c r="Q293" s="292" t="n">
        <f aca="false">'GAS DAILY VOL DOWNLOAD'!Q293-'GAS DAILY VOL DOWNLOAD'!$B293+$B293</f>
        <v>0</v>
      </c>
    </row>
    <row r="294" customFormat="false" ht="12.75" hidden="false" customHeight="false" outlineLevel="0" collapsed="false">
      <c r="A294" s="317" t="n">
        <v>45901</v>
      </c>
      <c r="B294" s="292" t="n">
        <f aca="false">STRADDLES!L316</f>
        <v>0</v>
      </c>
      <c r="C294" s="292" t="n">
        <f aca="false">'GAS DAILY VOL DOWNLOAD'!C294-'GAS DAILY VOL DOWNLOAD'!$B294+$B294</f>
        <v>0.55</v>
      </c>
      <c r="D294" s="292" t="n">
        <f aca="false">'GAS DAILY VOL DOWNLOAD'!D294-'GAS DAILY VOL DOWNLOAD'!$B294+$B294</f>
        <v>0.55</v>
      </c>
      <c r="E294" s="292" t="n">
        <f aca="false">'GAS DAILY VOL DOWNLOAD'!E294-'GAS DAILY VOL DOWNLOAD'!$B294+$B294</f>
        <v>0.55</v>
      </c>
      <c r="F294" s="292" t="n">
        <f aca="false">'GAS DAILY VOL DOWNLOAD'!F294-'GAS DAILY VOL DOWNLOAD'!$B294+$B294</f>
        <v>0.55</v>
      </c>
      <c r="G294" s="292" t="n">
        <f aca="false">'GAS DAILY VOL DOWNLOAD'!G294-'GAS DAILY VOL DOWNLOAD'!$B294+$B294</f>
        <v>0.6</v>
      </c>
      <c r="H294" s="292" t="n">
        <f aca="false">'GAS DAILY VOL DOWNLOAD'!H294-'GAS DAILY VOL DOWNLOAD'!$B294+$B294</f>
        <v>0.6</v>
      </c>
      <c r="I294" s="292" t="n">
        <f aca="false">'GAS DAILY VOL DOWNLOAD'!I294-'GAS DAILY VOL DOWNLOAD'!$B294+$B294</f>
        <v>0.55</v>
      </c>
      <c r="J294" s="292" t="n">
        <f aca="false">'GAS DAILY VOL DOWNLOAD'!J294-'GAS DAILY VOL DOWNLOAD'!$B294+$B294</f>
        <v>0.5</v>
      </c>
      <c r="K294" s="292" t="n">
        <f aca="false">'GAS DAILY VOL DOWNLOAD'!K294-'GAS DAILY VOL DOWNLOAD'!$B294+$B294</f>
        <v>0</v>
      </c>
      <c r="L294" s="292" t="n">
        <f aca="false">'GAS DAILY VOL DOWNLOAD'!L294-'GAS DAILY VOL DOWNLOAD'!$B294+$B294</f>
        <v>0.6</v>
      </c>
      <c r="M294" s="292" t="n">
        <f aca="false">'GAS DAILY VOL DOWNLOAD'!M294-'GAS DAILY VOL DOWNLOAD'!$B294+$B294</f>
        <v>0.55</v>
      </c>
      <c r="N294" s="292" t="n">
        <f aca="false">'GAS DAILY VOL DOWNLOAD'!N294-'GAS DAILY VOL DOWNLOAD'!$B294+$B294</f>
        <v>0.6</v>
      </c>
      <c r="O294" s="292" t="n">
        <f aca="false">'GAS DAILY VOL DOWNLOAD'!O294-'GAS DAILY VOL DOWNLOAD'!$B294+$B294</f>
        <v>0.15</v>
      </c>
      <c r="P294" s="292" t="n">
        <f aca="false">'GAS DAILY VOL DOWNLOAD'!P294-'GAS DAILY VOL DOWNLOAD'!$B294+$B294</f>
        <v>0.65</v>
      </c>
      <c r="Q294" s="292" t="n">
        <f aca="false">'GAS DAILY VOL DOWNLOAD'!Q294-'GAS DAILY VOL DOWNLOAD'!$B294+$B294</f>
        <v>0</v>
      </c>
    </row>
    <row r="295" customFormat="false" ht="12.75" hidden="false" customHeight="false" outlineLevel="0" collapsed="false">
      <c r="A295" s="317" t="n">
        <v>45931</v>
      </c>
      <c r="B295" s="292" t="n">
        <f aca="false">STRADDLES!L317</f>
        <v>0</v>
      </c>
      <c r="C295" s="292" t="n">
        <f aca="false">'GAS DAILY VOL DOWNLOAD'!C295-'GAS DAILY VOL DOWNLOAD'!$B295+$B295</f>
        <v>0.6</v>
      </c>
      <c r="D295" s="292" t="n">
        <f aca="false">'GAS DAILY VOL DOWNLOAD'!D295-'GAS DAILY VOL DOWNLOAD'!$B295+$B295</f>
        <v>0.55</v>
      </c>
      <c r="E295" s="292" t="n">
        <f aca="false">'GAS DAILY VOL DOWNLOAD'!E295-'GAS DAILY VOL DOWNLOAD'!$B295+$B295</f>
        <v>0.6</v>
      </c>
      <c r="F295" s="292" t="n">
        <f aca="false">'GAS DAILY VOL DOWNLOAD'!F295-'GAS DAILY VOL DOWNLOAD'!$B295+$B295</f>
        <v>0.6</v>
      </c>
      <c r="G295" s="292" t="n">
        <f aca="false">'GAS DAILY VOL DOWNLOAD'!G295-'GAS DAILY VOL DOWNLOAD'!$B295+$B295</f>
        <v>0.65</v>
      </c>
      <c r="H295" s="292" t="n">
        <f aca="false">'GAS DAILY VOL DOWNLOAD'!H295-'GAS DAILY VOL DOWNLOAD'!$B295+$B295</f>
        <v>0.65</v>
      </c>
      <c r="I295" s="292" t="n">
        <f aca="false">'GAS DAILY VOL DOWNLOAD'!I295-'GAS DAILY VOL DOWNLOAD'!$B295+$B295</f>
        <v>0.6</v>
      </c>
      <c r="J295" s="292" t="n">
        <f aca="false">'GAS DAILY VOL DOWNLOAD'!J295-'GAS DAILY VOL DOWNLOAD'!$B295+$B295</f>
        <v>0.5</v>
      </c>
      <c r="K295" s="292" t="n">
        <f aca="false">'GAS DAILY VOL DOWNLOAD'!K295-'GAS DAILY VOL DOWNLOAD'!$B295+$B295</f>
        <v>0</v>
      </c>
      <c r="L295" s="292" t="n">
        <f aca="false">'GAS DAILY VOL DOWNLOAD'!L295-'GAS DAILY VOL DOWNLOAD'!$B295+$B295</f>
        <v>0.65</v>
      </c>
      <c r="M295" s="292" t="n">
        <f aca="false">'GAS DAILY VOL DOWNLOAD'!M295-'GAS DAILY VOL DOWNLOAD'!$B295+$B295</f>
        <v>0.6</v>
      </c>
      <c r="N295" s="292" t="n">
        <f aca="false">'GAS DAILY VOL DOWNLOAD'!N295-'GAS DAILY VOL DOWNLOAD'!$B295+$B295</f>
        <v>0.65</v>
      </c>
      <c r="O295" s="292" t="n">
        <f aca="false">'GAS DAILY VOL DOWNLOAD'!O295-'GAS DAILY VOL DOWNLOAD'!$B295+$B295</f>
        <v>0.15</v>
      </c>
      <c r="P295" s="292" t="n">
        <f aca="false">'GAS DAILY VOL DOWNLOAD'!P295-'GAS DAILY VOL DOWNLOAD'!$B295+$B295</f>
        <v>0.7</v>
      </c>
      <c r="Q295" s="292" t="n">
        <f aca="false">'GAS DAILY VOL DOWNLOAD'!Q295-'GAS DAILY VOL DOWNLOAD'!$B295+$B295</f>
        <v>0</v>
      </c>
    </row>
    <row r="296" customFormat="false" ht="12.75" hidden="false" customHeight="false" outlineLevel="0" collapsed="false">
      <c r="A296" s="317" t="n">
        <v>45962</v>
      </c>
      <c r="B296" s="292" t="n">
        <f aca="false">STRADDLES!L318</f>
        <v>0</v>
      </c>
      <c r="C296" s="292" t="n">
        <f aca="false">'GAS DAILY VOL DOWNLOAD'!C296-'GAS DAILY VOL DOWNLOAD'!$B296+$B296</f>
        <v>0.85</v>
      </c>
      <c r="D296" s="292" t="n">
        <f aca="false">'GAS DAILY VOL DOWNLOAD'!D296-'GAS DAILY VOL DOWNLOAD'!$B296+$B296</f>
        <v>0.8</v>
      </c>
      <c r="E296" s="292" t="n">
        <f aca="false">'GAS DAILY VOL DOWNLOAD'!E296-'GAS DAILY VOL DOWNLOAD'!$B296+$B296</f>
        <v>0.8</v>
      </c>
      <c r="F296" s="292" t="n">
        <f aca="false">'GAS DAILY VOL DOWNLOAD'!F296-'GAS DAILY VOL DOWNLOAD'!$B296+$B296</f>
        <v>0.9</v>
      </c>
      <c r="G296" s="292" t="n">
        <f aca="false">'GAS DAILY VOL DOWNLOAD'!G296-'GAS DAILY VOL DOWNLOAD'!$B296+$B296</f>
        <v>0.95</v>
      </c>
      <c r="H296" s="292" t="n">
        <f aca="false">'GAS DAILY VOL DOWNLOAD'!H296-'GAS DAILY VOL DOWNLOAD'!$B296+$B296</f>
        <v>0.85</v>
      </c>
      <c r="I296" s="292" t="n">
        <f aca="false">'GAS DAILY VOL DOWNLOAD'!I296-'GAS DAILY VOL DOWNLOAD'!$B296+$B296</f>
        <v>0.8</v>
      </c>
      <c r="J296" s="292" t="n">
        <f aca="false">'GAS DAILY VOL DOWNLOAD'!J296-'GAS DAILY VOL DOWNLOAD'!$B296+$B296</f>
        <v>0.95</v>
      </c>
      <c r="K296" s="292" t="n">
        <f aca="false">'GAS DAILY VOL DOWNLOAD'!K296-'GAS DAILY VOL DOWNLOAD'!$B296+$B296</f>
        <v>0</v>
      </c>
      <c r="L296" s="292" t="n">
        <f aca="false">'GAS DAILY VOL DOWNLOAD'!L296-'GAS DAILY VOL DOWNLOAD'!$B296+$B296</f>
        <v>0.8</v>
      </c>
      <c r="M296" s="292" t="n">
        <f aca="false">'GAS DAILY VOL DOWNLOAD'!M296-'GAS DAILY VOL DOWNLOAD'!$B296+$B296</f>
        <v>0.8</v>
      </c>
      <c r="N296" s="292" t="n">
        <f aca="false">'GAS DAILY VOL DOWNLOAD'!N296-'GAS DAILY VOL DOWNLOAD'!$B296+$B296</f>
        <v>0.95</v>
      </c>
      <c r="O296" s="292" t="n">
        <f aca="false">'GAS DAILY VOL DOWNLOAD'!O296-'GAS DAILY VOL DOWNLOAD'!$B296+$B296</f>
        <v>0.15</v>
      </c>
      <c r="P296" s="292" t="n">
        <f aca="false">'GAS DAILY VOL DOWNLOAD'!P296-'GAS DAILY VOL DOWNLOAD'!$B296+$B296</f>
        <v>0.9</v>
      </c>
      <c r="Q296" s="292" t="n">
        <f aca="false">'GAS DAILY VOL DOWNLOAD'!Q296-'GAS DAILY VOL DOWNLOAD'!$B296+$B296</f>
        <v>0</v>
      </c>
    </row>
    <row r="297" customFormat="false" ht="12.75" hidden="false" customHeight="false" outlineLevel="0" collapsed="false">
      <c r="A297" s="317" t="n">
        <v>45992</v>
      </c>
      <c r="B297" s="292" t="n">
        <f aca="false">STRADDLES!L319</f>
        <v>0</v>
      </c>
      <c r="C297" s="292" t="n">
        <f aca="false">'GAS DAILY VOL DOWNLOAD'!C297-'GAS DAILY VOL DOWNLOAD'!$B297+$B297</f>
        <v>1.05</v>
      </c>
      <c r="D297" s="292" t="n">
        <f aca="false">'GAS DAILY VOL DOWNLOAD'!D297-'GAS DAILY VOL DOWNLOAD'!$B297+$B297</f>
        <v>1</v>
      </c>
      <c r="E297" s="292" t="n">
        <f aca="false">'GAS DAILY VOL DOWNLOAD'!E297-'GAS DAILY VOL DOWNLOAD'!$B297+$B297</f>
        <v>1</v>
      </c>
      <c r="F297" s="292" t="n">
        <f aca="false">'GAS DAILY VOL DOWNLOAD'!F297-'GAS DAILY VOL DOWNLOAD'!$B297+$B297</f>
        <v>1.15</v>
      </c>
      <c r="G297" s="292" t="n">
        <f aca="false">'GAS DAILY VOL DOWNLOAD'!G297-'GAS DAILY VOL DOWNLOAD'!$B297+$B297</f>
        <v>1.25</v>
      </c>
      <c r="H297" s="292" t="n">
        <f aca="false">'GAS DAILY VOL DOWNLOAD'!H297-'GAS DAILY VOL DOWNLOAD'!$B297+$B297</f>
        <v>1.05</v>
      </c>
      <c r="I297" s="292" t="n">
        <f aca="false">'GAS DAILY VOL DOWNLOAD'!I297-'GAS DAILY VOL DOWNLOAD'!$B297+$B297</f>
        <v>1</v>
      </c>
      <c r="J297" s="292" t="n">
        <f aca="false">'GAS DAILY VOL DOWNLOAD'!J297-'GAS DAILY VOL DOWNLOAD'!$B297+$B297</f>
        <v>1.35</v>
      </c>
      <c r="K297" s="292" t="n">
        <f aca="false">'GAS DAILY VOL DOWNLOAD'!K297-'GAS DAILY VOL DOWNLOAD'!$B297+$B297</f>
        <v>0</v>
      </c>
      <c r="L297" s="292" t="n">
        <f aca="false">'GAS DAILY VOL DOWNLOAD'!L297-'GAS DAILY VOL DOWNLOAD'!$B297+$B297</f>
        <v>1.1</v>
      </c>
      <c r="M297" s="292" t="n">
        <f aca="false">'GAS DAILY VOL DOWNLOAD'!M297-'GAS DAILY VOL DOWNLOAD'!$B297+$B297</f>
        <v>1</v>
      </c>
      <c r="N297" s="292" t="n">
        <f aca="false">'GAS DAILY VOL DOWNLOAD'!N297-'GAS DAILY VOL DOWNLOAD'!$B297+$B297</f>
        <v>1.25</v>
      </c>
      <c r="O297" s="292" t="n">
        <f aca="false">'GAS DAILY VOL DOWNLOAD'!O297-'GAS DAILY VOL DOWNLOAD'!$B297+$B297</f>
        <v>0.15</v>
      </c>
      <c r="P297" s="292" t="n">
        <f aca="false">'GAS DAILY VOL DOWNLOAD'!P297-'GAS DAILY VOL DOWNLOAD'!$B297+$B297</f>
        <v>1.1</v>
      </c>
      <c r="Q297" s="292" t="n">
        <f aca="false">'GAS DAILY VOL DOWNLOAD'!Q297-'GAS DAILY VOL DOWNLOAD'!$B297+$B297</f>
        <v>0</v>
      </c>
    </row>
    <row r="298" customFormat="false" ht="12.75" hidden="false" customHeight="false" outlineLevel="0" collapsed="false">
      <c r="A298" s="317" t="n">
        <v>46023</v>
      </c>
      <c r="B298" s="292" t="n">
        <f aca="false">STRADDLES!L320</f>
        <v>0</v>
      </c>
      <c r="C298" s="292" t="n">
        <f aca="false">'GAS DAILY VOL DOWNLOAD'!C298-'GAS DAILY VOL DOWNLOAD'!$B298+$B298</f>
        <v>1.05</v>
      </c>
      <c r="D298" s="292" t="n">
        <f aca="false">'GAS DAILY VOL DOWNLOAD'!D298-'GAS DAILY VOL DOWNLOAD'!$B298+$B298</f>
        <v>1</v>
      </c>
      <c r="E298" s="292" t="n">
        <f aca="false">'GAS DAILY VOL DOWNLOAD'!E298-'GAS DAILY VOL DOWNLOAD'!$B298+$B298</f>
        <v>1</v>
      </c>
      <c r="F298" s="292" t="n">
        <f aca="false">'GAS DAILY VOL DOWNLOAD'!F298-'GAS DAILY VOL DOWNLOAD'!$B298+$B298</f>
        <v>1.15</v>
      </c>
      <c r="G298" s="292" t="n">
        <f aca="false">'GAS DAILY VOL DOWNLOAD'!G298-'GAS DAILY VOL DOWNLOAD'!$B298+$B298</f>
        <v>1.45</v>
      </c>
      <c r="H298" s="292" t="n">
        <f aca="false">'GAS DAILY VOL DOWNLOAD'!H298-'GAS DAILY VOL DOWNLOAD'!$B298+$B298</f>
        <v>1.05</v>
      </c>
      <c r="I298" s="292" t="n">
        <f aca="false">'GAS DAILY VOL DOWNLOAD'!I298-'GAS DAILY VOL DOWNLOAD'!$B298+$B298</f>
        <v>1</v>
      </c>
      <c r="J298" s="292" t="n">
        <f aca="false">'GAS DAILY VOL DOWNLOAD'!J298-'GAS DAILY VOL DOWNLOAD'!$B298+$B298</f>
        <v>1.35</v>
      </c>
      <c r="K298" s="292" t="n">
        <f aca="false">'GAS DAILY VOL DOWNLOAD'!K298-'GAS DAILY VOL DOWNLOAD'!$B298+$B298</f>
        <v>0</v>
      </c>
      <c r="L298" s="292" t="n">
        <f aca="false">'GAS DAILY VOL DOWNLOAD'!L298-'GAS DAILY VOL DOWNLOAD'!$B298+$B298</f>
        <v>1.1</v>
      </c>
      <c r="M298" s="292" t="n">
        <f aca="false">'GAS DAILY VOL DOWNLOAD'!M298-'GAS DAILY VOL DOWNLOAD'!$B298+$B298</f>
        <v>1</v>
      </c>
      <c r="N298" s="292" t="n">
        <f aca="false">'GAS DAILY VOL DOWNLOAD'!N298-'GAS DAILY VOL DOWNLOAD'!$B298+$B298</f>
        <v>1.45</v>
      </c>
      <c r="O298" s="292" t="n">
        <f aca="false">'GAS DAILY VOL DOWNLOAD'!O298-'GAS DAILY VOL DOWNLOAD'!$B298+$B298</f>
        <v>0.15</v>
      </c>
      <c r="P298" s="292" t="n">
        <f aca="false">'GAS DAILY VOL DOWNLOAD'!P298-'GAS DAILY VOL DOWNLOAD'!$B298+$B298</f>
        <v>1.1</v>
      </c>
      <c r="Q298" s="292" t="n">
        <f aca="false">'GAS DAILY VOL DOWNLOAD'!Q298-'GAS DAILY VOL DOWNLOAD'!$B298+$B298</f>
        <v>0</v>
      </c>
    </row>
    <row r="299" customFormat="false" ht="12.75" hidden="false" customHeight="false" outlineLevel="0" collapsed="false">
      <c r="A299" s="317" t="n">
        <v>46054</v>
      </c>
      <c r="B299" s="292" t="n">
        <f aca="false">STRADDLES!L321</f>
        <v>0</v>
      </c>
      <c r="C299" s="292" t="n">
        <f aca="false">'GAS DAILY VOL DOWNLOAD'!C299-'GAS DAILY VOL DOWNLOAD'!$B299+$B299</f>
        <v>1.05</v>
      </c>
      <c r="D299" s="292" t="n">
        <f aca="false">'GAS DAILY VOL DOWNLOAD'!D299-'GAS DAILY VOL DOWNLOAD'!$B299+$B299</f>
        <v>1</v>
      </c>
      <c r="E299" s="292" t="n">
        <f aca="false">'GAS DAILY VOL DOWNLOAD'!E299-'GAS DAILY VOL DOWNLOAD'!$B299+$B299</f>
        <v>1</v>
      </c>
      <c r="F299" s="292" t="n">
        <f aca="false">'GAS DAILY VOL DOWNLOAD'!F299-'GAS DAILY VOL DOWNLOAD'!$B299+$B299</f>
        <v>1.15</v>
      </c>
      <c r="G299" s="292" t="n">
        <f aca="false">'GAS DAILY VOL DOWNLOAD'!G299-'GAS DAILY VOL DOWNLOAD'!$B299+$B299</f>
        <v>1.45</v>
      </c>
      <c r="H299" s="292" t="n">
        <f aca="false">'GAS DAILY VOL DOWNLOAD'!H299-'GAS DAILY VOL DOWNLOAD'!$B299+$B299</f>
        <v>1.05</v>
      </c>
      <c r="I299" s="292" t="n">
        <f aca="false">'GAS DAILY VOL DOWNLOAD'!I299-'GAS DAILY VOL DOWNLOAD'!$B299+$B299</f>
        <v>1</v>
      </c>
      <c r="J299" s="292" t="n">
        <f aca="false">'GAS DAILY VOL DOWNLOAD'!J299-'GAS DAILY VOL DOWNLOAD'!$B299+$B299</f>
        <v>1.35</v>
      </c>
      <c r="K299" s="292" t="n">
        <f aca="false">'GAS DAILY VOL DOWNLOAD'!K299-'GAS DAILY VOL DOWNLOAD'!$B299+$B299</f>
        <v>0</v>
      </c>
      <c r="L299" s="292" t="n">
        <f aca="false">'GAS DAILY VOL DOWNLOAD'!L299-'GAS DAILY VOL DOWNLOAD'!$B299+$B299</f>
        <v>1.1</v>
      </c>
      <c r="M299" s="292" t="n">
        <f aca="false">'GAS DAILY VOL DOWNLOAD'!M299-'GAS DAILY VOL DOWNLOAD'!$B299+$B299</f>
        <v>1</v>
      </c>
      <c r="N299" s="292" t="n">
        <f aca="false">'GAS DAILY VOL DOWNLOAD'!N299-'GAS DAILY VOL DOWNLOAD'!$B299+$B299</f>
        <v>1.45</v>
      </c>
      <c r="O299" s="292" t="n">
        <f aca="false">'GAS DAILY VOL DOWNLOAD'!O299-'GAS DAILY VOL DOWNLOAD'!$B299+$B299</f>
        <v>0.15</v>
      </c>
      <c r="P299" s="292" t="n">
        <f aca="false">'GAS DAILY VOL DOWNLOAD'!P299-'GAS DAILY VOL DOWNLOAD'!$B299+$B299</f>
        <v>1.1</v>
      </c>
      <c r="Q299" s="292" t="n">
        <f aca="false">'GAS DAILY VOL DOWNLOAD'!Q299-'GAS DAILY VOL DOWNLOAD'!$B299+$B299</f>
        <v>0</v>
      </c>
    </row>
    <row r="300" customFormat="false" ht="12.75" hidden="false" customHeight="false" outlineLevel="0" collapsed="false">
      <c r="A300" s="317" t="n">
        <v>46082</v>
      </c>
      <c r="B300" s="292" t="n">
        <f aca="false">STRADDLES!L322</f>
        <v>0</v>
      </c>
      <c r="C300" s="292" t="n">
        <f aca="false">'GAS DAILY VOL DOWNLOAD'!C300-'GAS DAILY VOL DOWNLOAD'!$B300+$B300</f>
        <v>0.8</v>
      </c>
      <c r="D300" s="292" t="n">
        <f aca="false">'GAS DAILY VOL DOWNLOAD'!D300-'GAS DAILY VOL DOWNLOAD'!$B300+$B300</f>
        <v>0.75</v>
      </c>
      <c r="E300" s="292" t="n">
        <f aca="false">'GAS DAILY VOL DOWNLOAD'!E300-'GAS DAILY VOL DOWNLOAD'!$B300+$B300</f>
        <v>0.75</v>
      </c>
      <c r="F300" s="292" t="n">
        <f aca="false">'GAS DAILY VOL DOWNLOAD'!F300-'GAS DAILY VOL DOWNLOAD'!$B300+$B300</f>
        <v>0.85</v>
      </c>
      <c r="G300" s="292" t="n">
        <f aca="false">'GAS DAILY VOL DOWNLOAD'!G300-'GAS DAILY VOL DOWNLOAD'!$B300+$B300</f>
        <v>1</v>
      </c>
      <c r="H300" s="292" t="n">
        <f aca="false">'GAS DAILY VOL DOWNLOAD'!H300-'GAS DAILY VOL DOWNLOAD'!$B300+$B300</f>
        <v>0.75</v>
      </c>
      <c r="I300" s="292" t="n">
        <f aca="false">'GAS DAILY VOL DOWNLOAD'!I300-'GAS DAILY VOL DOWNLOAD'!$B300+$B300</f>
        <v>0.75</v>
      </c>
      <c r="J300" s="292" t="n">
        <f aca="false">'GAS DAILY VOL DOWNLOAD'!J300-'GAS DAILY VOL DOWNLOAD'!$B300+$B300</f>
        <v>0.95</v>
      </c>
      <c r="K300" s="292" t="n">
        <f aca="false">'GAS DAILY VOL DOWNLOAD'!K300-'GAS DAILY VOL DOWNLOAD'!$B300+$B300</f>
        <v>0</v>
      </c>
      <c r="L300" s="292" t="n">
        <f aca="false">'GAS DAILY VOL DOWNLOAD'!L300-'GAS DAILY VOL DOWNLOAD'!$B300+$B300</f>
        <v>0.75</v>
      </c>
      <c r="M300" s="292" t="n">
        <f aca="false">'GAS DAILY VOL DOWNLOAD'!M300-'GAS DAILY VOL DOWNLOAD'!$B300+$B300</f>
        <v>0.75</v>
      </c>
      <c r="N300" s="292" t="n">
        <f aca="false">'GAS DAILY VOL DOWNLOAD'!N300-'GAS DAILY VOL DOWNLOAD'!$B300+$B300</f>
        <v>1</v>
      </c>
      <c r="O300" s="292" t="n">
        <f aca="false">'GAS DAILY VOL DOWNLOAD'!O300-'GAS DAILY VOL DOWNLOAD'!$B300+$B300</f>
        <v>0.15</v>
      </c>
      <c r="P300" s="292" t="n">
        <f aca="false">'GAS DAILY VOL DOWNLOAD'!P300-'GAS DAILY VOL DOWNLOAD'!$B300+$B300</f>
        <v>0.85</v>
      </c>
      <c r="Q300" s="292" t="n">
        <f aca="false">'GAS DAILY VOL DOWNLOAD'!Q300-'GAS DAILY VOL DOWNLOAD'!$B300+$B300</f>
        <v>0</v>
      </c>
    </row>
    <row r="301" customFormat="false" ht="12.75" hidden="false" customHeight="false" outlineLevel="0" collapsed="false">
      <c r="A301" s="317" t="n">
        <v>46113</v>
      </c>
      <c r="B301" s="292" t="n">
        <f aca="false">STRADDLES!L323</f>
        <v>0</v>
      </c>
      <c r="C301" s="292" t="n">
        <f aca="false">'GAS DAILY VOL DOWNLOAD'!C301-'GAS DAILY VOL DOWNLOAD'!$B301+$B301</f>
        <v>0.45</v>
      </c>
      <c r="D301" s="292" t="n">
        <f aca="false">'GAS DAILY VOL DOWNLOAD'!D301-'GAS DAILY VOL DOWNLOAD'!$B301+$B301</f>
        <v>0.4</v>
      </c>
      <c r="E301" s="292" t="n">
        <f aca="false">'GAS DAILY VOL DOWNLOAD'!E301-'GAS DAILY VOL DOWNLOAD'!$B301+$B301</f>
        <v>0.45</v>
      </c>
      <c r="F301" s="292" t="n">
        <f aca="false">'GAS DAILY VOL DOWNLOAD'!F301-'GAS DAILY VOL DOWNLOAD'!$B301+$B301</f>
        <v>0.45</v>
      </c>
      <c r="G301" s="292" t="n">
        <f aca="false">'GAS DAILY VOL DOWNLOAD'!G301-'GAS DAILY VOL DOWNLOAD'!$B301+$B301</f>
        <v>0.45</v>
      </c>
      <c r="H301" s="292" t="n">
        <f aca="false">'GAS DAILY VOL DOWNLOAD'!H301-'GAS DAILY VOL DOWNLOAD'!$B301+$B301</f>
        <v>0.45</v>
      </c>
      <c r="I301" s="292" t="n">
        <f aca="false">'GAS DAILY VOL DOWNLOAD'!I301-'GAS DAILY VOL DOWNLOAD'!$B301+$B301</f>
        <v>0.45</v>
      </c>
      <c r="J301" s="292" t="n">
        <f aca="false">'GAS DAILY VOL DOWNLOAD'!J301-'GAS DAILY VOL DOWNLOAD'!$B301+$B301</f>
        <v>0.5</v>
      </c>
      <c r="K301" s="292" t="n">
        <f aca="false">'GAS DAILY VOL DOWNLOAD'!K301-'GAS DAILY VOL DOWNLOAD'!$B301+$B301</f>
        <v>0</v>
      </c>
      <c r="L301" s="292" t="n">
        <f aca="false">'GAS DAILY VOL DOWNLOAD'!L301-'GAS DAILY VOL DOWNLOAD'!$B301+$B301</f>
        <v>0.45</v>
      </c>
      <c r="M301" s="292" t="n">
        <f aca="false">'GAS DAILY VOL DOWNLOAD'!M301-'GAS DAILY VOL DOWNLOAD'!$B301+$B301</f>
        <v>0.4</v>
      </c>
      <c r="N301" s="292" t="n">
        <f aca="false">'GAS DAILY VOL DOWNLOAD'!N301-'GAS DAILY VOL DOWNLOAD'!$B301+$B301</f>
        <v>0.45</v>
      </c>
      <c r="O301" s="292" t="n">
        <f aca="false">'GAS DAILY VOL DOWNLOAD'!O301-'GAS DAILY VOL DOWNLOAD'!$B301+$B301</f>
        <v>0.15</v>
      </c>
      <c r="P301" s="292" t="n">
        <f aca="false">'GAS DAILY VOL DOWNLOAD'!P301-'GAS DAILY VOL DOWNLOAD'!$B301+$B301</f>
        <v>0.55</v>
      </c>
      <c r="Q301" s="292" t="n">
        <f aca="false">'GAS DAILY VOL DOWNLOAD'!Q301-'GAS DAILY VOL DOWNLOAD'!$B301+$B301</f>
        <v>0</v>
      </c>
    </row>
    <row r="302" customFormat="false" ht="12.75" hidden="false" customHeight="false" outlineLevel="0" collapsed="false">
      <c r="A302" s="317" t="n">
        <v>46143</v>
      </c>
      <c r="B302" s="292" t="n">
        <f aca="false">STRADDLES!L324</f>
        <v>0</v>
      </c>
      <c r="C302" s="292" t="n">
        <f aca="false">'GAS DAILY VOL DOWNLOAD'!C302-'GAS DAILY VOL DOWNLOAD'!$B302+$B302</f>
        <v>0.5</v>
      </c>
      <c r="D302" s="292" t="n">
        <f aca="false">'GAS DAILY VOL DOWNLOAD'!D302-'GAS DAILY VOL DOWNLOAD'!$B302+$B302</f>
        <v>0.4</v>
      </c>
      <c r="E302" s="292" t="n">
        <f aca="false">'GAS DAILY VOL DOWNLOAD'!E302-'GAS DAILY VOL DOWNLOAD'!$B302+$B302</f>
        <v>0.4</v>
      </c>
      <c r="F302" s="292" t="n">
        <f aca="false">'GAS DAILY VOL DOWNLOAD'!F302-'GAS DAILY VOL DOWNLOAD'!$B302+$B302</f>
        <v>0.45</v>
      </c>
      <c r="G302" s="292" t="n">
        <f aca="false">'GAS DAILY VOL DOWNLOAD'!G302-'GAS DAILY VOL DOWNLOAD'!$B302+$B302</f>
        <v>0.5</v>
      </c>
      <c r="H302" s="292" t="n">
        <f aca="false">'GAS DAILY VOL DOWNLOAD'!H302-'GAS DAILY VOL DOWNLOAD'!$B302+$B302</f>
        <v>0.45</v>
      </c>
      <c r="I302" s="292" t="n">
        <f aca="false">'GAS DAILY VOL DOWNLOAD'!I302-'GAS DAILY VOL DOWNLOAD'!$B302+$B302</f>
        <v>0.4</v>
      </c>
      <c r="J302" s="292" t="n">
        <f aca="false">'GAS DAILY VOL DOWNLOAD'!J302-'GAS DAILY VOL DOWNLOAD'!$B302+$B302</f>
        <v>0.45</v>
      </c>
      <c r="K302" s="292" t="n">
        <f aca="false">'GAS DAILY VOL DOWNLOAD'!K302-'GAS DAILY VOL DOWNLOAD'!$B302+$B302</f>
        <v>0</v>
      </c>
      <c r="L302" s="292" t="n">
        <f aca="false">'GAS DAILY VOL DOWNLOAD'!L302-'GAS DAILY VOL DOWNLOAD'!$B302+$B302</f>
        <v>0.5</v>
      </c>
      <c r="M302" s="292" t="n">
        <f aca="false">'GAS DAILY VOL DOWNLOAD'!M302-'GAS DAILY VOL DOWNLOAD'!$B302+$B302</f>
        <v>0.45</v>
      </c>
      <c r="N302" s="292" t="n">
        <f aca="false">'GAS DAILY VOL DOWNLOAD'!N302-'GAS DAILY VOL DOWNLOAD'!$B302+$B302</f>
        <v>0.5</v>
      </c>
      <c r="O302" s="292" t="n">
        <f aca="false">'GAS DAILY VOL DOWNLOAD'!O302-'GAS DAILY VOL DOWNLOAD'!$B302+$B302</f>
        <v>0.15</v>
      </c>
      <c r="P302" s="292" t="n">
        <f aca="false">'GAS DAILY VOL DOWNLOAD'!P302-'GAS DAILY VOL DOWNLOAD'!$B302+$B302</f>
        <v>0.5</v>
      </c>
      <c r="Q302" s="292" t="n">
        <f aca="false">'GAS DAILY VOL DOWNLOAD'!Q302-'GAS DAILY VOL DOWNLOAD'!$B302+$B302</f>
        <v>0</v>
      </c>
    </row>
    <row r="303" customFormat="false" ht="12.75" hidden="false" customHeight="false" outlineLevel="0" collapsed="false">
      <c r="A303" s="317" t="n">
        <v>46174</v>
      </c>
      <c r="B303" s="292" t="n">
        <f aca="false">STRADDLES!L325</f>
        <v>0</v>
      </c>
      <c r="C303" s="292" t="n">
        <f aca="false">'GAS DAILY VOL DOWNLOAD'!C303-'GAS DAILY VOL DOWNLOAD'!$B303+$B303</f>
        <v>0.5</v>
      </c>
      <c r="D303" s="292" t="n">
        <f aca="false">'GAS DAILY VOL DOWNLOAD'!D303-'GAS DAILY VOL DOWNLOAD'!$B303+$B303</f>
        <v>0.4</v>
      </c>
      <c r="E303" s="292" t="n">
        <f aca="false">'GAS DAILY VOL DOWNLOAD'!E303-'GAS DAILY VOL DOWNLOAD'!$B303+$B303</f>
        <v>0.5</v>
      </c>
      <c r="F303" s="292" t="n">
        <f aca="false">'GAS DAILY VOL DOWNLOAD'!F303-'GAS DAILY VOL DOWNLOAD'!$B303+$B303</f>
        <v>0.45</v>
      </c>
      <c r="G303" s="292" t="n">
        <f aca="false">'GAS DAILY VOL DOWNLOAD'!G303-'GAS DAILY VOL DOWNLOAD'!$B303+$B303</f>
        <v>0.5</v>
      </c>
      <c r="H303" s="292" t="n">
        <f aca="false">'GAS DAILY VOL DOWNLOAD'!H303-'GAS DAILY VOL DOWNLOAD'!$B303+$B303</f>
        <v>0.5</v>
      </c>
      <c r="I303" s="292" t="n">
        <f aca="false">'GAS DAILY VOL DOWNLOAD'!I303-'GAS DAILY VOL DOWNLOAD'!$B303+$B303</f>
        <v>0.5</v>
      </c>
      <c r="J303" s="292" t="n">
        <f aca="false">'GAS DAILY VOL DOWNLOAD'!J303-'GAS DAILY VOL DOWNLOAD'!$B303+$B303</f>
        <v>0.5</v>
      </c>
      <c r="K303" s="292" t="n">
        <f aca="false">'GAS DAILY VOL DOWNLOAD'!K303-'GAS DAILY VOL DOWNLOAD'!$B303+$B303</f>
        <v>0</v>
      </c>
      <c r="L303" s="292" t="n">
        <f aca="false">'GAS DAILY VOL DOWNLOAD'!L303-'GAS DAILY VOL DOWNLOAD'!$B303+$B303</f>
        <v>0.5</v>
      </c>
      <c r="M303" s="292" t="n">
        <f aca="false">'GAS DAILY VOL DOWNLOAD'!M303-'GAS DAILY VOL DOWNLOAD'!$B303+$B303</f>
        <v>0.45</v>
      </c>
      <c r="N303" s="292" t="n">
        <f aca="false">'GAS DAILY VOL DOWNLOAD'!N303-'GAS DAILY VOL DOWNLOAD'!$B303+$B303</f>
        <v>0.5</v>
      </c>
      <c r="O303" s="292" t="n">
        <f aca="false">'GAS DAILY VOL DOWNLOAD'!O303-'GAS DAILY VOL DOWNLOAD'!$B303+$B303</f>
        <v>0.15</v>
      </c>
      <c r="P303" s="292" t="n">
        <f aca="false">'GAS DAILY VOL DOWNLOAD'!P303-'GAS DAILY VOL DOWNLOAD'!$B303+$B303</f>
        <v>0.6</v>
      </c>
      <c r="Q303" s="292" t="n">
        <f aca="false">'GAS DAILY VOL DOWNLOAD'!Q303-'GAS DAILY VOL DOWNLOAD'!$B303+$B303</f>
        <v>0</v>
      </c>
    </row>
    <row r="304" customFormat="false" ht="12.75" hidden="false" customHeight="false" outlineLevel="0" collapsed="false">
      <c r="A304" s="317" t="n">
        <v>46204</v>
      </c>
      <c r="B304" s="292" t="n">
        <f aca="false">STRADDLES!L326</f>
        <v>0</v>
      </c>
      <c r="C304" s="292" t="n">
        <f aca="false">'GAS DAILY VOL DOWNLOAD'!C304-'GAS DAILY VOL DOWNLOAD'!$B304+$B304</f>
        <v>0.5</v>
      </c>
      <c r="D304" s="292" t="n">
        <f aca="false">'GAS DAILY VOL DOWNLOAD'!D304-'GAS DAILY VOL DOWNLOAD'!$B304+$B304</f>
        <v>0.4</v>
      </c>
      <c r="E304" s="292" t="n">
        <f aca="false">'GAS DAILY VOL DOWNLOAD'!E304-'GAS DAILY VOL DOWNLOAD'!$B304+$B304</f>
        <v>0.5</v>
      </c>
      <c r="F304" s="292" t="n">
        <f aca="false">'GAS DAILY VOL DOWNLOAD'!F304-'GAS DAILY VOL DOWNLOAD'!$B304+$B304</f>
        <v>0.5</v>
      </c>
      <c r="G304" s="292" t="n">
        <f aca="false">'GAS DAILY VOL DOWNLOAD'!G304-'GAS DAILY VOL DOWNLOAD'!$B304+$B304</f>
        <v>0.5</v>
      </c>
      <c r="H304" s="292" t="n">
        <f aca="false">'GAS DAILY VOL DOWNLOAD'!H304-'GAS DAILY VOL DOWNLOAD'!$B304+$B304</f>
        <v>0.5</v>
      </c>
      <c r="I304" s="292" t="n">
        <f aca="false">'GAS DAILY VOL DOWNLOAD'!I304-'GAS DAILY VOL DOWNLOAD'!$B304+$B304</f>
        <v>0.5</v>
      </c>
      <c r="J304" s="292" t="n">
        <f aca="false">'GAS DAILY VOL DOWNLOAD'!J304-'GAS DAILY VOL DOWNLOAD'!$B304+$B304</f>
        <v>0.5</v>
      </c>
      <c r="K304" s="292" t="n">
        <f aca="false">'GAS DAILY VOL DOWNLOAD'!K304-'GAS DAILY VOL DOWNLOAD'!$B304+$B304</f>
        <v>0</v>
      </c>
      <c r="L304" s="292" t="n">
        <f aca="false">'GAS DAILY VOL DOWNLOAD'!L304-'GAS DAILY VOL DOWNLOAD'!$B304+$B304</f>
        <v>0.55</v>
      </c>
      <c r="M304" s="292" t="n">
        <f aca="false">'GAS DAILY VOL DOWNLOAD'!M304-'GAS DAILY VOL DOWNLOAD'!$B304+$B304</f>
        <v>0.5</v>
      </c>
      <c r="N304" s="292" t="n">
        <f aca="false">'GAS DAILY VOL DOWNLOAD'!N304-'GAS DAILY VOL DOWNLOAD'!$B304+$B304</f>
        <v>0.5</v>
      </c>
      <c r="O304" s="292" t="n">
        <f aca="false">'GAS DAILY VOL DOWNLOAD'!O304-'GAS DAILY VOL DOWNLOAD'!$B304+$B304</f>
        <v>0.15</v>
      </c>
      <c r="P304" s="292" t="n">
        <f aca="false">'GAS DAILY VOL DOWNLOAD'!P304-'GAS DAILY VOL DOWNLOAD'!$B304+$B304</f>
        <v>0.6</v>
      </c>
      <c r="Q304" s="292" t="n">
        <f aca="false">'GAS DAILY VOL DOWNLOAD'!Q304-'GAS DAILY VOL DOWNLOAD'!$B304+$B304</f>
        <v>0</v>
      </c>
    </row>
    <row r="305" customFormat="false" ht="12.75" hidden="false" customHeight="false" outlineLevel="0" collapsed="false">
      <c r="A305" s="317" t="n">
        <v>46235</v>
      </c>
      <c r="B305" s="292" t="n">
        <f aca="false">STRADDLES!L327</f>
        <v>0</v>
      </c>
      <c r="C305" s="292" t="n">
        <f aca="false">'GAS DAILY VOL DOWNLOAD'!C305-'GAS DAILY VOL DOWNLOAD'!$B305+$B305</f>
        <v>0.55</v>
      </c>
      <c r="D305" s="292" t="n">
        <f aca="false">'GAS DAILY VOL DOWNLOAD'!D305-'GAS DAILY VOL DOWNLOAD'!$B305+$B305</f>
        <v>0.5</v>
      </c>
      <c r="E305" s="292" t="n">
        <f aca="false">'GAS DAILY VOL DOWNLOAD'!E305-'GAS DAILY VOL DOWNLOAD'!$B305+$B305</f>
        <v>0.6</v>
      </c>
      <c r="F305" s="292" t="n">
        <f aca="false">'GAS DAILY VOL DOWNLOAD'!F305-'GAS DAILY VOL DOWNLOAD'!$B305+$B305</f>
        <v>0.55</v>
      </c>
      <c r="G305" s="292" t="n">
        <f aca="false">'GAS DAILY VOL DOWNLOAD'!G305-'GAS DAILY VOL DOWNLOAD'!$B305+$B305</f>
        <v>0.6</v>
      </c>
      <c r="H305" s="292" t="n">
        <f aca="false">'GAS DAILY VOL DOWNLOAD'!H305-'GAS DAILY VOL DOWNLOAD'!$B305+$B305</f>
        <v>0.55</v>
      </c>
      <c r="I305" s="292" t="n">
        <f aca="false">'GAS DAILY VOL DOWNLOAD'!I305-'GAS DAILY VOL DOWNLOAD'!$B305+$B305</f>
        <v>0.6</v>
      </c>
      <c r="J305" s="292" t="n">
        <f aca="false">'GAS DAILY VOL DOWNLOAD'!J305-'GAS DAILY VOL DOWNLOAD'!$B305+$B305</f>
        <v>0.45</v>
      </c>
      <c r="K305" s="292" t="n">
        <f aca="false">'GAS DAILY VOL DOWNLOAD'!K305-'GAS DAILY VOL DOWNLOAD'!$B305+$B305</f>
        <v>0</v>
      </c>
      <c r="L305" s="292" t="n">
        <f aca="false">'GAS DAILY VOL DOWNLOAD'!L305-'GAS DAILY VOL DOWNLOAD'!$B305+$B305</f>
        <v>0.6</v>
      </c>
      <c r="M305" s="292" t="n">
        <f aca="false">'GAS DAILY VOL DOWNLOAD'!M305-'GAS DAILY VOL DOWNLOAD'!$B305+$B305</f>
        <v>0.55</v>
      </c>
      <c r="N305" s="292" t="n">
        <f aca="false">'GAS DAILY VOL DOWNLOAD'!N305-'GAS DAILY VOL DOWNLOAD'!$B305+$B305</f>
        <v>0.6</v>
      </c>
      <c r="O305" s="292" t="n">
        <f aca="false">'GAS DAILY VOL DOWNLOAD'!O305-'GAS DAILY VOL DOWNLOAD'!$B305+$B305</f>
        <v>0.15</v>
      </c>
      <c r="P305" s="292" t="n">
        <f aca="false">'GAS DAILY VOL DOWNLOAD'!P305-'GAS DAILY VOL DOWNLOAD'!$B305+$B305</f>
        <v>0.7</v>
      </c>
      <c r="Q305" s="292" t="n">
        <f aca="false">'GAS DAILY VOL DOWNLOAD'!Q305-'GAS DAILY VOL DOWNLOAD'!$B305+$B305</f>
        <v>0</v>
      </c>
    </row>
    <row r="306" customFormat="false" ht="12.75" hidden="false" customHeight="false" outlineLevel="0" collapsed="false">
      <c r="A306" s="317" t="n">
        <v>46266</v>
      </c>
      <c r="B306" s="292" t="n">
        <f aca="false">STRADDLES!L328</f>
        <v>0</v>
      </c>
      <c r="C306" s="292" t="n">
        <f aca="false">'GAS DAILY VOL DOWNLOAD'!C306-'GAS DAILY VOL DOWNLOAD'!$B306+$B306</f>
        <v>0.55</v>
      </c>
      <c r="D306" s="292" t="n">
        <f aca="false">'GAS DAILY VOL DOWNLOAD'!D306-'GAS DAILY VOL DOWNLOAD'!$B306+$B306</f>
        <v>0.55</v>
      </c>
      <c r="E306" s="292" t="n">
        <f aca="false">'GAS DAILY VOL DOWNLOAD'!E306-'GAS DAILY VOL DOWNLOAD'!$B306+$B306</f>
        <v>0.55</v>
      </c>
      <c r="F306" s="292" t="n">
        <f aca="false">'GAS DAILY VOL DOWNLOAD'!F306-'GAS DAILY VOL DOWNLOAD'!$B306+$B306</f>
        <v>0.55</v>
      </c>
      <c r="G306" s="292" t="n">
        <f aca="false">'GAS DAILY VOL DOWNLOAD'!G306-'GAS DAILY VOL DOWNLOAD'!$B306+$B306</f>
        <v>0.6</v>
      </c>
      <c r="H306" s="292" t="n">
        <f aca="false">'GAS DAILY VOL DOWNLOAD'!H306-'GAS DAILY VOL DOWNLOAD'!$B306+$B306</f>
        <v>0.6</v>
      </c>
      <c r="I306" s="292" t="n">
        <f aca="false">'GAS DAILY VOL DOWNLOAD'!I306-'GAS DAILY VOL DOWNLOAD'!$B306+$B306</f>
        <v>0.55</v>
      </c>
      <c r="J306" s="292" t="n">
        <f aca="false">'GAS DAILY VOL DOWNLOAD'!J306-'GAS DAILY VOL DOWNLOAD'!$B306+$B306</f>
        <v>0.5</v>
      </c>
      <c r="K306" s="292" t="n">
        <f aca="false">'GAS DAILY VOL DOWNLOAD'!K306-'GAS DAILY VOL DOWNLOAD'!$B306+$B306</f>
        <v>0</v>
      </c>
      <c r="L306" s="292" t="n">
        <f aca="false">'GAS DAILY VOL DOWNLOAD'!L306-'GAS DAILY VOL DOWNLOAD'!$B306+$B306</f>
        <v>0.6</v>
      </c>
      <c r="M306" s="292" t="n">
        <f aca="false">'GAS DAILY VOL DOWNLOAD'!M306-'GAS DAILY VOL DOWNLOAD'!$B306+$B306</f>
        <v>0.55</v>
      </c>
      <c r="N306" s="292" t="n">
        <f aca="false">'GAS DAILY VOL DOWNLOAD'!N306-'GAS DAILY VOL DOWNLOAD'!$B306+$B306</f>
        <v>0.6</v>
      </c>
      <c r="O306" s="292" t="n">
        <f aca="false">'GAS DAILY VOL DOWNLOAD'!O306-'GAS DAILY VOL DOWNLOAD'!$B306+$B306</f>
        <v>0.15</v>
      </c>
      <c r="P306" s="292" t="n">
        <f aca="false">'GAS DAILY VOL DOWNLOAD'!P306-'GAS DAILY VOL DOWNLOAD'!$B306+$B306</f>
        <v>0.65</v>
      </c>
      <c r="Q306" s="292" t="n">
        <f aca="false">'GAS DAILY VOL DOWNLOAD'!Q306-'GAS DAILY VOL DOWNLOAD'!$B306+$B306</f>
        <v>0</v>
      </c>
    </row>
    <row r="307" customFormat="false" ht="12.75" hidden="false" customHeight="false" outlineLevel="0" collapsed="false">
      <c r="A307" s="317" t="n">
        <v>46296</v>
      </c>
      <c r="B307" s="292" t="n">
        <f aca="false">STRADDLES!L329</f>
        <v>0</v>
      </c>
      <c r="C307" s="292" t="n">
        <f aca="false">'GAS DAILY VOL DOWNLOAD'!C307-'GAS DAILY VOL DOWNLOAD'!$B307+$B307</f>
        <v>0.6</v>
      </c>
      <c r="D307" s="292" t="n">
        <f aca="false">'GAS DAILY VOL DOWNLOAD'!D307-'GAS DAILY VOL DOWNLOAD'!$B307+$B307</f>
        <v>0.55</v>
      </c>
      <c r="E307" s="292" t="n">
        <f aca="false">'GAS DAILY VOL DOWNLOAD'!E307-'GAS DAILY VOL DOWNLOAD'!$B307+$B307</f>
        <v>0.6</v>
      </c>
      <c r="F307" s="292" t="n">
        <f aca="false">'GAS DAILY VOL DOWNLOAD'!F307-'GAS DAILY VOL DOWNLOAD'!$B307+$B307</f>
        <v>0.6</v>
      </c>
      <c r="G307" s="292" t="n">
        <f aca="false">'GAS DAILY VOL DOWNLOAD'!G307-'GAS DAILY VOL DOWNLOAD'!$B307+$B307</f>
        <v>0.65</v>
      </c>
      <c r="H307" s="292" t="n">
        <f aca="false">'GAS DAILY VOL DOWNLOAD'!H307-'GAS DAILY VOL DOWNLOAD'!$B307+$B307</f>
        <v>0.65</v>
      </c>
      <c r="I307" s="292" t="n">
        <f aca="false">'GAS DAILY VOL DOWNLOAD'!I307-'GAS DAILY VOL DOWNLOAD'!$B307+$B307</f>
        <v>0.6</v>
      </c>
      <c r="J307" s="292" t="n">
        <f aca="false">'GAS DAILY VOL DOWNLOAD'!J307-'GAS DAILY VOL DOWNLOAD'!$B307+$B307</f>
        <v>0.5</v>
      </c>
      <c r="K307" s="292" t="n">
        <f aca="false">'GAS DAILY VOL DOWNLOAD'!K307-'GAS DAILY VOL DOWNLOAD'!$B307+$B307</f>
        <v>0</v>
      </c>
      <c r="L307" s="292" t="n">
        <f aca="false">'GAS DAILY VOL DOWNLOAD'!L307-'GAS DAILY VOL DOWNLOAD'!$B307+$B307</f>
        <v>0.65</v>
      </c>
      <c r="M307" s="292" t="n">
        <f aca="false">'GAS DAILY VOL DOWNLOAD'!M307-'GAS DAILY VOL DOWNLOAD'!$B307+$B307</f>
        <v>0.6</v>
      </c>
      <c r="N307" s="292" t="n">
        <f aca="false">'GAS DAILY VOL DOWNLOAD'!N307-'GAS DAILY VOL DOWNLOAD'!$B307+$B307</f>
        <v>0.65</v>
      </c>
      <c r="O307" s="292" t="n">
        <f aca="false">'GAS DAILY VOL DOWNLOAD'!O307-'GAS DAILY VOL DOWNLOAD'!$B307+$B307</f>
        <v>0.15</v>
      </c>
      <c r="P307" s="292" t="n">
        <f aca="false">'GAS DAILY VOL DOWNLOAD'!P307-'GAS DAILY VOL DOWNLOAD'!$B307+$B307</f>
        <v>0.7</v>
      </c>
      <c r="Q307" s="292" t="n">
        <f aca="false">'GAS DAILY VOL DOWNLOAD'!Q307-'GAS DAILY VOL DOWNLOAD'!$B307+$B307</f>
        <v>0</v>
      </c>
    </row>
    <row r="308" customFormat="false" ht="12.75" hidden="false" customHeight="false" outlineLevel="0" collapsed="false">
      <c r="A308" s="317" t="n">
        <v>46327</v>
      </c>
      <c r="B308" s="292" t="n">
        <f aca="false">STRADDLES!L330</f>
        <v>0</v>
      </c>
      <c r="C308" s="292" t="n">
        <f aca="false">'GAS DAILY VOL DOWNLOAD'!C308-'GAS DAILY VOL DOWNLOAD'!$B308+$B308</f>
        <v>0.85</v>
      </c>
      <c r="D308" s="292" t="n">
        <f aca="false">'GAS DAILY VOL DOWNLOAD'!D308-'GAS DAILY VOL DOWNLOAD'!$B308+$B308</f>
        <v>0.8</v>
      </c>
      <c r="E308" s="292" t="n">
        <f aca="false">'GAS DAILY VOL DOWNLOAD'!E308-'GAS DAILY VOL DOWNLOAD'!$B308+$B308</f>
        <v>0.8</v>
      </c>
      <c r="F308" s="292" t="n">
        <f aca="false">'GAS DAILY VOL DOWNLOAD'!F308-'GAS DAILY VOL DOWNLOAD'!$B308+$B308</f>
        <v>0.9</v>
      </c>
      <c r="G308" s="292" t="n">
        <f aca="false">'GAS DAILY VOL DOWNLOAD'!G308-'GAS DAILY VOL DOWNLOAD'!$B308+$B308</f>
        <v>0.95</v>
      </c>
      <c r="H308" s="292" t="n">
        <f aca="false">'GAS DAILY VOL DOWNLOAD'!H308-'GAS DAILY VOL DOWNLOAD'!$B308+$B308</f>
        <v>0.85</v>
      </c>
      <c r="I308" s="292" t="n">
        <f aca="false">'GAS DAILY VOL DOWNLOAD'!I308-'GAS DAILY VOL DOWNLOAD'!$B308+$B308</f>
        <v>0.8</v>
      </c>
      <c r="J308" s="292" t="n">
        <f aca="false">'GAS DAILY VOL DOWNLOAD'!J308-'GAS DAILY VOL DOWNLOAD'!$B308+$B308</f>
        <v>0.95</v>
      </c>
      <c r="K308" s="292" t="n">
        <f aca="false">'GAS DAILY VOL DOWNLOAD'!K308-'GAS DAILY VOL DOWNLOAD'!$B308+$B308</f>
        <v>0</v>
      </c>
      <c r="L308" s="292" t="n">
        <f aca="false">'GAS DAILY VOL DOWNLOAD'!L308-'GAS DAILY VOL DOWNLOAD'!$B308+$B308</f>
        <v>0.8</v>
      </c>
      <c r="M308" s="292" t="n">
        <f aca="false">'GAS DAILY VOL DOWNLOAD'!M308-'GAS DAILY VOL DOWNLOAD'!$B308+$B308</f>
        <v>0.8</v>
      </c>
      <c r="N308" s="292" t="n">
        <f aca="false">'GAS DAILY VOL DOWNLOAD'!N308-'GAS DAILY VOL DOWNLOAD'!$B308+$B308</f>
        <v>0.95</v>
      </c>
      <c r="O308" s="292" t="n">
        <f aca="false">'GAS DAILY VOL DOWNLOAD'!O308-'GAS DAILY VOL DOWNLOAD'!$B308+$B308</f>
        <v>0.15</v>
      </c>
      <c r="P308" s="292" t="n">
        <f aca="false">'GAS DAILY VOL DOWNLOAD'!P308-'GAS DAILY VOL DOWNLOAD'!$B308+$B308</f>
        <v>0.9</v>
      </c>
      <c r="Q308" s="292" t="n">
        <f aca="false">'GAS DAILY VOL DOWNLOAD'!Q308-'GAS DAILY VOL DOWNLOAD'!$B308+$B308</f>
        <v>0</v>
      </c>
    </row>
    <row r="309" customFormat="false" ht="12.75" hidden="false" customHeight="false" outlineLevel="0" collapsed="false">
      <c r="A309" s="317" t="n">
        <v>46357</v>
      </c>
      <c r="B309" s="292" t="n">
        <f aca="false">STRADDLES!L331</f>
        <v>0</v>
      </c>
      <c r="C309" s="292" t="n">
        <f aca="false">'GAS DAILY VOL DOWNLOAD'!C309-'GAS DAILY VOL DOWNLOAD'!$B309+$B309</f>
        <v>1.05</v>
      </c>
      <c r="D309" s="292" t="n">
        <f aca="false">'GAS DAILY VOL DOWNLOAD'!D309-'GAS DAILY VOL DOWNLOAD'!$B309+$B309</f>
        <v>1</v>
      </c>
      <c r="E309" s="292" t="n">
        <f aca="false">'GAS DAILY VOL DOWNLOAD'!E309-'GAS DAILY VOL DOWNLOAD'!$B309+$B309</f>
        <v>1</v>
      </c>
      <c r="F309" s="292" t="n">
        <f aca="false">'GAS DAILY VOL DOWNLOAD'!F309-'GAS DAILY VOL DOWNLOAD'!$B309+$B309</f>
        <v>1.15</v>
      </c>
      <c r="G309" s="292" t="n">
        <f aca="false">'GAS DAILY VOL DOWNLOAD'!G309-'GAS DAILY VOL DOWNLOAD'!$B309+$B309</f>
        <v>1.25</v>
      </c>
      <c r="H309" s="292" t="n">
        <f aca="false">'GAS DAILY VOL DOWNLOAD'!H309-'GAS DAILY VOL DOWNLOAD'!$B309+$B309</f>
        <v>1.05</v>
      </c>
      <c r="I309" s="292" t="n">
        <f aca="false">'GAS DAILY VOL DOWNLOAD'!I309-'GAS DAILY VOL DOWNLOAD'!$B309+$B309</f>
        <v>1</v>
      </c>
      <c r="J309" s="292" t="n">
        <f aca="false">'GAS DAILY VOL DOWNLOAD'!J309-'GAS DAILY VOL DOWNLOAD'!$B309+$B309</f>
        <v>1.35</v>
      </c>
      <c r="K309" s="292" t="n">
        <f aca="false">'GAS DAILY VOL DOWNLOAD'!K309-'GAS DAILY VOL DOWNLOAD'!$B309+$B309</f>
        <v>0</v>
      </c>
      <c r="L309" s="292" t="n">
        <f aca="false">'GAS DAILY VOL DOWNLOAD'!L309-'GAS DAILY VOL DOWNLOAD'!$B309+$B309</f>
        <v>1.1</v>
      </c>
      <c r="M309" s="292" t="n">
        <f aca="false">'GAS DAILY VOL DOWNLOAD'!M309-'GAS DAILY VOL DOWNLOAD'!$B309+$B309</f>
        <v>1</v>
      </c>
      <c r="N309" s="292" t="n">
        <f aca="false">'GAS DAILY VOL DOWNLOAD'!N309-'GAS DAILY VOL DOWNLOAD'!$B309+$B309</f>
        <v>1.25</v>
      </c>
      <c r="O309" s="292" t="n">
        <f aca="false">'GAS DAILY VOL DOWNLOAD'!O309-'GAS DAILY VOL DOWNLOAD'!$B309+$B309</f>
        <v>0.15</v>
      </c>
      <c r="P309" s="292" t="n">
        <f aca="false">'GAS DAILY VOL DOWNLOAD'!P309-'GAS DAILY VOL DOWNLOAD'!$B309+$B309</f>
        <v>1.1</v>
      </c>
      <c r="Q309" s="292" t="n">
        <f aca="false">'GAS DAILY VOL DOWNLOAD'!Q309-'GAS DAILY VOL DOWNLOAD'!$B309+$B309</f>
        <v>0</v>
      </c>
    </row>
    <row r="310" customFormat="false" ht="12.75" hidden="false" customHeight="false" outlineLevel="0" collapsed="false">
      <c r="A310" s="317" t="n">
        <v>46388</v>
      </c>
      <c r="B310" s="292" t="n">
        <f aca="false">STRADDLES!L332</f>
        <v>0</v>
      </c>
      <c r="C310" s="292" t="n">
        <f aca="false">'GAS DAILY VOL DOWNLOAD'!C310-'GAS DAILY VOL DOWNLOAD'!$B310+$B310</f>
        <v>1.05</v>
      </c>
      <c r="D310" s="292" t="n">
        <f aca="false">'GAS DAILY VOL DOWNLOAD'!D310-'GAS DAILY VOL DOWNLOAD'!$B310+$B310</f>
        <v>1</v>
      </c>
      <c r="E310" s="292" t="n">
        <f aca="false">'GAS DAILY VOL DOWNLOAD'!E310-'GAS DAILY VOL DOWNLOAD'!$B310+$B310</f>
        <v>1</v>
      </c>
      <c r="F310" s="292" t="n">
        <f aca="false">'GAS DAILY VOL DOWNLOAD'!F310-'GAS DAILY VOL DOWNLOAD'!$B310+$B310</f>
        <v>1.15</v>
      </c>
      <c r="G310" s="292" t="n">
        <f aca="false">'GAS DAILY VOL DOWNLOAD'!G310-'GAS DAILY VOL DOWNLOAD'!$B310+$B310</f>
        <v>1.45</v>
      </c>
      <c r="H310" s="292" t="n">
        <f aca="false">'GAS DAILY VOL DOWNLOAD'!H310-'GAS DAILY VOL DOWNLOAD'!$B310+$B310</f>
        <v>1.05</v>
      </c>
      <c r="I310" s="292" t="n">
        <f aca="false">'GAS DAILY VOL DOWNLOAD'!I310-'GAS DAILY VOL DOWNLOAD'!$B310+$B310</f>
        <v>1</v>
      </c>
      <c r="J310" s="292" t="n">
        <f aca="false">'GAS DAILY VOL DOWNLOAD'!J310-'GAS DAILY VOL DOWNLOAD'!$B310+$B310</f>
        <v>1.35</v>
      </c>
      <c r="K310" s="292" t="n">
        <f aca="false">'GAS DAILY VOL DOWNLOAD'!K310-'GAS DAILY VOL DOWNLOAD'!$B310+$B310</f>
        <v>0</v>
      </c>
      <c r="L310" s="292" t="n">
        <f aca="false">'GAS DAILY VOL DOWNLOAD'!L310-'GAS DAILY VOL DOWNLOAD'!$B310+$B310</f>
        <v>1.1</v>
      </c>
      <c r="M310" s="292" t="n">
        <f aca="false">'GAS DAILY VOL DOWNLOAD'!M310-'GAS DAILY VOL DOWNLOAD'!$B310+$B310</f>
        <v>1</v>
      </c>
      <c r="N310" s="292" t="n">
        <f aca="false">'GAS DAILY VOL DOWNLOAD'!N310-'GAS DAILY VOL DOWNLOAD'!$B310+$B310</f>
        <v>1.45</v>
      </c>
      <c r="O310" s="292" t="n">
        <f aca="false">'GAS DAILY VOL DOWNLOAD'!O310-'GAS DAILY VOL DOWNLOAD'!$B310+$B310</f>
        <v>0.15</v>
      </c>
      <c r="P310" s="292" t="n">
        <f aca="false">'GAS DAILY VOL DOWNLOAD'!P310-'GAS DAILY VOL DOWNLOAD'!$B310+$B310</f>
        <v>1.1</v>
      </c>
      <c r="Q310" s="292" t="n">
        <f aca="false">'GAS DAILY VOL DOWNLOAD'!Q310-'GAS DAILY VOL DOWNLOAD'!$B310+$B310</f>
        <v>0</v>
      </c>
    </row>
    <row r="311" customFormat="false" ht="12.75" hidden="false" customHeight="false" outlineLevel="0" collapsed="false">
      <c r="A311" s="317" t="n">
        <v>46419</v>
      </c>
      <c r="B311" s="292" t="n">
        <f aca="false">STRADDLES!L333</f>
        <v>0</v>
      </c>
      <c r="C311" s="292" t="n">
        <f aca="false">'GAS DAILY VOL DOWNLOAD'!C311-'GAS DAILY VOL DOWNLOAD'!$B311+$B311</f>
        <v>1.05</v>
      </c>
      <c r="D311" s="292" t="n">
        <f aca="false">'GAS DAILY VOL DOWNLOAD'!D311-'GAS DAILY VOL DOWNLOAD'!$B311+$B311</f>
        <v>1</v>
      </c>
      <c r="E311" s="292" t="n">
        <f aca="false">'GAS DAILY VOL DOWNLOAD'!E311-'GAS DAILY VOL DOWNLOAD'!$B311+$B311</f>
        <v>1</v>
      </c>
      <c r="F311" s="292" t="n">
        <f aca="false">'GAS DAILY VOL DOWNLOAD'!F311-'GAS DAILY VOL DOWNLOAD'!$B311+$B311</f>
        <v>1.15</v>
      </c>
      <c r="G311" s="292" t="n">
        <f aca="false">'GAS DAILY VOL DOWNLOAD'!G311-'GAS DAILY VOL DOWNLOAD'!$B311+$B311</f>
        <v>1.45</v>
      </c>
      <c r="H311" s="292" t="n">
        <f aca="false">'GAS DAILY VOL DOWNLOAD'!H311-'GAS DAILY VOL DOWNLOAD'!$B311+$B311</f>
        <v>1.05</v>
      </c>
      <c r="I311" s="292" t="n">
        <f aca="false">'GAS DAILY VOL DOWNLOAD'!I311-'GAS DAILY VOL DOWNLOAD'!$B311+$B311</f>
        <v>1</v>
      </c>
      <c r="J311" s="292" t="n">
        <f aca="false">'GAS DAILY VOL DOWNLOAD'!J311-'GAS DAILY VOL DOWNLOAD'!$B311+$B311</f>
        <v>1.35</v>
      </c>
      <c r="K311" s="292" t="n">
        <f aca="false">'GAS DAILY VOL DOWNLOAD'!K311-'GAS DAILY VOL DOWNLOAD'!$B311+$B311</f>
        <v>0</v>
      </c>
      <c r="L311" s="292" t="n">
        <f aca="false">'GAS DAILY VOL DOWNLOAD'!L311-'GAS DAILY VOL DOWNLOAD'!$B311+$B311</f>
        <v>1.1</v>
      </c>
      <c r="M311" s="292" t="n">
        <f aca="false">'GAS DAILY VOL DOWNLOAD'!M311-'GAS DAILY VOL DOWNLOAD'!$B311+$B311</f>
        <v>1</v>
      </c>
      <c r="N311" s="292" t="n">
        <f aca="false">'GAS DAILY VOL DOWNLOAD'!N311-'GAS DAILY VOL DOWNLOAD'!$B311+$B311</f>
        <v>1.45</v>
      </c>
      <c r="O311" s="292" t="n">
        <f aca="false">'GAS DAILY VOL DOWNLOAD'!O311-'GAS DAILY VOL DOWNLOAD'!$B311+$B311</f>
        <v>0.15</v>
      </c>
      <c r="P311" s="292" t="n">
        <f aca="false">'GAS DAILY VOL DOWNLOAD'!P311-'GAS DAILY VOL DOWNLOAD'!$B311+$B311</f>
        <v>1.1</v>
      </c>
      <c r="Q311" s="292" t="n">
        <f aca="false">'GAS DAILY VOL DOWNLOAD'!Q311-'GAS DAILY VOL DOWNLOAD'!$B311+$B311</f>
        <v>0</v>
      </c>
    </row>
    <row r="312" customFormat="false" ht="12.75" hidden="false" customHeight="false" outlineLevel="0" collapsed="false">
      <c r="A312" s="317" t="n">
        <v>46447</v>
      </c>
      <c r="B312" s="292" t="n">
        <f aca="false">STRADDLES!L334</f>
        <v>0</v>
      </c>
      <c r="C312" s="292" t="n">
        <f aca="false">'GAS DAILY VOL DOWNLOAD'!C312-'GAS DAILY VOL DOWNLOAD'!$B312+$B312</f>
        <v>0.8</v>
      </c>
      <c r="D312" s="292" t="n">
        <f aca="false">'GAS DAILY VOL DOWNLOAD'!D312-'GAS DAILY VOL DOWNLOAD'!$B312+$B312</f>
        <v>0.75</v>
      </c>
      <c r="E312" s="292" t="n">
        <f aca="false">'GAS DAILY VOL DOWNLOAD'!E312-'GAS DAILY VOL DOWNLOAD'!$B312+$B312</f>
        <v>0.75</v>
      </c>
      <c r="F312" s="292" t="n">
        <f aca="false">'GAS DAILY VOL DOWNLOAD'!F312-'GAS DAILY VOL DOWNLOAD'!$B312+$B312</f>
        <v>0.85</v>
      </c>
      <c r="G312" s="292" t="n">
        <f aca="false">'GAS DAILY VOL DOWNLOAD'!G312-'GAS DAILY VOL DOWNLOAD'!$B312+$B312</f>
        <v>1</v>
      </c>
      <c r="H312" s="292" t="n">
        <f aca="false">'GAS DAILY VOL DOWNLOAD'!H312-'GAS DAILY VOL DOWNLOAD'!$B312+$B312</f>
        <v>0.75</v>
      </c>
      <c r="I312" s="292" t="n">
        <f aca="false">'GAS DAILY VOL DOWNLOAD'!I312-'GAS DAILY VOL DOWNLOAD'!$B312+$B312</f>
        <v>0.75</v>
      </c>
      <c r="J312" s="292" t="n">
        <f aca="false">'GAS DAILY VOL DOWNLOAD'!J312-'GAS DAILY VOL DOWNLOAD'!$B312+$B312</f>
        <v>0.95</v>
      </c>
      <c r="K312" s="292" t="n">
        <f aca="false">'GAS DAILY VOL DOWNLOAD'!K312-'GAS DAILY VOL DOWNLOAD'!$B312+$B312</f>
        <v>0</v>
      </c>
      <c r="L312" s="292" t="n">
        <f aca="false">'GAS DAILY VOL DOWNLOAD'!L312-'GAS DAILY VOL DOWNLOAD'!$B312+$B312</f>
        <v>0.75</v>
      </c>
      <c r="M312" s="292" t="n">
        <f aca="false">'GAS DAILY VOL DOWNLOAD'!M312-'GAS DAILY VOL DOWNLOAD'!$B312+$B312</f>
        <v>0.75</v>
      </c>
      <c r="N312" s="292" t="n">
        <f aca="false">'GAS DAILY VOL DOWNLOAD'!N312-'GAS DAILY VOL DOWNLOAD'!$B312+$B312</f>
        <v>1</v>
      </c>
      <c r="O312" s="292" t="n">
        <f aca="false">'GAS DAILY VOL DOWNLOAD'!O312-'GAS DAILY VOL DOWNLOAD'!$B312+$B312</f>
        <v>0.15</v>
      </c>
      <c r="P312" s="292" t="n">
        <f aca="false">'GAS DAILY VOL DOWNLOAD'!P312-'GAS DAILY VOL DOWNLOAD'!$B312+$B312</f>
        <v>0.85</v>
      </c>
      <c r="Q312" s="292" t="n">
        <f aca="false">'GAS DAILY VOL DOWNLOAD'!Q312-'GAS DAILY VOL DOWNLOAD'!$B312+$B312</f>
        <v>0</v>
      </c>
    </row>
    <row r="313" customFormat="false" ht="12.75" hidden="false" customHeight="false" outlineLevel="0" collapsed="false">
      <c r="A313" s="317" t="n">
        <v>46478</v>
      </c>
      <c r="B313" s="292" t="n">
        <f aca="false">STRADDLES!L335</f>
        <v>0</v>
      </c>
      <c r="C313" s="292" t="n">
        <f aca="false">'GAS DAILY VOL DOWNLOAD'!C313-'GAS DAILY VOL DOWNLOAD'!$B313+$B313</f>
        <v>0.45</v>
      </c>
      <c r="D313" s="292" t="n">
        <f aca="false">'GAS DAILY VOL DOWNLOAD'!D313-'GAS DAILY VOL DOWNLOAD'!$B313+$B313</f>
        <v>0.4</v>
      </c>
      <c r="E313" s="292" t="n">
        <f aca="false">'GAS DAILY VOL DOWNLOAD'!E313-'GAS DAILY VOL DOWNLOAD'!$B313+$B313</f>
        <v>0.45</v>
      </c>
      <c r="F313" s="292" t="n">
        <f aca="false">'GAS DAILY VOL DOWNLOAD'!F313-'GAS DAILY VOL DOWNLOAD'!$B313+$B313</f>
        <v>0.45</v>
      </c>
      <c r="G313" s="292" t="n">
        <f aca="false">'GAS DAILY VOL DOWNLOAD'!G313-'GAS DAILY VOL DOWNLOAD'!$B313+$B313</f>
        <v>0.45</v>
      </c>
      <c r="H313" s="292" t="n">
        <f aca="false">'GAS DAILY VOL DOWNLOAD'!H313-'GAS DAILY VOL DOWNLOAD'!$B313+$B313</f>
        <v>0.45</v>
      </c>
      <c r="I313" s="292" t="n">
        <f aca="false">'GAS DAILY VOL DOWNLOAD'!I313-'GAS DAILY VOL DOWNLOAD'!$B313+$B313</f>
        <v>0.45</v>
      </c>
      <c r="J313" s="292" t="n">
        <f aca="false">'GAS DAILY VOL DOWNLOAD'!J313-'GAS DAILY VOL DOWNLOAD'!$B313+$B313</f>
        <v>0.5</v>
      </c>
      <c r="K313" s="292" t="n">
        <f aca="false">'GAS DAILY VOL DOWNLOAD'!K313-'GAS DAILY VOL DOWNLOAD'!$B313+$B313</f>
        <v>0</v>
      </c>
      <c r="L313" s="292" t="n">
        <f aca="false">'GAS DAILY VOL DOWNLOAD'!L313-'GAS DAILY VOL DOWNLOAD'!$B313+$B313</f>
        <v>0.45</v>
      </c>
      <c r="M313" s="292" t="n">
        <f aca="false">'GAS DAILY VOL DOWNLOAD'!M313-'GAS DAILY VOL DOWNLOAD'!$B313+$B313</f>
        <v>0.4</v>
      </c>
      <c r="N313" s="292" t="n">
        <f aca="false">'GAS DAILY VOL DOWNLOAD'!N313-'GAS DAILY VOL DOWNLOAD'!$B313+$B313</f>
        <v>0.45</v>
      </c>
      <c r="O313" s="292" t="n">
        <f aca="false">'GAS DAILY VOL DOWNLOAD'!O313-'GAS DAILY VOL DOWNLOAD'!$B313+$B313</f>
        <v>0.15</v>
      </c>
      <c r="P313" s="292" t="n">
        <f aca="false">'GAS DAILY VOL DOWNLOAD'!P313-'GAS DAILY VOL DOWNLOAD'!$B313+$B313</f>
        <v>0.55</v>
      </c>
      <c r="Q313" s="292" t="n">
        <f aca="false">'GAS DAILY VOL DOWNLOAD'!Q313-'GAS DAILY VOL DOWNLOAD'!$B313+$B313</f>
        <v>0</v>
      </c>
    </row>
    <row r="314" customFormat="false" ht="12.75" hidden="false" customHeight="false" outlineLevel="0" collapsed="false">
      <c r="A314" s="317" t="n">
        <v>46508</v>
      </c>
      <c r="B314" s="292" t="n">
        <f aca="false">STRADDLES!L336</f>
        <v>0</v>
      </c>
      <c r="C314" s="292" t="n">
        <f aca="false">'GAS DAILY VOL DOWNLOAD'!C314-'GAS DAILY VOL DOWNLOAD'!$B314+$B314</f>
        <v>0.5</v>
      </c>
      <c r="D314" s="292" t="n">
        <f aca="false">'GAS DAILY VOL DOWNLOAD'!D314-'GAS DAILY VOL DOWNLOAD'!$B314+$B314</f>
        <v>0.4</v>
      </c>
      <c r="E314" s="292" t="n">
        <f aca="false">'GAS DAILY VOL DOWNLOAD'!E314-'GAS DAILY VOL DOWNLOAD'!$B314+$B314</f>
        <v>0.4</v>
      </c>
      <c r="F314" s="292" t="n">
        <f aca="false">'GAS DAILY VOL DOWNLOAD'!F314-'GAS DAILY VOL DOWNLOAD'!$B314+$B314</f>
        <v>0.45</v>
      </c>
      <c r="G314" s="292" t="n">
        <f aca="false">'GAS DAILY VOL DOWNLOAD'!G314-'GAS DAILY VOL DOWNLOAD'!$B314+$B314</f>
        <v>0.5</v>
      </c>
      <c r="H314" s="292" t="n">
        <f aca="false">'GAS DAILY VOL DOWNLOAD'!H314-'GAS DAILY VOL DOWNLOAD'!$B314+$B314</f>
        <v>0.45</v>
      </c>
      <c r="I314" s="292" t="n">
        <f aca="false">'GAS DAILY VOL DOWNLOAD'!I314-'GAS DAILY VOL DOWNLOAD'!$B314+$B314</f>
        <v>0.4</v>
      </c>
      <c r="J314" s="292" t="n">
        <f aca="false">'GAS DAILY VOL DOWNLOAD'!J314-'GAS DAILY VOL DOWNLOAD'!$B314+$B314</f>
        <v>0.45</v>
      </c>
      <c r="K314" s="292" t="n">
        <f aca="false">'GAS DAILY VOL DOWNLOAD'!K314-'GAS DAILY VOL DOWNLOAD'!$B314+$B314</f>
        <v>0</v>
      </c>
      <c r="L314" s="292" t="n">
        <f aca="false">'GAS DAILY VOL DOWNLOAD'!L314-'GAS DAILY VOL DOWNLOAD'!$B314+$B314</f>
        <v>0.5</v>
      </c>
      <c r="M314" s="292" t="n">
        <f aca="false">'GAS DAILY VOL DOWNLOAD'!M314-'GAS DAILY VOL DOWNLOAD'!$B314+$B314</f>
        <v>0.45</v>
      </c>
      <c r="N314" s="292" t="n">
        <f aca="false">'GAS DAILY VOL DOWNLOAD'!N314-'GAS DAILY VOL DOWNLOAD'!$B314+$B314</f>
        <v>0.5</v>
      </c>
      <c r="O314" s="292" t="n">
        <f aca="false">'GAS DAILY VOL DOWNLOAD'!O314-'GAS DAILY VOL DOWNLOAD'!$B314+$B314</f>
        <v>0.15</v>
      </c>
      <c r="P314" s="292" t="n">
        <f aca="false">'GAS DAILY VOL DOWNLOAD'!P314-'GAS DAILY VOL DOWNLOAD'!$B314+$B314</f>
        <v>0.5</v>
      </c>
      <c r="Q314" s="292" t="n">
        <f aca="false">'GAS DAILY VOL DOWNLOAD'!Q314-'GAS DAILY VOL DOWNLOAD'!$B314+$B314</f>
        <v>0</v>
      </c>
    </row>
    <row r="315" customFormat="false" ht="12.75" hidden="false" customHeight="false" outlineLevel="0" collapsed="false">
      <c r="A315" s="317" t="n">
        <v>46539</v>
      </c>
      <c r="B315" s="292" t="n">
        <f aca="false">STRADDLES!L337</f>
        <v>0</v>
      </c>
      <c r="C315" s="292" t="n">
        <f aca="false">'GAS DAILY VOL DOWNLOAD'!C315-'GAS DAILY VOL DOWNLOAD'!$B315+$B315</f>
        <v>0.5</v>
      </c>
      <c r="D315" s="292" t="n">
        <f aca="false">'GAS DAILY VOL DOWNLOAD'!D315-'GAS DAILY VOL DOWNLOAD'!$B315+$B315</f>
        <v>0.4</v>
      </c>
      <c r="E315" s="292" t="n">
        <f aca="false">'GAS DAILY VOL DOWNLOAD'!E315-'GAS DAILY VOL DOWNLOAD'!$B315+$B315</f>
        <v>0.5</v>
      </c>
      <c r="F315" s="292" t="n">
        <f aca="false">'GAS DAILY VOL DOWNLOAD'!F315-'GAS DAILY VOL DOWNLOAD'!$B315+$B315</f>
        <v>0.45</v>
      </c>
      <c r="G315" s="292" t="n">
        <f aca="false">'GAS DAILY VOL DOWNLOAD'!G315-'GAS DAILY VOL DOWNLOAD'!$B315+$B315</f>
        <v>0.5</v>
      </c>
      <c r="H315" s="292" t="n">
        <f aca="false">'GAS DAILY VOL DOWNLOAD'!H315-'GAS DAILY VOL DOWNLOAD'!$B315+$B315</f>
        <v>0.5</v>
      </c>
      <c r="I315" s="292" t="n">
        <f aca="false">'GAS DAILY VOL DOWNLOAD'!I315-'GAS DAILY VOL DOWNLOAD'!$B315+$B315</f>
        <v>0.5</v>
      </c>
      <c r="J315" s="292" t="n">
        <f aca="false">'GAS DAILY VOL DOWNLOAD'!J315-'GAS DAILY VOL DOWNLOAD'!$B315+$B315</f>
        <v>0.5</v>
      </c>
      <c r="K315" s="292" t="n">
        <f aca="false">'GAS DAILY VOL DOWNLOAD'!K315-'GAS DAILY VOL DOWNLOAD'!$B315+$B315</f>
        <v>0</v>
      </c>
      <c r="L315" s="292" t="n">
        <f aca="false">'GAS DAILY VOL DOWNLOAD'!L315-'GAS DAILY VOL DOWNLOAD'!$B315+$B315</f>
        <v>0.5</v>
      </c>
      <c r="M315" s="292" t="n">
        <f aca="false">'GAS DAILY VOL DOWNLOAD'!M315-'GAS DAILY VOL DOWNLOAD'!$B315+$B315</f>
        <v>0.45</v>
      </c>
      <c r="N315" s="292" t="n">
        <f aca="false">'GAS DAILY VOL DOWNLOAD'!N315-'GAS DAILY VOL DOWNLOAD'!$B315+$B315</f>
        <v>0.5</v>
      </c>
      <c r="O315" s="292" t="n">
        <f aca="false">'GAS DAILY VOL DOWNLOAD'!O315-'GAS DAILY VOL DOWNLOAD'!$B315+$B315</f>
        <v>0.15</v>
      </c>
      <c r="P315" s="292" t="n">
        <f aca="false">'GAS DAILY VOL DOWNLOAD'!P315-'GAS DAILY VOL DOWNLOAD'!$B315+$B315</f>
        <v>0.6</v>
      </c>
      <c r="Q315" s="292" t="n">
        <f aca="false">'GAS DAILY VOL DOWNLOAD'!Q315-'GAS DAILY VOL DOWNLOAD'!$B315+$B315</f>
        <v>0</v>
      </c>
    </row>
    <row r="316" customFormat="false" ht="12.75" hidden="false" customHeight="false" outlineLevel="0" collapsed="false">
      <c r="A316" s="317" t="n">
        <v>46569</v>
      </c>
      <c r="B316" s="292" t="n">
        <f aca="false">STRADDLES!L338</f>
        <v>0</v>
      </c>
      <c r="C316" s="292" t="n">
        <f aca="false">'GAS DAILY VOL DOWNLOAD'!C316-'GAS DAILY VOL DOWNLOAD'!$B316+$B316</f>
        <v>0.5</v>
      </c>
      <c r="D316" s="292" t="n">
        <f aca="false">'GAS DAILY VOL DOWNLOAD'!D316-'GAS DAILY VOL DOWNLOAD'!$B316+$B316</f>
        <v>0.4</v>
      </c>
      <c r="E316" s="292" t="n">
        <f aca="false">'GAS DAILY VOL DOWNLOAD'!E316-'GAS DAILY VOL DOWNLOAD'!$B316+$B316</f>
        <v>0.5</v>
      </c>
      <c r="F316" s="292" t="n">
        <f aca="false">'GAS DAILY VOL DOWNLOAD'!F316-'GAS DAILY VOL DOWNLOAD'!$B316+$B316</f>
        <v>0.5</v>
      </c>
      <c r="G316" s="292" t="n">
        <f aca="false">'GAS DAILY VOL DOWNLOAD'!G316-'GAS DAILY VOL DOWNLOAD'!$B316+$B316</f>
        <v>0.5</v>
      </c>
      <c r="H316" s="292" t="n">
        <f aca="false">'GAS DAILY VOL DOWNLOAD'!H316-'GAS DAILY VOL DOWNLOAD'!$B316+$B316</f>
        <v>0.5</v>
      </c>
      <c r="I316" s="292" t="n">
        <f aca="false">'GAS DAILY VOL DOWNLOAD'!I316-'GAS DAILY VOL DOWNLOAD'!$B316+$B316</f>
        <v>0.5</v>
      </c>
      <c r="J316" s="292" t="n">
        <f aca="false">'GAS DAILY VOL DOWNLOAD'!J316-'GAS DAILY VOL DOWNLOAD'!$B316+$B316</f>
        <v>0.5</v>
      </c>
      <c r="K316" s="292" t="n">
        <f aca="false">'GAS DAILY VOL DOWNLOAD'!K316-'GAS DAILY VOL DOWNLOAD'!$B316+$B316</f>
        <v>0</v>
      </c>
      <c r="L316" s="292" t="n">
        <f aca="false">'GAS DAILY VOL DOWNLOAD'!L316-'GAS DAILY VOL DOWNLOAD'!$B316+$B316</f>
        <v>0.55</v>
      </c>
      <c r="M316" s="292" t="n">
        <f aca="false">'GAS DAILY VOL DOWNLOAD'!M316-'GAS DAILY VOL DOWNLOAD'!$B316+$B316</f>
        <v>0.5</v>
      </c>
      <c r="N316" s="292" t="n">
        <f aca="false">'GAS DAILY VOL DOWNLOAD'!N316-'GAS DAILY VOL DOWNLOAD'!$B316+$B316</f>
        <v>0.5</v>
      </c>
      <c r="O316" s="292" t="n">
        <f aca="false">'GAS DAILY VOL DOWNLOAD'!O316-'GAS DAILY VOL DOWNLOAD'!$B316+$B316</f>
        <v>0.15</v>
      </c>
      <c r="P316" s="292" t="n">
        <f aca="false">'GAS DAILY VOL DOWNLOAD'!P316-'GAS DAILY VOL DOWNLOAD'!$B316+$B316</f>
        <v>0.6</v>
      </c>
      <c r="Q316" s="292" t="n">
        <f aca="false">'GAS DAILY VOL DOWNLOAD'!Q316-'GAS DAILY VOL DOWNLOAD'!$B316+$B316</f>
        <v>0</v>
      </c>
    </row>
    <row r="317" customFormat="false" ht="12.75" hidden="false" customHeight="false" outlineLevel="0" collapsed="false">
      <c r="A317" s="317" t="n">
        <v>46600</v>
      </c>
      <c r="B317" s="292" t="n">
        <f aca="false">STRADDLES!L339</f>
        <v>0</v>
      </c>
      <c r="C317" s="292" t="n">
        <f aca="false">'GAS DAILY VOL DOWNLOAD'!C317-'GAS DAILY VOL DOWNLOAD'!$B317+$B317</f>
        <v>0.55</v>
      </c>
      <c r="D317" s="292" t="n">
        <f aca="false">'GAS DAILY VOL DOWNLOAD'!D317-'GAS DAILY VOL DOWNLOAD'!$B317+$B317</f>
        <v>0.5</v>
      </c>
      <c r="E317" s="292" t="n">
        <f aca="false">'GAS DAILY VOL DOWNLOAD'!E317-'GAS DAILY VOL DOWNLOAD'!$B317+$B317</f>
        <v>0.6</v>
      </c>
      <c r="F317" s="292" t="n">
        <f aca="false">'GAS DAILY VOL DOWNLOAD'!F317-'GAS DAILY VOL DOWNLOAD'!$B317+$B317</f>
        <v>0.55</v>
      </c>
      <c r="G317" s="292" t="n">
        <f aca="false">'GAS DAILY VOL DOWNLOAD'!G317-'GAS DAILY VOL DOWNLOAD'!$B317+$B317</f>
        <v>0.6</v>
      </c>
      <c r="H317" s="292" t="n">
        <f aca="false">'GAS DAILY VOL DOWNLOAD'!H317-'GAS DAILY VOL DOWNLOAD'!$B317+$B317</f>
        <v>0.55</v>
      </c>
      <c r="I317" s="292" t="n">
        <f aca="false">'GAS DAILY VOL DOWNLOAD'!I317-'GAS DAILY VOL DOWNLOAD'!$B317+$B317</f>
        <v>0.6</v>
      </c>
      <c r="J317" s="292" t="n">
        <f aca="false">'GAS DAILY VOL DOWNLOAD'!J317-'GAS DAILY VOL DOWNLOAD'!$B317+$B317</f>
        <v>0.45</v>
      </c>
      <c r="K317" s="292" t="n">
        <f aca="false">'GAS DAILY VOL DOWNLOAD'!K317-'GAS DAILY VOL DOWNLOAD'!$B317+$B317</f>
        <v>0</v>
      </c>
      <c r="L317" s="292" t="n">
        <f aca="false">'GAS DAILY VOL DOWNLOAD'!L317-'GAS DAILY VOL DOWNLOAD'!$B317+$B317</f>
        <v>0.6</v>
      </c>
      <c r="M317" s="292" t="n">
        <f aca="false">'GAS DAILY VOL DOWNLOAD'!M317-'GAS DAILY VOL DOWNLOAD'!$B317+$B317</f>
        <v>0.55</v>
      </c>
      <c r="N317" s="292" t="n">
        <f aca="false">'GAS DAILY VOL DOWNLOAD'!N317-'GAS DAILY VOL DOWNLOAD'!$B317+$B317</f>
        <v>0.6</v>
      </c>
      <c r="O317" s="292" t="n">
        <f aca="false">'GAS DAILY VOL DOWNLOAD'!O317-'GAS DAILY VOL DOWNLOAD'!$B317+$B317</f>
        <v>0.15</v>
      </c>
      <c r="P317" s="292" t="n">
        <f aca="false">'GAS DAILY VOL DOWNLOAD'!P317-'GAS DAILY VOL DOWNLOAD'!$B317+$B317</f>
        <v>0.7</v>
      </c>
      <c r="Q317" s="292" t="n">
        <f aca="false">'GAS DAILY VOL DOWNLOAD'!Q317-'GAS DAILY VOL DOWNLOAD'!$B317+$B317</f>
        <v>0</v>
      </c>
    </row>
    <row r="318" customFormat="false" ht="12.75" hidden="false" customHeight="false" outlineLevel="0" collapsed="false">
      <c r="A318" s="317" t="n">
        <v>46631</v>
      </c>
      <c r="B318" s="292" t="n">
        <f aca="false">STRADDLES!L340</f>
        <v>0</v>
      </c>
      <c r="C318" s="292" t="n">
        <f aca="false">'GAS DAILY VOL DOWNLOAD'!C318-'GAS DAILY VOL DOWNLOAD'!$B318+$B318</f>
        <v>0.55</v>
      </c>
      <c r="D318" s="292" t="n">
        <f aca="false">'GAS DAILY VOL DOWNLOAD'!D318-'GAS DAILY VOL DOWNLOAD'!$B318+$B318</f>
        <v>0.55</v>
      </c>
      <c r="E318" s="292" t="n">
        <f aca="false">'GAS DAILY VOL DOWNLOAD'!E318-'GAS DAILY VOL DOWNLOAD'!$B318+$B318</f>
        <v>0.55</v>
      </c>
      <c r="F318" s="292" t="n">
        <f aca="false">'GAS DAILY VOL DOWNLOAD'!F318-'GAS DAILY VOL DOWNLOAD'!$B318+$B318</f>
        <v>0.55</v>
      </c>
      <c r="G318" s="292" t="n">
        <f aca="false">'GAS DAILY VOL DOWNLOAD'!G318-'GAS DAILY VOL DOWNLOAD'!$B318+$B318</f>
        <v>0.6</v>
      </c>
      <c r="H318" s="292" t="n">
        <f aca="false">'GAS DAILY VOL DOWNLOAD'!H318-'GAS DAILY VOL DOWNLOAD'!$B318+$B318</f>
        <v>0.6</v>
      </c>
      <c r="I318" s="292" t="n">
        <f aca="false">'GAS DAILY VOL DOWNLOAD'!I318-'GAS DAILY VOL DOWNLOAD'!$B318+$B318</f>
        <v>0.55</v>
      </c>
      <c r="J318" s="292" t="n">
        <f aca="false">'GAS DAILY VOL DOWNLOAD'!J318-'GAS DAILY VOL DOWNLOAD'!$B318+$B318</f>
        <v>0.5</v>
      </c>
      <c r="K318" s="292" t="n">
        <f aca="false">'GAS DAILY VOL DOWNLOAD'!K318-'GAS DAILY VOL DOWNLOAD'!$B318+$B318</f>
        <v>0</v>
      </c>
      <c r="L318" s="292" t="n">
        <f aca="false">'GAS DAILY VOL DOWNLOAD'!L318-'GAS DAILY VOL DOWNLOAD'!$B318+$B318</f>
        <v>0.6</v>
      </c>
      <c r="M318" s="292" t="n">
        <f aca="false">'GAS DAILY VOL DOWNLOAD'!M318-'GAS DAILY VOL DOWNLOAD'!$B318+$B318</f>
        <v>0.55</v>
      </c>
      <c r="N318" s="292" t="n">
        <f aca="false">'GAS DAILY VOL DOWNLOAD'!N318-'GAS DAILY VOL DOWNLOAD'!$B318+$B318</f>
        <v>0.6</v>
      </c>
      <c r="O318" s="292" t="n">
        <f aca="false">'GAS DAILY VOL DOWNLOAD'!O318-'GAS DAILY VOL DOWNLOAD'!$B318+$B318</f>
        <v>0.15</v>
      </c>
      <c r="P318" s="292" t="n">
        <f aca="false">'GAS DAILY VOL DOWNLOAD'!P318-'GAS DAILY VOL DOWNLOAD'!$B318+$B318</f>
        <v>0.65</v>
      </c>
      <c r="Q318" s="292" t="n">
        <f aca="false">'GAS DAILY VOL DOWNLOAD'!Q318-'GAS DAILY VOL DOWNLOAD'!$B318+$B318</f>
        <v>0</v>
      </c>
    </row>
    <row r="319" customFormat="false" ht="12.75" hidden="false" customHeight="false" outlineLevel="0" collapsed="false">
      <c r="A319" s="317" t="n">
        <v>46661</v>
      </c>
      <c r="B319" s="292" t="n">
        <f aca="false">STRADDLES!L341</f>
        <v>0</v>
      </c>
      <c r="C319" s="292" t="n">
        <f aca="false">'GAS DAILY VOL DOWNLOAD'!C319-'GAS DAILY VOL DOWNLOAD'!$B319+$B319</f>
        <v>0.6</v>
      </c>
      <c r="D319" s="292" t="n">
        <f aca="false">'GAS DAILY VOL DOWNLOAD'!D319-'GAS DAILY VOL DOWNLOAD'!$B319+$B319</f>
        <v>0.55</v>
      </c>
      <c r="E319" s="292" t="n">
        <f aca="false">'GAS DAILY VOL DOWNLOAD'!E319-'GAS DAILY VOL DOWNLOAD'!$B319+$B319</f>
        <v>0.6</v>
      </c>
      <c r="F319" s="292" t="n">
        <f aca="false">'GAS DAILY VOL DOWNLOAD'!F319-'GAS DAILY VOL DOWNLOAD'!$B319+$B319</f>
        <v>0.6</v>
      </c>
      <c r="G319" s="292" t="n">
        <f aca="false">'GAS DAILY VOL DOWNLOAD'!G319-'GAS DAILY VOL DOWNLOAD'!$B319+$B319</f>
        <v>0.65</v>
      </c>
      <c r="H319" s="292" t="n">
        <f aca="false">'GAS DAILY VOL DOWNLOAD'!H319-'GAS DAILY VOL DOWNLOAD'!$B319+$B319</f>
        <v>0.65</v>
      </c>
      <c r="I319" s="292" t="n">
        <f aca="false">'GAS DAILY VOL DOWNLOAD'!I319-'GAS DAILY VOL DOWNLOAD'!$B319+$B319</f>
        <v>0.6</v>
      </c>
      <c r="J319" s="292" t="n">
        <f aca="false">'GAS DAILY VOL DOWNLOAD'!J319-'GAS DAILY VOL DOWNLOAD'!$B319+$B319</f>
        <v>0.5</v>
      </c>
      <c r="K319" s="292" t="n">
        <f aca="false">'GAS DAILY VOL DOWNLOAD'!K319-'GAS DAILY VOL DOWNLOAD'!$B319+$B319</f>
        <v>0</v>
      </c>
      <c r="L319" s="292" t="n">
        <f aca="false">'GAS DAILY VOL DOWNLOAD'!L319-'GAS DAILY VOL DOWNLOAD'!$B319+$B319</f>
        <v>0.65</v>
      </c>
      <c r="M319" s="292" t="n">
        <f aca="false">'GAS DAILY VOL DOWNLOAD'!M319-'GAS DAILY VOL DOWNLOAD'!$B319+$B319</f>
        <v>0.6</v>
      </c>
      <c r="N319" s="292" t="n">
        <f aca="false">'GAS DAILY VOL DOWNLOAD'!N319-'GAS DAILY VOL DOWNLOAD'!$B319+$B319</f>
        <v>0.65</v>
      </c>
      <c r="O319" s="292" t="n">
        <f aca="false">'GAS DAILY VOL DOWNLOAD'!O319-'GAS DAILY VOL DOWNLOAD'!$B319+$B319</f>
        <v>0.15</v>
      </c>
      <c r="P319" s="292" t="n">
        <f aca="false">'GAS DAILY VOL DOWNLOAD'!P319-'GAS DAILY VOL DOWNLOAD'!$B319+$B319</f>
        <v>0.7</v>
      </c>
      <c r="Q319" s="292" t="n">
        <f aca="false">'GAS DAILY VOL DOWNLOAD'!Q319-'GAS DAILY VOL DOWNLOAD'!$B319+$B319</f>
        <v>0</v>
      </c>
    </row>
    <row r="320" customFormat="false" ht="12.75" hidden="false" customHeight="false" outlineLevel="0" collapsed="false">
      <c r="A320" s="317" t="n">
        <v>46692</v>
      </c>
      <c r="B320" s="292" t="n">
        <f aca="false">STRADDLES!L342</f>
        <v>0</v>
      </c>
      <c r="C320" s="292" t="n">
        <f aca="false">'GAS DAILY VOL DOWNLOAD'!C320-'GAS DAILY VOL DOWNLOAD'!$B320+$B320</f>
        <v>0.85</v>
      </c>
      <c r="D320" s="292" t="n">
        <f aca="false">'GAS DAILY VOL DOWNLOAD'!D320-'GAS DAILY VOL DOWNLOAD'!$B320+$B320</f>
        <v>0.8</v>
      </c>
      <c r="E320" s="292" t="n">
        <f aca="false">'GAS DAILY VOL DOWNLOAD'!E320-'GAS DAILY VOL DOWNLOAD'!$B320+$B320</f>
        <v>0.8</v>
      </c>
      <c r="F320" s="292" t="n">
        <f aca="false">'GAS DAILY VOL DOWNLOAD'!F320-'GAS DAILY VOL DOWNLOAD'!$B320+$B320</f>
        <v>0.9</v>
      </c>
      <c r="G320" s="292" t="n">
        <f aca="false">'GAS DAILY VOL DOWNLOAD'!G320-'GAS DAILY VOL DOWNLOAD'!$B320+$B320</f>
        <v>0.95</v>
      </c>
      <c r="H320" s="292" t="n">
        <f aca="false">'GAS DAILY VOL DOWNLOAD'!H320-'GAS DAILY VOL DOWNLOAD'!$B320+$B320</f>
        <v>0.85</v>
      </c>
      <c r="I320" s="292" t="n">
        <f aca="false">'GAS DAILY VOL DOWNLOAD'!I320-'GAS DAILY VOL DOWNLOAD'!$B320+$B320</f>
        <v>0.8</v>
      </c>
      <c r="J320" s="292" t="n">
        <f aca="false">'GAS DAILY VOL DOWNLOAD'!J320-'GAS DAILY VOL DOWNLOAD'!$B320+$B320</f>
        <v>0.95</v>
      </c>
      <c r="K320" s="292" t="n">
        <f aca="false">'GAS DAILY VOL DOWNLOAD'!K320-'GAS DAILY VOL DOWNLOAD'!$B320+$B320</f>
        <v>0</v>
      </c>
      <c r="L320" s="292" t="n">
        <f aca="false">'GAS DAILY VOL DOWNLOAD'!L320-'GAS DAILY VOL DOWNLOAD'!$B320+$B320</f>
        <v>0.8</v>
      </c>
      <c r="M320" s="292" t="n">
        <f aca="false">'GAS DAILY VOL DOWNLOAD'!M320-'GAS DAILY VOL DOWNLOAD'!$B320+$B320</f>
        <v>0.8</v>
      </c>
      <c r="N320" s="292" t="n">
        <f aca="false">'GAS DAILY VOL DOWNLOAD'!N320-'GAS DAILY VOL DOWNLOAD'!$B320+$B320</f>
        <v>0.95</v>
      </c>
      <c r="O320" s="292" t="n">
        <f aca="false">'GAS DAILY VOL DOWNLOAD'!O320-'GAS DAILY VOL DOWNLOAD'!$B320+$B320</f>
        <v>0.15</v>
      </c>
      <c r="P320" s="292" t="n">
        <f aca="false">'GAS DAILY VOL DOWNLOAD'!P320-'GAS DAILY VOL DOWNLOAD'!$B320+$B320</f>
        <v>0.9</v>
      </c>
      <c r="Q320" s="292" t="n">
        <f aca="false">'GAS DAILY VOL DOWNLOAD'!Q320-'GAS DAILY VOL DOWNLOAD'!$B320+$B320</f>
        <v>0</v>
      </c>
    </row>
    <row r="321" customFormat="false" ht="12.75" hidden="false" customHeight="false" outlineLevel="0" collapsed="false">
      <c r="A321" s="317" t="n">
        <v>46722</v>
      </c>
      <c r="B321" s="292" t="n">
        <f aca="false">STRADDLES!L343</f>
        <v>0</v>
      </c>
      <c r="C321" s="292" t="n">
        <f aca="false">'GAS DAILY VOL DOWNLOAD'!C321-'GAS DAILY VOL DOWNLOAD'!$B321+$B321</f>
        <v>1.05</v>
      </c>
      <c r="D321" s="292" t="n">
        <f aca="false">'GAS DAILY VOL DOWNLOAD'!D321-'GAS DAILY VOL DOWNLOAD'!$B321+$B321</f>
        <v>1</v>
      </c>
      <c r="E321" s="292" t="n">
        <f aca="false">'GAS DAILY VOL DOWNLOAD'!E321-'GAS DAILY VOL DOWNLOAD'!$B321+$B321</f>
        <v>1</v>
      </c>
      <c r="F321" s="292" t="n">
        <f aca="false">'GAS DAILY VOL DOWNLOAD'!F321-'GAS DAILY VOL DOWNLOAD'!$B321+$B321</f>
        <v>1.15</v>
      </c>
      <c r="G321" s="292" t="n">
        <f aca="false">'GAS DAILY VOL DOWNLOAD'!G321-'GAS DAILY VOL DOWNLOAD'!$B321+$B321</f>
        <v>1.25</v>
      </c>
      <c r="H321" s="292" t="n">
        <f aca="false">'GAS DAILY VOL DOWNLOAD'!H321-'GAS DAILY VOL DOWNLOAD'!$B321+$B321</f>
        <v>1.05</v>
      </c>
      <c r="I321" s="292" t="n">
        <f aca="false">'GAS DAILY VOL DOWNLOAD'!I321-'GAS DAILY VOL DOWNLOAD'!$B321+$B321</f>
        <v>1</v>
      </c>
      <c r="J321" s="292" t="n">
        <f aca="false">'GAS DAILY VOL DOWNLOAD'!J321-'GAS DAILY VOL DOWNLOAD'!$B321+$B321</f>
        <v>1.35</v>
      </c>
      <c r="K321" s="292" t="n">
        <f aca="false">'GAS DAILY VOL DOWNLOAD'!K321-'GAS DAILY VOL DOWNLOAD'!$B321+$B321</f>
        <v>0</v>
      </c>
      <c r="L321" s="292" t="n">
        <f aca="false">'GAS DAILY VOL DOWNLOAD'!L321-'GAS DAILY VOL DOWNLOAD'!$B321+$B321</f>
        <v>1.1</v>
      </c>
      <c r="M321" s="292" t="n">
        <f aca="false">'GAS DAILY VOL DOWNLOAD'!M321-'GAS DAILY VOL DOWNLOAD'!$B321+$B321</f>
        <v>1</v>
      </c>
      <c r="N321" s="292" t="n">
        <f aca="false">'GAS DAILY VOL DOWNLOAD'!N321-'GAS DAILY VOL DOWNLOAD'!$B321+$B321</f>
        <v>1.25</v>
      </c>
      <c r="O321" s="292" t="n">
        <f aca="false">'GAS DAILY VOL DOWNLOAD'!O321-'GAS DAILY VOL DOWNLOAD'!$B321+$B321</f>
        <v>0.15</v>
      </c>
      <c r="P321" s="292" t="n">
        <f aca="false">'GAS DAILY VOL DOWNLOAD'!P321-'GAS DAILY VOL DOWNLOAD'!$B321+$B321</f>
        <v>1.1</v>
      </c>
      <c r="Q321" s="292" t="n">
        <f aca="false">'GAS DAILY VOL DOWNLOAD'!Q321-'GAS DAILY VOL DOWNLOAD'!$B321+$B321</f>
        <v>0</v>
      </c>
    </row>
    <row r="322" customFormat="false" ht="12.75" hidden="false" customHeight="false" outlineLevel="0" collapsed="false">
      <c r="A322" s="317"/>
      <c r="B322" s="325"/>
      <c r="C322" s="325"/>
      <c r="D322" s="325"/>
      <c r="E322" s="325"/>
      <c r="F322" s="325"/>
      <c r="G322" s="325"/>
      <c r="H322" s="325"/>
      <c r="I322" s="325"/>
      <c r="J322" s="325"/>
      <c r="K322" s="325"/>
      <c r="L322" s="325"/>
      <c r="M322" s="325"/>
    </row>
    <row r="323" customFormat="false" ht="12.75" hidden="false" customHeight="false" outlineLevel="0" collapsed="false">
      <c r="A323" s="317"/>
      <c r="B323" s="325"/>
      <c r="C323" s="325"/>
      <c r="D323" s="325"/>
      <c r="E323" s="325"/>
      <c r="F323" s="325"/>
      <c r="G323" s="325"/>
      <c r="H323" s="325"/>
      <c r="I323" s="325"/>
      <c r="J323" s="325"/>
      <c r="K323" s="325"/>
      <c r="L323" s="325"/>
      <c r="M323" s="325"/>
    </row>
    <row r="324" customFormat="false" ht="12.75" hidden="false" customHeight="false" outlineLevel="0" collapsed="false">
      <c r="A324" s="317"/>
      <c r="B324" s="325"/>
      <c r="C324" s="325"/>
      <c r="D324" s="325"/>
      <c r="E324" s="325"/>
      <c r="F324" s="325"/>
      <c r="G324" s="325"/>
      <c r="H324" s="325"/>
      <c r="I324" s="325"/>
      <c r="J324" s="325"/>
      <c r="K324" s="325"/>
      <c r="L324" s="325"/>
      <c r="M324" s="3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26" width="9.14"/>
    <col collapsed="false" customWidth="true" hidden="false" outlineLevel="0" max="2" min="2" style="16" width="14.56"/>
    <col collapsed="false" customWidth="true" hidden="false" outlineLevel="0" max="3" min="3" style="16" width="16.13"/>
    <col collapsed="false" customWidth="true" hidden="false" outlineLevel="0" max="4" min="4" style="16" width="18.7"/>
    <col collapsed="false" customWidth="true" hidden="false" outlineLevel="0" max="5" min="5" style="16" width="13.85"/>
    <col collapsed="false" customWidth="true" hidden="false" outlineLevel="0" max="6" min="6" style="16" width="16.28"/>
    <col collapsed="false" customWidth="true" hidden="false" outlineLevel="0" max="7" min="7" style="16" width="10.99"/>
    <col collapsed="false" customWidth="true" hidden="false" outlineLevel="0" max="8" min="8" style="16" width="12.56"/>
    <col collapsed="false" customWidth="true" hidden="false" outlineLevel="0" max="9" min="9" style="113" width="9.56"/>
    <col collapsed="false" customWidth="true" hidden="false" outlineLevel="0" max="10" min="10" style="113" width="12.28"/>
    <col collapsed="false" customWidth="true" hidden="false" outlineLevel="0" max="11" min="11" style="0" width="12.85"/>
    <col collapsed="false" customWidth="true" hidden="false" outlineLevel="0" max="12" min="12" style="0" width="12.56"/>
    <col collapsed="false" customWidth="true" hidden="false" outlineLevel="0" max="13" min="13" style="0" width="17.7"/>
    <col collapsed="false" customWidth="true" hidden="false" outlineLevel="0" max="14" min="14" style="0" width="17.85"/>
    <col collapsed="false" customWidth="true" hidden="false" outlineLevel="0" max="15" min="15" style="0" width="14.56"/>
    <col collapsed="false" customWidth="true" hidden="false" outlineLevel="0" max="16" min="16" style="0" width="10.85"/>
    <col collapsed="false" customWidth="true" hidden="false" outlineLevel="0" max="27" min="17" style="0" width="12.7"/>
  </cols>
  <sheetData>
    <row r="1" customFormat="false" ht="12.75" hidden="false" customHeight="false" outlineLevel="0" collapsed="false">
      <c r="A1" s="326" t="s">
        <v>288</v>
      </c>
      <c r="B1" s="327" t="s">
        <v>35</v>
      </c>
      <c r="C1" s="327" t="s">
        <v>21</v>
      </c>
      <c r="D1" s="327" t="s">
        <v>28</v>
      </c>
      <c r="E1" s="327" t="s">
        <v>30</v>
      </c>
      <c r="F1" s="327" t="s">
        <v>16</v>
      </c>
      <c r="G1" s="327" t="s">
        <v>32</v>
      </c>
      <c r="H1" s="327" t="s">
        <v>41</v>
      </c>
      <c r="I1" s="327" t="s">
        <v>84</v>
      </c>
      <c r="J1" s="327" t="s">
        <v>81</v>
      </c>
      <c r="K1" s="327" t="s">
        <v>26</v>
      </c>
      <c r="L1" s="327" t="s">
        <v>33</v>
      </c>
      <c r="M1" s="327" t="s">
        <v>37</v>
      </c>
      <c r="N1" s="327" t="s">
        <v>39</v>
      </c>
      <c r="O1" s="327" t="s">
        <v>117</v>
      </c>
      <c r="P1" s="327" t="s">
        <v>24</v>
      </c>
      <c r="Q1" s="327" t="s">
        <v>132</v>
      </c>
      <c r="R1" s="327" t="s">
        <v>116</v>
      </c>
      <c r="S1" s="327" t="s">
        <v>80</v>
      </c>
      <c r="T1" s="327" t="s">
        <v>142</v>
      </c>
    </row>
    <row r="2" customFormat="false" ht="12.75" hidden="false" customHeight="false" outlineLevel="0" collapsed="false">
      <c r="B2" s="328" t="n">
        <v>2</v>
      </c>
      <c r="C2" s="328" t="n">
        <v>3</v>
      </c>
      <c r="D2" s="328" t="n">
        <v>4</v>
      </c>
      <c r="E2" s="328" t="n">
        <v>5</v>
      </c>
      <c r="F2" s="328" t="n">
        <v>6</v>
      </c>
      <c r="G2" s="328" t="n">
        <v>7</v>
      </c>
      <c r="H2" s="328" t="n">
        <v>8</v>
      </c>
      <c r="I2" s="328" t="n">
        <v>9</v>
      </c>
      <c r="J2" s="328" t="n">
        <v>10</v>
      </c>
      <c r="K2" s="328" t="n">
        <v>11</v>
      </c>
      <c r="L2" s="328" t="n">
        <v>12</v>
      </c>
      <c r="M2" s="328" t="n">
        <v>13</v>
      </c>
      <c r="N2" s="328" t="n">
        <v>14</v>
      </c>
      <c r="O2" s="328" t="n">
        <v>15</v>
      </c>
      <c r="P2" s="328" t="n">
        <v>16</v>
      </c>
      <c r="Q2" s="328" t="n">
        <v>17</v>
      </c>
      <c r="R2" s="0" t="n">
        <v>18</v>
      </c>
      <c r="S2" s="0" t="n">
        <v>19</v>
      </c>
      <c r="T2" s="328" t="n">
        <v>20</v>
      </c>
    </row>
    <row r="3" customFormat="false" ht="12.75" hidden="false" customHeight="false" outlineLevel="0" collapsed="false">
      <c r="A3" s="326" t="n">
        <v>37012</v>
      </c>
      <c r="B3" s="16" t="n">
        <v>0.98</v>
      </c>
      <c r="C3" s="16" t="n">
        <v>0.99</v>
      </c>
      <c r="D3" s="16" t="n">
        <v>0.9</v>
      </c>
      <c r="E3" s="16" t="n">
        <v>0.994071440191916</v>
      </c>
      <c r="F3" s="16" t="n">
        <v>0.999</v>
      </c>
      <c r="G3" s="16" t="n">
        <v>-0.11</v>
      </c>
      <c r="H3" s="16" t="n">
        <v>0.995</v>
      </c>
      <c r="I3" s="16" t="n">
        <v>0.999</v>
      </c>
      <c r="J3" s="16" t="n">
        <v>0.975</v>
      </c>
      <c r="K3" s="16" t="n">
        <v>0.995</v>
      </c>
      <c r="L3" s="16" t="n">
        <v>0.999</v>
      </c>
      <c r="M3" s="16" t="n">
        <v>0.99</v>
      </c>
      <c r="N3" s="16" t="n">
        <v>0.76</v>
      </c>
      <c r="O3" s="16" t="n">
        <v>0.9</v>
      </c>
      <c r="P3" s="16" t="n">
        <v>0.96</v>
      </c>
      <c r="Q3" s="16" t="n">
        <v>0.97</v>
      </c>
      <c r="R3" s="0" t="n">
        <v>0.95</v>
      </c>
      <c r="S3" s="0" t="n">
        <v>0.999</v>
      </c>
    </row>
    <row r="4" customFormat="false" ht="12.75" hidden="false" customHeight="false" outlineLevel="0" collapsed="false">
      <c r="A4" s="326" t="n">
        <v>37043</v>
      </c>
      <c r="B4" s="16" t="n">
        <v>0.98</v>
      </c>
      <c r="C4" s="16" t="n">
        <v>0.99</v>
      </c>
      <c r="D4" s="16" t="n">
        <v>0.9</v>
      </c>
      <c r="E4" s="16" t="n">
        <v>0.994071440191916</v>
      </c>
      <c r="F4" s="16" t="n">
        <v>0.999</v>
      </c>
      <c r="G4" s="16" t="n">
        <v>-0.06</v>
      </c>
      <c r="H4" s="16" t="n">
        <v>0.995</v>
      </c>
      <c r="I4" s="16" t="n">
        <v>0.999</v>
      </c>
      <c r="J4" s="16" t="n">
        <v>0.975</v>
      </c>
      <c r="K4" s="16" t="n">
        <v>0.995</v>
      </c>
      <c r="L4" s="16" t="n">
        <v>0.999</v>
      </c>
      <c r="M4" s="16" t="n">
        <v>0.99</v>
      </c>
      <c r="N4" s="16" t="n">
        <v>0.76</v>
      </c>
      <c r="O4" s="16" t="n">
        <v>0.9</v>
      </c>
      <c r="P4" s="16" t="n">
        <v>0.96</v>
      </c>
      <c r="Q4" s="16" t="n">
        <v>0.97</v>
      </c>
      <c r="R4" s="0" t="n">
        <v>0.95</v>
      </c>
      <c r="S4" s="0" t="n">
        <v>0.999</v>
      </c>
    </row>
    <row r="5" customFormat="false" ht="12.75" hidden="false" customHeight="false" outlineLevel="0" collapsed="false">
      <c r="A5" s="326" t="n">
        <v>37073</v>
      </c>
      <c r="B5" s="16" t="n">
        <v>0.98</v>
      </c>
      <c r="C5" s="16" t="n">
        <v>0.99</v>
      </c>
      <c r="D5" s="16" t="n">
        <v>0.78</v>
      </c>
      <c r="E5" s="16" t="n">
        <v>0.994071440191916</v>
      </c>
      <c r="F5" s="16" t="n">
        <v>0.999</v>
      </c>
      <c r="G5" s="16" t="n">
        <v>-0.16</v>
      </c>
      <c r="H5" s="16" t="n">
        <v>0.995</v>
      </c>
      <c r="I5" s="16" t="n">
        <v>0.999</v>
      </c>
      <c r="J5" s="16" t="n">
        <v>0.975</v>
      </c>
      <c r="K5" s="16" t="n">
        <v>0.995</v>
      </c>
      <c r="L5" s="16" t="n">
        <v>0.999</v>
      </c>
      <c r="M5" s="16" t="n">
        <v>0.99</v>
      </c>
      <c r="N5" s="16" t="n">
        <v>0.76</v>
      </c>
      <c r="O5" s="16" t="n">
        <v>0.78</v>
      </c>
      <c r="P5" s="16" t="n">
        <v>0.96</v>
      </c>
      <c r="Q5" s="16" t="n">
        <v>0.97</v>
      </c>
      <c r="R5" s="0" t="n">
        <v>0.95</v>
      </c>
      <c r="S5" s="0" t="n">
        <v>0.999</v>
      </c>
      <c r="T5" s="0" t="n">
        <v>0</v>
      </c>
    </row>
    <row r="6" customFormat="false" ht="12.75" hidden="false" customHeight="false" outlineLevel="0" collapsed="false">
      <c r="A6" s="326" t="n">
        <v>37104</v>
      </c>
      <c r="B6" s="16" t="n">
        <v>0.98</v>
      </c>
      <c r="C6" s="16" t="n">
        <v>0.99</v>
      </c>
      <c r="D6" s="16" t="n">
        <v>0.78</v>
      </c>
      <c r="E6" s="16" t="n">
        <v>0.994071440191916</v>
      </c>
      <c r="F6" s="16" t="n">
        <v>0.999</v>
      </c>
      <c r="G6" s="16" t="n">
        <v>-0.16</v>
      </c>
      <c r="H6" s="16" t="n">
        <v>0.995</v>
      </c>
      <c r="I6" s="16" t="n">
        <v>0.999</v>
      </c>
      <c r="J6" s="16" t="n">
        <v>0.975</v>
      </c>
      <c r="K6" s="16" t="n">
        <v>0.995</v>
      </c>
      <c r="L6" s="16" t="n">
        <v>0.999</v>
      </c>
      <c r="M6" s="16" t="n">
        <v>0.99</v>
      </c>
      <c r="N6" s="16" t="n">
        <v>0.76</v>
      </c>
      <c r="O6" s="16" t="n">
        <v>0.78</v>
      </c>
      <c r="P6" s="16" t="n">
        <v>0.96</v>
      </c>
      <c r="Q6" s="16" t="n">
        <v>0.97</v>
      </c>
      <c r="R6" s="0" t="n">
        <v>0.95</v>
      </c>
      <c r="S6" s="0" t="n">
        <v>0.999</v>
      </c>
      <c r="T6" s="0" t="n">
        <v>0</v>
      </c>
    </row>
    <row r="7" customFormat="false" ht="12.75" hidden="false" customHeight="false" outlineLevel="0" collapsed="false">
      <c r="A7" s="326" t="n">
        <v>37135</v>
      </c>
      <c r="B7" s="16" t="n">
        <v>0.98</v>
      </c>
      <c r="C7" s="16" t="n">
        <v>0.99</v>
      </c>
      <c r="D7" s="16" t="n">
        <v>0.78</v>
      </c>
      <c r="E7" s="16" t="n">
        <v>0.994071440191916</v>
      </c>
      <c r="F7" s="16" t="n">
        <v>0.999</v>
      </c>
      <c r="G7" s="16" t="n">
        <v>-0.16</v>
      </c>
      <c r="H7" s="16" t="n">
        <v>0.995</v>
      </c>
      <c r="I7" s="16" t="n">
        <v>0.999</v>
      </c>
      <c r="J7" s="16" t="n">
        <v>0.975</v>
      </c>
      <c r="K7" s="16" t="n">
        <v>0.995</v>
      </c>
      <c r="L7" s="16" t="n">
        <v>0.999</v>
      </c>
      <c r="M7" s="16" t="n">
        <v>0.99</v>
      </c>
      <c r="N7" s="16" t="n">
        <v>0.76</v>
      </c>
      <c r="O7" s="16" t="n">
        <v>0.78</v>
      </c>
      <c r="P7" s="16" t="n">
        <v>0.96</v>
      </c>
      <c r="Q7" s="16" t="n">
        <v>0.97</v>
      </c>
      <c r="R7" s="0" t="n">
        <v>0.95</v>
      </c>
      <c r="S7" s="0" t="n">
        <v>0.9965</v>
      </c>
      <c r="T7" s="0" t="n">
        <v>0</v>
      </c>
    </row>
    <row r="8" customFormat="false" ht="12.75" hidden="false" customHeight="false" outlineLevel="0" collapsed="false">
      <c r="A8" s="326" t="n">
        <v>37165</v>
      </c>
      <c r="B8" s="16" t="n">
        <v>0.98</v>
      </c>
      <c r="C8" s="16" t="n">
        <v>0.99</v>
      </c>
      <c r="D8" s="16" t="n">
        <v>0.78</v>
      </c>
      <c r="E8" s="16" t="n">
        <v>0.994071440191916</v>
      </c>
      <c r="F8" s="16" t="n">
        <v>0.999</v>
      </c>
      <c r="G8" s="16" t="n">
        <v>0.5</v>
      </c>
      <c r="H8" s="16" t="n">
        <v>0.995</v>
      </c>
      <c r="I8" s="16" t="n">
        <v>0.999</v>
      </c>
      <c r="J8" s="16" t="n">
        <v>0.975</v>
      </c>
      <c r="K8" s="16" t="n">
        <v>0.995</v>
      </c>
      <c r="L8" s="16" t="n">
        <v>0.999</v>
      </c>
      <c r="M8" s="16" t="n">
        <v>0.99</v>
      </c>
      <c r="N8" s="16" t="n">
        <v>0.76</v>
      </c>
      <c r="O8" s="16" t="n">
        <v>0.78</v>
      </c>
      <c r="P8" s="16" t="n">
        <v>0.96</v>
      </c>
      <c r="Q8" s="16" t="n">
        <v>0.972</v>
      </c>
      <c r="R8" s="0" t="n">
        <v>0.95</v>
      </c>
      <c r="S8" s="0" t="n">
        <v>0.9965</v>
      </c>
      <c r="T8" s="0" t="n">
        <v>0</v>
      </c>
    </row>
    <row r="9" customFormat="false" ht="12.75" hidden="false" customHeight="false" outlineLevel="0" collapsed="false">
      <c r="A9" s="326" t="n">
        <v>37196</v>
      </c>
      <c r="B9" s="16" t="n">
        <v>0.96</v>
      </c>
      <c r="C9" s="16" t="n">
        <v>0.99</v>
      </c>
      <c r="D9" s="16" t="n">
        <v>0.96</v>
      </c>
      <c r="E9" s="16" t="n">
        <v>0.997</v>
      </c>
      <c r="F9" s="16" t="n">
        <v>0.999</v>
      </c>
      <c r="G9" s="16" t="n">
        <v>0.9</v>
      </c>
      <c r="H9" s="16" t="n">
        <v>0.9875</v>
      </c>
      <c r="I9" s="16" t="n">
        <v>0.999</v>
      </c>
      <c r="J9" s="16" t="n">
        <v>0.99</v>
      </c>
      <c r="K9" s="16" t="n">
        <v>0.9975</v>
      </c>
      <c r="L9" s="16" t="n">
        <v>0.999</v>
      </c>
      <c r="M9" s="16" t="n">
        <v>0.99</v>
      </c>
      <c r="N9" s="16" t="n">
        <v>0.75</v>
      </c>
      <c r="O9" s="16" t="n">
        <v>0.96</v>
      </c>
      <c r="P9" s="16" t="n">
        <v>0.98</v>
      </c>
      <c r="Q9" s="16" t="n">
        <v>0.992</v>
      </c>
      <c r="R9" s="0" t="n">
        <v>0.99</v>
      </c>
      <c r="S9" s="0" t="n">
        <v>0.9945</v>
      </c>
      <c r="T9" s="0" t="n">
        <v>0.65</v>
      </c>
    </row>
    <row r="10" customFormat="false" ht="12.75" hidden="false" customHeight="false" outlineLevel="0" collapsed="false">
      <c r="A10" s="326" t="n">
        <v>37226</v>
      </c>
      <c r="B10" s="16" t="n">
        <v>0.95</v>
      </c>
      <c r="C10" s="16" t="n">
        <v>0.99</v>
      </c>
      <c r="D10" s="16" t="n">
        <v>0.88</v>
      </c>
      <c r="E10" s="16" t="n">
        <v>0.9975</v>
      </c>
      <c r="F10" s="16" t="n">
        <v>0.999</v>
      </c>
      <c r="G10" s="16" t="n">
        <v>0.86</v>
      </c>
      <c r="H10" s="16" t="n">
        <v>0.9875</v>
      </c>
      <c r="I10" s="16" t="n">
        <v>0.999</v>
      </c>
      <c r="J10" s="16" t="n">
        <v>0.99</v>
      </c>
      <c r="K10" s="16" t="n">
        <v>0.9975</v>
      </c>
      <c r="L10" s="16" t="n">
        <v>0.999</v>
      </c>
      <c r="M10" s="16" t="n">
        <v>0.99</v>
      </c>
      <c r="N10" s="16" t="n">
        <v>0.88</v>
      </c>
      <c r="O10" s="16" t="n">
        <v>0.96</v>
      </c>
      <c r="P10" s="16" t="n">
        <v>0.98</v>
      </c>
      <c r="Q10" s="16" t="n">
        <v>0.992</v>
      </c>
      <c r="R10" s="0" t="n">
        <v>0.99</v>
      </c>
      <c r="S10" s="0" t="n">
        <v>0.9945</v>
      </c>
      <c r="T10" s="0" t="n">
        <v>0.65</v>
      </c>
    </row>
    <row r="11" customFormat="false" ht="12.75" hidden="false" customHeight="false" outlineLevel="0" collapsed="false">
      <c r="A11" s="326" t="n">
        <v>37257</v>
      </c>
      <c r="B11" s="16" t="n">
        <v>0.85</v>
      </c>
      <c r="C11" s="16" t="n">
        <v>0.99</v>
      </c>
      <c r="D11" s="16" t="n">
        <v>0.88</v>
      </c>
      <c r="E11" s="16" t="n">
        <v>0.9975</v>
      </c>
      <c r="F11" s="16" t="n">
        <v>0.999</v>
      </c>
      <c r="G11" s="16" t="n">
        <v>0.88</v>
      </c>
      <c r="H11" s="16" t="n">
        <v>0.9875</v>
      </c>
      <c r="I11" s="16" t="n">
        <v>0.999</v>
      </c>
      <c r="J11" s="16" t="n">
        <v>0.99</v>
      </c>
      <c r="K11" s="16" t="n">
        <v>0.9975</v>
      </c>
      <c r="L11" s="16" t="n">
        <v>0.999</v>
      </c>
      <c r="M11" s="16" t="n">
        <v>0.99</v>
      </c>
      <c r="N11" s="16" t="n">
        <v>0.88</v>
      </c>
      <c r="O11" s="16" t="n">
        <v>0.99</v>
      </c>
      <c r="P11" s="16" t="n">
        <v>0.98</v>
      </c>
      <c r="Q11" s="16" t="n">
        <v>0.992</v>
      </c>
      <c r="R11" s="0" t="n">
        <v>0.99</v>
      </c>
      <c r="S11" s="0" t="n">
        <v>0.9945</v>
      </c>
      <c r="T11" s="0" t="n">
        <v>0.65</v>
      </c>
    </row>
    <row r="12" customFormat="false" ht="12.75" hidden="false" customHeight="false" outlineLevel="0" collapsed="false">
      <c r="A12" s="326" t="n">
        <v>37288</v>
      </c>
      <c r="B12" s="16" t="n">
        <v>0.85</v>
      </c>
      <c r="C12" s="16" t="n">
        <v>0.99</v>
      </c>
      <c r="D12" s="16" t="n">
        <v>0.88</v>
      </c>
      <c r="E12" s="16" t="n">
        <v>0.9975</v>
      </c>
      <c r="F12" s="16" t="n">
        <v>0.999</v>
      </c>
      <c r="G12" s="16" t="n">
        <v>0.88</v>
      </c>
      <c r="H12" s="16" t="n">
        <v>0.9875</v>
      </c>
      <c r="I12" s="16" t="n">
        <v>0.999</v>
      </c>
      <c r="J12" s="16" t="n">
        <v>0.99</v>
      </c>
      <c r="K12" s="16" t="n">
        <v>0.9975</v>
      </c>
      <c r="L12" s="16" t="n">
        <v>0.999</v>
      </c>
      <c r="M12" s="16" t="n">
        <v>0.99</v>
      </c>
      <c r="N12" s="16" t="n">
        <v>0.88</v>
      </c>
      <c r="O12" s="16" t="n">
        <v>0.99</v>
      </c>
      <c r="P12" s="16" t="n">
        <v>0.98</v>
      </c>
      <c r="Q12" s="16" t="n">
        <v>0.992</v>
      </c>
      <c r="R12" s="0" t="n">
        <v>0.99</v>
      </c>
      <c r="S12" s="0" t="n">
        <v>0.9945</v>
      </c>
      <c r="T12" s="0" t="n">
        <v>0.65</v>
      </c>
    </row>
    <row r="13" customFormat="false" ht="12.75" hidden="false" customHeight="false" outlineLevel="0" collapsed="false">
      <c r="A13" s="326" t="n">
        <v>37316</v>
      </c>
      <c r="B13" s="16" t="n">
        <v>0.94</v>
      </c>
      <c r="C13" s="16" t="n">
        <v>0.99</v>
      </c>
      <c r="D13" s="16" t="n">
        <v>0.88</v>
      </c>
      <c r="E13" s="16" t="n">
        <v>0.9975</v>
      </c>
      <c r="F13" s="16" t="n">
        <v>0.999</v>
      </c>
      <c r="G13" s="16" t="n">
        <v>0.88</v>
      </c>
      <c r="H13" s="16" t="n">
        <v>0.9875</v>
      </c>
      <c r="I13" s="16" t="n">
        <v>0.999</v>
      </c>
      <c r="J13" s="16" t="n">
        <v>0.99</v>
      </c>
      <c r="K13" s="16" t="n">
        <v>0.9975</v>
      </c>
      <c r="L13" s="16" t="n">
        <v>0.999</v>
      </c>
      <c r="M13" s="16" t="n">
        <v>0.99</v>
      </c>
      <c r="N13" s="16" t="n">
        <v>0.88</v>
      </c>
      <c r="O13" s="16" t="n">
        <v>0.99</v>
      </c>
      <c r="P13" s="16" t="n">
        <v>0.98</v>
      </c>
      <c r="Q13" s="16" t="n">
        <v>0.992</v>
      </c>
      <c r="R13" s="0" t="n">
        <v>0.99</v>
      </c>
      <c r="S13" s="0" t="n">
        <v>0.9945</v>
      </c>
      <c r="T13" s="0" t="n">
        <v>0.65</v>
      </c>
    </row>
    <row r="14" customFormat="false" ht="12.75" hidden="false" customHeight="false" outlineLevel="0" collapsed="false">
      <c r="A14" s="326" t="n">
        <v>37347</v>
      </c>
      <c r="B14" s="16" t="n">
        <v>0.999</v>
      </c>
      <c r="C14" s="16" t="n">
        <v>0.99</v>
      </c>
      <c r="D14" s="16" t="n">
        <v>0.92</v>
      </c>
      <c r="E14" s="16" t="n">
        <v>0.9985</v>
      </c>
      <c r="F14" s="16" t="n">
        <v>0.999</v>
      </c>
      <c r="G14" s="16" t="n">
        <v>0.87</v>
      </c>
      <c r="H14" s="16" t="n">
        <v>0.995</v>
      </c>
      <c r="I14" s="16" t="n">
        <v>0.999</v>
      </c>
      <c r="J14" s="16" t="n">
        <v>0.99</v>
      </c>
      <c r="K14" s="16" t="n">
        <v>0.9975</v>
      </c>
      <c r="L14" s="16" t="n">
        <v>0.999</v>
      </c>
      <c r="M14" s="16" t="n">
        <v>0.99</v>
      </c>
      <c r="N14" s="16" t="n">
        <v>0.9</v>
      </c>
      <c r="O14" s="16" t="n">
        <v>0.96</v>
      </c>
      <c r="P14" s="16" t="n">
        <v>0.98</v>
      </c>
      <c r="Q14" s="16" t="n">
        <v>0.992</v>
      </c>
      <c r="R14" s="0" t="n">
        <v>0.98</v>
      </c>
      <c r="S14" s="0" t="n">
        <v>0.9945</v>
      </c>
    </row>
    <row r="15" customFormat="false" ht="12.75" hidden="false" customHeight="false" outlineLevel="0" collapsed="false">
      <c r="A15" s="326" t="n">
        <v>37377</v>
      </c>
      <c r="B15" s="16" t="n">
        <v>0.999</v>
      </c>
      <c r="C15" s="16" t="n">
        <v>0.99</v>
      </c>
      <c r="D15" s="16" t="n">
        <v>0.92</v>
      </c>
      <c r="E15" s="16" t="n">
        <v>0.9985</v>
      </c>
      <c r="F15" s="16" t="n">
        <v>0.999</v>
      </c>
      <c r="G15" s="16" t="n">
        <v>0.87</v>
      </c>
      <c r="H15" s="16" t="n">
        <v>0.995</v>
      </c>
      <c r="I15" s="16" t="n">
        <v>0.999</v>
      </c>
      <c r="J15" s="16" t="n">
        <v>0.99</v>
      </c>
      <c r="K15" s="16" t="n">
        <v>0.9975</v>
      </c>
      <c r="L15" s="16" t="n">
        <v>0.999</v>
      </c>
      <c r="M15" s="16" t="n">
        <v>0.99</v>
      </c>
      <c r="N15" s="16" t="n">
        <v>0.9</v>
      </c>
      <c r="O15" s="16" t="n">
        <v>0.96</v>
      </c>
      <c r="P15" s="16" t="n">
        <v>0.98</v>
      </c>
      <c r="Q15" s="16" t="n">
        <v>0.992</v>
      </c>
      <c r="R15" s="0" t="n">
        <v>0.98</v>
      </c>
      <c r="S15" s="0" t="n">
        <v>0.9945</v>
      </c>
    </row>
    <row r="16" customFormat="false" ht="12.75" hidden="false" customHeight="false" outlineLevel="0" collapsed="false">
      <c r="A16" s="326" t="n">
        <v>37408</v>
      </c>
      <c r="B16" s="16" t="n">
        <v>0.999</v>
      </c>
      <c r="C16" s="16" t="n">
        <v>0.99</v>
      </c>
      <c r="D16" s="16" t="n">
        <v>0.92</v>
      </c>
      <c r="E16" s="16" t="n">
        <v>0.9985</v>
      </c>
      <c r="F16" s="16" t="n">
        <v>0.999</v>
      </c>
      <c r="G16" s="16" t="n">
        <v>0.87</v>
      </c>
      <c r="H16" s="16" t="n">
        <v>0.995</v>
      </c>
      <c r="I16" s="16" t="n">
        <v>0.999</v>
      </c>
      <c r="J16" s="16" t="n">
        <v>0.99</v>
      </c>
      <c r="K16" s="16" t="n">
        <v>0.9975</v>
      </c>
      <c r="L16" s="16" t="n">
        <v>0.999</v>
      </c>
      <c r="M16" s="16" t="n">
        <v>0.99</v>
      </c>
      <c r="N16" s="16" t="n">
        <v>0.9</v>
      </c>
      <c r="O16" s="16" t="n">
        <v>0.96</v>
      </c>
      <c r="P16" s="16" t="n">
        <v>0.98</v>
      </c>
      <c r="Q16" s="16" t="n">
        <v>0.992</v>
      </c>
      <c r="R16" s="0" t="n">
        <v>0.98</v>
      </c>
      <c r="S16" s="0" t="n">
        <v>0.9945</v>
      </c>
    </row>
    <row r="17" customFormat="false" ht="12.75" hidden="false" customHeight="false" outlineLevel="0" collapsed="false">
      <c r="A17" s="326" t="n">
        <v>37438</v>
      </c>
      <c r="B17" s="16" t="n">
        <v>0.999</v>
      </c>
      <c r="C17" s="16" t="n">
        <v>0.99</v>
      </c>
      <c r="D17" s="16" t="n">
        <v>0.92</v>
      </c>
      <c r="E17" s="16" t="n">
        <v>0.9985</v>
      </c>
      <c r="F17" s="16" t="n">
        <v>0.999</v>
      </c>
      <c r="G17" s="16" t="n">
        <v>0.87</v>
      </c>
      <c r="H17" s="16" t="n">
        <v>0.995</v>
      </c>
      <c r="I17" s="16" t="n">
        <v>0.999</v>
      </c>
      <c r="J17" s="16" t="n">
        <v>0.99</v>
      </c>
      <c r="K17" s="16" t="n">
        <v>0.9975</v>
      </c>
      <c r="L17" s="16" t="n">
        <v>0.999</v>
      </c>
      <c r="M17" s="16" t="n">
        <v>0.99</v>
      </c>
      <c r="N17" s="16" t="n">
        <v>0.9</v>
      </c>
      <c r="O17" s="16" t="n">
        <v>0.96</v>
      </c>
      <c r="P17" s="16" t="n">
        <v>0.98</v>
      </c>
      <c r="Q17" s="16" t="n">
        <v>0.992</v>
      </c>
      <c r="R17" s="0" t="n">
        <v>0.98</v>
      </c>
      <c r="S17" s="0" t="n">
        <v>0.9945</v>
      </c>
    </row>
    <row r="18" customFormat="false" ht="12.75" hidden="false" customHeight="false" outlineLevel="0" collapsed="false">
      <c r="A18" s="326" t="n">
        <v>37469</v>
      </c>
      <c r="B18" s="16" t="n">
        <v>0.999</v>
      </c>
      <c r="C18" s="16" t="n">
        <v>0.99</v>
      </c>
      <c r="D18" s="16" t="n">
        <v>0.92</v>
      </c>
      <c r="E18" s="16" t="n">
        <v>0.9985</v>
      </c>
      <c r="F18" s="16" t="n">
        <v>0.999</v>
      </c>
      <c r="G18" s="16" t="n">
        <v>0.87</v>
      </c>
      <c r="H18" s="16" t="n">
        <v>0.995</v>
      </c>
      <c r="I18" s="16" t="n">
        <v>0.999</v>
      </c>
      <c r="J18" s="16" t="n">
        <v>0.99</v>
      </c>
      <c r="K18" s="16" t="n">
        <v>0.9975</v>
      </c>
      <c r="L18" s="16" t="n">
        <v>0.999</v>
      </c>
      <c r="M18" s="16" t="n">
        <v>0.99</v>
      </c>
      <c r="N18" s="16" t="n">
        <v>0.9</v>
      </c>
      <c r="O18" s="16" t="n">
        <v>0.96</v>
      </c>
      <c r="P18" s="16" t="n">
        <v>0.98</v>
      </c>
      <c r="Q18" s="16" t="n">
        <v>0.992</v>
      </c>
      <c r="R18" s="0" t="n">
        <v>0.98</v>
      </c>
      <c r="S18" s="0" t="n">
        <v>0.9945</v>
      </c>
    </row>
    <row r="19" customFormat="false" ht="12.75" hidden="false" customHeight="false" outlineLevel="0" collapsed="false">
      <c r="A19" s="326" t="n">
        <v>37500</v>
      </c>
      <c r="B19" s="16" t="n">
        <v>0.999</v>
      </c>
      <c r="C19" s="16" t="n">
        <v>0.99</v>
      </c>
      <c r="D19" s="16" t="n">
        <v>0.92</v>
      </c>
      <c r="E19" s="16" t="n">
        <v>0.9985</v>
      </c>
      <c r="F19" s="16" t="n">
        <v>0.999</v>
      </c>
      <c r="G19" s="16" t="n">
        <v>0.87</v>
      </c>
      <c r="H19" s="16" t="n">
        <v>0.995</v>
      </c>
      <c r="I19" s="16" t="n">
        <v>0.999</v>
      </c>
      <c r="J19" s="16" t="n">
        <v>0.99</v>
      </c>
      <c r="K19" s="16" t="n">
        <v>0.9975</v>
      </c>
      <c r="L19" s="16" t="n">
        <v>0.999</v>
      </c>
      <c r="M19" s="16" t="n">
        <v>0.99</v>
      </c>
      <c r="N19" s="16" t="n">
        <v>0.9</v>
      </c>
      <c r="O19" s="16" t="n">
        <v>0.96</v>
      </c>
      <c r="P19" s="16" t="n">
        <v>0.98</v>
      </c>
      <c r="Q19" s="16" t="n">
        <v>0.992</v>
      </c>
      <c r="R19" s="0" t="n">
        <v>0.98</v>
      </c>
      <c r="S19" s="0" t="n">
        <v>0.9945</v>
      </c>
    </row>
    <row r="20" customFormat="false" ht="12.75" hidden="false" customHeight="false" outlineLevel="0" collapsed="false">
      <c r="A20" s="326" t="n">
        <v>37530</v>
      </c>
      <c r="B20" s="16" t="n">
        <v>0.999</v>
      </c>
      <c r="C20" s="16" t="n">
        <v>0.99</v>
      </c>
      <c r="D20" s="16" t="n">
        <v>0.92</v>
      </c>
      <c r="E20" s="16" t="n">
        <v>0.9985</v>
      </c>
      <c r="F20" s="16" t="n">
        <v>0.999</v>
      </c>
      <c r="G20" s="16" t="n">
        <v>0.87</v>
      </c>
      <c r="H20" s="16" t="n">
        <v>0.995</v>
      </c>
      <c r="I20" s="16" t="n">
        <v>0.999</v>
      </c>
      <c r="J20" s="16" t="n">
        <v>0.99</v>
      </c>
      <c r="K20" s="16" t="n">
        <v>0.9975</v>
      </c>
      <c r="L20" s="16" t="n">
        <v>0.999</v>
      </c>
      <c r="M20" s="16" t="n">
        <v>0.99</v>
      </c>
      <c r="N20" s="16" t="n">
        <v>0.9</v>
      </c>
      <c r="O20" s="16" t="n">
        <v>0.96</v>
      </c>
      <c r="P20" s="16" t="n">
        <v>0.98</v>
      </c>
      <c r="Q20" s="16" t="n">
        <v>0.992</v>
      </c>
      <c r="R20" s="0" t="n">
        <v>0.98</v>
      </c>
      <c r="S20" s="0" t="n">
        <v>0.9945</v>
      </c>
    </row>
    <row r="21" customFormat="false" ht="12.75" hidden="false" customHeight="false" outlineLevel="0" collapsed="false">
      <c r="A21" s="326" t="n">
        <v>37561</v>
      </c>
      <c r="B21" s="16" t="n">
        <v>0.95</v>
      </c>
      <c r="C21" s="16" t="n">
        <v>0.99</v>
      </c>
      <c r="D21" s="16" t="n">
        <v>0.99</v>
      </c>
      <c r="E21" s="16" t="n">
        <v>0.997</v>
      </c>
      <c r="F21" s="16" t="n">
        <v>0.999</v>
      </c>
      <c r="G21" s="16" t="n">
        <v>0.89</v>
      </c>
      <c r="H21" s="16" t="n">
        <v>0.995</v>
      </c>
      <c r="I21" s="16" t="n">
        <v>0.999</v>
      </c>
      <c r="J21" s="16" t="n">
        <v>0.99</v>
      </c>
      <c r="K21" s="16" t="n">
        <v>0.9975</v>
      </c>
      <c r="L21" s="16" t="n">
        <v>0.999</v>
      </c>
      <c r="M21" s="16" t="n">
        <v>0.99</v>
      </c>
      <c r="N21" s="16" t="n">
        <v>0.96</v>
      </c>
      <c r="O21" s="16" t="n">
        <v>0.99</v>
      </c>
      <c r="P21" s="16" t="n">
        <v>0.98</v>
      </c>
      <c r="Q21" s="16" t="n">
        <v>0.992</v>
      </c>
      <c r="R21" s="0" t="n">
        <v>0.985</v>
      </c>
      <c r="S21" s="0" t="n">
        <v>0.9945</v>
      </c>
    </row>
    <row r="22" customFormat="false" ht="12.75" hidden="false" customHeight="false" outlineLevel="0" collapsed="false">
      <c r="A22" s="326" t="n">
        <v>37591</v>
      </c>
      <c r="B22" s="16" t="n">
        <v>0.95</v>
      </c>
      <c r="C22" s="16" t="n">
        <v>0.99</v>
      </c>
      <c r="D22" s="16" t="n">
        <v>0.99</v>
      </c>
      <c r="E22" s="16" t="n">
        <v>0.997</v>
      </c>
      <c r="F22" s="16" t="n">
        <v>0.999</v>
      </c>
      <c r="G22" s="16" t="n">
        <v>0.89</v>
      </c>
      <c r="H22" s="16" t="n">
        <v>0.995</v>
      </c>
      <c r="I22" s="16" t="n">
        <v>0.999</v>
      </c>
      <c r="J22" s="16" t="n">
        <v>0.99</v>
      </c>
      <c r="K22" s="16" t="n">
        <v>0.9975</v>
      </c>
      <c r="L22" s="16" t="n">
        <v>0.999</v>
      </c>
      <c r="M22" s="16" t="n">
        <v>0.99</v>
      </c>
      <c r="N22" s="16" t="n">
        <v>0.96</v>
      </c>
      <c r="O22" s="16" t="n">
        <v>0.99</v>
      </c>
      <c r="P22" s="16" t="n">
        <v>0.98</v>
      </c>
      <c r="Q22" s="16" t="n">
        <v>0.992</v>
      </c>
      <c r="R22" s="0" t="n">
        <v>0.985</v>
      </c>
      <c r="S22" s="0" t="n">
        <v>0.9945</v>
      </c>
    </row>
    <row r="23" customFormat="false" ht="12.75" hidden="false" customHeight="false" outlineLevel="0" collapsed="false">
      <c r="A23" s="326" t="n">
        <v>37622</v>
      </c>
      <c r="B23" s="16" t="n">
        <v>0.95</v>
      </c>
      <c r="C23" s="16" t="n">
        <v>0.99</v>
      </c>
      <c r="D23" s="16" t="n">
        <v>0.99</v>
      </c>
      <c r="E23" s="16" t="n">
        <v>0.997</v>
      </c>
      <c r="F23" s="16" t="n">
        <v>0.999</v>
      </c>
      <c r="G23" s="16" t="n">
        <v>0.99</v>
      </c>
      <c r="H23" s="16" t="n">
        <v>0.995</v>
      </c>
      <c r="I23" s="16" t="n">
        <v>0.999</v>
      </c>
      <c r="J23" s="16" t="n">
        <v>0.99</v>
      </c>
      <c r="K23" s="16" t="n">
        <v>0.9975</v>
      </c>
      <c r="L23" s="16" t="n">
        <v>0.999</v>
      </c>
      <c r="M23" s="16" t="n">
        <v>0.99</v>
      </c>
      <c r="N23" s="16" t="n">
        <v>0.96</v>
      </c>
      <c r="O23" s="16" t="n">
        <v>0.99</v>
      </c>
      <c r="P23" s="16" t="n">
        <v>0.98</v>
      </c>
      <c r="Q23" s="16" t="n">
        <v>0.992</v>
      </c>
      <c r="R23" s="0" t="n">
        <v>0.985</v>
      </c>
      <c r="S23" s="0" t="n">
        <v>0.9945</v>
      </c>
    </row>
    <row r="24" customFormat="false" ht="12.75" hidden="false" customHeight="false" outlineLevel="0" collapsed="false">
      <c r="A24" s="326" t="n">
        <v>37653</v>
      </c>
      <c r="B24" s="16" t="n">
        <v>0.95</v>
      </c>
      <c r="C24" s="16" t="n">
        <v>0.99</v>
      </c>
      <c r="D24" s="16" t="n">
        <v>0.99</v>
      </c>
      <c r="E24" s="16" t="n">
        <v>0.997</v>
      </c>
      <c r="F24" s="16" t="n">
        <v>0.999</v>
      </c>
      <c r="G24" s="16" t="n">
        <v>0.99</v>
      </c>
      <c r="H24" s="16" t="n">
        <v>0.995</v>
      </c>
      <c r="I24" s="16" t="n">
        <v>0.999</v>
      </c>
      <c r="J24" s="16" t="n">
        <v>0.99</v>
      </c>
      <c r="K24" s="16" t="n">
        <v>0.9975</v>
      </c>
      <c r="L24" s="16" t="n">
        <v>0.999</v>
      </c>
      <c r="M24" s="16" t="n">
        <v>0.99</v>
      </c>
      <c r="N24" s="16" t="n">
        <v>0.96</v>
      </c>
      <c r="O24" s="16" t="n">
        <v>0.99</v>
      </c>
      <c r="P24" s="16" t="n">
        <v>0.98</v>
      </c>
      <c r="Q24" s="16" t="n">
        <v>0.992</v>
      </c>
      <c r="R24" s="0" t="n">
        <v>0.985</v>
      </c>
      <c r="S24" s="0" t="n">
        <v>0.9945</v>
      </c>
    </row>
    <row r="25" customFormat="false" ht="12.75" hidden="false" customHeight="false" outlineLevel="0" collapsed="false">
      <c r="A25" s="326" t="n">
        <v>37681</v>
      </c>
      <c r="B25" s="16" t="n">
        <v>0.95</v>
      </c>
      <c r="C25" s="16" t="n">
        <v>0.99</v>
      </c>
      <c r="D25" s="16" t="n">
        <v>0.99</v>
      </c>
      <c r="E25" s="16" t="n">
        <v>0.997</v>
      </c>
      <c r="F25" s="16" t="n">
        <v>0.999</v>
      </c>
      <c r="G25" s="16" t="n">
        <v>0.99</v>
      </c>
      <c r="H25" s="16" t="n">
        <v>0.995</v>
      </c>
      <c r="I25" s="16" t="n">
        <v>0.999</v>
      </c>
      <c r="J25" s="16" t="n">
        <v>0.99</v>
      </c>
      <c r="K25" s="16" t="n">
        <v>0.9975</v>
      </c>
      <c r="L25" s="16" t="n">
        <v>0.999</v>
      </c>
      <c r="M25" s="16" t="n">
        <v>0.99</v>
      </c>
      <c r="N25" s="16" t="n">
        <v>0.96</v>
      </c>
      <c r="O25" s="16" t="n">
        <v>0.99</v>
      </c>
      <c r="P25" s="16" t="n">
        <v>0.98</v>
      </c>
      <c r="Q25" s="16" t="n">
        <v>0.992</v>
      </c>
      <c r="R25" s="0" t="n">
        <v>0.985</v>
      </c>
      <c r="S25" s="0" t="n">
        <v>0.9945</v>
      </c>
    </row>
    <row r="26" customFormat="false" ht="12.75" hidden="false" customHeight="false" outlineLevel="0" collapsed="false">
      <c r="A26" s="326" t="n">
        <v>37712</v>
      </c>
      <c r="B26" s="16" t="n">
        <v>0.980420749757432</v>
      </c>
      <c r="C26" s="16" t="n">
        <v>0.99</v>
      </c>
      <c r="D26" s="16" t="n">
        <v>0.99</v>
      </c>
      <c r="E26" s="16" t="n">
        <v>0.994071440191916</v>
      </c>
      <c r="F26" s="16" t="n">
        <v>0.999</v>
      </c>
      <c r="G26" s="16" t="n">
        <v>0.99</v>
      </c>
      <c r="H26" s="16" t="n">
        <v>0.995</v>
      </c>
      <c r="I26" s="16" t="n">
        <v>0.999</v>
      </c>
      <c r="J26" s="16" t="n">
        <v>0.99</v>
      </c>
      <c r="K26" s="16" t="n">
        <v>0.9975</v>
      </c>
      <c r="L26" s="16" t="n">
        <v>0.999</v>
      </c>
      <c r="M26" s="16" t="n">
        <v>0.99</v>
      </c>
      <c r="N26" s="16" t="n">
        <v>0.96</v>
      </c>
      <c r="O26" s="16" t="n">
        <v>0.99</v>
      </c>
      <c r="P26" s="16" t="n">
        <v>0.98</v>
      </c>
      <c r="Q26" s="16" t="n">
        <v>0.992</v>
      </c>
      <c r="R26" s="0" t="n">
        <v>0.985</v>
      </c>
      <c r="S26" s="0" t="n">
        <v>0.9945</v>
      </c>
    </row>
    <row r="27" customFormat="false" ht="12.75" hidden="false" customHeight="false" outlineLevel="0" collapsed="false">
      <c r="A27" s="326" t="n">
        <v>37742</v>
      </c>
      <c r="B27" s="16" t="n">
        <v>0.980420749757432</v>
      </c>
      <c r="C27" s="16" t="n">
        <v>0.99</v>
      </c>
      <c r="D27" s="16" t="n">
        <v>0.99</v>
      </c>
      <c r="E27" s="16" t="n">
        <v>0.994071440191916</v>
      </c>
      <c r="F27" s="16" t="n">
        <v>0.999</v>
      </c>
      <c r="G27" s="16" t="n">
        <v>0.99</v>
      </c>
      <c r="H27" s="16" t="n">
        <v>0.995</v>
      </c>
      <c r="I27" s="16" t="n">
        <v>0.999</v>
      </c>
      <c r="J27" s="16" t="n">
        <v>0.99</v>
      </c>
      <c r="K27" s="16" t="n">
        <v>0.9975</v>
      </c>
      <c r="L27" s="16" t="n">
        <v>0.999</v>
      </c>
      <c r="M27" s="16" t="n">
        <v>0.99</v>
      </c>
      <c r="N27" s="16" t="n">
        <v>0.96</v>
      </c>
      <c r="O27" s="16" t="n">
        <v>0.99</v>
      </c>
      <c r="P27" s="16" t="n">
        <v>0.98</v>
      </c>
      <c r="Q27" s="16" t="n">
        <v>0.992</v>
      </c>
      <c r="R27" s="0" t="n">
        <v>0.985</v>
      </c>
      <c r="S27" s="0" t="n">
        <v>0.9945</v>
      </c>
    </row>
    <row r="28" customFormat="false" ht="12.75" hidden="false" customHeight="false" outlineLevel="0" collapsed="false">
      <c r="A28" s="326" t="n">
        <v>37773</v>
      </c>
      <c r="B28" s="16" t="n">
        <v>0.980420749757432</v>
      </c>
      <c r="C28" s="16" t="n">
        <v>0.99</v>
      </c>
      <c r="D28" s="16" t="n">
        <v>0.99</v>
      </c>
      <c r="E28" s="16" t="n">
        <v>0.994071440191916</v>
      </c>
      <c r="F28" s="16" t="n">
        <v>0.999</v>
      </c>
      <c r="G28" s="16" t="n">
        <v>0.99</v>
      </c>
      <c r="H28" s="16" t="n">
        <v>0.995</v>
      </c>
      <c r="I28" s="16" t="n">
        <v>0.999</v>
      </c>
      <c r="J28" s="16" t="n">
        <v>0.99</v>
      </c>
      <c r="K28" s="16" t="n">
        <v>0.9975</v>
      </c>
      <c r="L28" s="16" t="n">
        <v>0.999</v>
      </c>
      <c r="M28" s="16" t="n">
        <v>0.99</v>
      </c>
      <c r="N28" s="16" t="n">
        <v>0.96</v>
      </c>
      <c r="O28" s="16" t="n">
        <v>0.99</v>
      </c>
      <c r="P28" s="16" t="n">
        <v>0.98</v>
      </c>
      <c r="Q28" s="16" t="n">
        <v>0.992</v>
      </c>
      <c r="R28" s="0" t="n">
        <v>0.985</v>
      </c>
      <c r="S28" s="0" t="n">
        <v>0.9945</v>
      </c>
    </row>
    <row r="29" customFormat="false" ht="12.75" hidden="false" customHeight="false" outlineLevel="0" collapsed="false">
      <c r="A29" s="326" t="n">
        <v>37803</v>
      </c>
      <c r="B29" s="16" t="n">
        <v>0.980420749757432</v>
      </c>
      <c r="C29" s="16" t="n">
        <v>0.99</v>
      </c>
      <c r="D29" s="16" t="n">
        <v>0.99</v>
      </c>
      <c r="E29" s="16" t="n">
        <v>0.994071440191916</v>
      </c>
      <c r="F29" s="16" t="n">
        <v>0.999</v>
      </c>
      <c r="G29" s="16" t="n">
        <v>0.99</v>
      </c>
      <c r="H29" s="16" t="n">
        <v>0.995</v>
      </c>
      <c r="I29" s="16" t="n">
        <v>0.999</v>
      </c>
      <c r="J29" s="16" t="n">
        <v>0.99</v>
      </c>
      <c r="K29" s="16" t="n">
        <v>0.9975</v>
      </c>
      <c r="L29" s="16" t="n">
        <v>0.999</v>
      </c>
      <c r="M29" s="16" t="n">
        <v>0.99</v>
      </c>
      <c r="N29" s="16" t="n">
        <v>0.96</v>
      </c>
      <c r="O29" s="16" t="n">
        <v>0.99</v>
      </c>
      <c r="P29" s="16" t="n">
        <v>0.98</v>
      </c>
      <c r="Q29" s="16" t="n">
        <v>0.992</v>
      </c>
      <c r="R29" s="0" t="n">
        <v>0.985</v>
      </c>
      <c r="S29" s="0" t="n">
        <v>0.9945</v>
      </c>
    </row>
    <row r="30" customFormat="false" ht="12.75" hidden="false" customHeight="false" outlineLevel="0" collapsed="false">
      <c r="A30" s="326" t="n">
        <v>37834</v>
      </c>
      <c r="B30" s="16" t="n">
        <v>0.980420749757432</v>
      </c>
      <c r="C30" s="16" t="n">
        <v>0.99</v>
      </c>
      <c r="D30" s="16" t="n">
        <v>0.99</v>
      </c>
      <c r="E30" s="16" t="n">
        <v>0.994071440191916</v>
      </c>
      <c r="F30" s="16" t="n">
        <v>0.999</v>
      </c>
      <c r="G30" s="16" t="n">
        <v>0.99</v>
      </c>
      <c r="H30" s="16" t="n">
        <v>0.995</v>
      </c>
      <c r="I30" s="16" t="n">
        <v>0.999</v>
      </c>
      <c r="J30" s="16" t="n">
        <v>0.99</v>
      </c>
      <c r="K30" s="16" t="n">
        <v>0.9975</v>
      </c>
      <c r="L30" s="16" t="n">
        <v>0.999</v>
      </c>
      <c r="M30" s="16" t="n">
        <v>0.99</v>
      </c>
      <c r="N30" s="16" t="n">
        <v>0.96</v>
      </c>
      <c r="O30" s="16" t="n">
        <v>0.99</v>
      </c>
      <c r="P30" s="16" t="n">
        <v>0.98</v>
      </c>
      <c r="Q30" s="16" t="n">
        <v>0.992</v>
      </c>
      <c r="R30" s="0" t="n">
        <v>0.985</v>
      </c>
      <c r="S30" s="0" t="n">
        <v>0.9945</v>
      </c>
    </row>
    <row r="31" customFormat="false" ht="12.75" hidden="false" customHeight="false" outlineLevel="0" collapsed="false">
      <c r="A31" s="326" t="n">
        <v>37865</v>
      </c>
      <c r="B31" s="16" t="n">
        <v>0.980420749757432</v>
      </c>
      <c r="C31" s="16" t="n">
        <v>0.99</v>
      </c>
      <c r="D31" s="16" t="n">
        <v>0.99</v>
      </c>
      <c r="E31" s="16" t="n">
        <v>0.994071440191916</v>
      </c>
      <c r="F31" s="16" t="n">
        <v>0.999</v>
      </c>
      <c r="G31" s="16" t="n">
        <v>0.99</v>
      </c>
      <c r="H31" s="16" t="n">
        <v>0.995</v>
      </c>
      <c r="I31" s="16" t="n">
        <v>0.999</v>
      </c>
      <c r="J31" s="16" t="n">
        <v>0.99</v>
      </c>
      <c r="K31" s="16" t="n">
        <v>0.9975</v>
      </c>
      <c r="L31" s="16" t="n">
        <v>0.999</v>
      </c>
      <c r="M31" s="16" t="n">
        <v>0.99</v>
      </c>
      <c r="N31" s="16" t="n">
        <v>0.96</v>
      </c>
      <c r="O31" s="16" t="n">
        <v>0.99</v>
      </c>
      <c r="P31" s="16" t="n">
        <v>0.98</v>
      </c>
      <c r="Q31" s="16" t="n">
        <v>0.992</v>
      </c>
      <c r="R31" s="0" t="n">
        <v>0.985</v>
      </c>
      <c r="S31" s="0" t="n">
        <v>0.9945</v>
      </c>
    </row>
    <row r="32" customFormat="false" ht="12.75" hidden="false" customHeight="false" outlineLevel="0" collapsed="false">
      <c r="A32" s="326" t="n">
        <v>37895</v>
      </c>
      <c r="B32" s="16" t="n">
        <v>0.980420749757432</v>
      </c>
      <c r="C32" s="16" t="n">
        <v>0.99</v>
      </c>
      <c r="D32" s="16" t="n">
        <v>0.99</v>
      </c>
      <c r="E32" s="16" t="n">
        <v>0.994071440191916</v>
      </c>
      <c r="F32" s="16" t="n">
        <v>0.999</v>
      </c>
      <c r="G32" s="16" t="n">
        <v>0.99</v>
      </c>
      <c r="H32" s="16" t="n">
        <v>0.995</v>
      </c>
      <c r="I32" s="16" t="n">
        <v>0.999</v>
      </c>
      <c r="J32" s="16" t="n">
        <v>0.99</v>
      </c>
      <c r="K32" s="16" t="n">
        <v>0.9975</v>
      </c>
      <c r="L32" s="16" t="n">
        <v>0.999</v>
      </c>
      <c r="M32" s="16" t="n">
        <v>0.99</v>
      </c>
      <c r="N32" s="16" t="n">
        <v>0.96</v>
      </c>
      <c r="O32" s="16" t="n">
        <v>0.99</v>
      </c>
      <c r="P32" s="16" t="n">
        <v>0.98</v>
      </c>
      <c r="Q32" s="16" t="n">
        <v>0.992</v>
      </c>
      <c r="R32" s="0" t="n">
        <v>0.985</v>
      </c>
      <c r="S32" s="0" t="n">
        <v>0.9945</v>
      </c>
    </row>
    <row r="33" customFormat="false" ht="12.75" hidden="false" customHeight="false" outlineLevel="0" collapsed="false">
      <c r="A33" s="326" t="n">
        <v>37926</v>
      </c>
      <c r="B33" s="16" t="n">
        <v>0.905775860471433</v>
      </c>
      <c r="C33" s="16" t="n">
        <v>0.99</v>
      </c>
      <c r="D33" s="16" t="n">
        <v>0.99</v>
      </c>
      <c r="E33" s="16" t="n">
        <v>0.984107647518451</v>
      </c>
      <c r="F33" s="16" t="n">
        <v>0.999</v>
      </c>
      <c r="G33" s="16" t="n">
        <v>0.99</v>
      </c>
      <c r="H33" s="16" t="n">
        <v>0.995</v>
      </c>
      <c r="I33" s="16" t="n">
        <v>0.999</v>
      </c>
      <c r="J33" s="16" t="n">
        <v>0.99</v>
      </c>
      <c r="K33" s="16" t="n">
        <v>0.9975</v>
      </c>
      <c r="L33" s="16" t="n">
        <v>0.999</v>
      </c>
      <c r="M33" s="16" t="n">
        <v>0.99</v>
      </c>
      <c r="N33" s="16" t="n">
        <v>0.96</v>
      </c>
      <c r="O33" s="16" t="n">
        <v>0.99</v>
      </c>
      <c r="P33" s="16" t="n">
        <v>0.98</v>
      </c>
      <c r="Q33" s="16" t="n">
        <v>0.992</v>
      </c>
      <c r="R33" s="0" t="n">
        <v>0.985</v>
      </c>
      <c r="S33" s="0" t="n">
        <v>0.9945</v>
      </c>
    </row>
    <row r="34" customFormat="false" ht="12.75" hidden="false" customHeight="false" outlineLevel="0" collapsed="false">
      <c r="A34" s="326" t="n">
        <v>37956</v>
      </c>
      <c r="B34" s="16" t="n">
        <v>0.905775860471433</v>
      </c>
      <c r="C34" s="16" t="n">
        <v>0.99</v>
      </c>
      <c r="D34" s="16" t="n">
        <v>0.99</v>
      </c>
      <c r="E34" s="16" t="n">
        <v>0.984107647518451</v>
      </c>
      <c r="F34" s="16" t="n">
        <v>0.999</v>
      </c>
      <c r="G34" s="16" t="n">
        <v>0.99</v>
      </c>
      <c r="H34" s="16" t="n">
        <v>0.995</v>
      </c>
      <c r="I34" s="16" t="n">
        <v>0.999</v>
      </c>
      <c r="J34" s="16" t="n">
        <v>0.99</v>
      </c>
      <c r="K34" s="16" t="n">
        <v>0.9975</v>
      </c>
      <c r="L34" s="16" t="n">
        <v>0.999</v>
      </c>
      <c r="M34" s="16" t="n">
        <v>0.99</v>
      </c>
      <c r="N34" s="16" t="n">
        <v>0.96</v>
      </c>
      <c r="O34" s="16" t="n">
        <v>0.99</v>
      </c>
      <c r="P34" s="16" t="n">
        <v>0.98</v>
      </c>
      <c r="Q34" s="16" t="n">
        <v>0.992</v>
      </c>
      <c r="R34" s="0" t="n">
        <v>0.985</v>
      </c>
      <c r="S34" s="0" t="n">
        <v>0.9945</v>
      </c>
    </row>
    <row r="35" customFormat="false" ht="12.75" hidden="false" customHeight="false" outlineLevel="0" collapsed="false">
      <c r="A35" s="326" t="n">
        <v>37987</v>
      </c>
      <c r="B35" s="16" t="n">
        <v>0.905775860471433</v>
      </c>
      <c r="C35" s="16" t="n">
        <v>0.99</v>
      </c>
      <c r="D35" s="16" t="n">
        <v>0.985</v>
      </c>
      <c r="E35" s="16" t="n">
        <v>0.984107647518451</v>
      </c>
      <c r="F35" s="16" t="n">
        <v>0.999</v>
      </c>
      <c r="G35" s="16" t="n">
        <v>0.99</v>
      </c>
      <c r="H35" s="16" t="n">
        <v>0.995</v>
      </c>
      <c r="I35" s="16" t="n">
        <v>0.999</v>
      </c>
      <c r="J35" s="16" t="n">
        <v>0.99</v>
      </c>
      <c r="K35" s="16" t="n">
        <v>0.9975</v>
      </c>
      <c r="L35" s="16" t="n">
        <v>0.999</v>
      </c>
      <c r="M35" s="16" t="n">
        <v>0.99</v>
      </c>
      <c r="N35" s="16" t="n">
        <v>0.96</v>
      </c>
      <c r="O35" s="16" t="n">
        <v>0.985</v>
      </c>
      <c r="P35" s="16" t="n">
        <v>0.98</v>
      </c>
      <c r="Q35" s="16" t="n">
        <v>0.992</v>
      </c>
      <c r="R35" s="0" t="n">
        <v>0.99</v>
      </c>
      <c r="S35" s="0" t="n">
        <v>0.9945</v>
      </c>
    </row>
    <row r="36" customFormat="false" ht="12.75" hidden="false" customHeight="false" outlineLevel="0" collapsed="false">
      <c r="A36" s="326" t="n">
        <v>38018</v>
      </c>
      <c r="B36" s="16" t="n">
        <v>0.905775860471433</v>
      </c>
      <c r="C36" s="16" t="n">
        <v>0.99</v>
      </c>
      <c r="D36" s="16" t="n">
        <v>0.985</v>
      </c>
      <c r="E36" s="16" t="n">
        <v>0.984107647518451</v>
      </c>
      <c r="F36" s="16" t="n">
        <v>0.999</v>
      </c>
      <c r="G36" s="16" t="n">
        <v>0.99</v>
      </c>
      <c r="H36" s="16" t="n">
        <v>0.995</v>
      </c>
      <c r="I36" s="16" t="n">
        <v>0.999</v>
      </c>
      <c r="J36" s="16" t="n">
        <v>0.99</v>
      </c>
      <c r="K36" s="16" t="n">
        <v>0.9975</v>
      </c>
      <c r="L36" s="16" t="n">
        <v>0.999</v>
      </c>
      <c r="M36" s="16" t="n">
        <v>0.99</v>
      </c>
      <c r="N36" s="16" t="n">
        <v>0.96</v>
      </c>
      <c r="O36" s="16" t="n">
        <v>0.985</v>
      </c>
      <c r="P36" s="16" t="n">
        <v>0.98</v>
      </c>
      <c r="Q36" s="16" t="n">
        <v>0.992</v>
      </c>
      <c r="R36" s="0" t="n">
        <v>0.99</v>
      </c>
      <c r="S36" s="0" t="n">
        <v>0.9945</v>
      </c>
    </row>
    <row r="37" customFormat="false" ht="12.75" hidden="false" customHeight="false" outlineLevel="0" collapsed="false">
      <c r="A37" s="326" t="n">
        <v>38047</v>
      </c>
      <c r="B37" s="16" t="n">
        <v>0.905775860471433</v>
      </c>
      <c r="C37" s="16" t="n">
        <v>0.99</v>
      </c>
      <c r="D37" s="16" t="n">
        <v>0.985</v>
      </c>
      <c r="E37" s="16" t="n">
        <v>0.984107647518451</v>
      </c>
      <c r="F37" s="16" t="n">
        <v>0.999</v>
      </c>
      <c r="G37" s="16" t="n">
        <v>0.99</v>
      </c>
      <c r="H37" s="16" t="n">
        <v>0.995</v>
      </c>
      <c r="I37" s="16" t="n">
        <v>0.999</v>
      </c>
      <c r="J37" s="16" t="n">
        <v>0.99</v>
      </c>
      <c r="K37" s="16" t="n">
        <v>0.9975</v>
      </c>
      <c r="L37" s="16" t="n">
        <v>0.999</v>
      </c>
      <c r="M37" s="16" t="n">
        <v>0.99</v>
      </c>
      <c r="N37" s="16" t="n">
        <v>0.96</v>
      </c>
      <c r="O37" s="16" t="n">
        <v>0.985</v>
      </c>
      <c r="P37" s="16" t="n">
        <v>0.98</v>
      </c>
      <c r="Q37" s="16" t="n">
        <v>0.992</v>
      </c>
      <c r="R37" s="0" t="n">
        <v>0.99</v>
      </c>
      <c r="S37" s="0" t="n">
        <v>0.9945</v>
      </c>
    </row>
    <row r="38" customFormat="false" ht="12.75" hidden="false" customHeight="false" outlineLevel="0" collapsed="false">
      <c r="A38" s="326" t="n">
        <v>38078</v>
      </c>
      <c r="B38" s="16" t="n">
        <v>0.980420749757432</v>
      </c>
      <c r="C38" s="16" t="n">
        <v>0.99</v>
      </c>
      <c r="D38" s="16" t="n">
        <v>0.985</v>
      </c>
      <c r="E38" s="16" t="n">
        <v>0.994071440191916</v>
      </c>
      <c r="F38" s="16" t="n">
        <v>0.999</v>
      </c>
      <c r="G38" s="16" t="n">
        <v>0.98</v>
      </c>
      <c r="H38" s="16" t="n">
        <v>0.995</v>
      </c>
      <c r="I38" s="16" t="n">
        <v>0.999</v>
      </c>
      <c r="J38" s="16" t="n">
        <v>0.99</v>
      </c>
      <c r="K38" s="16" t="n">
        <v>0.9975</v>
      </c>
      <c r="L38" s="16" t="n">
        <v>0.999</v>
      </c>
      <c r="M38" s="16" t="n">
        <v>0.99</v>
      </c>
      <c r="N38" s="16" t="n">
        <v>0.96</v>
      </c>
      <c r="O38" s="16" t="n">
        <v>0.985</v>
      </c>
      <c r="P38" s="16" t="n">
        <v>0.98</v>
      </c>
      <c r="Q38" s="16" t="n">
        <v>0.992</v>
      </c>
      <c r="R38" s="0" t="n">
        <v>0.99</v>
      </c>
      <c r="S38" s="0" t="n">
        <v>0.9945</v>
      </c>
    </row>
    <row r="39" customFormat="false" ht="12.75" hidden="false" customHeight="false" outlineLevel="0" collapsed="false">
      <c r="A39" s="326" t="n">
        <v>38108</v>
      </c>
      <c r="B39" s="16" t="n">
        <v>0.980420749757432</v>
      </c>
      <c r="C39" s="16" t="n">
        <v>0.99</v>
      </c>
      <c r="D39" s="16" t="n">
        <v>0.985</v>
      </c>
      <c r="E39" s="16" t="n">
        <v>0.994071440191916</v>
      </c>
      <c r="F39" s="16" t="n">
        <v>0.999</v>
      </c>
      <c r="G39" s="16" t="n">
        <v>0.98</v>
      </c>
      <c r="H39" s="16" t="n">
        <v>0.995</v>
      </c>
      <c r="I39" s="16" t="n">
        <v>0.999</v>
      </c>
      <c r="J39" s="16" t="n">
        <v>0.99</v>
      </c>
      <c r="K39" s="16" t="n">
        <v>0.9975</v>
      </c>
      <c r="L39" s="16" t="n">
        <v>0.999</v>
      </c>
      <c r="M39" s="16" t="n">
        <v>0.99</v>
      </c>
      <c r="N39" s="16" t="n">
        <v>0.96</v>
      </c>
      <c r="O39" s="16" t="n">
        <v>0.985</v>
      </c>
      <c r="P39" s="16" t="n">
        <v>0.98</v>
      </c>
      <c r="Q39" s="16" t="n">
        <v>0.992</v>
      </c>
      <c r="R39" s="0" t="n">
        <v>0.99</v>
      </c>
      <c r="S39" s="0" t="n">
        <v>0.9945</v>
      </c>
    </row>
    <row r="40" customFormat="false" ht="12.75" hidden="false" customHeight="false" outlineLevel="0" collapsed="false">
      <c r="A40" s="326" t="n">
        <v>38139</v>
      </c>
      <c r="B40" s="16" t="n">
        <v>0.980420749757432</v>
      </c>
      <c r="C40" s="16" t="n">
        <v>0.99</v>
      </c>
      <c r="D40" s="16" t="n">
        <v>0.985</v>
      </c>
      <c r="E40" s="16" t="n">
        <v>0.994071440191916</v>
      </c>
      <c r="F40" s="16" t="n">
        <v>0.999</v>
      </c>
      <c r="G40" s="16" t="n">
        <v>0.98</v>
      </c>
      <c r="H40" s="16" t="n">
        <v>0.995</v>
      </c>
      <c r="I40" s="16" t="n">
        <v>0.999</v>
      </c>
      <c r="J40" s="16" t="n">
        <v>0.99</v>
      </c>
      <c r="K40" s="16" t="n">
        <v>0.9975</v>
      </c>
      <c r="L40" s="16" t="n">
        <v>0.999</v>
      </c>
      <c r="M40" s="16" t="n">
        <v>0.99</v>
      </c>
      <c r="N40" s="16" t="n">
        <v>0.96</v>
      </c>
      <c r="O40" s="16" t="n">
        <v>0.985</v>
      </c>
      <c r="P40" s="16" t="n">
        <v>0.98</v>
      </c>
      <c r="Q40" s="16" t="n">
        <v>0.992</v>
      </c>
      <c r="R40" s="0" t="n">
        <v>0.99</v>
      </c>
      <c r="S40" s="0" t="n">
        <v>0.9945</v>
      </c>
    </row>
    <row r="41" customFormat="false" ht="12.75" hidden="false" customHeight="false" outlineLevel="0" collapsed="false">
      <c r="A41" s="326" t="n">
        <v>38169</v>
      </c>
      <c r="B41" s="16" t="n">
        <v>0.980420749757432</v>
      </c>
      <c r="C41" s="16" t="n">
        <v>0.99</v>
      </c>
      <c r="D41" s="16" t="n">
        <v>0.985</v>
      </c>
      <c r="E41" s="16" t="n">
        <v>0.994071440191916</v>
      </c>
      <c r="F41" s="16" t="n">
        <v>0.999</v>
      </c>
      <c r="G41" s="16" t="n">
        <v>0.98</v>
      </c>
      <c r="H41" s="16" t="n">
        <v>0.995</v>
      </c>
      <c r="I41" s="16" t="n">
        <v>0.999</v>
      </c>
      <c r="J41" s="16" t="n">
        <v>0.99</v>
      </c>
      <c r="K41" s="16" t="n">
        <v>0.9975</v>
      </c>
      <c r="L41" s="16" t="n">
        <v>0.999</v>
      </c>
      <c r="M41" s="16" t="n">
        <v>0.99</v>
      </c>
      <c r="N41" s="16" t="n">
        <v>0.96</v>
      </c>
      <c r="O41" s="16" t="n">
        <v>0.985</v>
      </c>
      <c r="P41" s="16" t="n">
        <v>0.98</v>
      </c>
      <c r="Q41" s="16" t="n">
        <v>0.992</v>
      </c>
      <c r="R41" s="0" t="n">
        <v>0.99</v>
      </c>
      <c r="S41" s="0" t="n">
        <v>0.9945</v>
      </c>
    </row>
    <row r="42" customFormat="false" ht="12.75" hidden="false" customHeight="false" outlineLevel="0" collapsed="false">
      <c r="A42" s="326" t="n">
        <v>38200</v>
      </c>
      <c r="B42" s="16" t="n">
        <v>0.980420749757432</v>
      </c>
      <c r="C42" s="16" t="n">
        <v>0.99</v>
      </c>
      <c r="D42" s="16" t="n">
        <v>0.985</v>
      </c>
      <c r="E42" s="16" t="n">
        <v>0.994071440191916</v>
      </c>
      <c r="F42" s="16" t="n">
        <v>0.999</v>
      </c>
      <c r="G42" s="16" t="n">
        <v>0.98</v>
      </c>
      <c r="H42" s="16" t="n">
        <v>0.995</v>
      </c>
      <c r="I42" s="16" t="n">
        <v>0.999</v>
      </c>
      <c r="J42" s="16" t="n">
        <v>0.99</v>
      </c>
      <c r="K42" s="16" t="n">
        <v>0.9975</v>
      </c>
      <c r="L42" s="16" t="n">
        <v>0.999</v>
      </c>
      <c r="M42" s="16" t="n">
        <v>0.99</v>
      </c>
      <c r="N42" s="16" t="n">
        <v>0.96</v>
      </c>
      <c r="O42" s="16" t="n">
        <v>0.985</v>
      </c>
      <c r="P42" s="16" t="n">
        <v>0.98</v>
      </c>
      <c r="Q42" s="16" t="n">
        <v>0.992</v>
      </c>
      <c r="R42" s="0" t="n">
        <v>0.99</v>
      </c>
      <c r="S42" s="0" t="n">
        <v>0.9945</v>
      </c>
    </row>
    <row r="43" customFormat="false" ht="12.75" hidden="false" customHeight="false" outlineLevel="0" collapsed="false">
      <c r="A43" s="326" t="n">
        <v>38231</v>
      </c>
      <c r="B43" s="16" t="n">
        <v>0.980420749757432</v>
      </c>
      <c r="C43" s="16" t="n">
        <v>0.99</v>
      </c>
      <c r="D43" s="16" t="n">
        <v>0.985</v>
      </c>
      <c r="E43" s="16" t="n">
        <v>0.994071440191916</v>
      </c>
      <c r="F43" s="16" t="n">
        <v>0.999</v>
      </c>
      <c r="G43" s="16" t="n">
        <v>0.98</v>
      </c>
      <c r="H43" s="16" t="n">
        <v>0.995</v>
      </c>
      <c r="I43" s="16" t="n">
        <v>0.999</v>
      </c>
      <c r="J43" s="16" t="n">
        <v>0.99</v>
      </c>
      <c r="K43" s="16" t="n">
        <v>0.9975</v>
      </c>
      <c r="L43" s="16" t="n">
        <v>0.999</v>
      </c>
      <c r="M43" s="16" t="n">
        <v>0.99</v>
      </c>
      <c r="N43" s="16" t="n">
        <v>0.96</v>
      </c>
      <c r="O43" s="16" t="n">
        <v>0.985</v>
      </c>
      <c r="P43" s="16" t="n">
        <v>0.98</v>
      </c>
      <c r="Q43" s="16" t="n">
        <v>0.992</v>
      </c>
      <c r="R43" s="0" t="n">
        <v>0.99</v>
      </c>
      <c r="S43" s="0" t="n">
        <v>0.9945</v>
      </c>
    </row>
    <row r="44" customFormat="false" ht="12.75" hidden="false" customHeight="false" outlineLevel="0" collapsed="false">
      <c r="A44" s="326" t="n">
        <v>38261</v>
      </c>
      <c r="B44" s="16" t="n">
        <v>0.980420749757432</v>
      </c>
      <c r="C44" s="16" t="n">
        <v>0.99</v>
      </c>
      <c r="D44" s="16" t="n">
        <v>0.985</v>
      </c>
      <c r="E44" s="16" t="n">
        <v>0.994071440191916</v>
      </c>
      <c r="F44" s="16" t="n">
        <v>0.999</v>
      </c>
      <c r="G44" s="16" t="n">
        <v>0.98</v>
      </c>
      <c r="H44" s="16" t="n">
        <v>0.995</v>
      </c>
      <c r="I44" s="16" t="n">
        <v>0.999</v>
      </c>
      <c r="J44" s="16" t="n">
        <v>0.99</v>
      </c>
      <c r="K44" s="16" t="n">
        <v>0.9975</v>
      </c>
      <c r="L44" s="16" t="n">
        <v>0.999</v>
      </c>
      <c r="M44" s="16" t="n">
        <v>0.99</v>
      </c>
      <c r="N44" s="16" t="n">
        <v>0.96</v>
      </c>
      <c r="O44" s="16" t="n">
        <v>0.985</v>
      </c>
      <c r="P44" s="16" t="n">
        <v>0.98</v>
      </c>
      <c r="Q44" s="16" t="n">
        <v>0.992</v>
      </c>
      <c r="R44" s="0" t="n">
        <v>0.99</v>
      </c>
      <c r="S44" s="0" t="n">
        <v>0.9945</v>
      </c>
    </row>
    <row r="45" customFormat="false" ht="12.75" hidden="false" customHeight="false" outlineLevel="0" collapsed="false">
      <c r="A45" s="326" t="n">
        <v>38292</v>
      </c>
      <c r="B45" s="16" t="n">
        <v>0.905775860471433</v>
      </c>
      <c r="C45" s="16" t="n">
        <v>0.99</v>
      </c>
      <c r="D45" s="16" t="n">
        <v>0.985</v>
      </c>
      <c r="E45" s="16" t="n">
        <v>0.984107647518451</v>
      </c>
      <c r="F45" s="16" t="n">
        <v>0.999</v>
      </c>
      <c r="G45" s="16" t="n">
        <v>0.98</v>
      </c>
      <c r="H45" s="16" t="n">
        <v>0.995</v>
      </c>
      <c r="I45" s="16" t="n">
        <v>0.999</v>
      </c>
      <c r="J45" s="16" t="n">
        <v>0.99</v>
      </c>
      <c r="K45" s="16" t="n">
        <v>0.995</v>
      </c>
      <c r="L45" s="16" t="n">
        <v>0.999</v>
      </c>
      <c r="M45" s="16" t="n">
        <v>0.99</v>
      </c>
      <c r="N45" s="16" t="n">
        <v>0.96</v>
      </c>
      <c r="O45" s="16" t="n">
        <v>0.985</v>
      </c>
      <c r="P45" s="16" t="n">
        <v>0.98</v>
      </c>
      <c r="Q45" s="16" t="n">
        <v>0.992</v>
      </c>
      <c r="R45" s="0" t="n">
        <v>0.99</v>
      </c>
      <c r="S45" s="0" t="n">
        <v>0.9945</v>
      </c>
    </row>
    <row r="46" customFormat="false" ht="12.75" hidden="false" customHeight="false" outlineLevel="0" collapsed="false">
      <c r="A46" s="326" t="n">
        <v>38322</v>
      </c>
      <c r="B46" s="16" t="n">
        <v>0.905775860471433</v>
      </c>
      <c r="C46" s="16" t="n">
        <v>0.99</v>
      </c>
      <c r="D46" s="16" t="n">
        <v>0.985</v>
      </c>
      <c r="E46" s="16" t="n">
        <v>0.984107647518451</v>
      </c>
      <c r="F46" s="16" t="n">
        <v>0.999</v>
      </c>
      <c r="G46" s="16" t="n">
        <v>0.98</v>
      </c>
      <c r="H46" s="16" t="n">
        <v>0.995</v>
      </c>
      <c r="I46" s="16" t="n">
        <v>0.999</v>
      </c>
      <c r="J46" s="16" t="n">
        <v>0.99</v>
      </c>
      <c r="K46" s="16" t="n">
        <v>0.995</v>
      </c>
      <c r="L46" s="16" t="n">
        <v>0.999</v>
      </c>
      <c r="M46" s="16" t="n">
        <v>0.99</v>
      </c>
      <c r="N46" s="16" t="n">
        <v>0.96</v>
      </c>
      <c r="O46" s="16" t="n">
        <v>0.985</v>
      </c>
      <c r="P46" s="16" t="n">
        <v>0.98</v>
      </c>
      <c r="Q46" s="16" t="n">
        <v>0.992</v>
      </c>
      <c r="R46" s="0" t="n">
        <v>0.99</v>
      </c>
      <c r="S46" s="0" t="n">
        <v>0.9945</v>
      </c>
    </row>
    <row r="47" customFormat="false" ht="12.75" hidden="false" customHeight="false" outlineLevel="0" collapsed="false">
      <c r="A47" s="326" t="n">
        <v>38353</v>
      </c>
      <c r="B47" s="16" t="n">
        <v>0.905775860471433</v>
      </c>
      <c r="C47" s="16" t="n">
        <v>0.99</v>
      </c>
      <c r="D47" s="16" t="n">
        <v>0.96</v>
      </c>
      <c r="E47" s="16" t="n">
        <v>0.984107647518451</v>
      </c>
      <c r="F47" s="16" t="n">
        <v>0.999</v>
      </c>
      <c r="G47" s="16" t="n">
        <v>0.98</v>
      </c>
      <c r="H47" s="16" t="n">
        <v>0.995</v>
      </c>
      <c r="I47" s="16" t="n">
        <v>0.999</v>
      </c>
      <c r="J47" s="16" t="n">
        <v>0.99</v>
      </c>
      <c r="K47" s="16" t="n">
        <v>0.995</v>
      </c>
      <c r="L47" s="16" t="n">
        <v>0.999</v>
      </c>
      <c r="M47" s="16" t="n">
        <v>0.99</v>
      </c>
      <c r="N47" s="16" t="n">
        <v>0.96</v>
      </c>
      <c r="O47" s="16" t="n">
        <v>0.96</v>
      </c>
      <c r="P47" s="16" t="n">
        <v>0.98</v>
      </c>
      <c r="Q47" s="16" t="n">
        <v>0.992</v>
      </c>
      <c r="R47" s="0" t="n">
        <v>0.99</v>
      </c>
      <c r="S47" s="0" t="n">
        <v>0.9945</v>
      </c>
    </row>
    <row r="48" customFormat="false" ht="12.75" hidden="false" customHeight="false" outlineLevel="0" collapsed="false">
      <c r="A48" s="326" t="n">
        <v>38384</v>
      </c>
      <c r="B48" s="16" t="n">
        <v>0.905775860471433</v>
      </c>
      <c r="C48" s="16" t="n">
        <v>0.99</v>
      </c>
      <c r="D48" s="16" t="n">
        <v>0.96</v>
      </c>
      <c r="E48" s="16" t="n">
        <v>0.984107647518451</v>
      </c>
      <c r="F48" s="16" t="n">
        <v>0.999</v>
      </c>
      <c r="G48" s="16" t="n">
        <v>0.98</v>
      </c>
      <c r="H48" s="16" t="n">
        <v>0.995</v>
      </c>
      <c r="I48" s="16" t="n">
        <v>0.999</v>
      </c>
      <c r="J48" s="16" t="n">
        <v>0.99</v>
      </c>
      <c r="K48" s="16" t="n">
        <v>0.995</v>
      </c>
      <c r="L48" s="16" t="n">
        <v>0.999</v>
      </c>
      <c r="M48" s="16" t="n">
        <v>0.99</v>
      </c>
      <c r="N48" s="16" t="n">
        <v>0.96</v>
      </c>
      <c r="O48" s="16" t="n">
        <v>0.96</v>
      </c>
      <c r="P48" s="16" t="n">
        <v>0.98</v>
      </c>
      <c r="Q48" s="16" t="n">
        <v>0.992</v>
      </c>
      <c r="R48" s="0" t="n">
        <v>0.99</v>
      </c>
      <c r="S48" s="0" t="n">
        <v>0.9945</v>
      </c>
    </row>
    <row r="49" customFormat="false" ht="12.75" hidden="false" customHeight="false" outlineLevel="0" collapsed="false">
      <c r="A49" s="326" t="n">
        <v>38412</v>
      </c>
      <c r="B49" s="16" t="n">
        <v>0.905775860471433</v>
      </c>
      <c r="C49" s="16" t="n">
        <v>0.99</v>
      </c>
      <c r="D49" s="16" t="n">
        <v>0.96</v>
      </c>
      <c r="E49" s="16" t="n">
        <v>0.984107647518451</v>
      </c>
      <c r="F49" s="16" t="n">
        <v>0.999</v>
      </c>
      <c r="G49" s="16" t="n">
        <v>0.98</v>
      </c>
      <c r="H49" s="16" t="n">
        <v>0.995</v>
      </c>
      <c r="I49" s="16" t="n">
        <v>0.999</v>
      </c>
      <c r="J49" s="16" t="n">
        <v>0.99</v>
      </c>
      <c r="K49" s="16" t="n">
        <v>0.995</v>
      </c>
      <c r="L49" s="16" t="n">
        <v>0.999</v>
      </c>
      <c r="M49" s="16" t="n">
        <v>0.99</v>
      </c>
      <c r="N49" s="16" t="n">
        <v>0.96</v>
      </c>
      <c r="O49" s="16" t="n">
        <v>0.96</v>
      </c>
      <c r="P49" s="16" t="n">
        <v>0.98</v>
      </c>
      <c r="Q49" s="16" t="n">
        <v>0.992</v>
      </c>
      <c r="R49" s="0" t="n">
        <v>0.99</v>
      </c>
      <c r="S49" s="0" t="n">
        <v>0.9945</v>
      </c>
    </row>
    <row r="50" customFormat="false" ht="12.75" hidden="false" customHeight="false" outlineLevel="0" collapsed="false">
      <c r="A50" s="326" t="n">
        <v>38443</v>
      </c>
      <c r="B50" s="16" t="n">
        <v>0.980420749757432</v>
      </c>
      <c r="C50" s="16" t="n">
        <v>0.99</v>
      </c>
      <c r="D50" s="16" t="n">
        <v>0.96</v>
      </c>
      <c r="E50" s="16" t="n">
        <v>0.994071440191916</v>
      </c>
      <c r="F50" s="16" t="n">
        <v>0.999</v>
      </c>
      <c r="G50" s="16" t="n">
        <v>0.98</v>
      </c>
      <c r="H50" s="16" t="n">
        <v>0.995</v>
      </c>
      <c r="I50" s="16" t="n">
        <v>0.999</v>
      </c>
      <c r="J50" s="16" t="n">
        <v>0.99</v>
      </c>
      <c r="K50" s="16" t="n">
        <v>0.995</v>
      </c>
      <c r="L50" s="16" t="n">
        <v>0.999</v>
      </c>
      <c r="M50" s="16" t="n">
        <v>0.99</v>
      </c>
      <c r="N50" s="16" t="n">
        <v>0.96</v>
      </c>
      <c r="O50" s="16" t="n">
        <v>0.96</v>
      </c>
      <c r="P50" s="16" t="n">
        <v>0.98</v>
      </c>
      <c r="Q50" s="16" t="n">
        <v>0.992</v>
      </c>
      <c r="R50" s="0" t="n">
        <v>0.99</v>
      </c>
      <c r="S50" s="0" t="n">
        <v>0.9945</v>
      </c>
    </row>
    <row r="51" customFormat="false" ht="12.75" hidden="false" customHeight="false" outlineLevel="0" collapsed="false">
      <c r="A51" s="326" t="n">
        <v>38473</v>
      </c>
      <c r="B51" s="16" t="n">
        <v>0.980420749757432</v>
      </c>
      <c r="C51" s="16" t="n">
        <v>0.99</v>
      </c>
      <c r="D51" s="16" t="n">
        <v>0.96</v>
      </c>
      <c r="E51" s="16" t="n">
        <v>0.994071440191916</v>
      </c>
      <c r="F51" s="16" t="n">
        <v>0.999</v>
      </c>
      <c r="G51" s="16" t="n">
        <v>0.98</v>
      </c>
      <c r="H51" s="16" t="n">
        <v>0.995</v>
      </c>
      <c r="I51" s="16" t="n">
        <v>0.999</v>
      </c>
      <c r="J51" s="16" t="n">
        <v>0.99</v>
      </c>
      <c r="K51" s="16" t="n">
        <v>0.995</v>
      </c>
      <c r="L51" s="16" t="n">
        <v>0.999</v>
      </c>
      <c r="M51" s="16" t="n">
        <v>0.99</v>
      </c>
      <c r="N51" s="16" t="n">
        <v>0.96</v>
      </c>
      <c r="O51" s="16" t="n">
        <v>0.96</v>
      </c>
      <c r="P51" s="16" t="n">
        <v>0.98</v>
      </c>
      <c r="Q51" s="16" t="n">
        <v>0.992</v>
      </c>
      <c r="R51" s="0" t="n">
        <v>0.99</v>
      </c>
      <c r="S51" s="0" t="n">
        <v>0.9945</v>
      </c>
    </row>
    <row r="52" customFormat="false" ht="12.75" hidden="false" customHeight="false" outlineLevel="0" collapsed="false">
      <c r="A52" s="326" t="n">
        <v>38504</v>
      </c>
      <c r="B52" s="16" t="n">
        <v>0.980420749757432</v>
      </c>
      <c r="C52" s="16" t="n">
        <v>0.99</v>
      </c>
      <c r="D52" s="16" t="n">
        <v>0.96</v>
      </c>
      <c r="E52" s="16" t="n">
        <v>0.994071440191916</v>
      </c>
      <c r="F52" s="16" t="n">
        <v>0.999</v>
      </c>
      <c r="G52" s="16" t="n">
        <v>0.98</v>
      </c>
      <c r="H52" s="16" t="n">
        <v>0.995</v>
      </c>
      <c r="I52" s="16" t="n">
        <v>0.999</v>
      </c>
      <c r="J52" s="16" t="n">
        <v>0.99</v>
      </c>
      <c r="K52" s="16" t="n">
        <v>0.995</v>
      </c>
      <c r="L52" s="16" t="n">
        <v>0.999</v>
      </c>
      <c r="M52" s="16" t="n">
        <v>0.99</v>
      </c>
      <c r="N52" s="16" t="n">
        <v>0.96</v>
      </c>
      <c r="O52" s="16" t="n">
        <v>0.96</v>
      </c>
      <c r="P52" s="16" t="n">
        <v>0.98</v>
      </c>
      <c r="Q52" s="16" t="n">
        <v>0.992</v>
      </c>
      <c r="R52" s="0" t="n">
        <v>0.99</v>
      </c>
      <c r="S52" s="0" t="n">
        <v>0.9945</v>
      </c>
    </row>
    <row r="53" customFormat="false" ht="12.75" hidden="false" customHeight="false" outlineLevel="0" collapsed="false">
      <c r="A53" s="326" t="n">
        <v>38534</v>
      </c>
      <c r="B53" s="16" t="n">
        <v>0.980420749757432</v>
      </c>
      <c r="C53" s="16" t="n">
        <v>0.99</v>
      </c>
      <c r="D53" s="16" t="n">
        <v>0.96</v>
      </c>
      <c r="E53" s="16" t="n">
        <v>0.994071440191916</v>
      </c>
      <c r="F53" s="16" t="n">
        <v>0.999</v>
      </c>
      <c r="G53" s="16" t="n">
        <v>0.98</v>
      </c>
      <c r="H53" s="16" t="n">
        <v>0.995</v>
      </c>
      <c r="I53" s="16" t="n">
        <v>0.999</v>
      </c>
      <c r="J53" s="16" t="n">
        <v>0.99</v>
      </c>
      <c r="K53" s="16" t="n">
        <v>0.995</v>
      </c>
      <c r="L53" s="16" t="n">
        <v>0.999</v>
      </c>
      <c r="M53" s="16" t="n">
        <v>0.99</v>
      </c>
      <c r="N53" s="16" t="n">
        <v>0.96</v>
      </c>
      <c r="O53" s="16" t="n">
        <v>0.96</v>
      </c>
      <c r="P53" s="16" t="n">
        <v>0.98</v>
      </c>
      <c r="Q53" s="16" t="n">
        <v>0.992</v>
      </c>
      <c r="R53" s="0" t="n">
        <v>0.99</v>
      </c>
      <c r="S53" s="0" t="n">
        <v>0.9945</v>
      </c>
    </row>
    <row r="54" customFormat="false" ht="12.75" hidden="false" customHeight="false" outlineLevel="0" collapsed="false">
      <c r="A54" s="326" t="n">
        <v>38565</v>
      </c>
      <c r="B54" s="16" t="n">
        <v>0.980420749757432</v>
      </c>
      <c r="C54" s="16" t="n">
        <v>0.99</v>
      </c>
      <c r="D54" s="16" t="n">
        <v>0.96</v>
      </c>
      <c r="E54" s="16" t="n">
        <v>0.994071440191916</v>
      </c>
      <c r="F54" s="16" t="n">
        <v>0.999</v>
      </c>
      <c r="G54" s="16" t="n">
        <v>0.98</v>
      </c>
      <c r="H54" s="16" t="n">
        <v>0.995</v>
      </c>
      <c r="I54" s="16" t="n">
        <v>0.999</v>
      </c>
      <c r="J54" s="16" t="n">
        <v>0.99</v>
      </c>
      <c r="K54" s="16" t="n">
        <v>0.995</v>
      </c>
      <c r="L54" s="16" t="n">
        <v>0.999</v>
      </c>
      <c r="M54" s="16" t="n">
        <v>0.99</v>
      </c>
      <c r="N54" s="16" t="n">
        <v>0.96</v>
      </c>
      <c r="O54" s="16" t="n">
        <v>0.96</v>
      </c>
      <c r="P54" s="16" t="n">
        <v>0.98</v>
      </c>
      <c r="Q54" s="16" t="n">
        <v>0.992</v>
      </c>
      <c r="R54" s="0" t="n">
        <v>0.99</v>
      </c>
      <c r="S54" s="0" t="n">
        <v>0.9945</v>
      </c>
    </row>
    <row r="55" customFormat="false" ht="12.75" hidden="false" customHeight="false" outlineLevel="0" collapsed="false">
      <c r="A55" s="326" t="n">
        <v>38596</v>
      </c>
      <c r="B55" s="16" t="n">
        <v>0.980420749757432</v>
      </c>
      <c r="C55" s="16" t="n">
        <v>0.99</v>
      </c>
      <c r="D55" s="16" t="n">
        <v>0.96</v>
      </c>
      <c r="E55" s="16" t="n">
        <v>0.994071440191916</v>
      </c>
      <c r="F55" s="16" t="n">
        <v>0.999</v>
      </c>
      <c r="G55" s="16" t="n">
        <v>0.98</v>
      </c>
      <c r="H55" s="16" t="n">
        <v>0.995</v>
      </c>
      <c r="I55" s="16" t="n">
        <v>0.999</v>
      </c>
      <c r="J55" s="16" t="n">
        <v>0.99</v>
      </c>
      <c r="K55" s="16" t="n">
        <v>0.995</v>
      </c>
      <c r="L55" s="16" t="n">
        <v>0.999</v>
      </c>
      <c r="M55" s="16" t="n">
        <v>0.99</v>
      </c>
      <c r="N55" s="16" t="n">
        <v>0.96</v>
      </c>
      <c r="O55" s="16" t="n">
        <v>0.96</v>
      </c>
      <c r="P55" s="16" t="n">
        <v>0.98</v>
      </c>
      <c r="Q55" s="16" t="n">
        <v>0.992</v>
      </c>
      <c r="R55" s="0" t="n">
        <v>0.99</v>
      </c>
      <c r="S55" s="0" t="n">
        <v>0.9945</v>
      </c>
    </row>
    <row r="56" customFormat="false" ht="12.75" hidden="false" customHeight="false" outlineLevel="0" collapsed="false">
      <c r="A56" s="326" t="n">
        <v>38626</v>
      </c>
      <c r="B56" s="16" t="n">
        <v>0.980420749757432</v>
      </c>
      <c r="C56" s="16" t="n">
        <v>0.99</v>
      </c>
      <c r="D56" s="16" t="n">
        <v>0.96</v>
      </c>
      <c r="E56" s="16" t="n">
        <v>0.994071440191916</v>
      </c>
      <c r="F56" s="16" t="n">
        <v>0.999</v>
      </c>
      <c r="G56" s="16" t="n">
        <v>0.98</v>
      </c>
      <c r="H56" s="16" t="n">
        <v>0.995</v>
      </c>
      <c r="I56" s="16" t="n">
        <v>0.999</v>
      </c>
      <c r="J56" s="16" t="n">
        <v>0.99</v>
      </c>
      <c r="K56" s="16" t="n">
        <v>0.995</v>
      </c>
      <c r="L56" s="16" t="n">
        <v>0.999</v>
      </c>
      <c r="M56" s="16" t="n">
        <v>0.99</v>
      </c>
      <c r="N56" s="16" t="n">
        <v>0.96</v>
      </c>
      <c r="O56" s="16" t="n">
        <v>0.96</v>
      </c>
      <c r="P56" s="16" t="n">
        <v>0.98</v>
      </c>
      <c r="Q56" s="16" t="n">
        <v>0.992</v>
      </c>
      <c r="R56" s="0" t="n">
        <v>0.99</v>
      </c>
      <c r="S56" s="0" t="n">
        <v>0.9945</v>
      </c>
    </row>
    <row r="57" customFormat="false" ht="12.75" hidden="false" customHeight="false" outlineLevel="0" collapsed="false">
      <c r="A57" s="326" t="n">
        <v>38657</v>
      </c>
      <c r="B57" s="16" t="n">
        <v>0.905775860471433</v>
      </c>
      <c r="C57" s="16" t="n">
        <v>0.99</v>
      </c>
      <c r="D57" s="16" t="n">
        <v>0.96</v>
      </c>
      <c r="E57" s="16" t="n">
        <v>0.984107647518451</v>
      </c>
      <c r="F57" s="16" t="n">
        <v>0.999</v>
      </c>
      <c r="G57" s="16" t="n">
        <v>0.98</v>
      </c>
      <c r="H57" s="16" t="n">
        <v>0.995</v>
      </c>
      <c r="I57" s="16" t="n">
        <v>0.999</v>
      </c>
      <c r="J57" s="16" t="n">
        <v>0.99</v>
      </c>
      <c r="K57" s="16" t="n">
        <v>0.995</v>
      </c>
      <c r="L57" s="16" t="n">
        <v>0.999</v>
      </c>
      <c r="M57" s="16" t="n">
        <v>0.99</v>
      </c>
      <c r="N57" s="16" t="n">
        <v>0.96</v>
      </c>
      <c r="O57" s="16" t="n">
        <v>0.96</v>
      </c>
      <c r="P57" s="16" t="n">
        <v>0.98</v>
      </c>
      <c r="Q57" s="16" t="n">
        <v>0.992</v>
      </c>
      <c r="R57" s="0" t="n">
        <v>0.99</v>
      </c>
      <c r="S57" s="0" t="n">
        <v>0.9945</v>
      </c>
    </row>
    <row r="58" customFormat="false" ht="12.75" hidden="false" customHeight="false" outlineLevel="0" collapsed="false">
      <c r="A58" s="326" t="n">
        <v>38687</v>
      </c>
      <c r="B58" s="16" t="n">
        <v>0.905775860471433</v>
      </c>
      <c r="C58" s="16" t="n">
        <v>0.99</v>
      </c>
      <c r="D58" s="16" t="n">
        <v>0.96</v>
      </c>
      <c r="E58" s="16" t="n">
        <v>0.984107647518451</v>
      </c>
      <c r="F58" s="16" t="n">
        <v>0.999</v>
      </c>
      <c r="G58" s="16" t="n">
        <v>0.98</v>
      </c>
      <c r="H58" s="16" t="n">
        <v>0.995</v>
      </c>
      <c r="I58" s="16" t="n">
        <v>0.999</v>
      </c>
      <c r="J58" s="16" t="n">
        <v>0.99</v>
      </c>
      <c r="K58" s="16" t="n">
        <v>0.995</v>
      </c>
      <c r="L58" s="16" t="n">
        <v>0.999</v>
      </c>
      <c r="M58" s="16" t="n">
        <v>0.99</v>
      </c>
      <c r="N58" s="16" t="n">
        <v>0.96</v>
      </c>
      <c r="O58" s="16" t="n">
        <v>0.96</v>
      </c>
      <c r="P58" s="16" t="n">
        <v>0.98</v>
      </c>
      <c r="Q58" s="16" t="n">
        <v>0.992</v>
      </c>
      <c r="R58" s="0" t="n">
        <v>0.99</v>
      </c>
      <c r="S58" s="0" t="n">
        <v>0.9945</v>
      </c>
    </row>
    <row r="59" customFormat="false" ht="12.75" hidden="false" customHeight="false" outlineLevel="0" collapsed="false">
      <c r="A59" s="326" t="n">
        <v>38718</v>
      </c>
      <c r="B59" s="16" t="n">
        <v>0.905775860471433</v>
      </c>
      <c r="C59" s="16" t="n">
        <v>0.99</v>
      </c>
      <c r="D59" s="16" t="n">
        <v>0.96</v>
      </c>
      <c r="E59" s="16" t="n">
        <v>0.984107647518451</v>
      </c>
      <c r="F59" s="16" t="n">
        <v>0.999</v>
      </c>
      <c r="G59" s="16" t="n">
        <v>0.98</v>
      </c>
      <c r="H59" s="16" t="n">
        <v>0.995</v>
      </c>
      <c r="I59" s="16" t="n">
        <v>0.999</v>
      </c>
      <c r="J59" s="16" t="n">
        <v>0.99</v>
      </c>
      <c r="K59" s="16" t="n">
        <v>0.995</v>
      </c>
      <c r="L59" s="16" t="n">
        <v>0.999</v>
      </c>
      <c r="M59" s="16" t="n">
        <v>0.99</v>
      </c>
      <c r="N59" s="16" t="n">
        <v>0.96</v>
      </c>
      <c r="O59" s="16" t="n">
        <v>0.96</v>
      </c>
      <c r="P59" s="16" t="n">
        <v>0.98</v>
      </c>
      <c r="Q59" s="16" t="n">
        <v>0.992</v>
      </c>
      <c r="R59" s="0" t="n">
        <v>0.99</v>
      </c>
      <c r="S59" s="0" t="n">
        <v>0.9945</v>
      </c>
    </row>
    <row r="60" customFormat="false" ht="12.75" hidden="false" customHeight="false" outlineLevel="0" collapsed="false">
      <c r="A60" s="326" t="n">
        <v>38749</v>
      </c>
      <c r="B60" s="16" t="n">
        <v>0.905775860471433</v>
      </c>
      <c r="C60" s="16" t="n">
        <v>0.99</v>
      </c>
      <c r="D60" s="16" t="n">
        <v>0.96</v>
      </c>
      <c r="E60" s="16" t="n">
        <v>0.984107647518451</v>
      </c>
      <c r="F60" s="16" t="n">
        <v>0.999</v>
      </c>
      <c r="G60" s="16" t="n">
        <v>0.98</v>
      </c>
      <c r="H60" s="16" t="n">
        <v>0.995</v>
      </c>
      <c r="I60" s="16" t="n">
        <v>0.999</v>
      </c>
      <c r="J60" s="16" t="n">
        <v>0.99</v>
      </c>
      <c r="K60" s="16" t="n">
        <v>0.995</v>
      </c>
      <c r="L60" s="16" t="n">
        <v>0.999</v>
      </c>
      <c r="M60" s="16" t="n">
        <v>0.99</v>
      </c>
      <c r="N60" s="16" t="n">
        <v>0.96</v>
      </c>
      <c r="O60" s="16" t="n">
        <v>0.96</v>
      </c>
      <c r="P60" s="16" t="n">
        <v>0.98</v>
      </c>
      <c r="Q60" s="16" t="n">
        <v>0.992</v>
      </c>
      <c r="R60" s="0" t="n">
        <v>0.99</v>
      </c>
      <c r="S60" s="0" t="n">
        <v>0.9945</v>
      </c>
    </row>
    <row r="61" customFormat="false" ht="12.75" hidden="false" customHeight="false" outlineLevel="0" collapsed="false">
      <c r="A61" s="326" t="n">
        <v>38777</v>
      </c>
      <c r="B61" s="16" t="n">
        <v>0.905775860471433</v>
      </c>
      <c r="C61" s="16" t="n">
        <v>0.99</v>
      </c>
      <c r="D61" s="16" t="n">
        <v>0.96</v>
      </c>
      <c r="E61" s="16" t="n">
        <v>0.984107647518451</v>
      </c>
      <c r="F61" s="16" t="n">
        <v>0.999</v>
      </c>
      <c r="G61" s="16" t="n">
        <v>0.98</v>
      </c>
      <c r="H61" s="16" t="n">
        <v>0.995</v>
      </c>
      <c r="I61" s="16" t="n">
        <v>0.999</v>
      </c>
      <c r="J61" s="16" t="n">
        <v>0.99</v>
      </c>
      <c r="K61" s="16" t="n">
        <v>0.995</v>
      </c>
      <c r="L61" s="16" t="n">
        <v>0.999</v>
      </c>
      <c r="M61" s="16" t="n">
        <v>0.99</v>
      </c>
      <c r="N61" s="16" t="n">
        <v>0.96</v>
      </c>
      <c r="O61" s="16" t="n">
        <v>0.96</v>
      </c>
      <c r="P61" s="16" t="n">
        <v>0.98</v>
      </c>
      <c r="Q61" s="16" t="n">
        <v>0.992</v>
      </c>
      <c r="R61" s="0" t="n">
        <v>0.99</v>
      </c>
      <c r="S61" s="0" t="n">
        <v>0.9945</v>
      </c>
    </row>
    <row r="62" customFormat="false" ht="12.75" hidden="false" customHeight="false" outlineLevel="0" collapsed="false">
      <c r="A62" s="326" t="n">
        <v>38808</v>
      </c>
      <c r="B62" s="16" t="n">
        <v>0.980420749757432</v>
      </c>
      <c r="C62" s="16" t="n">
        <v>0.99</v>
      </c>
      <c r="D62" s="16" t="n">
        <v>0.96</v>
      </c>
      <c r="E62" s="16" t="n">
        <v>0.994071440191916</v>
      </c>
      <c r="F62" s="16" t="n">
        <v>0.999</v>
      </c>
      <c r="G62" s="16" t="n">
        <v>0.98</v>
      </c>
      <c r="H62" s="16" t="n">
        <v>0.995</v>
      </c>
      <c r="I62" s="16" t="n">
        <v>0.999</v>
      </c>
      <c r="J62" s="16" t="n">
        <v>0.99</v>
      </c>
      <c r="K62" s="16" t="n">
        <v>0.995</v>
      </c>
      <c r="L62" s="16" t="n">
        <v>0.999</v>
      </c>
      <c r="M62" s="16" t="n">
        <v>0.99</v>
      </c>
      <c r="N62" s="16" t="n">
        <v>0.96</v>
      </c>
      <c r="O62" s="16" t="n">
        <v>0.96</v>
      </c>
      <c r="P62" s="16" t="n">
        <v>0.98</v>
      </c>
      <c r="Q62" s="16" t="n">
        <v>0.992</v>
      </c>
      <c r="R62" s="0" t="n">
        <v>0.99</v>
      </c>
      <c r="S62" s="0" t="n">
        <v>0.9945</v>
      </c>
    </row>
    <row r="63" customFormat="false" ht="12.75" hidden="false" customHeight="false" outlineLevel="0" collapsed="false">
      <c r="A63" s="326" t="n">
        <v>38838</v>
      </c>
      <c r="B63" s="16" t="n">
        <v>0.980420749757432</v>
      </c>
      <c r="C63" s="16" t="n">
        <v>0.99</v>
      </c>
      <c r="D63" s="16" t="n">
        <v>0.96</v>
      </c>
      <c r="E63" s="16" t="n">
        <v>0.994071440191916</v>
      </c>
      <c r="F63" s="16" t="n">
        <v>0.999</v>
      </c>
      <c r="G63" s="16" t="n">
        <v>0.98</v>
      </c>
      <c r="H63" s="16" t="n">
        <v>0.995</v>
      </c>
      <c r="I63" s="16" t="n">
        <v>0.999</v>
      </c>
      <c r="J63" s="16" t="n">
        <v>0.99</v>
      </c>
      <c r="K63" s="16" t="n">
        <v>0.995</v>
      </c>
      <c r="L63" s="16" t="n">
        <v>0.999</v>
      </c>
      <c r="M63" s="16" t="n">
        <v>0.99</v>
      </c>
      <c r="N63" s="16" t="n">
        <v>0.96</v>
      </c>
      <c r="O63" s="16" t="n">
        <v>0.96</v>
      </c>
      <c r="P63" s="16" t="n">
        <v>0.98</v>
      </c>
      <c r="Q63" s="16" t="n">
        <v>0.992</v>
      </c>
      <c r="R63" s="0" t="n">
        <v>0.99</v>
      </c>
      <c r="S63" s="0" t="n">
        <v>0.9945</v>
      </c>
    </row>
    <row r="64" customFormat="false" ht="12.75" hidden="false" customHeight="false" outlineLevel="0" collapsed="false">
      <c r="A64" s="326" t="n">
        <v>38869</v>
      </c>
      <c r="B64" s="16" t="n">
        <v>0.980420749757432</v>
      </c>
      <c r="C64" s="16" t="n">
        <v>0.99</v>
      </c>
      <c r="D64" s="16" t="n">
        <v>0.96</v>
      </c>
      <c r="E64" s="16" t="n">
        <v>0.994071440191916</v>
      </c>
      <c r="F64" s="16" t="n">
        <v>0.999</v>
      </c>
      <c r="G64" s="16" t="n">
        <v>0.98</v>
      </c>
      <c r="H64" s="16" t="n">
        <v>0.995</v>
      </c>
      <c r="I64" s="16" t="n">
        <v>0.999</v>
      </c>
      <c r="J64" s="16" t="n">
        <v>0.99</v>
      </c>
      <c r="K64" s="16" t="n">
        <v>0.995</v>
      </c>
      <c r="L64" s="16" t="n">
        <v>0.999</v>
      </c>
      <c r="M64" s="16" t="n">
        <v>0.99</v>
      </c>
      <c r="N64" s="16" t="n">
        <v>0.96</v>
      </c>
      <c r="O64" s="16" t="n">
        <v>0.96</v>
      </c>
      <c r="P64" s="16" t="n">
        <v>0.98</v>
      </c>
      <c r="Q64" s="16" t="n">
        <v>0.992</v>
      </c>
      <c r="R64" s="0" t="n">
        <v>0.99</v>
      </c>
      <c r="S64" s="0" t="n">
        <v>0.9945</v>
      </c>
    </row>
    <row r="65" customFormat="false" ht="12.75" hidden="false" customHeight="false" outlineLevel="0" collapsed="false">
      <c r="A65" s="326" t="n">
        <v>38899</v>
      </c>
      <c r="B65" s="16" t="n">
        <v>0.980420749757432</v>
      </c>
      <c r="C65" s="16" t="n">
        <v>0.99</v>
      </c>
      <c r="D65" s="16" t="n">
        <v>0.96</v>
      </c>
      <c r="E65" s="16" t="n">
        <v>0.994071440191916</v>
      </c>
      <c r="F65" s="16" t="n">
        <v>0.999</v>
      </c>
      <c r="G65" s="16" t="n">
        <v>0.98</v>
      </c>
      <c r="H65" s="16" t="n">
        <v>0.995</v>
      </c>
      <c r="I65" s="16" t="n">
        <v>0.999</v>
      </c>
      <c r="J65" s="16" t="n">
        <v>0.99</v>
      </c>
      <c r="K65" s="16" t="n">
        <v>0.995</v>
      </c>
      <c r="L65" s="16" t="n">
        <v>0.999</v>
      </c>
      <c r="M65" s="16" t="n">
        <v>0.99</v>
      </c>
      <c r="N65" s="16" t="n">
        <v>0.96</v>
      </c>
      <c r="O65" s="16" t="n">
        <v>0.96</v>
      </c>
      <c r="P65" s="16" t="n">
        <v>0.98</v>
      </c>
      <c r="Q65" s="16" t="n">
        <v>0.992</v>
      </c>
      <c r="R65" s="0" t="n">
        <v>0.99</v>
      </c>
      <c r="S65" s="0" t="n">
        <v>0.9945</v>
      </c>
    </row>
    <row r="66" customFormat="false" ht="12.75" hidden="false" customHeight="false" outlineLevel="0" collapsed="false">
      <c r="A66" s="326" t="n">
        <v>38930</v>
      </c>
      <c r="B66" s="16" t="n">
        <v>0.980420749757432</v>
      </c>
      <c r="C66" s="16" t="n">
        <v>0.99</v>
      </c>
      <c r="D66" s="16" t="n">
        <v>0.96</v>
      </c>
      <c r="E66" s="16" t="n">
        <v>0.994071440191916</v>
      </c>
      <c r="F66" s="16" t="n">
        <v>0.999</v>
      </c>
      <c r="G66" s="16" t="n">
        <v>0.98</v>
      </c>
      <c r="H66" s="16" t="n">
        <v>0.995</v>
      </c>
      <c r="I66" s="16" t="n">
        <v>0.999</v>
      </c>
      <c r="J66" s="16" t="n">
        <v>0.99</v>
      </c>
      <c r="K66" s="16" t="n">
        <v>0.995</v>
      </c>
      <c r="L66" s="16" t="n">
        <v>0.999</v>
      </c>
      <c r="M66" s="16" t="n">
        <v>0.99</v>
      </c>
      <c r="N66" s="16" t="n">
        <v>0.96</v>
      </c>
      <c r="O66" s="16" t="n">
        <v>0.96</v>
      </c>
      <c r="P66" s="16" t="n">
        <v>0.98</v>
      </c>
      <c r="Q66" s="16" t="n">
        <v>0.992</v>
      </c>
      <c r="R66" s="0" t="n">
        <v>0.99</v>
      </c>
      <c r="S66" s="0" t="n">
        <v>0.9945</v>
      </c>
    </row>
    <row r="67" customFormat="false" ht="12.75" hidden="false" customHeight="false" outlineLevel="0" collapsed="false">
      <c r="A67" s="326" t="n">
        <v>38961</v>
      </c>
      <c r="B67" s="16" t="n">
        <v>0.980420749757432</v>
      </c>
      <c r="C67" s="16" t="n">
        <v>0.99</v>
      </c>
      <c r="D67" s="16" t="n">
        <v>0.96</v>
      </c>
      <c r="E67" s="16" t="n">
        <v>0.994071440191916</v>
      </c>
      <c r="F67" s="16" t="n">
        <v>0.999</v>
      </c>
      <c r="G67" s="16" t="n">
        <v>0.98</v>
      </c>
      <c r="H67" s="16" t="n">
        <v>0.995</v>
      </c>
      <c r="I67" s="16" t="n">
        <v>0.999</v>
      </c>
      <c r="J67" s="16" t="n">
        <v>0.99</v>
      </c>
      <c r="K67" s="16" t="n">
        <v>0.995</v>
      </c>
      <c r="L67" s="16" t="n">
        <v>0.999</v>
      </c>
      <c r="M67" s="16" t="n">
        <v>0.99</v>
      </c>
      <c r="N67" s="16" t="n">
        <v>0.96</v>
      </c>
      <c r="O67" s="16" t="n">
        <v>0.96</v>
      </c>
      <c r="P67" s="16" t="n">
        <v>0.98</v>
      </c>
      <c r="Q67" s="16" t="n">
        <v>0.992</v>
      </c>
      <c r="R67" s="0" t="n">
        <v>0.99</v>
      </c>
      <c r="S67" s="0" t="n">
        <v>0.9945</v>
      </c>
    </row>
    <row r="68" customFormat="false" ht="12.75" hidden="false" customHeight="false" outlineLevel="0" collapsed="false">
      <c r="A68" s="326" t="n">
        <v>38991</v>
      </c>
      <c r="B68" s="16" t="n">
        <v>0.980420749757432</v>
      </c>
      <c r="C68" s="16" t="n">
        <v>0.99</v>
      </c>
      <c r="D68" s="16" t="n">
        <v>0.96</v>
      </c>
      <c r="E68" s="16" t="n">
        <v>0.994071440191916</v>
      </c>
      <c r="F68" s="16" t="n">
        <v>0.999</v>
      </c>
      <c r="G68" s="16" t="n">
        <v>0.98</v>
      </c>
      <c r="H68" s="16" t="n">
        <v>0.995</v>
      </c>
      <c r="I68" s="16" t="n">
        <v>0.999</v>
      </c>
      <c r="J68" s="16" t="n">
        <v>0.99</v>
      </c>
      <c r="K68" s="16" t="n">
        <v>0.995</v>
      </c>
      <c r="L68" s="16" t="n">
        <v>0.999</v>
      </c>
      <c r="M68" s="16" t="n">
        <v>0.99</v>
      </c>
      <c r="N68" s="16" t="n">
        <v>0.96</v>
      </c>
      <c r="O68" s="16" t="n">
        <v>0.96</v>
      </c>
      <c r="P68" s="16" t="n">
        <v>0.98</v>
      </c>
      <c r="Q68" s="16" t="n">
        <v>0.992</v>
      </c>
      <c r="R68" s="0" t="n">
        <v>0.99</v>
      </c>
      <c r="S68" s="0" t="n">
        <v>0.9945</v>
      </c>
    </row>
    <row r="69" customFormat="false" ht="12.75" hidden="false" customHeight="false" outlineLevel="0" collapsed="false">
      <c r="A69" s="326" t="n">
        <v>39022</v>
      </c>
      <c r="B69" s="16" t="n">
        <v>0.905775860471433</v>
      </c>
      <c r="C69" s="16" t="n">
        <v>0.99</v>
      </c>
      <c r="D69" s="16" t="n">
        <v>0.96</v>
      </c>
      <c r="E69" s="16" t="n">
        <v>0.984107647518451</v>
      </c>
      <c r="F69" s="16" t="n">
        <v>0.999</v>
      </c>
      <c r="G69" s="16" t="n">
        <v>0.98</v>
      </c>
      <c r="H69" s="16" t="n">
        <v>0.995</v>
      </c>
      <c r="I69" s="16" t="n">
        <v>0.999</v>
      </c>
      <c r="J69" s="16" t="n">
        <v>0.99</v>
      </c>
      <c r="K69" s="16" t="n">
        <v>0.995</v>
      </c>
      <c r="L69" s="16" t="n">
        <v>0.999</v>
      </c>
      <c r="M69" s="16" t="n">
        <v>0.99</v>
      </c>
      <c r="N69" s="16" t="n">
        <v>0.96</v>
      </c>
      <c r="O69" s="16" t="n">
        <v>0.96</v>
      </c>
      <c r="P69" s="16" t="n">
        <v>0.98</v>
      </c>
      <c r="Q69" s="16" t="n">
        <v>0.992</v>
      </c>
      <c r="R69" s="0" t="n">
        <v>0.99</v>
      </c>
      <c r="S69" s="0" t="n">
        <v>0.9945</v>
      </c>
    </row>
    <row r="70" customFormat="false" ht="12.75" hidden="false" customHeight="false" outlineLevel="0" collapsed="false">
      <c r="A70" s="326" t="n">
        <v>39052</v>
      </c>
      <c r="B70" s="16" t="n">
        <v>0.905775860471433</v>
      </c>
      <c r="C70" s="16" t="n">
        <v>0.99</v>
      </c>
      <c r="D70" s="16" t="n">
        <v>0.96</v>
      </c>
      <c r="E70" s="16" t="n">
        <v>0.984107647518451</v>
      </c>
      <c r="F70" s="16" t="n">
        <v>0.999</v>
      </c>
      <c r="G70" s="16" t="n">
        <v>0.98</v>
      </c>
      <c r="H70" s="16" t="n">
        <v>0.995</v>
      </c>
      <c r="I70" s="16" t="n">
        <v>0.999</v>
      </c>
      <c r="J70" s="16" t="n">
        <v>0.99</v>
      </c>
      <c r="K70" s="16" t="n">
        <v>0.995</v>
      </c>
      <c r="L70" s="16" t="n">
        <v>0.999</v>
      </c>
      <c r="M70" s="16" t="n">
        <v>0.99</v>
      </c>
      <c r="N70" s="16" t="n">
        <v>0.96</v>
      </c>
      <c r="O70" s="16" t="n">
        <v>0.96</v>
      </c>
      <c r="P70" s="16" t="n">
        <v>0.98</v>
      </c>
      <c r="Q70" s="16" t="n">
        <v>0.992</v>
      </c>
      <c r="R70" s="0" t="n">
        <v>0.99</v>
      </c>
      <c r="S70" s="0" t="n">
        <v>0.9945</v>
      </c>
    </row>
    <row r="71" customFormat="false" ht="12.75" hidden="false" customHeight="false" outlineLevel="0" collapsed="false">
      <c r="A71" s="326" t="n">
        <v>39083</v>
      </c>
      <c r="B71" s="16" t="n">
        <v>0.905775860471433</v>
      </c>
      <c r="C71" s="16" t="n">
        <v>0.99</v>
      </c>
      <c r="D71" s="16" t="n">
        <v>0.96</v>
      </c>
      <c r="E71" s="16" t="n">
        <v>0.984107647518451</v>
      </c>
      <c r="F71" s="16" t="n">
        <v>0.999</v>
      </c>
      <c r="G71" s="16" t="n">
        <v>0.98</v>
      </c>
      <c r="H71" s="16" t="n">
        <v>0.995</v>
      </c>
      <c r="I71" s="16" t="n">
        <v>0.999</v>
      </c>
      <c r="J71" s="16" t="n">
        <v>0.99</v>
      </c>
      <c r="K71" s="16" t="n">
        <v>0.995</v>
      </c>
      <c r="L71" s="16" t="n">
        <v>0.999</v>
      </c>
      <c r="M71" s="16" t="n">
        <v>0.99</v>
      </c>
      <c r="N71" s="16" t="n">
        <v>0.96</v>
      </c>
      <c r="O71" s="16" t="n">
        <v>0.96</v>
      </c>
      <c r="P71" s="16" t="n">
        <v>0.98</v>
      </c>
      <c r="Q71" s="16" t="n">
        <v>0.992</v>
      </c>
      <c r="R71" s="0" t="n">
        <v>0.99</v>
      </c>
      <c r="S71" s="0" t="n">
        <v>0.9945</v>
      </c>
    </row>
    <row r="72" customFormat="false" ht="12.75" hidden="false" customHeight="false" outlineLevel="0" collapsed="false">
      <c r="A72" s="326" t="n">
        <v>39114</v>
      </c>
      <c r="B72" s="16" t="n">
        <v>0.905775860471433</v>
      </c>
      <c r="C72" s="16" t="n">
        <v>0.99</v>
      </c>
      <c r="D72" s="16" t="n">
        <v>0.96</v>
      </c>
      <c r="E72" s="16" t="n">
        <v>0.984107647518451</v>
      </c>
      <c r="F72" s="16" t="n">
        <v>0.999</v>
      </c>
      <c r="G72" s="16" t="n">
        <v>0.98</v>
      </c>
      <c r="H72" s="16" t="n">
        <v>0.995</v>
      </c>
      <c r="I72" s="16" t="n">
        <v>0.999</v>
      </c>
      <c r="J72" s="16" t="n">
        <v>0.99</v>
      </c>
      <c r="K72" s="16" t="n">
        <v>0.995</v>
      </c>
      <c r="L72" s="16" t="n">
        <v>0.999</v>
      </c>
      <c r="M72" s="16" t="n">
        <v>0.99</v>
      </c>
      <c r="N72" s="16" t="n">
        <v>0.96</v>
      </c>
      <c r="O72" s="16" t="n">
        <v>0.96</v>
      </c>
      <c r="P72" s="16" t="n">
        <v>0.98</v>
      </c>
      <c r="Q72" s="16" t="n">
        <v>0.992</v>
      </c>
      <c r="R72" s="0" t="n">
        <v>0.99</v>
      </c>
      <c r="S72" s="0" t="n">
        <v>0.9945</v>
      </c>
    </row>
    <row r="73" customFormat="false" ht="12.75" hidden="false" customHeight="false" outlineLevel="0" collapsed="false">
      <c r="A73" s="326" t="n">
        <v>39142</v>
      </c>
      <c r="B73" s="16" t="n">
        <v>0.905775860471433</v>
      </c>
      <c r="C73" s="16" t="n">
        <v>0.99</v>
      </c>
      <c r="D73" s="16" t="n">
        <v>0.96</v>
      </c>
      <c r="E73" s="16" t="n">
        <v>0.984107647518451</v>
      </c>
      <c r="F73" s="16" t="n">
        <v>0.999</v>
      </c>
      <c r="G73" s="16" t="n">
        <v>0.98</v>
      </c>
      <c r="H73" s="16" t="n">
        <v>0.995</v>
      </c>
      <c r="I73" s="16" t="n">
        <v>0.999</v>
      </c>
      <c r="J73" s="16" t="n">
        <v>0.99</v>
      </c>
      <c r="K73" s="16" t="n">
        <v>0.995</v>
      </c>
      <c r="L73" s="16" t="n">
        <v>0.999</v>
      </c>
      <c r="M73" s="16" t="n">
        <v>0.99</v>
      </c>
      <c r="N73" s="16" t="n">
        <v>0.96</v>
      </c>
      <c r="O73" s="16" t="n">
        <v>0.96</v>
      </c>
      <c r="P73" s="16" t="n">
        <v>0.98</v>
      </c>
      <c r="Q73" s="16" t="n">
        <v>0.992</v>
      </c>
      <c r="R73" s="0" t="n">
        <v>0.99</v>
      </c>
      <c r="S73" s="0" t="n">
        <v>0.9945</v>
      </c>
    </row>
    <row r="74" customFormat="false" ht="12.75" hidden="false" customHeight="false" outlineLevel="0" collapsed="false">
      <c r="A74" s="326" t="n">
        <v>39173</v>
      </c>
      <c r="B74" s="16" t="n">
        <v>0.9306</v>
      </c>
      <c r="C74" s="16" t="n">
        <v>0.99</v>
      </c>
      <c r="D74" s="16" t="n">
        <v>0.96</v>
      </c>
      <c r="E74" s="16" t="n">
        <v>0.9306</v>
      </c>
      <c r="F74" s="16" t="n">
        <v>0.999</v>
      </c>
      <c r="G74" s="16" t="n">
        <v>0.98</v>
      </c>
      <c r="H74" s="16" t="n">
        <v>0.995</v>
      </c>
      <c r="I74" s="16" t="n">
        <v>0.999</v>
      </c>
      <c r="J74" s="16" t="n">
        <v>0.99</v>
      </c>
      <c r="K74" s="16" t="n">
        <v>0.995</v>
      </c>
      <c r="L74" s="16" t="n">
        <v>0.999</v>
      </c>
      <c r="M74" s="16" t="n">
        <v>0.99</v>
      </c>
      <c r="N74" s="16" t="n">
        <v>0.96</v>
      </c>
      <c r="O74" s="16" t="n">
        <v>0.96</v>
      </c>
      <c r="P74" s="16" t="n">
        <v>0.98</v>
      </c>
      <c r="Q74" s="16" t="n">
        <v>0.992</v>
      </c>
      <c r="R74" s="0" t="n">
        <v>0.99</v>
      </c>
      <c r="S74" s="0" t="n">
        <v>0.9945</v>
      </c>
    </row>
    <row r="75" customFormat="false" ht="12.75" hidden="false" customHeight="false" outlineLevel="0" collapsed="false">
      <c r="A75" s="326" t="n">
        <v>39203</v>
      </c>
      <c r="B75" s="16" t="n">
        <v>0.9306</v>
      </c>
      <c r="C75" s="16" t="n">
        <v>0.99</v>
      </c>
      <c r="D75" s="16" t="n">
        <v>0.96</v>
      </c>
      <c r="E75" s="16" t="n">
        <v>0.9306</v>
      </c>
      <c r="F75" s="16" t="n">
        <v>0.999</v>
      </c>
      <c r="G75" s="16" t="n">
        <v>0.98</v>
      </c>
      <c r="H75" s="16" t="n">
        <v>0.995</v>
      </c>
      <c r="I75" s="16" t="n">
        <v>0.999</v>
      </c>
      <c r="J75" s="16" t="n">
        <v>0.99</v>
      </c>
      <c r="K75" s="16" t="n">
        <v>0.995</v>
      </c>
      <c r="L75" s="16" t="n">
        <v>0.999</v>
      </c>
      <c r="M75" s="16" t="n">
        <v>0.99</v>
      </c>
      <c r="N75" s="16" t="n">
        <v>0.96</v>
      </c>
      <c r="O75" s="16" t="n">
        <v>0.96</v>
      </c>
      <c r="P75" s="16" t="n">
        <v>0.98</v>
      </c>
      <c r="Q75" s="16" t="n">
        <v>0.992</v>
      </c>
      <c r="R75" s="0" t="n">
        <v>0.99</v>
      </c>
      <c r="S75" s="0" t="n">
        <v>0.9945</v>
      </c>
    </row>
    <row r="76" customFormat="false" ht="12.75" hidden="false" customHeight="false" outlineLevel="0" collapsed="false">
      <c r="A76" s="326" t="n">
        <v>39234</v>
      </c>
      <c r="B76" s="16" t="n">
        <v>0.9306</v>
      </c>
      <c r="C76" s="16" t="n">
        <v>0.99</v>
      </c>
      <c r="D76" s="16" t="n">
        <v>0.96</v>
      </c>
      <c r="E76" s="16" t="n">
        <v>0.9306</v>
      </c>
      <c r="F76" s="16" t="n">
        <v>0.999</v>
      </c>
      <c r="G76" s="16" t="n">
        <v>0.98</v>
      </c>
      <c r="H76" s="16" t="n">
        <v>0.995</v>
      </c>
      <c r="I76" s="16" t="n">
        <v>0.999</v>
      </c>
      <c r="J76" s="16" t="n">
        <v>0.99</v>
      </c>
      <c r="K76" s="16" t="n">
        <v>0.995</v>
      </c>
      <c r="L76" s="16" t="n">
        <v>0.999</v>
      </c>
      <c r="M76" s="16" t="n">
        <v>0.99</v>
      </c>
      <c r="N76" s="16" t="n">
        <v>0.96</v>
      </c>
      <c r="O76" s="16" t="n">
        <v>0.96</v>
      </c>
      <c r="P76" s="16" t="n">
        <v>0.98</v>
      </c>
      <c r="Q76" s="16" t="n">
        <v>0.992</v>
      </c>
      <c r="R76" s="0" t="n">
        <v>0.99</v>
      </c>
      <c r="S76" s="0" t="n">
        <v>0.9945</v>
      </c>
    </row>
    <row r="77" customFormat="false" ht="12.75" hidden="false" customHeight="false" outlineLevel="0" collapsed="false">
      <c r="A77" s="326" t="n">
        <v>39264</v>
      </c>
      <c r="B77" s="16" t="n">
        <v>0.9306</v>
      </c>
      <c r="C77" s="16" t="n">
        <v>0.99</v>
      </c>
      <c r="D77" s="16" t="n">
        <v>0.96</v>
      </c>
      <c r="E77" s="16" t="n">
        <v>0.9306</v>
      </c>
      <c r="F77" s="16" t="n">
        <v>0.999</v>
      </c>
      <c r="G77" s="16" t="n">
        <v>0.98</v>
      </c>
      <c r="H77" s="16" t="n">
        <v>0.995</v>
      </c>
      <c r="I77" s="16" t="n">
        <v>0.999</v>
      </c>
      <c r="J77" s="16" t="n">
        <v>0.99</v>
      </c>
      <c r="K77" s="16" t="n">
        <v>0.995</v>
      </c>
      <c r="L77" s="16" t="n">
        <v>0.999</v>
      </c>
      <c r="M77" s="16" t="n">
        <v>0.99</v>
      </c>
      <c r="N77" s="16" t="n">
        <v>0.96</v>
      </c>
      <c r="O77" s="16" t="n">
        <v>0.96</v>
      </c>
      <c r="P77" s="16" t="n">
        <v>0.98</v>
      </c>
      <c r="Q77" s="16" t="n">
        <v>0.992</v>
      </c>
      <c r="R77" s="0" t="n">
        <v>0.99</v>
      </c>
      <c r="S77" s="0" t="n">
        <v>0.9945</v>
      </c>
    </row>
    <row r="78" customFormat="false" ht="12.75" hidden="false" customHeight="false" outlineLevel="0" collapsed="false">
      <c r="A78" s="326" t="n">
        <v>39295</v>
      </c>
      <c r="B78" s="16" t="n">
        <v>0.9306</v>
      </c>
      <c r="C78" s="16" t="n">
        <v>0.99</v>
      </c>
      <c r="D78" s="16" t="n">
        <v>0.96</v>
      </c>
      <c r="E78" s="16" t="n">
        <v>0.9306</v>
      </c>
      <c r="F78" s="16" t="n">
        <v>0.999</v>
      </c>
      <c r="G78" s="16" t="n">
        <v>0.98</v>
      </c>
      <c r="H78" s="16" t="n">
        <v>0.995</v>
      </c>
      <c r="I78" s="16" t="n">
        <v>0.999</v>
      </c>
      <c r="J78" s="16" t="n">
        <v>0.99</v>
      </c>
      <c r="K78" s="16" t="n">
        <v>0.995</v>
      </c>
      <c r="L78" s="16" t="n">
        <v>0.999</v>
      </c>
      <c r="M78" s="16" t="n">
        <v>0.99</v>
      </c>
      <c r="N78" s="16" t="n">
        <v>0.96</v>
      </c>
      <c r="O78" s="16" t="n">
        <v>0.96</v>
      </c>
      <c r="P78" s="16" t="n">
        <v>0.98</v>
      </c>
      <c r="Q78" s="16" t="n">
        <v>0.992</v>
      </c>
      <c r="R78" s="0" t="n">
        <v>0.99</v>
      </c>
      <c r="S78" s="0" t="n">
        <v>0.9945</v>
      </c>
    </row>
    <row r="79" customFormat="false" ht="12.75" hidden="false" customHeight="false" outlineLevel="0" collapsed="false">
      <c r="A79" s="326" t="n">
        <v>39326</v>
      </c>
      <c r="B79" s="16" t="n">
        <v>0.9306</v>
      </c>
      <c r="C79" s="16" t="n">
        <v>0.99</v>
      </c>
      <c r="D79" s="16" t="n">
        <v>0.96</v>
      </c>
      <c r="E79" s="16" t="n">
        <v>0.9306</v>
      </c>
      <c r="F79" s="16" t="n">
        <v>0.999</v>
      </c>
      <c r="G79" s="16" t="n">
        <v>0.98</v>
      </c>
      <c r="H79" s="16" t="n">
        <v>0.995</v>
      </c>
      <c r="I79" s="16" t="n">
        <v>0.999</v>
      </c>
      <c r="J79" s="16" t="n">
        <v>0.99</v>
      </c>
      <c r="K79" s="16" t="n">
        <v>0.995</v>
      </c>
      <c r="L79" s="16" t="n">
        <v>0.999</v>
      </c>
      <c r="M79" s="16" t="n">
        <v>0.99</v>
      </c>
      <c r="N79" s="16" t="n">
        <v>0.96</v>
      </c>
      <c r="O79" s="16" t="n">
        <v>0.96</v>
      </c>
      <c r="P79" s="16" t="n">
        <v>0.98</v>
      </c>
      <c r="Q79" s="16" t="n">
        <v>0.992</v>
      </c>
      <c r="R79" s="0" t="n">
        <v>0.99</v>
      </c>
      <c r="S79" s="0" t="n">
        <v>0.9945</v>
      </c>
    </row>
    <row r="80" customFormat="false" ht="12.75" hidden="false" customHeight="false" outlineLevel="0" collapsed="false">
      <c r="A80" s="326" t="n">
        <v>39356</v>
      </c>
      <c r="B80" s="16" t="n">
        <v>0.9306</v>
      </c>
      <c r="C80" s="16" t="n">
        <v>0.99</v>
      </c>
      <c r="D80" s="16" t="n">
        <v>0.96</v>
      </c>
      <c r="E80" s="16" t="n">
        <v>0.9306</v>
      </c>
      <c r="F80" s="16" t="n">
        <v>0.999</v>
      </c>
      <c r="G80" s="16" t="n">
        <v>0.98</v>
      </c>
      <c r="H80" s="16" t="n">
        <v>0.995</v>
      </c>
      <c r="I80" s="16" t="n">
        <v>0.999</v>
      </c>
      <c r="J80" s="16" t="n">
        <v>0.99</v>
      </c>
      <c r="K80" s="16" t="n">
        <v>0.995</v>
      </c>
      <c r="L80" s="16" t="n">
        <v>0.999</v>
      </c>
      <c r="M80" s="16" t="n">
        <v>0.99</v>
      </c>
      <c r="N80" s="16" t="n">
        <v>0.96</v>
      </c>
      <c r="O80" s="16" t="n">
        <v>0.96</v>
      </c>
      <c r="P80" s="16" t="n">
        <v>0.98</v>
      </c>
      <c r="Q80" s="16" t="n">
        <v>0.992</v>
      </c>
      <c r="R80" s="0" t="n">
        <v>0.99</v>
      </c>
      <c r="S80" s="0" t="n">
        <v>0.9945</v>
      </c>
    </row>
    <row r="81" customFormat="false" ht="12.75" hidden="false" customHeight="false" outlineLevel="0" collapsed="false">
      <c r="A81" s="326" t="n">
        <v>39387</v>
      </c>
      <c r="B81" s="16" t="n">
        <v>0.9306</v>
      </c>
      <c r="C81" s="16" t="n">
        <v>0.99</v>
      </c>
      <c r="D81" s="16" t="n">
        <v>0.96</v>
      </c>
      <c r="E81" s="16" t="n">
        <v>0.9306</v>
      </c>
      <c r="F81" s="16" t="n">
        <v>0.999</v>
      </c>
      <c r="G81" s="16" t="n">
        <v>0.98</v>
      </c>
      <c r="H81" s="16" t="n">
        <v>0.995</v>
      </c>
      <c r="I81" s="16" t="n">
        <v>0.999</v>
      </c>
      <c r="J81" s="16" t="n">
        <v>0.99</v>
      </c>
      <c r="K81" s="16" t="n">
        <v>0.995</v>
      </c>
      <c r="L81" s="16" t="n">
        <v>0.999</v>
      </c>
      <c r="M81" s="16" t="n">
        <v>0.99</v>
      </c>
      <c r="N81" s="16" t="n">
        <v>0.96</v>
      </c>
      <c r="O81" s="16" t="n">
        <v>0.96</v>
      </c>
      <c r="P81" s="16" t="n">
        <v>0.98</v>
      </c>
      <c r="Q81" s="16" t="n">
        <v>0.992</v>
      </c>
      <c r="R81" s="0" t="n">
        <v>0.99</v>
      </c>
      <c r="S81" s="0" t="n">
        <v>0.9945</v>
      </c>
    </row>
    <row r="82" customFormat="false" ht="12.75" hidden="false" customHeight="false" outlineLevel="0" collapsed="false">
      <c r="A82" s="326" t="n">
        <v>39417</v>
      </c>
      <c r="B82" s="16" t="n">
        <v>0.9306</v>
      </c>
      <c r="C82" s="16" t="n">
        <v>0.99</v>
      </c>
      <c r="D82" s="16" t="n">
        <v>0.96</v>
      </c>
      <c r="E82" s="16" t="n">
        <v>0.9306</v>
      </c>
      <c r="F82" s="16" t="n">
        <v>0.999</v>
      </c>
      <c r="G82" s="16" t="n">
        <v>0.98</v>
      </c>
      <c r="H82" s="16" t="n">
        <v>0.995</v>
      </c>
      <c r="I82" s="16" t="n">
        <v>0.999</v>
      </c>
      <c r="J82" s="16" t="n">
        <v>0.99</v>
      </c>
      <c r="K82" s="16" t="n">
        <v>0.995</v>
      </c>
      <c r="L82" s="16" t="n">
        <v>0.999</v>
      </c>
      <c r="M82" s="16" t="n">
        <v>0.99</v>
      </c>
      <c r="N82" s="16" t="n">
        <v>0.96</v>
      </c>
      <c r="O82" s="16" t="n">
        <v>0.96</v>
      </c>
      <c r="P82" s="16" t="n">
        <v>0.98</v>
      </c>
      <c r="Q82" s="16" t="n">
        <v>0.992</v>
      </c>
      <c r="R82" s="0" t="n">
        <v>0.99</v>
      </c>
      <c r="S82" s="0" t="n">
        <v>0.9945</v>
      </c>
    </row>
    <row r="83" customFormat="false" ht="12.75" hidden="false" customHeight="false" outlineLevel="0" collapsed="false">
      <c r="A83" s="326" t="n">
        <v>39448</v>
      </c>
      <c r="B83" s="16" t="n">
        <v>0.9306</v>
      </c>
      <c r="C83" s="16" t="n">
        <v>0.99</v>
      </c>
      <c r="D83" s="16" t="n">
        <v>0.96</v>
      </c>
      <c r="E83" s="16" t="n">
        <v>0.9306</v>
      </c>
      <c r="F83" s="16" t="n">
        <v>0.999</v>
      </c>
      <c r="G83" s="16" t="n">
        <v>0.98</v>
      </c>
      <c r="H83" s="16" t="n">
        <v>0.995</v>
      </c>
      <c r="I83" s="16" t="n">
        <v>0.999</v>
      </c>
      <c r="J83" s="16" t="n">
        <v>0.99</v>
      </c>
      <c r="K83" s="16" t="n">
        <v>0.995</v>
      </c>
      <c r="L83" s="16" t="n">
        <v>0.999</v>
      </c>
      <c r="M83" s="16" t="n">
        <v>0.99</v>
      </c>
      <c r="N83" s="16" t="n">
        <v>0.96</v>
      </c>
      <c r="O83" s="16" t="n">
        <v>0.96</v>
      </c>
      <c r="P83" s="16" t="n">
        <v>0.98</v>
      </c>
      <c r="Q83" s="16" t="n">
        <v>0.992</v>
      </c>
      <c r="R83" s="0" t="n">
        <v>0.99</v>
      </c>
      <c r="S83" s="0" t="n">
        <v>0.9945</v>
      </c>
    </row>
    <row r="84" customFormat="false" ht="12.75" hidden="false" customHeight="false" outlineLevel="0" collapsed="false">
      <c r="A84" s="326" t="n">
        <v>39479</v>
      </c>
      <c r="B84" s="16" t="n">
        <v>0.9306</v>
      </c>
      <c r="C84" s="16" t="n">
        <v>0.99</v>
      </c>
      <c r="D84" s="16" t="n">
        <v>0.96</v>
      </c>
      <c r="E84" s="16" t="n">
        <v>0.9306</v>
      </c>
      <c r="F84" s="16" t="n">
        <v>0.999</v>
      </c>
      <c r="G84" s="16" t="n">
        <v>0.98</v>
      </c>
      <c r="H84" s="16" t="n">
        <v>0.995</v>
      </c>
      <c r="I84" s="16" t="n">
        <v>0.999</v>
      </c>
      <c r="J84" s="16" t="n">
        <v>0.99</v>
      </c>
      <c r="K84" s="16" t="n">
        <v>0.995</v>
      </c>
      <c r="L84" s="16" t="n">
        <v>0.999</v>
      </c>
      <c r="M84" s="16" t="n">
        <v>0.99</v>
      </c>
      <c r="N84" s="16" t="n">
        <v>0.96</v>
      </c>
      <c r="O84" s="16" t="n">
        <v>0.96</v>
      </c>
      <c r="P84" s="16" t="n">
        <v>0.98</v>
      </c>
      <c r="Q84" s="16" t="n">
        <v>0.992</v>
      </c>
      <c r="R84" s="0" t="n">
        <v>0.99</v>
      </c>
      <c r="S84" s="0" t="n">
        <v>0.9945</v>
      </c>
    </row>
    <row r="85" customFormat="false" ht="12.75" hidden="false" customHeight="false" outlineLevel="0" collapsed="false">
      <c r="A85" s="326" t="n">
        <v>39508</v>
      </c>
      <c r="B85" s="16" t="n">
        <v>0.9306</v>
      </c>
      <c r="C85" s="16" t="n">
        <v>0.99</v>
      </c>
      <c r="D85" s="16" t="n">
        <v>0.96</v>
      </c>
      <c r="E85" s="16" t="n">
        <v>0.9306</v>
      </c>
      <c r="F85" s="16" t="n">
        <v>0.999</v>
      </c>
      <c r="G85" s="16" t="n">
        <v>0.98</v>
      </c>
      <c r="H85" s="16" t="n">
        <v>0.995</v>
      </c>
      <c r="I85" s="16" t="n">
        <v>0.999</v>
      </c>
      <c r="J85" s="16" t="n">
        <v>0.99</v>
      </c>
      <c r="K85" s="16" t="n">
        <v>0.995</v>
      </c>
      <c r="L85" s="16" t="n">
        <v>0.999</v>
      </c>
      <c r="M85" s="16" t="n">
        <v>0.99</v>
      </c>
      <c r="N85" s="16" t="n">
        <v>0.96</v>
      </c>
      <c r="O85" s="16" t="n">
        <v>0.96</v>
      </c>
      <c r="P85" s="16" t="n">
        <v>0.98</v>
      </c>
      <c r="Q85" s="16" t="n">
        <v>0.992</v>
      </c>
      <c r="R85" s="0" t="n">
        <v>0.99</v>
      </c>
      <c r="S85" s="0" t="n">
        <v>0.9945</v>
      </c>
    </row>
    <row r="86" customFormat="false" ht="12.75" hidden="false" customHeight="false" outlineLevel="0" collapsed="false">
      <c r="A86" s="326" t="n">
        <v>39539</v>
      </c>
      <c r="B86" s="16" t="n">
        <v>0.9306</v>
      </c>
      <c r="C86" s="16" t="n">
        <v>0.99</v>
      </c>
      <c r="D86" s="16" t="n">
        <v>0.96</v>
      </c>
      <c r="E86" s="16" t="n">
        <v>0.9306</v>
      </c>
      <c r="F86" s="16" t="n">
        <v>0.999</v>
      </c>
      <c r="G86" s="16" t="n">
        <v>0.98</v>
      </c>
      <c r="H86" s="16" t="n">
        <v>0.995</v>
      </c>
      <c r="I86" s="16" t="n">
        <v>0.999</v>
      </c>
      <c r="J86" s="16" t="n">
        <v>0.99</v>
      </c>
      <c r="K86" s="16" t="n">
        <v>0.995</v>
      </c>
      <c r="L86" s="16" t="n">
        <v>0.999</v>
      </c>
      <c r="M86" s="16" t="n">
        <v>0.99</v>
      </c>
      <c r="N86" s="16" t="n">
        <v>0.96</v>
      </c>
      <c r="O86" s="16" t="n">
        <v>0.96</v>
      </c>
      <c r="P86" s="16" t="n">
        <v>0.98</v>
      </c>
      <c r="Q86" s="16" t="n">
        <v>0.992</v>
      </c>
      <c r="R86" s="0" t="n">
        <v>0.99</v>
      </c>
      <c r="S86" s="0" t="n">
        <v>0.9945</v>
      </c>
    </row>
    <row r="87" customFormat="false" ht="12.75" hidden="false" customHeight="false" outlineLevel="0" collapsed="false">
      <c r="A87" s="326" t="n">
        <v>39569</v>
      </c>
      <c r="B87" s="16" t="n">
        <v>0.9306</v>
      </c>
      <c r="C87" s="16" t="n">
        <v>0.99</v>
      </c>
      <c r="D87" s="16" t="n">
        <v>0.96</v>
      </c>
      <c r="E87" s="16" t="n">
        <v>0.9306</v>
      </c>
      <c r="F87" s="16" t="n">
        <v>0.999</v>
      </c>
      <c r="G87" s="16" t="n">
        <v>0.98</v>
      </c>
      <c r="H87" s="16" t="n">
        <v>0.995</v>
      </c>
      <c r="I87" s="16" t="n">
        <v>0.999</v>
      </c>
      <c r="J87" s="16" t="n">
        <v>0.99</v>
      </c>
      <c r="K87" s="16" t="n">
        <v>0.995</v>
      </c>
      <c r="L87" s="16" t="n">
        <v>0.999</v>
      </c>
      <c r="M87" s="16" t="n">
        <v>0.99</v>
      </c>
      <c r="N87" s="16" t="n">
        <v>0.96</v>
      </c>
      <c r="O87" s="16" t="n">
        <v>0.96</v>
      </c>
      <c r="P87" s="16" t="n">
        <v>0.98</v>
      </c>
      <c r="Q87" s="16" t="n">
        <v>0.992</v>
      </c>
      <c r="R87" s="0" t="n">
        <v>0.99</v>
      </c>
      <c r="S87" s="0" t="n">
        <v>0.9945</v>
      </c>
    </row>
    <row r="88" customFormat="false" ht="12.75" hidden="false" customHeight="false" outlineLevel="0" collapsed="false">
      <c r="A88" s="326" t="n">
        <v>39600</v>
      </c>
      <c r="B88" s="16" t="n">
        <v>0.9306</v>
      </c>
      <c r="C88" s="16" t="n">
        <v>0.99</v>
      </c>
      <c r="D88" s="16" t="n">
        <v>0.96</v>
      </c>
      <c r="E88" s="16" t="n">
        <v>0.9306</v>
      </c>
      <c r="F88" s="16" t="n">
        <v>0.999</v>
      </c>
      <c r="G88" s="16" t="n">
        <v>0.98</v>
      </c>
      <c r="H88" s="16" t="n">
        <v>0.995</v>
      </c>
      <c r="I88" s="16" t="n">
        <v>0.999</v>
      </c>
      <c r="J88" s="16" t="n">
        <v>0.99</v>
      </c>
      <c r="K88" s="16" t="n">
        <v>0.995</v>
      </c>
      <c r="L88" s="16" t="n">
        <v>0.999</v>
      </c>
      <c r="M88" s="16" t="n">
        <v>0.99</v>
      </c>
      <c r="N88" s="16" t="n">
        <v>0.96</v>
      </c>
      <c r="O88" s="16" t="n">
        <v>0.96</v>
      </c>
      <c r="P88" s="16" t="n">
        <v>0.98</v>
      </c>
      <c r="Q88" s="16" t="n">
        <v>0.992</v>
      </c>
      <c r="R88" s="0" t="n">
        <v>0.99</v>
      </c>
      <c r="S88" s="0" t="n">
        <v>0.9945</v>
      </c>
    </row>
    <row r="89" customFormat="false" ht="12.75" hidden="false" customHeight="false" outlineLevel="0" collapsed="false">
      <c r="A89" s="326" t="n">
        <v>39630</v>
      </c>
      <c r="B89" s="16" t="n">
        <v>0.9306</v>
      </c>
      <c r="C89" s="16" t="n">
        <v>0.99</v>
      </c>
      <c r="D89" s="16" t="n">
        <v>0.96</v>
      </c>
      <c r="E89" s="16" t="n">
        <v>0.9306</v>
      </c>
      <c r="F89" s="16" t="n">
        <v>0.999</v>
      </c>
      <c r="G89" s="16" t="n">
        <v>0.98</v>
      </c>
      <c r="H89" s="16" t="n">
        <v>0.995</v>
      </c>
      <c r="I89" s="16" t="n">
        <v>0.999</v>
      </c>
      <c r="J89" s="16" t="n">
        <v>0.99</v>
      </c>
      <c r="K89" s="16" t="n">
        <v>0.995</v>
      </c>
      <c r="L89" s="16" t="n">
        <v>0.999</v>
      </c>
      <c r="M89" s="16" t="n">
        <v>0.99</v>
      </c>
      <c r="N89" s="16" t="n">
        <v>0.96</v>
      </c>
      <c r="O89" s="16" t="n">
        <v>0.96</v>
      </c>
      <c r="P89" s="16" t="n">
        <v>0.98</v>
      </c>
      <c r="Q89" s="16" t="n">
        <v>0.992</v>
      </c>
      <c r="R89" s="0" t="n">
        <v>0.99</v>
      </c>
      <c r="S89" s="0" t="n">
        <v>0.9945</v>
      </c>
    </row>
    <row r="90" customFormat="false" ht="12.75" hidden="false" customHeight="false" outlineLevel="0" collapsed="false">
      <c r="A90" s="326" t="n">
        <v>39661</v>
      </c>
      <c r="B90" s="16" t="n">
        <v>0.9306</v>
      </c>
      <c r="C90" s="16" t="n">
        <v>0.99</v>
      </c>
      <c r="D90" s="16" t="n">
        <v>0.96</v>
      </c>
      <c r="E90" s="16" t="n">
        <v>0.9306</v>
      </c>
      <c r="F90" s="16" t="n">
        <v>0.999</v>
      </c>
      <c r="G90" s="16" t="n">
        <v>0.98</v>
      </c>
      <c r="H90" s="16" t="n">
        <v>0.995</v>
      </c>
      <c r="I90" s="16" t="n">
        <v>0.999</v>
      </c>
      <c r="J90" s="16" t="n">
        <v>0.99</v>
      </c>
      <c r="K90" s="16" t="n">
        <v>0.995</v>
      </c>
      <c r="L90" s="16" t="n">
        <v>0.999</v>
      </c>
      <c r="M90" s="16" t="n">
        <v>0.99</v>
      </c>
      <c r="N90" s="16" t="n">
        <v>0.96</v>
      </c>
      <c r="O90" s="16" t="n">
        <v>0.96</v>
      </c>
      <c r="P90" s="16" t="n">
        <v>0.98</v>
      </c>
      <c r="Q90" s="16" t="n">
        <v>0.992</v>
      </c>
      <c r="R90" s="0" t="n">
        <v>0.99</v>
      </c>
      <c r="S90" s="0" t="n">
        <v>0.9945</v>
      </c>
    </row>
    <row r="91" customFormat="false" ht="12.75" hidden="false" customHeight="false" outlineLevel="0" collapsed="false">
      <c r="A91" s="326" t="n">
        <v>39692</v>
      </c>
      <c r="B91" s="16" t="n">
        <v>0.9306</v>
      </c>
      <c r="C91" s="16" t="n">
        <v>0.99</v>
      </c>
      <c r="D91" s="16" t="n">
        <v>0.96</v>
      </c>
      <c r="E91" s="16" t="n">
        <v>0.9306</v>
      </c>
      <c r="F91" s="16" t="n">
        <v>0.999</v>
      </c>
      <c r="G91" s="16" t="n">
        <v>0.98</v>
      </c>
      <c r="H91" s="16" t="n">
        <v>0.995</v>
      </c>
      <c r="I91" s="16" t="n">
        <v>0.999</v>
      </c>
      <c r="J91" s="16" t="n">
        <v>0.99</v>
      </c>
      <c r="K91" s="16" t="n">
        <v>0.995</v>
      </c>
      <c r="L91" s="16" t="n">
        <v>0.999</v>
      </c>
      <c r="M91" s="16" t="n">
        <v>0.99</v>
      </c>
      <c r="N91" s="16" t="n">
        <v>0.96</v>
      </c>
      <c r="O91" s="16" t="n">
        <v>0.96</v>
      </c>
      <c r="P91" s="16" t="n">
        <v>0.98</v>
      </c>
      <c r="Q91" s="16" t="n">
        <v>0.992</v>
      </c>
      <c r="R91" s="0" t="n">
        <v>0.99</v>
      </c>
      <c r="S91" s="0" t="n">
        <v>0.9945</v>
      </c>
    </row>
    <row r="92" customFormat="false" ht="12.75" hidden="false" customHeight="false" outlineLevel="0" collapsed="false">
      <c r="A92" s="326" t="n">
        <v>39722</v>
      </c>
      <c r="B92" s="16" t="n">
        <v>0.9306</v>
      </c>
      <c r="C92" s="16" t="n">
        <v>0.99</v>
      </c>
      <c r="D92" s="16" t="n">
        <v>0.96</v>
      </c>
      <c r="E92" s="16" t="n">
        <v>0.9306</v>
      </c>
      <c r="F92" s="16" t="n">
        <v>0.999</v>
      </c>
      <c r="G92" s="16" t="n">
        <v>0.98</v>
      </c>
      <c r="H92" s="16" t="n">
        <v>0.995</v>
      </c>
      <c r="I92" s="16" t="n">
        <v>0.999</v>
      </c>
      <c r="J92" s="16" t="n">
        <v>0.99</v>
      </c>
      <c r="K92" s="16" t="n">
        <v>0.995</v>
      </c>
      <c r="L92" s="16" t="n">
        <v>0.999</v>
      </c>
      <c r="M92" s="16" t="n">
        <v>0.99</v>
      </c>
      <c r="N92" s="16" t="n">
        <v>0.96</v>
      </c>
      <c r="O92" s="16" t="n">
        <v>0.96</v>
      </c>
      <c r="P92" s="16" t="n">
        <v>0.98</v>
      </c>
      <c r="Q92" s="16" t="n">
        <v>0.992</v>
      </c>
      <c r="R92" s="0" t="n">
        <v>0.99</v>
      </c>
      <c r="S92" s="0" t="n">
        <v>0.9945</v>
      </c>
    </row>
    <row r="93" customFormat="false" ht="12.75" hidden="false" customHeight="false" outlineLevel="0" collapsed="false">
      <c r="A93" s="326" t="n">
        <v>39753</v>
      </c>
      <c r="B93" s="16" t="n">
        <v>0.9306</v>
      </c>
      <c r="C93" s="16" t="n">
        <v>0.99</v>
      </c>
      <c r="D93" s="16" t="n">
        <v>0.96</v>
      </c>
      <c r="E93" s="16" t="n">
        <v>0.9306</v>
      </c>
      <c r="F93" s="16" t="n">
        <v>0.999</v>
      </c>
      <c r="G93" s="16" t="n">
        <v>0.98</v>
      </c>
      <c r="H93" s="16" t="n">
        <v>0.995</v>
      </c>
      <c r="I93" s="16" t="n">
        <v>0.999</v>
      </c>
      <c r="J93" s="16" t="n">
        <v>0.99</v>
      </c>
      <c r="K93" s="16" t="n">
        <v>0.995</v>
      </c>
      <c r="L93" s="16" t="n">
        <v>0.999</v>
      </c>
      <c r="M93" s="16" t="n">
        <v>0.99</v>
      </c>
      <c r="N93" s="16" t="n">
        <v>0.96</v>
      </c>
      <c r="O93" s="16" t="n">
        <v>0.96</v>
      </c>
      <c r="P93" s="16" t="n">
        <v>0.98</v>
      </c>
      <c r="Q93" s="16" t="n">
        <v>0.992</v>
      </c>
      <c r="R93" s="0" t="n">
        <v>0.99</v>
      </c>
      <c r="S93" s="0" t="n">
        <v>0.9945</v>
      </c>
    </row>
    <row r="94" customFormat="false" ht="12.75" hidden="false" customHeight="false" outlineLevel="0" collapsed="false">
      <c r="A94" s="326" t="n">
        <v>39783</v>
      </c>
      <c r="B94" s="16" t="n">
        <v>0.9306</v>
      </c>
      <c r="C94" s="16" t="n">
        <v>0.99</v>
      </c>
      <c r="D94" s="16" t="n">
        <v>0.96</v>
      </c>
      <c r="E94" s="16" t="n">
        <v>0.9306</v>
      </c>
      <c r="F94" s="16" t="n">
        <v>0.999</v>
      </c>
      <c r="G94" s="16" t="n">
        <v>0.98</v>
      </c>
      <c r="H94" s="16" t="n">
        <v>0.995</v>
      </c>
      <c r="I94" s="16" t="n">
        <v>0.999</v>
      </c>
      <c r="J94" s="16" t="n">
        <v>0.99</v>
      </c>
      <c r="K94" s="16" t="n">
        <v>0.995</v>
      </c>
      <c r="L94" s="16" t="n">
        <v>0.999</v>
      </c>
      <c r="M94" s="16" t="n">
        <v>0.99</v>
      </c>
      <c r="N94" s="16" t="n">
        <v>0.96</v>
      </c>
      <c r="O94" s="16" t="n">
        <v>0.96</v>
      </c>
      <c r="P94" s="16" t="n">
        <v>0.98</v>
      </c>
      <c r="Q94" s="16" t="n">
        <v>0.992</v>
      </c>
      <c r="R94" s="0" t="n">
        <v>0.99</v>
      </c>
      <c r="S94" s="0" t="n">
        <v>0.9945</v>
      </c>
    </row>
    <row r="95" customFormat="false" ht="12.75" hidden="false" customHeight="false" outlineLevel="0" collapsed="false">
      <c r="A95" s="326" t="n">
        <v>39814</v>
      </c>
      <c r="B95" s="16" t="n">
        <v>0.9306</v>
      </c>
      <c r="C95" s="16" t="n">
        <v>0.99</v>
      </c>
      <c r="D95" s="16" t="n">
        <v>0.96</v>
      </c>
      <c r="E95" s="16" t="n">
        <v>0.9306</v>
      </c>
      <c r="F95" s="16" t="n">
        <v>0.999</v>
      </c>
      <c r="G95" s="16" t="n">
        <v>0.98</v>
      </c>
      <c r="H95" s="16" t="n">
        <v>0.995</v>
      </c>
      <c r="I95" s="16" t="n">
        <v>0.999</v>
      </c>
      <c r="J95" s="16" t="n">
        <v>0.99</v>
      </c>
      <c r="K95" s="16" t="n">
        <v>0.995</v>
      </c>
      <c r="L95" s="16" t="n">
        <v>0.999</v>
      </c>
      <c r="M95" s="16" t="n">
        <v>0.99</v>
      </c>
      <c r="N95" s="16" t="n">
        <v>0.96</v>
      </c>
      <c r="O95" s="16" t="n">
        <v>0.96</v>
      </c>
      <c r="P95" s="16" t="n">
        <v>0.98</v>
      </c>
      <c r="Q95" s="16" t="n">
        <v>0.992</v>
      </c>
      <c r="R95" s="0" t="n">
        <v>0.99</v>
      </c>
      <c r="S95" s="0" t="n">
        <v>0.9945</v>
      </c>
    </row>
    <row r="96" customFormat="false" ht="12.75" hidden="false" customHeight="false" outlineLevel="0" collapsed="false">
      <c r="A96" s="326" t="n">
        <v>39845</v>
      </c>
      <c r="B96" s="16" t="n">
        <v>0.9306</v>
      </c>
      <c r="C96" s="16" t="n">
        <v>0.99</v>
      </c>
      <c r="D96" s="16" t="n">
        <v>0.96</v>
      </c>
      <c r="E96" s="16" t="n">
        <v>0.9306</v>
      </c>
      <c r="F96" s="16" t="n">
        <v>0.999</v>
      </c>
      <c r="G96" s="16" t="n">
        <v>0.98</v>
      </c>
      <c r="H96" s="16" t="n">
        <v>0.995</v>
      </c>
      <c r="I96" s="16" t="n">
        <v>0.999</v>
      </c>
      <c r="J96" s="16" t="n">
        <v>0.99</v>
      </c>
      <c r="K96" s="16" t="n">
        <v>0.995</v>
      </c>
      <c r="L96" s="16" t="n">
        <v>0.999</v>
      </c>
      <c r="M96" s="16" t="n">
        <v>0.99</v>
      </c>
      <c r="N96" s="16" t="n">
        <v>0.96</v>
      </c>
      <c r="O96" s="16" t="n">
        <v>0.96</v>
      </c>
      <c r="P96" s="16" t="n">
        <v>0.98</v>
      </c>
      <c r="Q96" s="16" t="n">
        <v>0.992</v>
      </c>
      <c r="R96" s="0" t="n">
        <v>0.99</v>
      </c>
      <c r="S96" s="0" t="n">
        <v>0.9945</v>
      </c>
    </row>
    <row r="97" customFormat="false" ht="12.75" hidden="false" customHeight="false" outlineLevel="0" collapsed="false">
      <c r="A97" s="326" t="n">
        <v>39873</v>
      </c>
      <c r="B97" s="16" t="n">
        <v>0.9306</v>
      </c>
      <c r="C97" s="16" t="n">
        <v>0.99</v>
      </c>
      <c r="D97" s="16" t="n">
        <v>0.96</v>
      </c>
      <c r="E97" s="16" t="n">
        <v>0.9306</v>
      </c>
      <c r="F97" s="16" t="n">
        <v>0.999</v>
      </c>
      <c r="G97" s="16" t="n">
        <v>0.98</v>
      </c>
      <c r="H97" s="16" t="n">
        <v>0.995</v>
      </c>
      <c r="I97" s="16" t="n">
        <v>0.999</v>
      </c>
      <c r="J97" s="16" t="n">
        <v>0.99</v>
      </c>
      <c r="K97" s="16" t="n">
        <v>0.995</v>
      </c>
      <c r="L97" s="16" t="n">
        <v>0.999</v>
      </c>
      <c r="M97" s="16" t="n">
        <v>0.99</v>
      </c>
      <c r="N97" s="16" t="n">
        <v>0.96</v>
      </c>
      <c r="O97" s="16" t="n">
        <v>0.96</v>
      </c>
      <c r="P97" s="16" t="n">
        <v>0.98</v>
      </c>
      <c r="Q97" s="16" t="n">
        <v>0.992</v>
      </c>
      <c r="R97" s="0" t="n">
        <v>0.99</v>
      </c>
      <c r="S97" s="0" t="n">
        <v>0.9945</v>
      </c>
    </row>
    <row r="98" customFormat="false" ht="12.75" hidden="false" customHeight="false" outlineLevel="0" collapsed="false">
      <c r="A98" s="326" t="n">
        <v>39904</v>
      </c>
      <c r="B98" s="16" t="n">
        <v>0.9306</v>
      </c>
      <c r="C98" s="16" t="n">
        <v>0.99</v>
      </c>
      <c r="D98" s="16" t="n">
        <v>0.96</v>
      </c>
      <c r="E98" s="16" t="n">
        <v>0.9306</v>
      </c>
      <c r="F98" s="16" t="n">
        <v>0.999</v>
      </c>
      <c r="G98" s="16" t="n">
        <v>0.98</v>
      </c>
      <c r="H98" s="16" t="n">
        <v>0.995</v>
      </c>
      <c r="I98" s="16" t="n">
        <v>0.999</v>
      </c>
      <c r="J98" s="16" t="n">
        <v>0.99</v>
      </c>
      <c r="K98" s="16" t="n">
        <v>0.995</v>
      </c>
      <c r="L98" s="16" t="n">
        <v>0.999</v>
      </c>
      <c r="M98" s="16" t="n">
        <v>0.99</v>
      </c>
      <c r="N98" s="16" t="n">
        <v>0.96</v>
      </c>
      <c r="O98" s="16" t="n">
        <v>0.96</v>
      </c>
      <c r="P98" s="16" t="n">
        <v>0.98</v>
      </c>
      <c r="Q98" s="16" t="n">
        <v>0.992</v>
      </c>
      <c r="R98" s="0" t="n">
        <v>0.99</v>
      </c>
      <c r="S98" s="0" t="n">
        <v>0.9945</v>
      </c>
    </row>
    <row r="99" customFormat="false" ht="12.75" hidden="false" customHeight="false" outlineLevel="0" collapsed="false">
      <c r="A99" s="326" t="n">
        <v>39934</v>
      </c>
      <c r="B99" s="16" t="n">
        <v>0.9306</v>
      </c>
      <c r="C99" s="16" t="n">
        <v>0.99</v>
      </c>
      <c r="D99" s="16" t="n">
        <v>0.96</v>
      </c>
      <c r="E99" s="16" t="n">
        <v>0.9306</v>
      </c>
      <c r="F99" s="16" t="n">
        <v>0.999</v>
      </c>
      <c r="G99" s="16" t="n">
        <v>0.98</v>
      </c>
      <c r="H99" s="16" t="n">
        <v>0.995</v>
      </c>
      <c r="I99" s="16" t="n">
        <v>0.999</v>
      </c>
      <c r="J99" s="16" t="n">
        <v>0.99</v>
      </c>
      <c r="K99" s="16" t="n">
        <v>0.995</v>
      </c>
      <c r="L99" s="16" t="n">
        <v>0.999</v>
      </c>
      <c r="M99" s="16" t="n">
        <v>0.99</v>
      </c>
      <c r="N99" s="16" t="n">
        <v>0.96</v>
      </c>
      <c r="O99" s="16" t="n">
        <v>0.96</v>
      </c>
      <c r="P99" s="16" t="n">
        <v>0.98</v>
      </c>
      <c r="Q99" s="16" t="n">
        <v>0.992</v>
      </c>
      <c r="R99" s="0" t="n">
        <v>0.99</v>
      </c>
      <c r="S99" s="0" t="n">
        <v>0.9945</v>
      </c>
    </row>
    <row r="100" customFormat="false" ht="12.75" hidden="false" customHeight="false" outlineLevel="0" collapsed="false">
      <c r="A100" s="326" t="n">
        <v>39965</v>
      </c>
      <c r="B100" s="16" t="n">
        <v>0.9306</v>
      </c>
      <c r="C100" s="16" t="n">
        <v>0.99</v>
      </c>
      <c r="D100" s="16" t="n">
        <v>0.96</v>
      </c>
      <c r="E100" s="16" t="n">
        <v>0.9306</v>
      </c>
      <c r="F100" s="16" t="n">
        <v>0.999</v>
      </c>
      <c r="G100" s="16" t="n">
        <v>0.98</v>
      </c>
      <c r="H100" s="16" t="n">
        <v>0.995</v>
      </c>
      <c r="I100" s="16" t="n">
        <v>0.999</v>
      </c>
      <c r="J100" s="16" t="n">
        <v>0.99</v>
      </c>
      <c r="K100" s="16" t="n">
        <v>0.995</v>
      </c>
      <c r="L100" s="16" t="n">
        <v>0.999</v>
      </c>
      <c r="M100" s="16" t="n">
        <v>0.99</v>
      </c>
      <c r="N100" s="16" t="n">
        <v>0.96</v>
      </c>
      <c r="O100" s="16" t="n">
        <v>0.96</v>
      </c>
      <c r="P100" s="16" t="n">
        <v>0.98</v>
      </c>
      <c r="Q100" s="16" t="n">
        <v>0.992</v>
      </c>
      <c r="R100" s="0" t="n">
        <v>0.99</v>
      </c>
      <c r="S100" s="0" t="n">
        <v>0.9945</v>
      </c>
    </row>
    <row r="101" customFormat="false" ht="12.75" hidden="false" customHeight="false" outlineLevel="0" collapsed="false">
      <c r="A101" s="326" t="n">
        <v>39995</v>
      </c>
      <c r="B101" s="16" t="n">
        <v>0.9306</v>
      </c>
      <c r="C101" s="16" t="n">
        <v>0.99</v>
      </c>
      <c r="D101" s="16" t="n">
        <v>0.96</v>
      </c>
      <c r="E101" s="16" t="n">
        <v>0.9306</v>
      </c>
      <c r="F101" s="16" t="n">
        <v>0.999</v>
      </c>
      <c r="G101" s="16" t="n">
        <v>0.98</v>
      </c>
      <c r="H101" s="16" t="n">
        <v>0.995</v>
      </c>
      <c r="I101" s="16" t="n">
        <v>0.999</v>
      </c>
      <c r="J101" s="16" t="n">
        <v>0.99</v>
      </c>
      <c r="K101" s="16" t="n">
        <v>0.995</v>
      </c>
      <c r="L101" s="16" t="n">
        <v>0.999</v>
      </c>
      <c r="M101" s="16" t="n">
        <v>0.99</v>
      </c>
      <c r="N101" s="16" t="n">
        <v>0.96</v>
      </c>
      <c r="O101" s="16" t="n">
        <v>0.96</v>
      </c>
      <c r="P101" s="16" t="n">
        <v>0.98</v>
      </c>
      <c r="Q101" s="16" t="n">
        <v>0.992</v>
      </c>
      <c r="R101" s="0" t="n">
        <v>0.99</v>
      </c>
      <c r="S101" s="0" t="n">
        <v>0.9945</v>
      </c>
    </row>
    <row r="102" customFormat="false" ht="12.75" hidden="false" customHeight="false" outlineLevel="0" collapsed="false">
      <c r="A102" s="326" t="n">
        <v>40026</v>
      </c>
      <c r="B102" s="16" t="n">
        <v>0.9306</v>
      </c>
      <c r="C102" s="16" t="n">
        <v>0.99</v>
      </c>
      <c r="D102" s="16" t="n">
        <v>0.96</v>
      </c>
      <c r="E102" s="16" t="n">
        <v>0.9306</v>
      </c>
      <c r="F102" s="16" t="n">
        <v>0.999</v>
      </c>
      <c r="G102" s="16" t="n">
        <v>0.98</v>
      </c>
      <c r="H102" s="16" t="n">
        <v>0.995</v>
      </c>
      <c r="I102" s="16" t="n">
        <v>0.999</v>
      </c>
      <c r="J102" s="16" t="n">
        <v>0.99</v>
      </c>
      <c r="K102" s="16" t="n">
        <v>0.995</v>
      </c>
      <c r="L102" s="16" t="n">
        <v>0.999</v>
      </c>
      <c r="M102" s="16" t="n">
        <v>0.99</v>
      </c>
      <c r="N102" s="16" t="n">
        <v>0.96</v>
      </c>
      <c r="O102" s="16" t="n">
        <v>0.96</v>
      </c>
      <c r="P102" s="16" t="n">
        <v>0.98</v>
      </c>
      <c r="Q102" s="16" t="n">
        <v>0.992</v>
      </c>
      <c r="R102" s="0" t="n">
        <v>0.99</v>
      </c>
      <c r="S102" s="0" t="n">
        <v>0.9945</v>
      </c>
    </row>
    <row r="103" customFormat="false" ht="12.75" hidden="false" customHeight="false" outlineLevel="0" collapsed="false">
      <c r="A103" s="326" t="n">
        <v>40057</v>
      </c>
      <c r="B103" s="16" t="n">
        <v>0.9306</v>
      </c>
      <c r="C103" s="16" t="n">
        <v>0.99</v>
      </c>
      <c r="D103" s="16" t="n">
        <v>0.96</v>
      </c>
      <c r="E103" s="16" t="n">
        <v>0.9306</v>
      </c>
      <c r="F103" s="16" t="n">
        <v>0.999</v>
      </c>
      <c r="G103" s="16" t="n">
        <v>0.98</v>
      </c>
      <c r="H103" s="16" t="n">
        <v>0.995</v>
      </c>
      <c r="I103" s="16" t="n">
        <v>0.999</v>
      </c>
      <c r="J103" s="16" t="n">
        <v>0.99</v>
      </c>
      <c r="K103" s="16" t="n">
        <v>0.995</v>
      </c>
      <c r="L103" s="16" t="n">
        <v>0.999</v>
      </c>
      <c r="M103" s="16" t="n">
        <v>0.99</v>
      </c>
      <c r="N103" s="16" t="n">
        <v>0.96</v>
      </c>
      <c r="O103" s="16" t="n">
        <v>0.96</v>
      </c>
      <c r="P103" s="16" t="n">
        <v>0.98</v>
      </c>
      <c r="Q103" s="16" t="n">
        <v>0.992</v>
      </c>
      <c r="R103" s="0" t="n">
        <v>0.99</v>
      </c>
      <c r="S103" s="0" t="n">
        <v>0.9945</v>
      </c>
    </row>
    <row r="104" customFormat="false" ht="12.75" hidden="false" customHeight="false" outlineLevel="0" collapsed="false">
      <c r="A104" s="326" t="n">
        <v>40087</v>
      </c>
      <c r="B104" s="16" t="n">
        <v>0.9306</v>
      </c>
      <c r="C104" s="16" t="n">
        <v>0.99</v>
      </c>
      <c r="D104" s="16" t="n">
        <v>0.96</v>
      </c>
      <c r="E104" s="16" t="n">
        <v>0.9306</v>
      </c>
      <c r="F104" s="16" t="n">
        <v>0.999</v>
      </c>
      <c r="G104" s="16" t="n">
        <v>0.98</v>
      </c>
      <c r="H104" s="16" t="n">
        <v>0.995</v>
      </c>
      <c r="I104" s="16" t="n">
        <v>0.999</v>
      </c>
      <c r="J104" s="16" t="n">
        <v>0.99</v>
      </c>
      <c r="K104" s="16" t="n">
        <v>0.995</v>
      </c>
      <c r="L104" s="16" t="n">
        <v>0.999</v>
      </c>
      <c r="M104" s="16" t="n">
        <v>0.99</v>
      </c>
      <c r="N104" s="16" t="n">
        <v>0.96</v>
      </c>
      <c r="O104" s="16" t="n">
        <v>0.96</v>
      </c>
      <c r="P104" s="16" t="n">
        <v>0.98</v>
      </c>
      <c r="Q104" s="16" t="n">
        <v>0.992</v>
      </c>
      <c r="R104" s="0" t="n">
        <v>0.99</v>
      </c>
      <c r="S104" s="0" t="n">
        <v>0.9945</v>
      </c>
    </row>
    <row r="105" customFormat="false" ht="12.75" hidden="false" customHeight="false" outlineLevel="0" collapsed="false">
      <c r="A105" s="326" t="n">
        <v>40118</v>
      </c>
      <c r="B105" s="16" t="n">
        <v>0.9306</v>
      </c>
      <c r="C105" s="16" t="n">
        <v>0.99</v>
      </c>
      <c r="D105" s="16" t="n">
        <v>0.96</v>
      </c>
      <c r="E105" s="16" t="n">
        <v>0.9306</v>
      </c>
      <c r="F105" s="16" t="n">
        <v>0.999</v>
      </c>
      <c r="G105" s="16" t="n">
        <v>0.98</v>
      </c>
      <c r="H105" s="16" t="n">
        <v>0.995</v>
      </c>
      <c r="I105" s="16" t="n">
        <v>0.999</v>
      </c>
      <c r="J105" s="16" t="n">
        <v>0.99</v>
      </c>
      <c r="K105" s="16" t="n">
        <v>0.995</v>
      </c>
      <c r="L105" s="16" t="n">
        <v>0.999</v>
      </c>
      <c r="M105" s="16" t="n">
        <v>0.99</v>
      </c>
      <c r="N105" s="16" t="n">
        <v>0.96</v>
      </c>
      <c r="O105" s="16" t="n">
        <v>0.96</v>
      </c>
      <c r="P105" s="16" t="n">
        <v>0.98</v>
      </c>
      <c r="Q105" s="16" t="n">
        <v>0.992</v>
      </c>
      <c r="R105" s="0" t="n">
        <v>0.99</v>
      </c>
      <c r="S105" s="0" t="n">
        <v>0.9945</v>
      </c>
    </row>
    <row r="106" customFormat="false" ht="12.75" hidden="false" customHeight="false" outlineLevel="0" collapsed="false">
      <c r="A106" s="326" t="n">
        <v>40148</v>
      </c>
      <c r="B106" s="16" t="n">
        <v>0.9306</v>
      </c>
      <c r="C106" s="16" t="n">
        <v>0.99</v>
      </c>
      <c r="D106" s="16" t="n">
        <v>0.96</v>
      </c>
      <c r="E106" s="16" t="n">
        <v>0.9306</v>
      </c>
      <c r="F106" s="16" t="n">
        <v>0.999</v>
      </c>
      <c r="G106" s="16" t="n">
        <v>0.98</v>
      </c>
      <c r="H106" s="16" t="n">
        <v>0.995</v>
      </c>
      <c r="I106" s="16" t="n">
        <v>0.999</v>
      </c>
      <c r="J106" s="16" t="n">
        <v>0.99</v>
      </c>
      <c r="K106" s="16" t="n">
        <v>0.995</v>
      </c>
      <c r="L106" s="16" t="n">
        <v>0.999</v>
      </c>
      <c r="M106" s="16" t="n">
        <v>0.99</v>
      </c>
      <c r="N106" s="16" t="n">
        <v>0.96</v>
      </c>
      <c r="O106" s="16" t="n">
        <v>0.96</v>
      </c>
      <c r="P106" s="16" t="n">
        <v>0.98</v>
      </c>
      <c r="Q106" s="16" t="n">
        <v>0.992</v>
      </c>
      <c r="R106" s="0" t="n">
        <v>0.99</v>
      </c>
      <c r="S106" s="0" t="n">
        <v>0.9945</v>
      </c>
    </row>
    <row r="107" customFormat="false" ht="12.75" hidden="false" customHeight="false" outlineLevel="0" collapsed="false">
      <c r="A107" s="326" t="n">
        <v>40179</v>
      </c>
      <c r="B107" s="16" t="n">
        <v>0.9306</v>
      </c>
      <c r="C107" s="16" t="n">
        <v>0.99</v>
      </c>
      <c r="D107" s="16" t="n">
        <v>0.96</v>
      </c>
      <c r="E107" s="16" t="n">
        <v>0.9306</v>
      </c>
      <c r="F107" s="16" t="n">
        <v>0.999</v>
      </c>
      <c r="G107" s="16" t="n">
        <v>0.98</v>
      </c>
      <c r="H107" s="16" t="n">
        <v>0.995</v>
      </c>
      <c r="I107" s="16" t="n">
        <v>0.999</v>
      </c>
      <c r="J107" s="16" t="n">
        <v>0.99</v>
      </c>
      <c r="K107" s="16" t="n">
        <v>0.995</v>
      </c>
      <c r="L107" s="16" t="n">
        <v>0.999</v>
      </c>
      <c r="M107" s="16" t="n">
        <v>0.99</v>
      </c>
      <c r="N107" s="16" t="n">
        <v>0.96</v>
      </c>
      <c r="O107" s="16" t="n">
        <v>0.96</v>
      </c>
      <c r="P107" s="16" t="n">
        <v>0.98</v>
      </c>
      <c r="Q107" s="16" t="n">
        <v>0.992</v>
      </c>
      <c r="R107" s="0" t="n">
        <v>0.99</v>
      </c>
      <c r="S107" s="0" t="n">
        <v>0.9945</v>
      </c>
    </row>
    <row r="108" customFormat="false" ht="12.75" hidden="false" customHeight="false" outlineLevel="0" collapsed="false">
      <c r="A108" s="326" t="n">
        <v>40210</v>
      </c>
      <c r="B108" s="16" t="n">
        <v>0.9306</v>
      </c>
      <c r="C108" s="16" t="n">
        <v>0.99</v>
      </c>
      <c r="D108" s="16" t="n">
        <v>0.96</v>
      </c>
      <c r="E108" s="16" t="n">
        <v>0.9306</v>
      </c>
      <c r="F108" s="16" t="n">
        <v>0.999</v>
      </c>
      <c r="G108" s="16" t="n">
        <v>0.98</v>
      </c>
      <c r="H108" s="16" t="n">
        <v>0.995</v>
      </c>
      <c r="I108" s="16" t="n">
        <v>0.999</v>
      </c>
      <c r="J108" s="16" t="n">
        <v>0.99</v>
      </c>
      <c r="K108" s="16" t="n">
        <v>0.995</v>
      </c>
      <c r="L108" s="16" t="n">
        <v>0.999</v>
      </c>
      <c r="M108" s="16" t="n">
        <v>0.99</v>
      </c>
      <c r="N108" s="16" t="n">
        <v>0.96</v>
      </c>
      <c r="O108" s="16" t="n">
        <v>0.96</v>
      </c>
      <c r="P108" s="16" t="n">
        <v>0.98</v>
      </c>
      <c r="Q108" s="16" t="n">
        <v>0.992</v>
      </c>
      <c r="R108" s="0" t="n">
        <v>0.99</v>
      </c>
      <c r="S108" s="0" t="n">
        <v>0.9945</v>
      </c>
    </row>
    <row r="109" customFormat="false" ht="12.75" hidden="false" customHeight="false" outlineLevel="0" collapsed="false">
      <c r="A109" s="326" t="n">
        <v>40238</v>
      </c>
      <c r="B109" s="16" t="n">
        <v>0.9306</v>
      </c>
      <c r="C109" s="16" t="n">
        <v>0.99</v>
      </c>
      <c r="D109" s="16" t="n">
        <v>0.96</v>
      </c>
      <c r="E109" s="16" t="n">
        <v>0.9306</v>
      </c>
      <c r="F109" s="16" t="n">
        <v>0.999</v>
      </c>
      <c r="G109" s="16" t="n">
        <v>0.98</v>
      </c>
      <c r="H109" s="16" t="n">
        <v>0.995</v>
      </c>
      <c r="I109" s="16" t="n">
        <v>0.999</v>
      </c>
      <c r="J109" s="16" t="n">
        <v>0.99</v>
      </c>
      <c r="K109" s="16" t="n">
        <v>0.995</v>
      </c>
      <c r="L109" s="16" t="n">
        <v>0.999</v>
      </c>
      <c r="M109" s="16" t="n">
        <v>0.99</v>
      </c>
      <c r="N109" s="16" t="n">
        <v>0.96</v>
      </c>
      <c r="O109" s="16" t="n">
        <v>0.96</v>
      </c>
      <c r="P109" s="16" t="n">
        <v>0.98</v>
      </c>
      <c r="Q109" s="16" t="n">
        <v>0.992</v>
      </c>
      <c r="R109" s="0" t="n">
        <v>0.99</v>
      </c>
      <c r="S109" s="0" t="n">
        <v>0.9945</v>
      </c>
    </row>
    <row r="110" customFormat="false" ht="12.75" hidden="false" customHeight="false" outlineLevel="0" collapsed="false">
      <c r="A110" s="326" t="n">
        <v>40269</v>
      </c>
      <c r="B110" s="16" t="n">
        <v>0.9306</v>
      </c>
      <c r="C110" s="16" t="n">
        <v>0.99</v>
      </c>
      <c r="D110" s="16" t="n">
        <v>0.96</v>
      </c>
      <c r="E110" s="16" t="n">
        <v>0.9306</v>
      </c>
      <c r="F110" s="16" t="n">
        <v>0.999</v>
      </c>
      <c r="G110" s="16" t="n">
        <v>0.98</v>
      </c>
      <c r="H110" s="16" t="n">
        <v>0.995</v>
      </c>
      <c r="I110" s="16" t="n">
        <v>0.999</v>
      </c>
      <c r="J110" s="16" t="n">
        <v>0.99</v>
      </c>
      <c r="K110" s="16" t="n">
        <v>0.995</v>
      </c>
      <c r="L110" s="16" t="n">
        <v>0.999</v>
      </c>
      <c r="M110" s="16" t="n">
        <v>0.99</v>
      </c>
      <c r="N110" s="16" t="n">
        <v>0.96</v>
      </c>
      <c r="O110" s="16" t="n">
        <v>0.96</v>
      </c>
      <c r="P110" s="16" t="n">
        <v>0.98</v>
      </c>
      <c r="Q110" s="16" t="n">
        <v>0.992</v>
      </c>
      <c r="R110" s="0" t="n">
        <v>0.99</v>
      </c>
      <c r="S110" s="0" t="n">
        <v>0.9945</v>
      </c>
    </row>
    <row r="111" customFormat="false" ht="12.75" hidden="false" customHeight="false" outlineLevel="0" collapsed="false">
      <c r="A111" s="326" t="n">
        <v>40299</v>
      </c>
      <c r="B111" s="16" t="n">
        <v>0.9306</v>
      </c>
      <c r="C111" s="16" t="n">
        <v>0.99</v>
      </c>
      <c r="D111" s="16" t="n">
        <v>0.96</v>
      </c>
      <c r="E111" s="16" t="n">
        <v>0.9306</v>
      </c>
      <c r="F111" s="16" t="n">
        <v>0.999</v>
      </c>
      <c r="G111" s="16" t="n">
        <v>0.98</v>
      </c>
      <c r="H111" s="16" t="n">
        <v>0.995</v>
      </c>
      <c r="I111" s="16" t="n">
        <v>0.999</v>
      </c>
      <c r="J111" s="16" t="n">
        <v>0.99</v>
      </c>
      <c r="K111" s="16" t="n">
        <v>0.995</v>
      </c>
      <c r="L111" s="16" t="n">
        <v>0.999</v>
      </c>
      <c r="M111" s="16" t="n">
        <v>0.99</v>
      </c>
      <c r="N111" s="16" t="n">
        <v>0.96</v>
      </c>
      <c r="O111" s="16" t="n">
        <v>0.96</v>
      </c>
      <c r="P111" s="16" t="n">
        <v>0.98</v>
      </c>
      <c r="Q111" s="16" t="n">
        <v>0.992</v>
      </c>
      <c r="R111" s="0" t="n">
        <v>0.99</v>
      </c>
      <c r="S111" s="0" t="n">
        <v>0.9945</v>
      </c>
    </row>
    <row r="112" customFormat="false" ht="12.75" hidden="false" customHeight="false" outlineLevel="0" collapsed="false">
      <c r="A112" s="326" t="n">
        <v>40330</v>
      </c>
      <c r="B112" s="16" t="n">
        <v>0.9306</v>
      </c>
      <c r="C112" s="16" t="n">
        <v>0.99</v>
      </c>
      <c r="D112" s="16" t="n">
        <v>0.96</v>
      </c>
      <c r="E112" s="16" t="n">
        <v>0.9306</v>
      </c>
      <c r="F112" s="16" t="n">
        <v>0.999</v>
      </c>
      <c r="G112" s="16" t="n">
        <v>0.98</v>
      </c>
      <c r="H112" s="16" t="n">
        <v>0.995</v>
      </c>
      <c r="I112" s="16" t="n">
        <v>0.999</v>
      </c>
      <c r="J112" s="16" t="n">
        <v>0.99</v>
      </c>
      <c r="K112" s="16" t="n">
        <v>0.995</v>
      </c>
      <c r="L112" s="16" t="n">
        <v>0.999</v>
      </c>
      <c r="M112" s="16" t="n">
        <v>0.99</v>
      </c>
      <c r="N112" s="16" t="n">
        <v>0.96</v>
      </c>
      <c r="O112" s="16" t="n">
        <v>0.96</v>
      </c>
      <c r="P112" s="16" t="n">
        <v>0.98</v>
      </c>
      <c r="Q112" s="16" t="n">
        <v>0.992</v>
      </c>
      <c r="R112" s="0" t="n">
        <v>0.99</v>
      </c>
      <c r="S112" s="0" t="n">
        <v>0.9945</v>
      </c>
    </row>
    <row r="113" customFormat="false" ht="12.75" hidden="false" customHeight="false" outlineLevel="0" collapsed="false">
      <c r="A113" s="326" t="n">
        <v>40360</v>
      </c>
      <c r="B113" s="16" t="n">
        <v>0.9306</v>
      </c>
      <c r="C113" s="16" t="n">
        <v>0.99</v>
      </c>
      <c r="D113" s="16" t="n">
        <v>0.96</v>
      </c>
      <c r="E113" s="16" t="n">
        <v>0.9306</v>
      </c>
      <c r="F113" s="16" t="n">
        <v>0.999</v>
      </c>
      <c r="G113" s="16" t="n">
        <v>0.98</v>
      </c>
      <c r="H113" s="16" t="n">
        <v>0.995</v>
      </c>
      <c r="I113" s="16" t="n">
        <v>0.999</v>
      </c>
      <c r="J113" s="16" t="n">
        <v>0.99</v>
      </c>
      <c r="K113" s="16" t="n">
        <v>0.995</v>
      </c>
      <c r="L113" s="16" t="n">
        <v>0.999</v>
      </c>
      <c r="M113" s="16" t="n">
        <v>0.99</v>
      </c>
      <c r="N113" s="16" t="n">
        <v>0.96</v>
      </c>
      <c r="O113" s="16" t="n">
        <v>0.96</v>
      </c>
      <c r="P113" s="16" t="n">
        <v>0.98</v>
      </c>
      <c r="Q113" s="16" t="n">
        <v>0.992</v>
      </c>
      <c r="R113" s="0" t="n">
        <v>0.99</v>
      </c>
      <c r="S113" s="0" t="n">
        <v>0.9945</v>
      </c>
    </row>
    <row r="114" customFormat="false" ht="12.75" hidden="false" customHeight="false" outlineLevel="0" collapsed="false">
      <c r="A114" s="326" t="n">
        <v>40391</v>
      </c>
      <c r="B114" s="16" t="n">
        <v>0.9306</v>
      </c>
      <c r="C114" s="16" t="n">
        <v>0.99</v>
      </c>
      <c r="D114" s="16" t="n">
        <v>0.96</v>
      </c>
      <c r="E114" s="16" t="n">
        <v>0.9306</v>
      </c>
      <c r="F114" s="16" t="n">
        <v>0.999</v>
      </c>
      <c r="G114" s="16" t="n">
        <v>0.98</v>
      </c>
      <c r="H114" s="16" t="n">
        <v>0.995</v>
      </c>
      <c r="I114" s="16" t="n">
        <v>0.999</v>
      </c>
      <c r="J114" s="16" t="n">
        <v>0.99</v>
      </c>
      <c r="K114" s="16" t="n">
        <v>0.995</v>
      </c>
      <c r="L114" s="16" t="n">
        <v>0.999</v>
      </c>
      <c r="M114" s="16" t="n">
        <v>0.99</v>
      </c>
      <c r="N114" s="16" t="n">
        <v>0.96</v>
      </c>
      <c r="O114" s="16" t="n">
        <v>0.96</v>
      </c>
      <c r="P114" s="16" t="n">
        <v>0.98</v>
      </c>
      <c r="Q114" s="16" t="n">
        <v>0.992</v>
      </c>
      <c r="R114" s="0" t="n">
        <v>0.99</v>
      </c>
      <c r="S114" s="0" t="n">
        <v>0.9945</v>
      </c>
    </row>
    <row r="115" customFormat="false" ht="12.75" hidden="false" customHeight="false" outlineLevel="0" collapsed="false">
      <c r="A115" s="326" t="n">
        <v>40422</v>
      </c>
      <c r="B115" s="16" t="n">
        <v>0.9306</v>
      </c>
      <c r="C115" s="16" t="n">
        <v>0.99</v>
      </c>
      <c r="D115" s="16" t="n">
        <v>0.96</v>
      </c>
      <c r="E115" s="16" t="n">
        <v>0.9306</v>
      </c>
      <c r="F115" s="16" t="n">
        <v>0.999</v>
      </c>
      <c r="G115" s="16" t="n">
        <v>0.98</v>
      </c>
      <c r="H115" s="16" t="n">
        <v>0.995</v>
      </c>
      <c r="I115" s="16" t="n">
        <v>0.999</v>
      </c>
      <c r="J115" s="16" t="n">
        <v>0.99</v>
      </c>
      <c r="K115" s="16" t="n">
        <v>0.995</v>
      </c>
      <c r="L115" s="16" t="n">
        <v>0.999</v>
      </c>
      <c r="M115" s="16" t="n">
        <v>0.99</v>
      </c>
      <c r="N115" s="16" t="n">
        <v>0.96</v>
      </c>
      <c r="O115" s="16" t="n">
        <v>0.96</v>
      </c>
      <c r="P115" s="16" t="n">
        <v>0.98</v>
      </c>
      <c r="Q115" s="16" t="n">
        <v>0.992</v>
      </c>
      <c r="R115" s="0" t="n">
        <v>0.99</v>
      </c>
      <c r="S115" s="0" t="n">
        <v>0.9945</v>
      </c>
    </row>
    <row r="116" customFormat="false" ht="12.75" hidden="false" customHeight="false" outlineLevel="0" collapsed="false">
      <c r="A116" s="326" t="n">
        <v>40452</v>
      </c>
      <c r="B116" s="16" t="n">
        <v>0.9306</v>
      </c>
      <c r="C116" s="16" t="n">
        <v>0.99</v>
      </c>
      <c r="D116" s="16" t="n">
        <v>0.96</v>
      </c>
      <c r="E116" s="16" t="n">
        <v>0.9306</v>
      </c>
      <c r="F116" s="16" t="n">
        <v>0.999</v>
      </c>
      <c r="G116" s="16" t="n">
        <v>0.98</v>
      </c>
      <c r="H116" s="16" t="n">
        <v>0.995</v>
      </c>
      <c r="I116" s="16" t="n">
        <v>0.999</v>
      </c>
      <c r="J116" s="16" t="n">
        <v>0.99</v>
      </c>
      <c r="K116" s="16" t="n">
        <v>0.995</v>
      </c>
      <c r="L116" s="16" t="n">
        <v>0.999</v>
      </c>
      <c r="M116" s="16" t="n">
        <v>0.99</v>
      </c>
      <c r="N116" s="16" t="n">
        <v>0.96</v>
      </c>
      <c r="O116" s="16" t="n">
        <v>0.96</v>
      </c>
      <c r="P116" s="16" t="n">
        <v>0.98</v>
      </c>
      <c r="Q116" s="16" t="n">
        <v>0.992</v>
      </c>
      <c r="R116" s="0" t="n">
        <v>0.99</v>
      </c>
      <c r="S116" s="0" t="n">
        <v>0.9945</v>
      </c>
    </row>
    <row r="117" customFormat="false" ht="12.75" hidden="false" customHeight="false" outlineLevel="0" collapsed="false">
      <c r="A117" s="326" t="n">
        <v>40483</v>
      </c>
      <c r="B117" s="16" t="n">
        <v>0.9306</v>
      </c>
      <c r="C117" s="16" t="n">
        <v>0.99</v>
      </c>
      <c r="D117" s="16" t="n">
        <v>0.96</v>
      </c>
      <c r="E117" s="16" t="n">
        <v>0.9306</v>
      </c>
      <c r="F117" s="16" t="n">
        <v>0.999</v>
      </c>
      <c r="G117" s="16" t="n">
        <v>0.98</v>
      </c>
      <c r="H117" s="16" t="n">
        <v>0.995</v>
      </c>
      <c r="I117" s="16" t="n">
        <v>0.999</v>
      </c>
      <c r="J117" s="16" t="n">
        <v>0.99</v>
      </c>
      <c r="K117" s="16" t="n">
        <v>0.995</v>
      </c>
      <c r="L117" s="16" t="n">
        <v>0.999</v>
      </c>
      <c r="M117" s="16" t="n">
        <v>0.99</v>
      </c>
      <c r="N117" s="16" t="n">
        <v>0.96</v>
      </c>
      <c r="O117" s="16" t="n">
        <v>0.96</v>
      </c>
      <c r="P117" s="16" t="n">
        <v>0.98</v>
      </c>
      <c r="Q117" s="16" t="n">
        <v>0.992</v>
      </c>
      <c r="R117" s="0" t="n">
        <v>0.99</v>
      </c>
      <c r="S117" s="0" t="n">
        <v>0.9945</v>
      </c>
    </row>
    <row r="118" customFormat="false" ht="12.75" hidden="false" customHeight="false" outlineLevel="0" collapsed="false">
      <c r="A118" s="326" t="n">
        <v>40513</v>
      </c>
      <c r="B118" s="16" t="n">
        <v>0.9306</v>
      </c>
      <c r="C118" s="16" t="n">
        <v>0.99</v>
      </c>
      <c r="D118" s="16" t="n">
        <v>0.96</v>
      </c>
      <c r="E118" s="16" t="n">
        <v>0.9306</v>
      </c>
      <c r="F118" s="16" t="n">
        <v>0.999</v>
      </c>
      <c r="G118" s="16" t="n">
        <v>0.98</v>
      </c>
      <c r="H118" s="16" t="n">
        <v>0.995</v>
      </c>
      <c r="I118" s="16" t="n">
        <v>0.999</v>
      </c>
      <c r="J118" s="16" t="n">
        <v>0.99</v>
      </c>
      <c r="K118" s="16" t="n">
        <v>0.995</v>
      </c>
      <c r="L118" s="16" t="n">
        <v>0.999</v>
      </c>
      <c r="M118" s="16" t="n">
        <v>0.99</v>
      </c>
      <c r="N118" s="16" t="n">
        <v>0.96</v>
      </c>
      <c r="O118" s="16" t="n">
        <v>0.96</v>
      </c>
      <c r="P118" s="16" t="n">
        <v>0.98</v>
      </c>
      <c r="Q118" s="16" t="n">
        <v>0.992</v>
      </c>
      <c r="R118" s="0" t="n">
        <v>0.99</v>
      </c>
      <c r="S118" s="0" t="n">
        <v>0.9945</v>
      </c>
    </row>
    <row r="119" customFormat="false" ht="12.75" hidden="false" customHeight="false" outlineLevel="0" collapsed="false">
      <c r="A119" s="326" t="n">
        <v>40544</v>
      </c>
      <c r="B119" s="16" t="n">
        <v>0.9306</v>
      </c>
      <c r="C119" s="16" t="n">
        <v>0.99</v>
      </c>
      <c r="D119" s="16" t="n">
        <v>0.96</v>
      </c>
      <c r="E119" s="16" t="n">
        <v>0.9306</v>
      </c>
      <c r="F119" s="16" t="n">
        <v>0.999</v>
      </c>
      <c r="G119" s="16" t="n">
        <v>0.98</v>
      </c>
      <c r="H119" s="16" t="n">
        <v>0.995</v>
      </c>
      <c r="I119" s="16" t="n">
        <v>0.999</v>
      </c>
      <c r="J119" s="16" t="n">
        <v>0.99</v>
      </c>
      <c r="K119" s="16" t="n">
        <v>0.995</v>
      </c>
      <c r="L119" s="16" t="n">
        <v>0.999</v>
      </c>
      <c r="M119" s="16" t="n">
        <v>0.99</v>
      </c>
      <c r="N119" s="16" t="n">
        <v>0.96</v>
      </c>
      <c r="O119" s="16" t="n">
        <v>0.96</v>
      </c>
      <c r="P119" s="16" t="n">
        <v>0.98</v>
      </c>
      <c r="Q119" s="16" t="n">
        <v>0.992</v>
      </c>
      <c r="R119" s="0" t="n">
        <v>0.99</v>
      </c>
      <c r="S119" s="0" t="n">
        <v>0.9945</v>
      </c>
    </row>
    <row r="120" customFormat="false" ht="12.75" hidden="false" customHeight="false" outlineLevel="0" collapsed="false">
      <c r="A120" s="326" t="n">
        <v>40575</v>
      </c>
      <c r="B120" s="16" t="n">
        <v>0.9306</v>
      </c>
      <c r="C120" s="16" t="n">
        <v>0.99</v>
      </c>
      <c r="D120" s="16" t="n">
        <v>0.96</v>
      </c>
      <c r="E120" s="16" t="n">
        <v>0.9306</v>
      </c>
      <c r="F120" s="16" t="n">
        <v>0.999</v>
      </c>
      <c r="G120" s="16" t="n">
        <v>0.98</v>
      </c>
      <c r="H120" s="16" t="n">
        <v>0.995</v>
      </c>
      <c r="I120" s="16" t="n">
        <v>0.999</v>
      </c>
      <c r="J120" s="16" t="n">
        <v>0.99</v>
      </c>
      <c r="K120" s="16" t="n">
        <v>0.995</v>
      </c>
      <c r="L120" s="16" t="n">
        <v>0.999</v>
      </c>
      <c r="M120" s="16" t="n">
        <v>0.99</v>
      </c>
      <c r="N120" s="16" t="n">
        <v>0.96</v>
      </c>
      <c r="O120" s="16" t="n">
        <v>0.96</v>
      </c>
      <c r="P120" s="16" t="n">
        <v>0.98</v>
      </c>
      <c r="Q120" s="16" t="n">
        <v>0.992</v>
      </c>
      <c r="R120" s="0" t="n">
        <v>0.99</v>
      </c>
      <c r="S120" s="0" t="n">
        <v>0.9945</v>
      </c>
    </row>
    <row r="121" customFormat="false" ht="12.75" hidden="false" customHeight="false" outlineLevel="0" collapsed="false">
      <c r="A121" s="326" t="n">
        <v>40603</v>
      </c>
      <c r="B121" s="16" t="n">
        <v>0.9306</v>
      </c>
      <c r="C121" s="16" t="n">
        <v>0.99</v>
      </c>
      <c r="D121" s="16" t="n">
        <v>0.96</v>
      </c>
      <c r="E121" s="16" t="n">
        <v>0.9306</v>
      </c>
      <c r="F121" s="16" t="n">
        <v>0.999</v>
      </c>
      <c r="G121" s="16" t="n">
        <v>0.98</v>
      </c>
      <c r="H121" s="16" t="n">
        <v>0.995</v>
      </c>
      <c r="I121" s="16" t="n">
        <v>0.999</v>
      </c>
      <c r="J121" s="16" t="n">
        <v>0.99</v>
      </c>
      <c r="K121" s="16" t="n">
        <v>0.995</v>
      </c>
      <c r="L121" s="16" t="n">
        <v>0.999</v>
      </c>
      <c r="M121" s="16" t="n">
        <v>0.99</v>
      </c>
      <c r="N121" s="16" t="n">
        <v>0.96</v>
      </c>
      <c r="O121" s="16" t="n">
        <v>0.96</v>
      </c>
      <c r="P121" s="16" t="n">
        <v>0.98</v>
      </c>
      <c r="Q121" s="16" t="n">
        <v>0.992</v>
      </c>
      <c r="R121" s="0" t="n">
        <v>0.99</v>
      </c>
      <c r="S121" s="0" t="n">
        <v>0.9945</v>
      </c>
    </row>
    <row r="122" customFormat="false" ht="12.75" hidden="false" customHeight="false" outlineLevel="0" collapsed="false">
      <c r="A122" s="326" t="n">
        <v>40634</v>
      </c>
      <c r="B122" s="16" t="n">
        <v>0.9306</v>
      </c>
      <c r="C122" s="16" t="n">
        <v>0.99</v>
      </c>
      <c r="D122" s="16" t="n">
        <v>0.96</v>
      </c>
      <c r="E122" s="16" t="n">
        <v>0.9306</v>
      </c>
      <c r="F122" s="16" t="n">
        <v>0.999</v>
      </c>
      <c r="G122" s="16" t="n">
        <v>0.98</v>
      </c>
      <c r="H122" s="16" t="n">
        <v>0.995</v>
      </c>
      <c r="I122" s="16" t="n">
        <v>0.999</v>
      </c>
      <c r="J122" s="16" t="n">
        <v>0.99</v>
      </c>
      <c r="K122" s="16" t="n">
        <v>0.995</v>
      </c>
      <c r="L122" s="16" t="n">
        <v>0.999</v>
      </c>
      <c r="M122" s="16" t="n">
        <v>0.99</v>
      </c>
      <c r="N122" s="16" t="n">
        <v>0.96</v>
      </c>
      <c r="O122" s="16" t="n">
        <v>0.96</v>
      </c>
      <c r="P122" s="16" t="n">
        <v>0.98</v>
      </c>
      <c r="Q122" s="16" t="n">
        <v>0.992</v>
      </c>
      <c r="R122" s="0" t="n">
        <v>0.99</v>
      </c>
      <c r="S122" s="0" t="n">
        <v>0.9945</v>
      </c>
    </row>
    <row r="123" customFormat="false" ht="12.75" hidden="false" customHeight="false" outlineLevel="0" collapsed="false">
      <c r="A123" s="326" t="n">
        <v>40664</v>
      </c>
      <c r="B123" s="16" t="n">
        <v>0.9306</v>
      </c>
      <c r="C123" s="16" t="n">
        <v>0.99</v>
      </c>
      <c r="D123" s="16" t="n">
        <v>0.96</v>
      </c>
      <c r="E123" s="16" t="n">
        <v>0.9306</v>
      </c>
      <c r="F123" s="16" t="n">
        <v>0.999</v>
      </c>
      <c r="G123" s="16" t="n">
        <v>0.98</v>
      </c>
      <c r="H123" s="16" t="n">
        <v>0.995</v>
      </c>
      <c r="I123" s="16" t="n">
        <v>0.999</v>
      </c>
      <c r="J123" s="16" t="n">
        <v>0.99</v>
      </c>
      <c r="K123" s="16" t="n">
        <v>0.995</v>
      </c>
      <c r="L123" s="16" t="n">
        <v>0.999</v>
      </c>
      <c r="M123" s="16" t="n">
        <v>0.99</v>
      </c>
      <c r="N123" s="16" t="n">
        <v>0.96</v>
      </c>
      <c r="O123" s="16" t="n">
        <v>0.96</v>
      </c>
      <c r="P123" s="16" t="n">
        <v>0.98</v>
      </c>
      <c r="Q123" s="16" t="n">
        <v>0.992</v>
      </c>
      <c r="R123" s="0" t="n">
        <v>0.99</v>
      </c>
      <c r="S123" s="0" t="n">
        <v>0.9945</v>
      </c>
    </row>
    <row r="124" customFormat="false" ht="12.75" hidden="false" customHeight="false" outlineLevel="0" collapsed="false">
      <c r="A124" s="326" t="n">
        <v>40695</v>
      </c>
      <c r="B124" s="16" t="n">
        <v>0.9306</v>
      </c>
      <c r="C124" s="16" t="n">
        <v>0.99</v>
      </c>
      <c r="D124" s="16" t="n">
        <v>0.96</v>
      </c>
      <c r="E124" s="16" t="n">
        <v>0.9306</v>
      </c>
      <c r="F124" s="16" t="n">
        <v>0.999</v>
      </c>
      <c r="G124" s="16" t="n">
        <v>0.98</v>
      </c>
      <c r="H124" s="16" t="n">
        <v>0.995</v>
      </c>
      <c r="I124" s="16" t="n">
        <v>0.999</v>
      </c>
      <c r="J124" s="16" t="n">
        <v>0.99</v>
      </c>
      <c r="K124" s="16" t="n">
        <v>0.995</v>
      </c>
      <c r="L124" s="16" t="n">
        <v>0.999</v>
      </c>
      <c r="M124" s="16" t="n">
        <v>0.99</v>
      </c>
      <c r="N124" s="16" t="n">
        <v>0.96</v>
      </c>
      <c r="O124" s="16" t="n">
        <v>0.96</v>
      </c>
      <c r="P124" s="16" t="n">
        <v>0.98</v>
      </c>
      <c r="Q124" s="16" t="n">
        <v>0.992</v>
      </c>
      <c r="R124" s="0" t="n">
        <v>0.99</v>
      </c>
      <c r="S124" s="0" t="n">
        <v>0.9945</v>
      </c>
    </row>
    <row r="125" customFormat="false" ht="12.75" hidden="false" customHeight="false" outlineLevel="0" collapsed="false">
      <c r="A125" s="326" t="n">
        <v>40725</v>
      </c>
      <c r="B125" s="16" t="n">
        <v>0.9306</v>
      </c>
      <c r="C125" s="16" t="n">
        <v>0.99</v>
      </c>
      <c r="D125" s="16" t="n">
        <v>0.96</v>
      </c>
      <c r="E125" s="16" t="n">
        <v>0.9306</v>
      </c>
      <c r="F125" s="16" t="n">
        <v>0.999</v>
      </c>
      <c r="G125" s="16" t="n">
        <v>0.98</v>
      </c>
      <c r="H125" s="16" t="n">
        <v>0.995</v>
      </c>
      <c r="I125" s="16" t="n">
        <v>0.999</v>
      </c>
      <c r="J125" s="16" t="n">
        <v>0.99</v>
      </c>
      <c r="K125" s="16" t="n">
        <v>0.995</v>
      </c>
      <c r="L125" s="16" t="n">
        <v>0.999</v>
      </c>
      <c r="M125" s="16" t="n">
        <v>0.99</v>
      </c>
      <c r="N125" s="16" t="n">
        <v>0.96</v>
      </c>
      <c r="O125" s="16" t="n">
        <v>0.96</v>
      </c>
      <c r="P125" s="16" t="n">
        <v>0.98</v>
      </c>
      <c r="Q125" s="16" t="n">
        <v>0.992</v>
      </c>
      <c r="R125" s="0" t="n">
        <v>0.99</v>
      </c>
      <c r="S125" s="0" t="n">
        <v>0.9945</v>
      </c>
    </row>
    <row r="126" customFormat="false" ht="12.75" hidden="false" customHeight="false" outlineLevel="0" collapsed="false">
      <c r="A126" s="326" t="n">
        <v>40756</v>
      </c>
      <c r="B126" s="16" t="n">
        <v>0.9306</v>
      </c>
      <c r="C126" s="16" t="n">
        <v>0.99</v>
      </c>
      <c r="D126" s="16" t="n">
        <v>0.96</v>
      </c>
      <c r="E126" s="16" t="n">
        <v>0.9306</v>
      </c>
      <c r="F126" s="16" t="n">
        <v>0.999</v>
      </c>
      <c r="G126" s="16" t="n">
        <v>0.98</v>
      </c>
      <c r="H126" s="16" t="n">
        <v>0.995</v>
      </c>
      <c r="I126" s="16" t="n">
        <v>0.999</v>
      </c>
      <c r="J126" s="16" t="n">
        <v>0.99</v>
      </c>
      <c r="K126" s="16" t="n">
        <v>0.995</v>
      </c>
      <c r="L126" s="16" t="n">
        <v>0.999</v>
      </c>
      <c r="M126" s="16" t="n">
        <v>0.99</v>
      </c>
      <c r="N126" s="16" t="n">
        <v>0.96</v>
      </c>
      <c r="O126" s="16" t="n">
        <v>0.96</v>
      </c>
      <c r="P126" s="16" t="n">
        <v>0.98</v>
      </c>
      <c r="Q126" s="16" t="n">
        <v>0.992</v>
      </c>
      <c r="R126" s="0" t="n">
        <v>0.99</v>
      </c>
      <c r="S126" s="0" t="n">
        <v>0.9945</v>
      </c>
    </row>
    <row r="127" customFormat="false" ht="12.75" hidden="false" customHeight="false" outlineLevel="0" collapsed="false">
      <c r="A127" s="326" t="n">
        <v>40787</v>
      </c>
      <c r="B127" s="16" t="n">
        <v>0.9306</v>
      </c>
      <c r="C127" s="16" t="n">
        <v>0.99</v>
      </c>
      <c r="D127" s="16" t="n">
        <v>0.96</v>
      </c>
      <c r="E127" s="16" t="n">
        <v>0.9306</v>
      </c>
      <c r="F127" s="16" t="n">
        <v>0.999</v>
      </c>
      <c r="G127" s="16" t="n">
        <v>0.98</v>
      </c>
      <c r="H127" s="16" t="n">
        <v>0.995</v>
      </c>
      <c r="I127" s="16" t="n">
        <v>0.999</v>
      </c>
      <c r="J127" s="16" t="n">
        <v>0.99</v>
      </c>
      <c r="K127" s="16" t="n">
        <v>0.995</v>
      </c>
      <c r="L127" s="16" t="n">
        <v>0.999</v>
      </c>
      <c r="M127" s="16" t="n">
        <v>0.99</v>
      </c>
      <c r="N127" s="16" t="n">
        <v>0.96</v>
      </c>
      <c r="O127" s="16" t="n">
        <v>0.96</v>
      </c>
      <c r="P127" s="16" t="n">
        <v>0.98</v>
      </c>
      <c r="Q127" s="16" t="n">
        <v>0.992</v>
      </c>
      <c r="R127" s="0" t="n">
        <v>0.99</v>
      </c>
      <c r="S127" s="0" t="n">
        <v>0.9945</v>
      </c>
    </row>
    <row r="128" customFormat="false" ht="12.75" hidden="false" customHeight="false" outlineLevel="0" collapsed="false">
      <c r="A128" s="326" t="n">
        <v>40817</v>
      </c>
      <c r="B128" s="16" t="n">
        <v>0.9306</v>
      </c>
      <c r="C128" s="16" t="n">
        <v>0.99</v>
      </c>
      <c r="D128" s="16" t="n">
        <v>0.96</v>
      </c>
      <c r="E128" s="16" t="n">
        <v>0.9306</v>
      </c>
      <c r="F128" s="16" t="n">
        <v>0.999</v>
      </c>
      <c r="G128" s="16" t="n">
        <v>0.98</v>
      </c>
      <c r="H128" s="16" t="n">
        <v>0.995</v>
      </c>
      <c r="I128" s="16" t="n">
        <v>0.999</v>
      </c>
      <c r="J128" s="16" t="n">
        <v>0.99</v>
      </c>
      <c r="K128" s="16" t="n">
        <v>0.995</v>
      </c>
      <c r="L128" s="16" t="n">
        <v>0.999</v>
      </c>
      <c r="M128" s="16" t="n">
        <v>0.99</v>
      </c>
      <c r="N128" s="16" t="n">
        <v>0.96</v>
      </c>
      <c r="O128" s="16" t="n">
        <v>0.96</v>
      </c>
      <c r="P128" s="16" t="n">
        <v>0.98</v>
      </c>
      <c r="Q128" s="16" t="n">
        <v>0.992</v>
      </c>
      <c r="R128" s="0" t="n">
        <v>0.99</v>
      </c>
      <c r="S128" s="0" t="n">
        <v>0.9945</v>
      </c>
    </row>
    <row r="129" customFormat="false" ht="12.75" hidden="false" customHeight="false" outlineLevel="0" collapsed="false">
      <c r="A129" s="326" t="n">
        <v>40848</v>
      </c>
      <c r="B129" s="16" t="n">
        <v>0.9306</v>
      </c>
      <c r="C129" s="16" t="n">
        <v>0.99</v>
      </c>
      <c r="D129" s="16" t="n">
        <v>0.96</v>
      </c>
      <c r="E129" s="16" t="n">
        <v>0.9306</v>
      </c>
      <c r="F129" s="16" t="n">
        <v>0.999</v>
      </c>
      <c r="G129" s="16" t="n">
        <v>0.98</v>
      </c>
      <c r="H129" s="16" t="n">
        <v>0.995</v>
      </c>
      <c r="I129" s="16" t="n">
        <v>0.999</v>
      </c>
      <c r="J129" s="16" t="n">
        <v>0.99</v>
      </c>
      <c r="K129" s="16" t="n">
        <v>0.995</v>
      </c>
      <c r="L129" s="16" t="n">
        <v>0.999</v>
      </c>
      <c r="M129" s="16" t="n">
        <v>0.99</v>
      </c>
      <c r="N129" s="16" t="n">
        <v>0.96</v>
      </c>
      <c r="O129" s="16" t="n">
        <v>0.96</v>
      </c>
      <c r="P129" s="16" t="n">
        <v>0.98</v>
      </c>
      <c r="Q129" s="16" t="n">
        <v>0.992</v>
      </c>
      <c r="R129" s="0" t="n">
        <v>0.99</v>
      </c>
      <c r="S129" s="0" t="n">
        <v>0.9945</v>
      </c>
    </row>
    <row r="130" customFormat="false" ht="12.75" hidden="false" customHeight="false" outlineLevel="0" collapsed="false">
      <c r="A130" s="326" t="n">
        <v>40878</v>
      </c>
      <c r="B130" s="16" t="n">
        <v>0.9306</v>
      </c>
      <c r="C130" s="16" t="n">
        <v>0.99</v>
      </c>
      <c r="D130" s="16" t="n">
        <v>0.96</v>
      </c>
      <c r="E130" s="16" t="n">
        <v>0.9306</v>
      </c>
      <c r="F130" s="16" t="n">
        <v>0.999</v>
      </c>
      <c r="G130" s="16" t="n">
        <v>0.98</v>
      </c>
      <c r="H130" s="16" t="n">
        <v>0.995</v>
      </c>
      <c r="I130" s="16" t="n">
        <v>0.999</v>
      </c>
      <c r="J130" s="16" t="n">
        <v>0.99</v>
      </c>
      <c r="K130" s="16" t="n">
        <v>0.995</v>
      </c>
      <c r="L130" s="16" t="n">
        <v>0.999</v>
      </c>
      <c r="M130" s="16" t="n">
        <v>0.99</v>
      </c>
      <c r="N130" s="16" t="n">
        <v>0.96</v>
      </c>
      <c r="O130" s="16" t="n">
        <v>0.96</v>
      </c>
      <c r="P130" s="16" t="n">
        <v>0.98</v>
      </c>
      <c r="Q130" s="16" t="n">
        <v>0.992</v>
      </c>
      <c r="R130" s="0" t="n">
        <v>0.99</v>
      </c>
      <c r="S130" s="0" t="n">
        <v>0.9945</v>
      </c>
    </row>
    <row r="131" customFormat="false" ht="12.75" hidden="false" customHeight="false" outlineLevel="0" collapsed="false">
      <c r="A131" s="326" t="n">
        <v>40909</v>
      </c>
      <c r="B131" s="16" t="n">
        <v>0.9306</v>
      </c>
      <c r="C131" s="16" t="n">
        <v>0.99</v>
      </c>
      <c r="D131" s="16" t="n">
        <v>0.96</v>
      </c>
      <c r="E131" s="16" t="n">
        <v>0.9306</v>
      </c>
      <c r="F131" s="16" t="n">
        <v>0.999</v>
      </c>
      <c r="G131" s="16" t="n">
        <v>0.98</v>
      </c>
      <c r="H131" s="16" t="n">
        <v>0.995</v>
      </c>
      <c r="I131" s="16" t="n">
        <v>0.999</v>
      </c>
      <c r="J131" s="16" t="n">
        <v>0.99</v>
      </c>
      <c r="K131" s="16" t="n">
        <v>0.995</v>
      </c>
      <c r="L131" s="16" t="n">
        <v>0.999</v>
      </c>
      <c r="M131" s="16" t="n">
        <v>0.99</v>
      </c>
      <c r="N131" s="16" t="n">
        <v>0.96</v>
      </c>
      <c r="O131" s="16" t="n">
        <v>0.96</v>
      </c>
      <c r="P131" s="16" t="n">
        <v>0.98</v>
      </c>
      <c r="Q131" s="16" t="n">
        <v>0.992</v>
      </c>
      <c r="R131" s="0" t="n">
        <v>0.99</v>
      </c>
      <c r="S131" s="0" t="n">
        <v>0.9945</v>
      </c>
    </row>
    <row r="132" customFormat="false" ht="12.75" hidden="false" customHeight="false" outlineLevel="0" collapsed="false">
      <c r="A132" s="326" t="n">
        <v>40940</v>
      </c>
      <c r="B132" s="16" t="n">
        <v>0.9306</v>
      </c>
      <c r="C132" s="16" t="n">
        <v>0.99</v>
      </c>
      <c r="D132" s="16" t="n">
        <v>0.96</v>
      </c>
      <c r="E132" s="16" t="n">
        <v>0.9306</v>
      </c>
      <c r="F132" s="16" t="n">
        <v>0.999</v>
      </c>
      <c r="G132" s="16" t="n">
        <v>0.98</v>
      </c>
      <c r="H132" s="16" t="n">
        <v>0.995</v>
      </c>
      <c r="I132" s="16" t="n">
        <v>0.999</v>
      </c>
      <c r="J132" s="16" t="n">
        <v>0.99</v>
      </c>
      <c r="K132" s="16" t="n">
        <v>0.995</v>
      </c>
      <c r="L132" s="16" t="n">
        <v>0.999</v>
      </c>
      <c r="M132" s="16" t="n">
        <v>0.99</v>
      </c>
      <c r="N132" s="16" t="n">
        <v>0.96</v>
      </c>
      <c r="O132" s="16" t="n">
        <v>0.96</v>
      </c>
      <c r="P132" s="16" t="n">
        <v>0.98</v>
      </c>
      <c r="Q132" s="16" t="n">
        <v>0.992</v>
      </c>
      <c r="R132" s="0" t="n">
        <v>0.99</v>
      </c>
      <c r="S132" s="0" t="n">
        <v>0.9945</v>
      </c>
    </row>
    <row r="133" customFormat="false" ht="12.75" hidden="false" customHeight="false" outlineLevel="0" collapsed="false">
      <c r="A133" s="326" t="n">
        <v>40969</v>
      </c>
      <c r="B133" s="16" t="n">
        <v>0.9306</v>
      </c>
      <c r="C133" s="16" t="n">
        <v>0.99</v>
      </c>
      <c r="D133" s="16" t="n">
        <v>0.96</v>
      </c>
      <c r="E133" s="16" t="n">
        <v>0.9306</v>
      </c>
      <c r="F133" s="16" t="n">
        <v>0.999</v>
      </c>
      <c r="G133" s="16" t="n">
        <v>0.98</v>
      </c>
      <c r="H133" s="16" t="n">
        <v>0.995</v>
      </c>
      <c r="I133" s="16" t="n">
        <v>0.999</v>
      </c>
      <c r="J133" s="16" t="n">
        <v>0.99</v>
      </c>
      <c r="K133" s="16" t="n">
        <v>0.995</v>
      </c>
      <c r="L133" s="16" t="n">
        <v>0.999</v>
      </c>
      <c r="M133" s="16" t="n">
        <v>0.99</v>
      </c>
      <c r="N133" s="16" t="n">
        <v>0.96</v>
      </c>
      <c r="O133" s="16" t="n">
        <v>0.96</v>
      </c>
      <c r="P133" s="16" t="n">
        <v>0.98</v>
      </c>
      <c r="Q133" s="16" t="n">
        <v>0.992</v>
      </c>
      <c r="R133" s="0" t="n">
        <v>0.99</v>
      </c>
      <c r="S133" s="0" t="n">
        <v>0.9945</v>
      </c>
    </row>
    <row r="134" customFormat="false" ht="12.75" hidden="false" customHeight="false" outlineLevel="0" collapsed="false">
      <c r="A134" s="326" t="n">
        <v>41000</v>
      </c>
      <c r="B134" s="16" t="n">
        <v>0.9306</v>
      </c>
      <c r="C134" s="16" t="n">
        <v>0.99</v>
      </c>
      <c r="D134" s="16" t="n">
        <v>0.96</v>
      </c>
      <c r="E134" s="16" t="n">
        <v>0.9306</v>
      </c>
      <c r="F134" s="16" t="n">
        <v>0.999</v>
      </c>
      <c r="G134" s="16" t="n">
        <v>0.98</v>
      </c>
      <c r="H134" s="16" t="n">
        <v>0.995</v>
      </c>
      <c r="I134" s="16" t="n">
        <v>0.999</v>
      </c>
      <c r="J134" s="16" t="n">
        <v>0.99</v>
      </c>
      <c r="K134" s="16" t="n">
        <v>0.995</v>
      </c>
      <c r="L134" s="16" t="n">
        <v>0.999</v>
      </c>
      <c r="M134" s="16" t="n">
        <v>0.99</v>
      </c>
      <c r="N134" s="16" t="n">
        <v>0.96</v>
      </c>
      <c r="O134" s="16" t="n">
        <v>0.96</v>
      </c>
      <c r="P134" s="16" t="n">
        <v>0.98</v>
      </c>
      <c r="Q134" s="16" t="n">
        <v>0.992</v>
      </c>
      <c r="R134" s="0" t="n">
        <v>0.99</v>
      </c>
      <c r="S134" s="0" t="n">
        <v>0.9945</v>
      </c>
    </row>
    <row r="135" customFormat="false" ht="12.75" hidden="false" customHeight="false" outlineLevel="0" collapsed="false">
      <c r="A135" s="326" t="n">
        <v>41030</v>
      </c>
      <c r="B135" s="16" t="n">
        <v>0.9306</v>
      </c>
      <c r="C135" s="16" t="n">
        <v>0.99</v>
      </c>
      <c r="D135" s="16" t="n">
        <v>0.96</v>
      </c>
      <c r="E135" s="16" t="n">
        <v>0.9306</v>
      </c>
      <c r="F135" s="16" t="n">
        <v>0.999</v>
      </c>
      <c r="G135" s="16" t="n">
        <v>0.98</v>
      </c>
      <c r="H135" s="16" t="n">
        <v>0.995</v>
      </c>
      <c r="I135" s="16" t="n">
        <v>0.999</v>
      </c>
      <c r="J135" s="16" t="n">
        <v>0.99</v>
      </c>
      <c r="K135" s="16" t="n">
        <v>0.995</v>
      </c>
      <c r="L135" s="16" t="n">
        <v>0.999</v>
      </c>
      <c r="M135" s="16" t="n">
        <v>0.99</v>
      </c>
      <c r="N135" s="16" t="n">
        <v>0.96</v>
      </c>
      <c r="O135" s="16" t="n">
        <v>0.96</v>
      </c>
      <c r="P135" s="16" t="n">
        <v>0.98</v>
      </c>
      <c r="Q135" s="16" t="n">
        <v>0.992</v>
      </c>
      <c r="R135" s="0" t="n">
        <v>0.99</v>
      </c>
      <c r="S135" s="0" t="n">
        <v>0.9945</v>
      </c>
    </row>
    <row r="136" customFormat="false" ht="12.75" hidden="false" customHeight="false" outlineLevel="0" collapsed="false">
      <c r="A136" s="326" t="n">
        <v>41061</v>
      </c>
      <c r="B136" s="16" t="n">
        <v>0.9306</v>
      </c>
      <c r="C136" s="16" t="n">
        <v>0.99</v>
      </c>
      <c r="D136" s="16" t="n">
        <v>0.96</v>
      </c>
      <c r="E136" s="16" t="n">
        <v>0.9306</v>
      </c>
      <c r="F136" s="16" t="n">
        <v>0.999</v>
      </c>
      <c r="G136" s="16" t="n">
        <v>0.98</v>
      </c>
      <c r="H136" s="16" t="n">
        <v>0.995</v>
      </c>
      <c r="I136" s="16" t="n">
        <v>0.999</v>
      </c>
      <c r="J136" s="16" t="n">
        <v>0.99</v>
      </c>
      <c r="K136" s="16" t="n">
        <v>0.995</v>
      </c>
      <c r="L136" s="16" t="n">
        <v>0.999</v>
      </c>
      <c r="M136" s="16" t="n">
        <v>0.99</v>
      </c>
      <c r="N136" s="16" t="n">
        <v>0.96</v>
      </c>
      <c r="O136" s="16" t="n">
        <v>0.96</v>
      </c>
      <c r="P136" s="16" t="n">
        <v>0.98</v>
      </c>
      <c r="Q136" s="16" t="n">
        <v>0.992</v>
      </c>
      <c r="R136" s="0" t="n">
        <v>0.99</v>
      </c>
      <c r="S136" s="0" t="n">
        <v>0.9945</v>
      </c>
    </row>
    <row r="137" customFormat="false" ht="12.75" hidden="false" customHeight="false" outlineLevel="0" collapsed="false">
      <c r="A137" s="326" t="n">
        <v>41091</v>
      </c>
      <c r="B137" s="16" t="n">
        <v>0.9306</v>
      </c>
      <c r="C137" s="16" t="n">
        <v>0.99</v>
      </c>
      <c r="D137" s="16" t="n">
        <v>0.96</v>
      </c>
      <c r="E137" s="16" t="n">
        <v>0.9306</v>
      </c>
      <c r="F137" s="16" t="n">
        <v>0.999</v>
      </c>
      <c r="G137" s="16" t="n">
        <v>0.98</v>
      </c>
      <c r="H137" s="16" t="n">
        <v>0.995</v>
      </c>
      <c r="I137" s="16" t="n">
        <v>0.999</v>
      </c>
      <c r="J137" s="16" t="n">
        <v>0.99</v>
      </c>
      <c r="K137" s="16" t="n">
        <v>0.995</v>
      </c>
      <c r="L137" s="16" t="n">
        <v>0.999</v>
      </c>
      <c r="M137" s="16" t="n">
        <v>0.99</v>
      </c>
      <c r="N137" s="16" t="n">
        <v>0.96</v>
      </c>
      <c r="O137" s="16" t="n">
        <v>0.96</v>
      </c>
      <c r="P137" s="16" t="n">
        <v>0.98</v>
      </c>
      <c r="Q137" s="16" t="n">
        <v>0.992</v>
      </c>
      <c r="R137" s="0" t="n">
        <v>0.99</v>
      </c>
      <c r="S137" s="0" t="n">
        <v>0.9945</v>
      </c>
    </row>
    <row r="138" customFormat="false" ht="12.75" hidden="false" customHeight="false" outlineLevel="0" collapsed="false">
      <c r="A138" s="326" t="n">
        <v>41122</v>
      </c>
      <c r="B138" s="16" t="n">
        <v>0.9306</v>
      </c>
      <c r="C138" s="16" t="n">
        <v>0.99</v>
      </c>
      <c r="D138" s="16" t="n">
        <v>0.96</v>
      </c>
      <c r="E138" s="16" t="n">
        <v>0.9306</v>
      </c>
      <c r="F138" s="16" t="n">
        <v>0.999</v>
      </c>
      <c r="G138" s="16" t="n">
        <v>0.98</v>
      </c>
      <c r="H138" s="16" t="n">
        <v>0.995</v>
      </c>
      <c r="I138" s="16" t="n">
        <v>0.999</v>
      </c>
      <c r="J138" s="16" t="n">
        <v>0.99</v>
      </c>
      <c r="K138" s="16" t="n">
        <v>0.995</v>
      </c>
      <c r="L138" s="16" t="n">
        <v>0.999</v>
      </c>
      <c r="M138" s="16" t="n">
        <v>0.99</v>
      </c>
      <c r="N138" s="16" t="n">
        <v>0.96</v>
      </c>
      <c r="O138" s="16" t="n">
        <v>0.96</v>
      </c>
      <c r="P138" s="16" t="n">
        <v>0.98</v>
      </c>
      <c r="Q138" s="16" t="n">
        <v>0.992</v>
      </c>
      <c r="R138" s="0" t="n">
        <v>0.99</v>
      </c>
      <c r="S138" s="0" t="n">
        <v>0.9945</v>
      </c>
    </row>
    <row r="139" customFormat="false" ht="12.75" hidden="false" customHeight="false" outlineLevel="0" collapsed="false">
      <c r="A139" s="326" t="n">
        <v>41153</v>
      </c>
      <c r="B139" s="16" t="n">
        <v>0.9306</v>
      </c>
      <c r="C139" s="16" t="n">
        <v>0.99</v>
      </c>
      <c r="D139" s="16" t="n">
        <v>0.96</v>
      </c>
      <c r="E139" s="16" t="n">
        <v>0.9306</v>
      </c>
      <c r="F139" s="16" t="n">
        <v>0.999</v>
      </c>
      <c r="G139" s="16" t="n">
        <v>0.98</v>
      </c>
      <c r="H139" s="16" t="n">
        <v>0.995</v>
      </c>
      <c r="I139" s="16" t="n">
        <v>0.999</v>
      </c>
      <c r="J139" s="16" t="n">
        <v>0.99</v>
      </c>
      <c r="K139" s="16" t="n">
        <v>0.995</v>
      </c>
      <c r="L139" s="16" t="n">
        <v>0.999</v>
      </c>
      <c r="M139" s="16" t="n">
        <v>0.99</v>
      </c>
      <c r="N139" s="16" t="n">
        <v>0.96</v>
      </c>
      <c r="O139" s="16" t="n">
        <v>0.96</v>
      </c>
      <c r="P139" s="16" t="n">
        <v>0.98</v>
      </c>
      <c r="Q139" s="16" t="n">
        <v>0.992</v>
      </c>
      <c r="R139" s="0" t="n">
        <v>0.99</v>
      </c>
      <c r="S139" s="0" t="n">
        <v>0.9945</v>
      </c>
    </row>
    <row r="140" customFormat="false" ht="12.75" hidden="false" customHeight="false" outlineLevel="0" collapsed="false">
      <c r="A140" s="326" t="n">
        <v>41183</v>
      </c>
      <c r="B140" s="16" t="n">
        <v>0.9306</v>
      </c>
      <c r="C140" s="16" t="n">
        <v>0.99</v>
      </c>
      <c r="D140" s="16" t="n">
        <v>0.96</v>
      </c>
      <c r="E140" s="16" t="n">
        <v>0.9306</v>
      </c>
      <c r="F140" s="16" t="n">
        <v>0.999</v>
      </c>
      <c r="G140" s="16" t="n">
        <v>0.98</v>
      </c>
      <c r="H140" s="16" t="n">
        <v>0.995</v>
      </c>
      <c r="I140" s="16" t="n">
        <v>0.999</v>
      </c>
      <c r="J140" s="16" t="n">
        <v>0.99</v>
      </c>
      <c r="K140" s="16" t="n">
        <v>0.995</v>
      </c>
      <c r="L140" s="16" t="n">
        <v>0.999</v>
      </c>
      <c r="M140" s="16" t="n">
        <v>0.99</v>
      </c>
      <c r="N140" s="16" t="n">
        <v>0.96</v>
      </c>
      <c r="O140" s="16" t="n">
        <v>0.96</v>
      </c>
      <c r="P140" s="16" t="n">
        <v>0.98</v>
      </c>
      <c r="Q140" s="16" t="n">
        <v>0.992</v>
      </c>
      <c r="R140" s="0" t="n">
        <v>0.99</v>
      </c>
      <c r="S140" s="0" t="n">
        <v>0.9945</v>
      </c>
    </row>
    <row r="141" customFormat="false" ht="12.75" hidden="false" customHeight="false" outlineLevel="0" collapsed="false">
      <c r="A141" s="326" t="n">
        <v>41214</v>
      </c>
      <c r="B141" s="16" t="n">
        <v>0.9306</v>
      </c>
      <c r="C141" s="16" t="n">
        <v>0.99</v>
      </c>
      <c r="D141" s="16" t="n">
        <v>0.96</v>
      </c>
      <c r="E141" s="16" t="n">
        <v>0.9306</v>
      </c>
      <c r="F141" s="16" t="n">
        <v>0.999</v>
      </c>
      <c r="G141" s="16" t="n">
        <v>0.98</v>
      </c>
      <c r="H141" s="16" t="n">
        <v>0.995</v>
      </c>
      <c r="I141" s="16" t="n">
        <v>0.999</v>
      </c>
      <c r="J141" s="16" t="n">
        <v>0.99</v>
      </c>
      <c r="K141" s="16" t="n">
        <v>0.995</v>
      </c>
      <c r="L141" s="16" t="n">
        <v>0.999</v>
      </c>
      <c r="M141" s="16" t="n">
        <v>0.99</v>
      </c>
      <c r="N141" s="16" t="n">
        <v>0.96</v>
      </c>
      <c r="O141" s="16" t="n">
        <v>0.96</v>
      </c>
      <c r="P141" s="16" t="n">
        <v>0.98</v>
      </c>
      <c r="Q141" s="16" t="n">
        <v>0.992</v>
      </c>
      <c r="R141" s="0" t="n">
        <v>0.99</v>
      </c>
      <c r="S141" s="0" t="n">
        <v>0.9945</v>
      </c>
    </row>
    <row r="142" customFormat="false" ht="12.75" hidden="false" customHeight="false" outlineLevel="0" collapsed="false">
      <c r="A142" s="326" t="n">
        <v>41244</v>
      </c>
      <c r="B142" s="16" t="n">
        <v>0.9306</v>
      </c>
      <c r="C142" s="16" t="n">
        <v>0.99</v>
      </c>
      <c r="D142" s="16" t="n">
        <v>0.96</v>
      </c>
      <c r="E142" s="16" t="n">
        <v>0.9306</v>
      </c>
      <c r="F142" s="16" t="n">
        <v>0.999</v>
      </c>
      <c r="G142" s="16" t="n">
        <v>0.98</v>
      </c>
      <c r="H142" s="16" t="n">
        <v>0.995</v>
      </c>
      <c r="I142" s="16" t="n">
        <v>0.999</v>
      </c>
      <c r="J142" s="16" t="n">
        <v>0.99</v>
      </c>
      <c r="K142" s="16" t="n">
        <v>0.995</v>
      </c>
      <c r="L142" s="16" t="n">
        <v>0.999</v>
      </c>
      <c r="M142" s="16" t="n">
        <v>0.99</v>
      </c>
      <c r="N142" s="16" t="n">
        <v>0.96</v>
      </c>
      <c r="O142" s="16" t="n">
        <v>0.96</v>
      </c>
      <c r="P142" s="16" t="n">
        <v>0.98</v>
      </c>
      <c r="Q142" s="16" t="n">
        <v>0.992</v>
      </c>
      <c r="R142" s="0" t="n">
        <v>0.99</v>
      </c>
      <c r="S142" s="0" t="n">
        <v>0.9945</v>
      </c>
    </row>
    <row r="143" customFormat="false" ht="12.75" hidden="false" customHeight="false" outlineLevel="0" collapsed="false">
      <c r="A143" s="326" t="n">
        <v>41275</v>
      </c>
      <c r="B143" s="16" t="n">
        <v>0.9306</v>
      </c>
      <c r="C143" s="16" t="n">
        <v>0.99</v>
      </c>
      <c r="D143" s="16" t="n">
        <v>0.96</v>
      </c>
      <c r="E143" s="16" t="n">
        <v>0.9306</v>
      </c>
      <c r="F143" s="16" t="n">
        <v>0.999</v>
      </c>
      <c r="G143" s="16" t="n">
        <v>0.98</v>
      </c>
      <c r="H143" s="16" t="n">
        <v>0.995</v>
      </c>
      <c r="I143" s="16" t="n">
        <v>0.999</v>
      </c>
      <c r="J143" s="16" t="n">
        <v>0.99</v>
      </c>
      <c r="K143" s="16" t="n">
        <v>0.995</v>
      </c>
      <c r="L143" s="16" t="n">
        <v>0.999</v>
      </c>
      <c r="M143" s="16" t="n">
        <v>0.99</v>
      </c>
      <c r="N143" s="16" t="n">
        <v>0.96</v>
      </c>
      <c r="O143" s="16" t="n">
        <v>0.96</v>
      </c>
      <c r="P143" s="16" t="n">
        <v>0.98</v>
      </c>
      <c r="Q143" s="16" t="n">
        <v>0.992</v>
      </c>
      <c r="R143" s="0" t="n">
        <v>0.99</v>
      </c>
      <c r="S143" s="0" t="n">
        <v>0.9945</v>
      </c>
    </row>
    <row r="144" customFormat="false" ht="12.75" hidden="false" customHeight="false" outlineLevel="0" collapsed="false">
      <c r="A144" s="326" t="n">
        <v>41306</v>
      </c>
      <c r="B144" s="16" t="n">
        <v>0.9306</v>
      </c>
      <c r="C144" s="16" t="n">
        <v>0.99</v>
      </c>
      <c r="D144" s="16" t="n">
        <v>0.96</v>
      </c>
      <c r="E144" s="16" t="n">
        <v>0.9306</v>
      </c>
      <c r="F144" s="16" t="n">
        <v>0.999</v>
      </c>
      <c r="G144" s="16" t="n">
        <v>0.98</v>
      </c>
      <c r="H144" s="16" t="n">
        <v>0.995</v>
      </c>
      <c r="I144" s="16" t="n">
        <v>0.999</v>
      </c>
      <c r="J144" s="16" t="n">
        <v>0.99</v>
      </c>
      <c r="K144" s="16" t="n">
        <v>0.995</v>
      </c>
      <c r="L144" s="16" t="n">
        <v>0.999</v>
      </c>
      <c r="M144" s="16" t="n">
        <v>0.99</v>
      </c>
      <c r="N144" s="16" t="n">
        <v>0.96</v>
      </c>
      <c r="O144" s="16" t="n">
        <v>0.96</v>
      </c>
      <c r="P144" s="16" t="n">
        <v>0.98</v>
      </c>
      <c r="Q144" s="16" t="n">
        <v>0.992</v>
      </c>
      <c r="R144" s="0" t="n">
        <v>0.99</v>
      </c>
      <c r="S144" s="0" t="n">
        <v>0.9945</v>
      </c>
    </row>
    <row r="145" customFormat="false" ht="12.75" hidden="false" customHeight="false" outlineLevel="0" collapsed="false">
      <c r="A145" s="326" t="n">
        <v>41334</v>
      </c>
      <c r="B145" s="16" t="n">
        <v>0.9306</v>
      </c>
      <c r="C145" s="16" t="n">
        <v>0.99</v>
      </c>
      <c r="D145" s="16" t="n">
        <v>0.96</v>
      </c>
      <c r="E145" s="16" t="n">
        <v>0.9306</v>
      </c>
      <c r="F145" s="16" t="n">
        <v>0.999</v>
      </c>
      <c r="G145" s="16" t="n">
        <v>0.98</v>
      </c>
      <c r="H145" s="16" t="n">
        <v>0.995</v>
      </c>
      <c r="I145" s="16" t="n">
        <v>0.999</v>
      </c>
      <c r="J145" s="16" t="n">
        <v>0.99</v>
      </c>
      <c r="K145" s="16" t="n">
        <v>0.995</v>
      </c>
      <c r="L145" s="16" t="n">
        <v>0.999</v>
      </c>
      <c r="M145" s="16" t="n">
        <v>0.99</v>
      </c>
      <c r="N145" s="16" t="n">
        <v>0.96</v>
      </c>
      <c r="O145" s="16" t="n">
        <v>0.96</v>
      </c>
      <c r="P145" s="16" t="n">
        <v>0.98</v>
      </c>
      <c r="Q145" s="16" t="n">
        <v>0.992</v>
      </c>
      <c r="R145" s="0" t="n">
        <v>0.99</v>
      </c>
      <c r="S145" s="0" t="n">
        <v>0.9945</v>
      </c>
    </row>
    <row r="146" customFormat="false" ht="12.75" hidden="false" customHeight="false" outlineLevel="0" collapsed="false">
      <c r="A146" s="326" t="n">
        <v>41365</v>
      </c>
      <c r="B146" s="16" t="n">
        <v>0.9306</v>
      </c>
      <c r="C146" s="16" t="n">
        <v>0.99</v>
      </c>
      <c r="D146" s="16" t="n">
        <v>0.96</v>
      </c>
      <c r="E146" s="16" t="n">
        <v>0.9306</v>
      </c>
      <c r="F146" s="16" t="n">
        <v>0.999</v>
      </c>
      <c r="G146" s="16" t="n">
        <v>0.98</v>
      </c>
      <c r="H146" s="16" t="n">
        <v>0.995</v>
      </c>
      <c r="I146" s="16" t="n">
        <v>0.999</v>
      </c>
      <c r="J146" s="16" t="n">
        <v>0.99</v>
      </c>
      <c r="K146" s="16" t="n">
        <v>0.995</v>
      </c>
      <c r="L146" s="16" t="n">
        <v>0.999</v>
      </c>
      <c r="M146" s="16" t="n">
        <v>0.99</v>
      </c>
      <c r="N146" s="16" t="n">
        <v>0.96</v>
      </c>
      <c r="O146" s="16" t="n">
        <v>0.96</v>
      </c>
      <c r="P146" s="16" t="n">
        <v>0.98</v>
      </c>
      <c r="Q146" s="16" t="n">
        <v>0.992</v>
      </c>
      <c r="R146" s="0" t="n">
        <v>0.99</v>
      </c>
      <c r="S146" s="0" t="n">
        <v>0.9945</v>
      </c>
    </row>
    <row r="147" customFormat="false" ht="12.75" hidden="false" customHeight="false" outlineLevel="0" collapsed="false">
      <c r="A147" s="326" t="n">
        <v>41395</v>
      </c>
      <c r="B147" s="16" t="n">
        <v>0.9306</v>
      </c>
      <c r="C147" s="16" t="n">
        <v>0.99</v>
      </c>
      <c r="D147" s="16" t="n">
        <v>0.96</v>
      </c>
      <c r="E147" s="16" t="n">
        <v>0.9306</v>
      </c>
      <c r="F147" s="16" t="n">
        <v>0.999</v>
      </c>
      <c r="G147" s="16" t="n">
        <v>0.98</v>
      </c>
      <c r="H147" s="16" t="n">
        <v>0.995</v>
      </c>
      <c r="I147" s="16" t="n">
        <v>0.999</v>
      </c>
      <c r="J147" s="16" t="n">
        <v>0.99</v>
      </c>
      <c r="K147" s="16" t="n">
        <v>0.995</v>
      </c>
      <c r="L147" s="16" t="n">
        <v>0.999</v>
      </c>
      <c r="M147" s="16" t="n">
        <v>0.99</v>
      </c>
      <c r="N147" s="16" t="n">
        <v>0.96</v>
      </c>
      <c r="O147" s="16" t="n">
        <v>0.96</v>
      </c>
      <c r="P147" s="16" t="n">
        <v>0.98</v>
      </c>
      <c r="Q147" s="16" t="n">
        <v>0.992</v>
      </c>
      <c r="R147" s="0" t="n">
        <v>0.99</v>
      </c>
      <c r="S147" s="0" t="n">
        <v>0.9945</v>
      </c>
    </row>
    <row r="148" customFormat="false" ht="12.75" hidden="false" customHeight="false" outlineLevel="0" collapsed="false">
      <c r="A148" s="326" t="n">
        <v>41426</v>
      </c>
      <c r="B148" s="16" t="n">
        <v>0.9306</v>
      </c>
      <c r="C148" s="16" t="n">
        <v>0.99</v>
      </c>
      <c r="D148" s="16" t="n">
        <v>0.96</v>
      </c>
      <c r="E148" s="16" t="n">
        <v>0.9306</v>
      </c>
      <c r="F148" s="16" t="n">
        <v>0.999</v>
      </c>
      <c r="G148" s="16" t="n">
        <v>0.98</v>
      </c>
      <c r="H148" s="16" t="n">
        <v>0.995</v>
      </c>
      <c r="I148" s="16" t="n">
        <v>0.999</v>
      </c>
      <c r="J148" s="16" t="n">
        <v>0.99</v>
      </c>
      <c r="K148" s="16" t="n">
        <v>0.995</v>
      </c>
      <c r="L148" s="16" t="n">
        <v>0.999</v>
      </c>
      <c r="M148" s="16" t="n">
        <v>0.99</v>
      </c>
      <c r="N148" s="16" t="n">
        <v>0.96</v>
      </c>
      <c r="O148" s="16" t="n">
        <v>0.96</v>
      </c>
      <c r="P148" s="16" t="n">
        <v>0.98</v>
      </c>
      <c r="Q148" s="16" t="n">
        <v>0.992</v>
      </c>
      <c r="R148" s="0" t="n">
        <v>0.99</v>
      </c>
      <c r="S148" s="0" t="n">
        <v>0.9945</v>
      </c>
    </row>
    <row r="149" customFormat="false" ht="12.75" hidden="false" customHeight="false" outlineLevel="0" collapsed="false">
      <c r="A149" s="326" t="n">
        <v>41456</v>
      </c>
      <c r="B149" s="16" t="n">
        <v>0.9306</v>
      </c>
      <c r="C149" s="16" t="n">
        <v>0.99</v>
      </c>
      <c r="D149" s="16" t="n">
        <v>0.96</v>
      </c>
      <c r="E149" s="16" t="n">
        <v>0.9306</v>
      </c>
      <c r="F149" s="16" t="n">
        <v>0.999</v>
      </c>
      <c r="G149" s="16" t="n">
        <v>0.98</v>
      </c>
      <c r="H149" s="16" t="n">
        <v>0.995</v>
      </c>
      <c r="I149" s="16" t="n">
        <v>0.999</v>
      </c>
      <c r="J149" s="16" t="n">
        <v>0.99</v>
      </c>
      <c r="K149" s="16" t="n">
        <v>0.995</v>
      </c>
      <c r="L149" s="16" t="n">
        <v>0.999</v>
      </c>
      <c r="M149" s="16" t="n">
        <v>0.99</v>
      </c>
      <c r="N149" s="16" t="n">
        <v>0.96</v>
      </c>
      <c r="O149" s="16" t="n">
        <v>0.96</v>
      </c>
      <c r="P149" s="16" t="n">
        <v>0.98</v>
      </c>
      <c r="Q149" s="16" t="n">
        <v>0.992</v>
      </c>
      <c r="R149" s="0" t="n">
        <v>0.99</v>
      </c>
      <c r="S149" s="0" t="n">
        <v>0.9945</v>
      </c>
    </row>
    <row r="150" customFormat="false" ht="12.75" hidden="false" customHeight="false" outlineLevel="0" collapsed="false">
      <c r="A150" s="326" t="n">
        <v>41487</v>
      </c>
      <c r="B150" s="16" t="n">
        <v>0.9306</v>
      </c>
      <c r="C150" s="16" t="n">
        <v>0.99</v>
      </c>
      <c r="D150" s="16" t="n">
        <v>0.96</v>
      </c>
      <c r="E150" s="16" t="n">
        <v>0.9306</v>
      </c>
      <c r="F150" s="16" t="n">
        <v>0.999</v>
      </c>
      <c r="G150" s="16" t="n">
        <v>0.98</v>
      </c>
      <c r="H150" s="16" t="n">
        <v>0.995</v>
      </c>
      <c r="I150" s="16" t="n">
        <v>0.999</v>
      </c>
      <c r="J150" s="16" t="n">
        <v>0.99</v>
      </c>
      <c r="K150" s="16" t="n">
        <v>0.995</v>
      </c>
      <c r="L150" s="16" t="n">
        <v>0.999</v>
      </c>
      <c r="M150" s="16" t="n">
        <v>0.99</v>
      </c>
      <c r="N150" s="16" t="n">
        <v>0.96</v>
      </c>
      <c r="O150" s="16" t="n">
        <v>0.96</v>
      </c>
      <c r="P150" s="16" t="n">
        <v>0.98</v>
      </c>
      <c r="Q150" s="16" t="n">
        <v>0.992</v>
      </c>
      <c r="R150" s="0" t="n">
        <v>0.99</v>
      </c>
      <c r="S150" s="0" t="n">
        <v>0.9945</v>
      </c>
    </row>
    <row r="151" customFormat="false" ht="12.75" hidden="false" customHeight="false" outlineLevel="0" collapsed="false">
      <c r="A151" s="326" t="n">
        <v>41518</v>
      </c>
      <c r="B151" s="16" t="n">
        <v>0.9306</v>
      </c>
      <c r="C151" s="16" t="n">
        <v>0.99</v>
      </c>
      <c r="D151" s="16" t="n">
        <v>0.96</v>
      </c>
      <c r="E151" s="16" t="n">
        <v>0.9306</v>
      </c>
      <c r="F151" s="16" t="n">
        <v>0.999</v>
      </c>
      <c r="G151" s="16" t="n">
        <v>0.98</v>
      </c>
      <c r="H151" s="16" t="n">
        <v>0.995</v>
      </c>
      <c r="I151" s="16" t="n">
        <v>0.999</v>
      </c>
      <c r="J151" s="16" t="n">
        <v>0.99</v>
      </c>
      <c r="K151" s="16" t="n">
        <v>0.995</v>
      </c>
      <c r="L151" s="16" t="n">
        <v>0.999</v>
      </c>
      <c r="M151" s="16" t="n">
        <v>0.99</v>
      </c>
      <c r="N151" s="16" t="n">
        <v>0.96</v>
      </c>
      <c r="O151" s="16" t="n">
        <v>0.96</v>
      </c>
      <c r="P151" s="16" t="n">
        <v>0.98</v>
      </c>
      <c r="Q151" s="16" t="n">
        <v>0.992</v>
      </c>
      <c r="R151" s="0" t="n">
        <v>0.99</v>
      </c>
      <c r="S151" s="0" t="n">
        <v>0.9945</v>
      </c>
    </row>
    <row r="152" customFormat="false" ht="12.75" hidden="false" customHeight="false" outlineLevel="0" collapsed="false">
      <c r="A152" s="326" t="n">
        <v>41548</v>
      </c>
      <c r="B152" s="16" t="n">
        <v>0.9306</v>
      </c>
      <c r="C152" s="16" t="n">
        <v>0.99</v>
      </c>
      <c r="D152" s="16" t="n">
        <v>0.96</v>
      </c>
      <c r="E152" s="16" t="n">
        <v>0.9306</v>
      </c>
      <c r="F152" s="16" t="n">
        <v>0.999</v>
      </c>
      <c r="G152" s="16" t="n">
        <v>0.98</v>
      </c>
      <c r="H152" s="16" t="n">
        <v>0.995</v>
      </c>
      <c r="I152" s="16" t="n">
        <v>0.999</v>
      </c>
      <c r="J152" s="16" t="n">
        <v>0.99</v>
      </c>
      <c r="K152" s="16" t="n">
        <v>0.995</v>
      </c>
      <c r="L152" s="16" t="n">
        <v>0.999</v>
      </c>
      <c r="M152" s="16" t="n">
        <v>0.99</v>
      </c>
      <c r="N152" s="16" t="n">
        <v>0.96</v>
      </c>
      <c r="O152" s="16" t="n">
        <v>0.96</v>
      </c>
      <c r="P152" s="16" t="n">
        <v>0.98</v>
      </c>
      <c r="Q152" s="16" t="n">
        <v>0.992</v>
      </c>
      <c r="R152" s="0" t="n">
        <v>0.99</v>
      </c>
      <c r="S152" s="0" t="n">
        <v>0.9945</v>
      </c>
    </row>
    <row r="153" customFormat="false" ht="12.75" hidden="false" customHeight="false" outlineLevel="0" collapsed="false">
      <c r="A153" s="326" t="n">
        <v>41579</v>
      </c>
      <c r="B153" s="16" t="n">
        <v>0.9306</v>
      </c>
      <c r="C153" s="16" t="n">
        <v>0.99</v>
      </c>
      <c r="D153" s="16" t="n">
        <v>0.96</v>
      </c>
      <c r="E153" s="16" t="n">
        <v>0.9306</v>
      </c>
      <c r="F153" s="16" t="n">
        <v>0.999</v>
      </c>
      <c r="G153" s="16" t="n">
        <v>0.98</v>
      </c>
      <c r="H153" s="16" t="n">
        <v>0.995</v>
      </c>
      <c r="I153" s="16" t="n">
        <v>0.999</v>
      </c>
      <c r="J153" s="16" t="n">
        <v>0.99</v>
      </c>
      <c r="K153" s="16" t="n">
        <v>0.995</v>
      </c>
      <c r="L153" s="16" t="n">
        <v>0.999</v>
      </c>
      <c r="M153" s="16" t="n">
        <v>0.99</v>
      </c>
      <c r="N153" s="16" t="n">
        <v>0.96</v>
      </c>
      <c r="O153" s="16" t="n">
        <v>0.96</v>
      </c>
      <c r="P153" s="16" t="n">
        <v>0.98</v>
      </c>
      <c r="Q153" s="16" t="n">
        <v>0.992</v>
      </c>
      <c r="R153" s="0" t="n">
        <v>0.99</v>
      </c>
      <c r="S153" s="0" t="n">
        <v>0.9945</v>
      </c>
    </row>
    <row r="154" customFormat="false" ht="12.75" hidden="false" customHeight="false" outlineLevel="0" collapsed="false">
      <c r="A154" s="326" t="n">
        <v>41609</v>
      </c>
      <c r="B154" s="16" t="n">
        <v>0.9306</v>
      </c>
      <c r="C154" s="16" t="n">
        <v>0.99</v>
      </c>
      <c r="D154" s="16" t="n">
        <v>0.96</v>
      </c>
      <c r="E154" s="16" t="n">
        <v>0.9306</v>
      </c>
      <c r="F154" s="16" t="n">
        <v>0.999</v>
      </c>
      <c r="G154" s="16" t="n">
        <v>0.98</v>
      </c>
      <c r="H154" s="16" t="n">
        <v>0.995</v>
      </c>
      <c r="I154" s="16" t="n">
        <v>0.999</v>
      </c>
      <c r="J154" s="16" t="n">
        <v>0.99</v>
      </c>
      <c r="K154" s="16" t="n">
        <v>0.995</v>
      </c>
      <c r="L154" s="16" t="n">
        <v>0.999</v>
      </c>
      <c r="M154" s="16" t="n">
        <v>0.99</v>
      </c>
      <c r="N154" s="16" t="n">
        <v>0.96</v>
      </c>
      <c r="O154" s="16" t="n">
        <v>0.96</v>
      </c>
      <c r="P154" s="16" t="n">
        <v>0.98</v>
      </c>
      <c r="Q154" s="16" t="n">
        <v>0.992</v>
      </c>
      <c r="R154" s="0" t="n">
        <v>0.99</v>
      </c>
      <c r="S154" s="0" t="n">
        <v>0.9945</v>
      </c>
    </row>
    <row r="155" customFormat="false" ht="12.75" hidden="false" customHeight="false" outlineLevel="0" collapsed="false">
      <c r="A155" s="326" t="n">
        <v>41640</v>
      </c>
      <c r="B155" s="16" t="n">
        <v>0.9306</v>
      </c>
      <c r="C155" s="16" t="n">
        <v>0.99</v>
      </c>
      <c r="D155" s="16" t="n">
        <v>0.96</v>
      </c>
      <c r="E155" s="16" t="n">
        <v>0.9306</v>
      </c>
      <c r="F155" s="16" t="n">
        <v>0.999</v>
      </c>
      <c r="G155" s="16" t="n">
        <v>0.98</v>
      </c>
      <c r="H155" s="16" t="n">
        <v>0.995</v>
      </c>
      <c r="I155" s="16" t="n">
        <v>0.999</v>
      </c>
      <c r="J155" s="16" t="n">
        <v>0.99</v>
      </c>
      <c r="K155" s="16" t="n">
        <v>0.995</v>
      </c>
      <c r="L155" s="16" t="n">
        <v>0.999</v>
      </c>
      <c r="M155" s="16" t="n">
        <v>0.99</v>
      </c>
      <c r="N155" s="16" t="n">
        <v>0.96</v>
      </c>
      <c r="O155" s="16" t="n">
        <v>0.96</v>
      </c>
      <c r="P155" s="16" t="n">
        <v>0.98</v>
      </c>
      <c r="Q155" s="16" t="n">
        <v>0.992</v>
      </c>
      <c r="R155" s="0" t="n">
        <v>0.99</v>
      </c>
      <c r="S155" s="0" t="n">
        <v>0.9945</v>
      </c>
    </row>
    <row r="156" customFormat="false" ht="12.75" hidden="false" customHeight="false" outlineLevel="0" collapsed="false">
      <c r="A156" s="326" t="n">
        <v>41671</v>
      </c>
      <c r="B156" s="16" t="n">
        <v>0.9306</v>
      </c>
      <c r="C156" s="16" t="n">
        <v>0.99</v>
      </c>
      <c r="D156" s="16" t="n">
        <v>0.96</v>
      </c>
      <c r="E156" s="16" t="n">
        <v>0.9306</v>
      </c>
      <c r="F156" s="16" t="n">
        <v>0.999</v>
      </c>
      <c r="G156" s="16" t="n">
        <v>0.98</v>
      </c>
      <c r="H156" s="16" t="n">
        <v>0.995</v>
      </c>
      <c r="I156" s="16" t="n">
        <v>0.999</v>
      </c>
      <c r="J156" s="16" t="n">
        <v>0.99</v>
      </c>
      <c r="K156" s="16" t="n">
        <v>0.995</v>
      </c>
      <c r="L156" s="16" t="n">
        <v>0.999</v>
      </c>
      <c r="M156" s="16" t="n">
        <v>0.99</v>
      </c>
      <c r="N156" s="16" t="n">
        <v>0.96</v>
      </c>
      <c r="O156" s="16" t="n">
        <v>0.96</v>
      </c>
      <c r="P156" s="16" t="n">
        <v>0.98</v>
      </c>
      <c r="Q156" s="16" t="n">
        <v>0.992</v>
      </c>
      <c r="R156" s="0" t="n">
        <v>0.99</v>
      </c>
      <c r="S156" s="0" t="n">
        <v>0.9945</v>
      </c>
    </row>
    <row r="157" customFormat="false" ht="12.75" hidden="false" customHeight="false" outlineLevel="0" collapsed="false">
      <c r="A157" s="326" t="n">
        <v>41699</v>
      </c>
      <c r="B157" s="16" t="n">
        <v>0.9306</v>
      </c>
      <c r="C157" s="16" t="n">
        <v>0.99</v>
      </c>
      <c r="D157" s="16" t="n">
        <v>0.96</v>
      </c>
      <c r="E157" s="16" t="n">
        <v>0.9306</v>
      </c>
      <c r="F157" s="16" t="n">
        <v>0.999</v>
      </c>
      <c r="G157" s="16" t="n">
        <v>0.98</v>
      </c>
      <c r="H157" s="16" t="n">
        <v>0.995</v>
      </c>
      <c r="I157" s="16" t="n">
        <v>0.999</v>
      </c>
      <c r="J157" s="16" t="n">
        <v>0.99</v>
      </c>
      <c r="K157" s="16" t="n">
        <v>0.995</v>
      </c>
      <c r="L157" s="16" t="n">
        <v>0.999</v>
      </c>
      <c r="M157" s="16" t="n">
        <v>0.99</v>
      </c>
      <c r="N157" s="16" t="n">
        <v>0.96</v>
      </c>
      <c r="O157" s="16" t="n">
        <v>0.96</v>
      </c>
      <c r="P157" s="16" t="n">
        <v>0.98</v>
      </c>
      <c r="Q157" s="16" t="n">
        <v>0.992</v>
      </c>
      <c r="R157" s="0" t="n">
        <v>0.99</v>
      </c>
      <c r="S157" s="0" t="n">
        <v>0.9945</v>
      </c>
    </row>
    <row r="158" customFormat="false" ht="12.75" hidden="false" customHeight="false" outlineLevel="0" collapsed="false">
      <c r="A158" s="326" t="n">
        <v>41730</v>
      </c>
      <c r="B158" s="16" t="n">
        <v>0.9306</v>
      </c>
      <c r="C158" s="16" t="n">
        <v>0.99</v>
      </c>
      <c r="D158" s="16" t="n">
        <v>0.96</v>
      </c>
      <c r="E158" s="16" t="n">
        <v>0.9306</v>
      </c>
      <c r="F158" s="16" t="n">
        <v>0.999</v>
      </c>
      <c r="G158" s="16" t="n">
        <v>0.98</v>
      </c>
      <c r="H158" s="16" t="n">
        <v>0.995</v>
      </c>
      <c r="I158" s="16" t="n">
        <v>0.999</v>
      </c>
      <c r="J158" s="16" t="n">
        <v>0.99</v>
      </c>
      <c r="K158" s="16" t="n">
        <v>0.995</v>
      </c>
      <c r="L158" s="16" t="n">
        <v>0.999</v>
      </c>
      <c r="M158" s="16" t="n">
        <v>0.99</v>
      </c>
      <c r="N158" s="16" t="n">
        <v>0.96</v>
      </c>
      <c r="O158" s="16" t="n">
        <v>0.96</v>
      </c>
      <c r="P158" s="16" t="n">
        <v>0.98</v>
      </c>
      <c r="Q158" s="16" t="n">
        <v>0.992</v>
      </c>
      <c r="R158" s="0" t="n">
        <v>0.99</v>
      </c>
      <c r="S158" s="0" t="n">
        <v>0.9945</v>
      </c>
    </row>
    <row r="159" customFormat="false" ht="12.75" hidden="false" customHeight="false" outlineLevel="0" collapsed="false">
      <c r="A159" s="326" t="n">
        <v>41760</v>
      </c>
      <c r="B159" s="16" t="n">
        <v>0.9306</v>
      </c>
      <c r="C159" s="16" t="n">
        <v>0.99</v>
      </c>
      <c r="D159" s="16" t="n">
        <v>0.96</v>
      </c>
      <c r="E159" s="16" t="n">
        <v>0.9306</v>
      </c>
      <c r="F159" s="16" t="n">
        <v>0.999</v>
      </c>
      <c r="G159" s="16" t="n">
        <v>0.98</v>
      </c>
      <c r="H159" s="16" t="n">
        <v>0.995</v>
      </c>
      <c r="I159" s="16" t="n">
        <v>0.999</v>
      </c>
      <c r="J159" s="16" t="n">
        <v>0.99</v>
      </c>
      <c r="K159" s="16" t="n">
        <v>0.995</v>
      </c>
      <c r="L159" s="16" t="n">
        <v>0.999</v>
      </c>
      <c r="M159" s="16" t="n">
        <v>0.99</v>
      </c>
      <c r="N159" s="16" t="n">
        <v>0.96</v>
      </c>
      <c r="O159" s="16" t="n">
        <v>0.96</v>
      </c>
      <c r="P159" s="16" t="n">
        <v>0.98</v>
      </c>
      <c r="Q159" s="16" t="n">
        <v>0.992</v>
      </c>
      <c r="R159" s="0" t="n">
        <v>0.99</v>
      </c>
      <c r="S159" s="0" t="n">
        <v>0.9945</v>
      </c>
    </row>
    <row r="160" customFormat="false" ht="12.75" hidden="false" customHeight="false" outlineLevel="0" collapsed="false">
      <c r="A160" s="326" t="n">
        <v>41791</v>
      </c>
      <c r="B160" s="16" t="n">
        <v>0.9306</v>
      </c>
      <c r="C160" s="16" t="n">
        <v>0.99</v>
      </c>
      <c r="D160" s="16" t="n">
        <v>0.96</v>
      </c>
      <c r="E160" s="16" t="n">
        <v>0.9306</v>
      </c>
      <c r="F160" s="16" t="n">
        <v>0.999</v>
      </c>
      <c r="G160" s="16" t="n">
        <v>0.98</v>
      </c>
      <c r="H160" s="16" t="n">
        <v>0.995</v>
      </c>
      <c r="I160" s="16" t="n">
        <v>0.999</v>
      </c>
      <c r="J160" s="16" t="n">
        <v>0.99</v>
      </c>
      <c r="K160" s="16" t="n">
        <v>0.995</v>
      </c>
      <c r="L160" s="16" t="n">
        <v>0.999</v>
      </c>
      <c r="M160" s="16" t="n">
        <v>0.99</v>
      </c>
      <c r="N160" s="16" t="n">
        <v>0.96</v>
      </c>
      <c r="O160" s="16" t="n">
        <v>0.96</v>
      </c>
      <c r="P160" s="16" t="n">
        <v>0.98</v>
      </c>
      <c r="Q160" s="16" t="n">
        <v>0.992</v>
      </c>
      <c r="R160" s="0" t="n">
        <v>0.99</v>
      </c>
      <c r="S160" s="0" t="n">
        <v>0.9945</v>
      </c>
    </row>
    <row r="161" customFormat="false" ht="12.75" hidden="false" customHeight="false" outlineLevel="0" collapsed="false">
      <c r="A161" s="326" t="n">
        <v>41821</v>
      </c>
      <c r="B161" s="16" t="n">
        <v>0.9306</v>
      </c>
      <c r="C161" s="16" t="n">
        <v>0.99</v>
      </c>
      <c r="D161" s="16" t="n">
        <v>0.96</v>
      </c>
      <c r="E161" s="16" t="n">
        <v>0.9306</v>
      </c>
      <c r="F161" s="16" t="n">
        <v>0.999</v>
      </c>
      <c r="G161" s="16" t="n">
        <v>0.98</v>
      </c>
      <c r="H161" s="16" t="n">
        <v>0.995</v>
      </c>
      <c r="I161" s="16" t="n">
        <v>0.999</v>
      </c>
      <c r="J161" s="16" t="n">
        <v>0.99</v>
      </c>
      <c r="K161" s="16" t="n">
        <v>0.995</v>
      </c>
      <c r="L161" s="16" t="n">
        <v>0.999</v>
      </c>
      <c r="M161" s="16" t="n">
        <v>0.99</v>
      </c>
      <c r="N161" s="16" t="n">
        <v>0.96</v>
      </c>
      <c r="O161" s="16" t="n">
        <v>0.96</v>
      </c>
      <c r="P161" s="16" t="n">
        <v>0.98</v>
      </c>
      <c r="Q161" s="16" t="n">
        <v>0.992</v>
      </c>
      <c r="R161" s="0" t="n">
        <v>0.99</v>
      </c>
      <c r="S161" s="0" t="n">
        <v>0.9945</v>
      </c>
    </row>
    <row r="162" customFormat="false" ht="12.75" hidden="false" customHeight="false" outlineLevel="0" collapsed="false">
      <c r="A162" s="326" t="n">
        <v>41852</v>
      </c>
      <c r="B162" s="16" t="n">
        <v>0.9306</v>
      </c>
      <c r="C162" s="16" t="n">
        <v>0.99</v>
      </c>
      <c r="D162" s="16" t="n">
        <v>0.96</v>
      </c>
      <c r="E162" s="16" t="n">
        <v>0.9306</v>
      </c>
      <c r="F162" s="16" t="n">
        <v>0.999</v>
      </c>
      <c r="G162" s="16" t="n">
        <v>0.98</v>
      </c>
      <c r="H162" s="16" t="n">
        <v>0.995</v>
      </c>
      <c r="I162" s="16" t="n">
        <v>0.999</v>
      </c>
      <c r="J162" s="16" t="n">
        <v>0.99</v>
      </c>
      <c r="K162" s="16" t="n">
        <v>0.995</v>
      </c>
      <c r="L162" s="16" t="n">
        <v>0.999</v>
      </c>
      <c r="M162" s="16" t="n">
        <v>0.99</v>
      </c>
      <c r="N162" s="16" t="n">
        <v>0.96</v>
      </c>
      <c r="O162" s="16" t="n">
        <v>0.96</v>
      </c>
      <c r="P162" s="16" t="n">
        <v>0.98</v>
      </c>
      <c r="Q162" s="16" t="n">
        <v>0.992</v>
      </c>
      <c r="R162" s="0" t="n">
        <v>0.99</v>
      </c>
      <c r="S162" s="0" t="n">
        <v>0.9945</v>
      </c>
    </row>
    <row r="163" customFormat="false" ht="12.75" hidden="false" customHeight="false" outlineLevel="0" collapsed="false">
      <c r="A163" s="326" t="n">
        <v>41883</v>
      </c>
      <c r="B163" s="16" t="n">
        <v>0.9306</v>
      </c>
      <c r="C163" s="16" t="n">
        <v>0.99</v>
      </c>
      <c r="D163" s="16" t="n">
        <v>0.96</v>
      </c>
      <c r="E163" s="16" t="n">
        <v>0.9306</v>
      </c>
      <c r="F163" s="16" t="n">
        <v>0.999</v>
      </c>
      <c r="G163" s="16" t="n">
        <v>0.98</v>
      </c>
      <c r="H163" s="16" t="n">
        <v>0.995</v>
      </c>
      <c r="I163" s="16" t="n">
        <v>0.999</v>
      </c>
      <c r="J163" s="16" t="n">
        <v>0.99</v>
      </c>
      <c r="K163" s="16" t="n">
        <v>0.995</v>
      </c>
      <c r="L163" s="16" t="n">
        <v>0.999</v>
      </c>
      <c r="M163" s="16" t="n">
        <v>0.99</v>
      </c>
      <c r="N163" s="16" t="n">
        <v>0.96</v>
      </c>
      <c r="O163" s="16" t="n">
        <v>0.96</v>
      </c>
      <c r="P163" s="16" t="n">
        <v>0.98</v>
      </c>
      <c r="Q163" s="16" t="n">
        <v>0.992</v>
      </c>
      <c r="R163" s="0" t="n">
        <v>0.99</v>
      </c>
      <c r="S163" s="0" t="n">
        <v>0.9945</v>
      </c>
    </row>
    <row r="164" customFormat="false" ht="12.75" hidden="false" customHeight="false" outlineLevel="0" collapsed="false">
      <c r="A164" s="326" t="n">
        <v>41913</v>
      </c>
      <c r="B164" s="16" t="n">
        <v>0.9306</v>
      </c>
      <c r="C164" s="16" t="n">
        <v>0.99</v>
      </c>
      <c r="D164" s="16" t="n">
        <v>0.96</v>
      </c>
      <c r="E164" s="16" t="n">
        <v>0.9306</v>
      </c>
      <c r="F164" s="16" t="n">
        <v>0.999</v>
      </c>
      <c r="G164" s="16" t="n">
        <v>0.98</v>
      </c>
      <c r="H164" s="16" t="n">
        <v>0.995</v>
      </c>
      <c r="I164" s="16" t="n">
        <v>0.999</v>
      </c>
      <c r="J164" s="16" t="n">
        <v>0.99</v>
      </c>
      <c r="K164" s="16" t="n">
        <v>0.995</v>
      </c>
      <c r="L164" s="16" t="n">
        <v>0.999</v>
      </c>
      <c r="M164" s="16" t="n">
        <v>0.99</v>
      </c>
      <c r="N164" s="16" t="n">
        <v>0.96</v>
      </c>
      <c r="O164" s="16" t="n">
        <v>0.96</v>
      </c>
      <c r="P164" s="16" t="n">
        <v>0.98</v>
      </c>
      <c r="Q164" s="16" t="n">
        <v>0.992</v>
      </c>
      <c r="R164" s="0" t="n">
        <v>0.99</v>
      </c>
      <c r="S164" s="0" t="n">
        <v>0.9945</v>
      </c>
    </row>
    <row r="165" customFormat="false" ht="12.75" hidden="false" customHeight="false" outlineLevel="0" collapsed="false">
      <c r="A165" s="326" t="n">
        <v>41944</v>
      </c>
      <c r="B165" s="16" t="n">
        <v>0.9306</v>
      </c>
      <c r="C165" s="16" t="n">
        <v>0.99</v>
      </c>
      <c r="D165" s="16" t="n">
        <v>0.96</v>
      </c>
      <c r="E165" s="16" t="n">
        <v>0.9306</v>
      </c>
      <c r="F165" s="16" t="n">
        <v>0.999</v>
      </c>
      <c r="G165" s="16" t="n">
        <v>0.98</v>
      </c>
      <c r="H165" s="16" t="n">
        <v>0.995</v>
      </c>
      <c r="I165" s="16" t="n">
        <v>0.999</v>
      </c>
      <c r="J165" s="16" t="n">
        <v>0.99</v>
      </c>
      <c r="K165" s="16" t="n">
        <v>0.995</v>
      </c>
      <c r="L165" s="16" t="n">
        <v>0.999</v>
      </c>
      <c r="M165" s="16" t="n">
        <v>0.99</v>
      </c>
      <c r="N165" s="16" t="n">
        <v>0.96</v>
      </c>
      <c r="O165" s="16" t="n">
        <v>0.96</v>
      </c>
      <c r="P165" s="16" t="n">
        <v>0.98</v>
      </c>
      <c r="Q165" s="16" t="n">
        <v>0.992</v>
      </c>
      <c r="R165" s="0" t="n">
        <v>0.99</v>
      </c>
      <c r="S165" s="0" t="n">
        <v>0.9945</v>
      </c>
    </row>
    <row r="166" customFormat="false" ht="12.75" hidden="false" customHeight="false" outlineLevel="0" collapsed="false">
      <c r="A166" s="326" t="n">
        <v>41974</v>
      </c>
      <c r="B166" s="16" t="n">
        <v>0.9306</v>
      </c>
      <c r="C166" s="16" t="n">
        <v>0.99</v>
      </c>
      <c r="D166" s="16" t="n">
        <v>0.96</v>
      </c>
      <c r="E166" s="16" t="n">
        <v>0.9306</v>
      </c>
      <c r="F166" s="16" t="n">
        <v>0.999</v>
      </c>
      <c r="G166" s="16" t="n">
        <v>0.98</v>
      </c>
      <c r="H166" s="16" t="n">
        <v>0.995</v>
      </c>
      <c r="I166" s="16" t="n">
        <v>0.999</v>
      </c>
      <c r="J166" s="16" t="n">
        <v>0.99</v>
      </c>
      <c r="K166" s="16" t="n">
        <v>0.995</v>
      </c>
      <c r="L166" s="16" t="n">
        <v>0.999</v>
      </c>
      <c r="M166" s="16" t="n">
        <v>0.99</v>
      </c>
      <c r="N166" s="16" t="n">
        <v>0.96</v>
      </c>
      <c r="O166" s="16" t="n">
        <v>0.96</v>
      </c>
      <c r="P166" s="16" t="n">
        <v>0.98</v>
      </c>
      <c r="Q166" s="16" t="n">
        <v>0.992</v>
      </c>
      <c r="R166" s="0" t="n">
        <v>0.99</v>
      </c>
      <c r="S166" s="0" t="n">
        <v>0.9945</v>
      </c>
    </row>
    <row r="167" customFormat="false" ht="12.75" hidden="false" customHeight="false" outlineLevel="0" collapsed="false">
      <c r="A167" s="326" t="n">
        <v>42005</v>
      </c>
      <c r="B167" s="16" t="n">
        <v>0.9306</v>
      </c>
      <c r="C167" s="16" t="n">
        <v>0.99</v>
      </c>
      <c r="D167" s="16" t="n">
        <v>0.96</v>
      </c>
      <c r="E167" s="16" t="n">
        <v>0.9306</v>
      </c>
      <c r="F167" s="16" t="n">
        <v>0.999</v>
      </c>
      <c r="G167" s="16" t="n">
        <v>0.98</v>
      </c>
      <c r="H167" s="16" t="n">
        <v>0.995</v>
      </c>
      <c r="I167" s="16" t="n">
        <v>0.999</v>
      </c>
      <c r="J167" s="16" t="n">
        <v>0.99</v>
      </c>
      <c r="K167" s="16" t="n">
        <v>0.995</v>
      </c>
      <c r="L167" s="16" t="n">
        <v>0.999</v>
      </c>
      <c r="M167" s="16" t="n">
        <v>0.99</v>
      </c>
      <c r="N167" s="16" t="n">
        <v>0.96</v>
      </c>
      <c r="O167" s="16" t="n">
        <v>0.96</v>
      </c>
      <c r="P167" s="16" t="n">
        <v>0.98</v>
      </c>
      <c r="Q167" s="16" t="n">
        <v>0.992</v>
      </c>
      <c r="R167" s="0" t="n">
        <v>0.99</v>
      </c>
      <c r="S167" s="0" t="n">
        <v>0.9945</v>
      </c>
    </row>
    <row r="168" customFormat="false" ht="12.75" hidden="false" customHeight="false" outlineLevel="0" collapsed="false">
      <c r="A168" s="326" t="n">
        <v>42036</v>
      </c>
      <c r="B168" s="16" t="n">
        <v>0.9306</v>
      </c>
      <c r="C168" s="16" t="n">
        <v>0.99</v>
      </c>
      <c r="D168" s="16" t="n">
        <v>0.96</v>
      </c>
      <c r="E168" s="16" t="n">
        <v>0.9306</v>
      </c>
      <c r="F168" s="16" t="n">
        <v>0.999</v>
      </c>
      <c r="G168" s="16" t="n">
        <v>0.98</v>
      </c>
      <c r="H168" s="16" t="n">
        <v>0.995</v>
      </c>
      <c r="I168" s="16" t="n">
        <v>0.999</v>
      </c>
      <c r="J168" s="16" t="n">
        <v>0.99</v>
      </c>
      <c r="K168" s="16" t="n">
        <v>0.995</v>
      </c>
      <c r="L168" s="16" t="n">
        <v>0.999</v>
      </c>
      <c r="M168" s="16" t="n">
        <v>0.99</v>
      </c>
      <c r="N168" s="16" t="n">
        <v>0.96</v>
      </c>
      <c r="O168" s="16" t="n">
        <v>0.96</v>
      </c>
      <c r="P168" s="16" t="n">
        <v>0.98</v>
      </c>
      <c r="Q168" s="16" t="n">
        <v>0.992</v>
      </c>
      <c r="R168" s="0" t="n">
        <v>0.99</v>
      </c>
      <c r="S168" s="0" t="n">
        <v>0.9945</v>
      </c>
    </row>
    <row r="169" customFormat="false" ht="12.75" hidden="false" customHeight="false" outlineLevel="0" collapsed="false">
      <c r="A169" s="326" t="n">
        <v>42064</v>
      </c>
      <c r="B169" s="16" t="n">
        <v>0.9306</v>
      </c>
      <c r="C169" s="16" t="n">
        <v>0.99</v>
      </c>
      <c r="D169" s="16" t="n">
        <v>0.96</v>
      </c>
      <c r="E169" s="16" t="n">
        <v>0.9306</v>
      </c>
      <c r="F169" s="16" t="n">
        <v>0.999</v>
      </c>
      <c r="G169" s="16" t="n">
        <v>0.98</v>
      </c>
      <c r="H169" s="16" t="n">
        <v>0.995</v>
      </c>
      <c r="I169" s="16" t="n">
        <v>0.999</v>
      </c>
      <c r="J169" s="16" t="n">
        <v>0.99</v>
      </c>
      <c r="K169" s="16" t="n">
        <v>0.995</v>
      </c>
      <c r="L169" s="16" t="n">
        <v>0.999</v>
      </c>
      <c r="M169" s="16" t="n">
        <v>0.99</v>
      </c>
      <c r="N169" s="16" t="n">
        <v>0.96</v>
      </c>
      <c r="O169" s="16" t="n">
        <v>0.96</v>
      </c>
      <c r="P169" s="16" t="n">
        <v>0.98</v>
      </c>
      <c r="Q169" s="16" t="n">
        <v>0.992</v>
      </c>
      <c r="R169" s="0" t="n">
        <v>0.99</v>
      </c>
      <c r="S169" s="0" t="n">
        <v>0.9945</v>
      </c>
    </row>
    <row r="170" customFormat="false" ht="12.75" hidden="false" customHeight="false" outlineLevel="0" collapsed="false">
      <c r="A170" s="326" t="n">
        <v>42095</v>
      </c>
      <c r="B170" s="16" t="n">
        <v>0.9306</v>
      </c>
      <c r="C170" s="16" t="n">
        <v>0.99</v>
      </c>
      <c r="D170" s="16" t="n">
        <v>0.96</v>
      </c>
      <c r="E170" s="16" t="n">
        <v>0.9306</v>
      </c>
      <c r="F170" s="16" t="n">
        <v>0.999</v>
      </c>
      <c r="G170" s="16" t="n">
        <v>0.98</v>
      </c>
      <c r="H170" s="16" t="n">
        <v>0.995</v>
      </c>
      <c r="I170" s="16" t="n">
        <v>0.999</v>
      </c>
      <c r="J170" s="16" t="n">
        <v>0.99</v>
      </c>
      <c r="K170" s="16" t="n">
        <v>0.995</v>
      </c>
      <c r="L170" s="16" t="n">
        <v>0.999</v>
      </c>
      <c r="M170" s="16" t="n">
        <v>0.99</v>
      </c>
      <c r="N170" s="16" t="n">
        <v>0.96</v>
      </c>
      <c r="O170" s="16" t="n">
        <v>0.96</v>
      </c>
      <c r="P170" s="16" t="n">
        <v>0.98</v>
      </c>
      <c r="Q170" s="16" t="n">
        <v>0.992</v>
      </c>
      <c r="R170" s="0" t="n">
        <v>0.99</v>
      </c>
      <c r="S170" s="0" t="n">
        <v>0.9945</v>
      </c>
    </row>
    <row r="171" customFormat="false" ht="12.75" hidden="false" customHeight="false" outlineLevel="0" collapsed="false">
      <c r="A171" s="326" t="n">
        <v>42125</v>
      </c>
      <c r="B171" s="16" t="n">
        <v>0.9306</v>
      </c>
      <c r="C171" s="16" t="n">
        <v>0.99</v>
      </c>
      <c r="D171" s="16" t="n">
        <v>0.96</v>
      </c>
      <c r="E171" s="16" t="n">
        <v>0.9306</v>
      </c>
      <c r="F171" s="16" t="n">
        <v>0.999</v>
      </c>
      <c r="G171" s="16" t="n">
        <v>0.98</v>
      </c>
      <c r="H171" s="16" t="n">
        <v>0.995</v>
      </c>
      <c r="I171" s="16" t="n">
        <v>0.999</v>
      </c>
      <c r="J171" s="16" t="n">
        <v>0.99</v>
      </c>
      <c r="K171" s="16" t="n">
        <v>0.995</v>
      </c>
      <c r="L171" s="16" t="n">
        <v>0.999</v>
      </c>
      <c r="M171" s="16" t="n">
        <v>0.99</v>
      </c>
      <c r="N171" s="16" t="n">
        <v>0.96</v>
      </c>
      <c r="O171" s="16" t="n">
        <v>0.96</v>
      </c>
      <c r="P171" s="16" t="n">
        <v>0.98</v>
      </c>
      <c r="Q171" s="16" t="n">
        <v>0.992</v>
      </c>
      <c r="R171" s="0" t="n">
        <v>0.99</v>
      </c>
      <c r="S171" s="0" t="n">
        <v>0.9945</v>
      </c>
    </row>
    <row r="172" customFormat="false" ht="12.75" hidden="false" customHeight="false" outlineLevel="0" collapsed="false">
      <c r="A172" s="326" t="n">
        <v>42156</v>
      </c>
      <c r="B172" s="16" t="n">
        <v>0.9306</v>
      </c>
      <c r="C172" s="16" t="n">
        <v>0.99</v>
      </c>
      <c r="D172" s="16" t="n">
        <v>0.96</v>
      </c>
      <c r="E172" s="16" t="n">
        <v>0.9306</v>
      </c>
      <c r="F172" s="16" t="n">
        <v>0.999</v>
      </c>
      <c r="G172" s="16" t="n">
        <v>0.98</v>
      </c>
      <c r="H172" s="16" t="n">
        <v>0.995</v>
      </c>
      <c r="I172" s="16" t="n">
        <v>0.999</v>
      </c>
      <c r="J172" s="16" t="n">
        <v>0.99</v>
      </c>
      <c r="K172" s="16" t="n">
        <v>0.995</v>
      </c>
      <c r="L172" s="16" t="n">
        <v>0.999</v>
      </c>
      <c r="M172" s="16" t="n">
        <v>0.99</v>
      </c>
      <c r="N172" s="16" t="n">
        <v>0.96</v>
      </c>
      <c r="O172" s="16" t="n">
        <v>0.96</v>
      </c>
      <c r="P172" s="16" t="n">
        <v>0.98</v>
      </c>
      <c r="Q172" s="16" t="n">
        <v>0.992</v>
      </c>
      <c r="R172" s="0" t="n">
        <v>0.99</v>
      </c>
      <c r="S172" s="0" t="n">
        <v>0.9945</v>
      </c>
    </row>
    <row r="173" customFormat="false" ht="12.75" hidden="false" customHeight="false" outlineLevel="0" collapsed="false">
      <c r="A173" s="326" t="n">
        <v>42186</v>
      </c>
      <c r="B173" s="16" t="n">
        <v>0.9306</v>
      </c>
      <c r="C173" s="16" t="n">
        <v>0.99</v>
      </c>
      <c r="D173" s="16" t="n">
        <v>0.96</v>
      </c>
      <c r="E173" s="16" t="n">
        <v>0.9306</v>
      </c>
      <c r="F173" s="16" t="n">
        <v>0.999</v>
      </c>
      <c r="G173" s="16" t="n">
        <v>0.98</v>
      </c>
      <c r="H173" s="16" t="n">
        <v>0.995</v>
      </c>
      <c r="I173" s="16" t="n">
        <v>0.999</v>
      </c>
      <c r="J173" s="16" t="n">
        <v>0.99</v>
      </c>
      <c r="K173" s="16" t="n">
        <v>0.995</v>
      </c>
      <c r="L173" s="16" t="n">
        <v>0.999</v>
      </c>
      <c r="M173" s="16" t="n">
        <v>0.99</v>
      </c>
      <c r="N173" s="16" t="n">
        <v>0.96</v>
      </c>
      <c r="O173" s="16" t="n">
        <v>0.96</v>
      </c>
      <c r="P173" s="16" t="n">
        <v>0.98</v>
      </c>
      <c r="Q173" s="16" t="n">
        <v>0.992</v>
      </c>
      <c r="R173" s="0" t="n">
        <v>0.99</v>
      </c>
      <c r="S173" s="0" t="n">
        <v>0.9945</v>
      </c>
    </row>
    <row r="174" customFormat="false" ht="12.75" hidden="false" customHeight="false" outlineLevel="0" collapsed="false">
      <c r="A174" s="326" t="n">
        <v>42217</v>
      </c>
      <c r="B174" s="16" t="n">
        <v>0.9306</v>
      </c>
      <c r="C174" s="16" t="n">
        <v>0.99</v>
      </c>
      <c r="D174" s="16" t="n">
        <v>0.96</v>
      </c>
      <c r="E174" s="16" t="n">
        <v>0.9306</v>
      </c>
      <c r="F174" s="16" t="n">
        <v>0.999</v>
      </c>
      <c r="G174" s="16" t="n">
        <v>0.98</v>
      </c>
      <c r="H174" s="16" t="n">
        <v>0.995</v>
      </c>
      <c r="I174" s="16" t="n">
        <v>0.999</v>
      </c>
      <c r="J174" s="16" t="n">
        <v>0.99</v>
      </c>
      <c r="K174" s="16" t="n">
        <v>0.995</v>
      </c>
      <c r="L174" s="16" t="n">
        <v>0.999</v>
      </c>
      <c r="M174" s="16" t="n">
        <v>0.99</v>
      </c>
      <c r="N174" s="16" t="n">
        <v>0.96</v>
      </c>
      <c r="O174" s="16" t="n">
        <v>0.96</v>
      </c>
      <c r="P174" s="16" t="n">
        <v>0.98</v>
      </c>
      <c r="Q174" s="16" t="n">
        <v>0.992</v>
      </c>
      <c r="R174" s="0" t="n">
        <v>0.99</v>
      </c>
      <c r="S174" s="0" t="n">
        <v>0.9945</v>
      </c>
    </row>
    <row r="175" customFormat="false" ht="12.75" hidden="false" customHeight="false" outlineLevel="0" collapsed="false">
      <c r="A175" s="326" t="n">
        <v>42248</v>
      </c>
      <c r="B175" s="16" t="n">
        <v>0.9306</v>
      </c>
      <c r="C175" s="16" t="n">
        <v>0.99</v>
      </c>
      <c r="D175" s="16" t="n">
        <v>0.96</v>
      </c>
      <c r="E175" s="16" t="n">
        <v>0.9306</v>
      </c>
      <c r="F175" s="16" t="n">
        <v>0.999</v>
      </c>
      <c r="G175" s="16" t="n">
        <v>0.98</v>
      </c>
      <c r="H175" s="16" t="n">
        <v>0.995</v>
      </c>
      <c r="I175" s="16" t="n">
        <v>0.999</v>
      </c>
      <c r="J175" s="16" t="n">
        <v>0.99</v>
      </c>
      <c r="K175" s="16" t="n">
        <v>0.995</v>
      </c>
      <c r="L175" s="16" t="n">
        <v>0.999</v>
      </c>
      <c r="M175" s="16" t="n">
        <v>0.99</v>
      </c>
      <c r="N175" s="16" t="n">
        <v>0.96</v>
      </c>
      <c r="O175" s="16" t="n">
        <v>0.96</v>
      </c>
      <c r="P175" s="16" t="n">
        <v>0.98</v>
      </c>
      <c r="Q175" s="16" t="n">
        <v>0.992</v>
      </c>
      <c r="R175" s="0" t="n">
        <v>0.99</v>
      </c>
      <c r="S175" s="0" t="n">
        <v>0.9945</v>
      </c>
    </row>
    <row r="176" customFormat="false" ht="12.75" hidden="false" customHeight="false" outlineLevel="0" collapsed="false">
      <c r="A176" s="326" t="n">
        <v>42278</v>
      </c>
      <c r="B176" s="16" t="n">
        <v>0.9306</v>
      </c>
      <c r="C176" s="16" t="n">
        <v>0.99</v>
      </c>
      <c r="D176" s="16" t="n">
        <v>0.96</v>
      </c>
      <c r="E176" s="16" t="n">
        <v>0.9306</v>
      </c>
      <c r="F176" s="16" t="n">
        <v>0.999</v>
      </c>
      <c r="G176" s="16" t="n">
        <v>0.98</v>
      </c>
      <c r="H176" s="16" t="n">
        <v>0.995</v>
      </c>
      <c r="I176" s="16" t="n">
        <v>0.999</v>
      </c>
      <c r="J176" s="16" t="n">
        <v>0.99</v>
      </c>
      <c r="K176" s="16" t="n">
        <v>0.995</v>
      </c>
      <c r="L176" s="16" t="n">
        <v>0.999</v>
      </c>
      <c r="M176" s="16" t="n">
        <v>0.99</v>
      </c>
      <c r="N176" s="16" t="n">
        <v>0.96</v>
      </c>
      <c r="O176" s="16" t="n">
        <v>0.96</v>
      </c>
      <c r="P176" s="16" t="n">
        <v>0.98</v>
      </c>
      <c r="Q176" s="16" t="n">
        <v>0.992</v>
      </c>
      <c r="R176" s="0" t="n">
        <v>0.99</v>
      </c>
      <c r="S176" s="0" t="n">
        <v>0.9945</v>
      </c>
    </row>
    <row r="177" customFormat="false" ht="12.75" hidden="false" customHeight="false" outlineLevel="0" collapsed="false">
      <c r="A177" s="326" t="n">
        <v>42309</v>
      </c>
      <c r="B177" s="16" t="n">
        <v>0.9306</v>
      </c>
      <c r="C177" s="16" t="n">
        <v>0.99</v>
      </c>
      <c r="D177" s="16" t="n">
        <v>0.96</v>
      </c>
      <c r="E177" s="16" t="n">
        <v>0.9306</v>
      </c>
      <c r="F177" s="16" t="n">
        <v>0.999</v>
      </c>
      <c r="G177" s="16" t="n">
        <v>0.98</v>
      </c>
      <c r="H177" s="16" t="n">
        <v>0.995</v>
      </c>
      <c r="I177" s="16" t="n">
        <v>0.999</v>
      </c>
      <c r="J177" s="16" t="n">
        <v>0.99</v>
      </c>
      <c r="K177" s="16" t="n">
        <v>0.995</v>
      </c>
      <c r="L177" s="16" t="n">
        <v>0.999</v>
      </c>
      <c r="M177" s="16" t="n">
        <v>0.99</v>
      </c>
      <c r="N177" s="16" t="n">
        <v>0.96</v>
      </c>
      <c r="O177" s="16" t="n">
        <v>0.96</v>
      </c>
      <c r="P177" s="16" t="n">
        <v>0.98</v>
      </c>
      <c r="Q177" s="16" t="n">
        <v>0.992</v>
      </c>
      <c r="R177" s="0" t="n">
        <v>0.99</v>
      </c>
      <c r="S177" s="0" t="n">
        <v>0.9945</v>
      </c>
    </row>
    <row r="178" customFormat="false" ht="12.75" hidden="false" customHeight="false" outlineLevel="0" collapsed="false">
      <c r="A178" s="326" t="n">
        <v>42339</v>
      </c>
      <c r="B178" s="16" t="n">
        <v>0.9306</v>
      </c>
      <c r="C178" s="16" t="n">
        <v>0.99</v>
      </c>
      <c r="D178" s="16" t="n">
        <v>0.96</v>
      </c>
      <c r="E178" s="16" t="n">
        <v>0.9306</v>
      </c>
      <c r="F178" s="16" t="n">
        <v>0.999</v>
      </c>
      <c r="G178" s="16" t="n">
        <v>0.98</v>
      </c>
      <c r="H178" s="16" t="n">
        <v>0.995</v>
      </c>
      <c r="I178" s="16" t="n">
        <v>0.999</v>
      </c>
      <c r="J178" s="16" t="n">
        <v>0.99</v>
      </c>
      <c r="K178" s="16" t="n">
        <v>0.995</v>
      </c>
      <c r="L178" s="16" t="n">
        <v>0.999</v>
      </c>
      <c r="M178" s="16" t="n">
        <v>0.99</v>
      </c>
      <c r="N178" s="16" t="n">
        <v>0.96</v>
      </c>
      <c r="O178" s="16" t="n">
        <v>0.96</v>
      </c>
      <c r="P178" s="16" t="n">
        <v>0.98</v>
      </c>
      <c r="Q178" s="16" t="n">
        <v>0.992</v>
      </c>
      <c r="R178" s="0" t="n">
        <v>0.99</v>
      </c>
      <c r="S178" s="0" t="n">
        <v>0.9945</v>
      </c>
    </row>
    <row r="179" customFormat="false" ht="12.75" hidden="false" customHeight="false" outlineLevel="0" collapsed="false">
      <c r="A179" s="326" t="n">
        <v>42370</v>
      </c>
      <c r="B179" s="16" t="n">
        <v>0.9306</v>
      </c>
      <c r="C179" s="16" t="n">
        <v>0.99</v>
      </c>
      <c r="D179" s="16" t="n">
        <v>0.96</v>
      </c>
      <c r="E179" s="16" t="n">
        <v>0.9306</v>
      </c>
      <c r="F179" s="16" t="n">
        <v>0.999</v>
      </c>
      <c r="G179" s="16" t="n">
        <v>0.98</v>
      </c>
      <c r="H179" s="16" t="n">
        <v>0.995</v>
      </c>
      <c r="I179" s="16" t="n">
        <v>0.999</v>
      </c>
      <c r="J179" s="16" t="n">
        <v>0.99</v>
      </c>
      <c r="K179" s="16" t="n">
        <v>0.995</v>
      </c>
      <c r="L179" s="16" t="n">
        <v>0.999</v>
      </c>
      <c r="M179" s="16" t="n">
        <v>0.99</v>
      </c>
      <c r="N179" s="16" t="n">
        <v>0.96</v>
      </c>
      <c r="O179" s="16" t="n">
        <v>0.96</v>
      </c>
      <c r="P179" s="16" t="n">
        <v>0.98</v>
      </c>
      <c r="Q179" s="16" t="n">
        <v>0.992</v>
      </c>
      <c r="R179" s="0" t="n">
        <v>0.99</v>
      </c>
      <c r="S179" s="0" t="n">
        <v>0.9945</v>
      </c>
    </row>
    <row r="180" customFormat="false" ht="12.75" hidden="false" customHeight="false" outlineLevel="0" collapsed="false">
      <c r="A180" s="326" t="n">
        <v>42401</v>
      </c>
      <c r="B180" s="16" t="n">
        <v>0.9306</v>
      </c>
      <c r="C180" s="16" t="n">
        <v>0.99</v>
      </c>
      <c r="D180" s="16" t="n">
        <v>0.96</v>
      </c>
      <c r="E180" s="16" t="n">
        <v>0.9306</v>
      </c>
      <c r="F180" s="16" t="n">
        <v>0.999</v>
      </c>
      <c r="G180" s="16" t="n">
        <v>0.98</v>
      </c>
      <c r="H180" s="16" t="n">
        <v>0.995</v>
      </c>
      <c r="I180" s="16" t="n">
        <v>0.999</v>
      </c>
      <c r="J180" s="16" t="n">
        <v>0.99</v>
      </c>
      <c r="K180" s="16" t="n">
        <v>0.995</v>
      </c>
      <c r="L180" s="16" t="n">
        <v>0.999</v>
      </c>
      <c r="M180" s="16" t="n">
        <v>0.99</v>
      </c>
      <c r="N180" s="16" t="n">
        <v>0.96</v>
      </c>
      <c r="O180" s="16" t="n">
        <v>0.96</v>
      </c>
      <c r="P180" s="16" t="n">
        <v>0.98</v>
      </c>
      <c r="Q180" s="16" t="n">
        <v>0.992</v>
      </c>
      <c r="R180" s="0" t="n">
        <v>0.99</v>
      </c>
      <c r="S180" s="0" t="n">
        <v>0.9945</v>
      </c>
    </row>
    <row r="181" customFormat="false" ht="12.75" hidden="false" customHeight="false" outlineLevel="0" collapsed="false">
      <c r="A181" s="326" t="n">
        <v>42430</v>
      </c>
      <c r="B181" s="16" t="n">
        <v>0.9306</v>
      </c>
      <c r="C181" s="16" t="n">
        <v>0.99</v>
      </c>
      <c r="D181" s="16" t="n">
        <v>0.96</v>
      </c>
      <c r="E181" s="16" t="n">
        <v>0.9306</v>
      </c>
      <c r="F181" s="16" t="n">
        <v>0.999</v>
      </c>
      <c r="G181" s="16" t="n">
        <v>0.98</v>
      </c>
      <c r="H181" s="16" t="n">
        <v>0.995</v>
      </c>
      <c r="I181" s="16" t="n">
        <v>0.999</v>
      </c>
      <c r="J181" s="16" t="n">
        <v>0.99</v>
      </c>
      <c r="K181" s="16" t="n">
        <v>0.995</v>
      </c>
      <c r="L181" s="16" t="n">
        <v>0.999</v>
      </c>
      <c r="M181" s="16" t="n">
        <v>0.99</v>
      </c>
      <c r="N181" s="16" t="n">
        <v>0.96</v>
      </c>
      <c r="O181" s="16" t="n">
        <v>0.96</v>
      </c>
      <c r="P181" s="16" t="n">
        <v>0.98</v>
      </c>
      <c r="Q181" s="16" t="n">
        <v>0.992</v>
      </c>
      <c r="R181" s="0" t="n">
        <v>0.99</v>
      </c>
      <c r="S181" s="0" t="n">
        <v>0.9945</v>
      </c>
    </row>
    <row r="182" customFormat="false" ht="12.75" hidden="false" customHeight="false" outlineLevel="0" collapsed="false">
      <c r="A182" s="326" t="n">
        <v>42461</v>
      </c>
      <c r="B182" s="16" t="n">
        <v>0.9306</v>
      </c>
      <c r="C182" s="16" t="n">
        <v>0.99</v>
      </c>
      <c r="D182" s="16" t="n">
        <v>0.96</v>
      </c>
      <c r="E182" s="16" t="n">
        <v>0.9306</v>
      </c>
      <c r="F182" s="16" t="n">
        <v>0.999</v>
      </c>
      <c r="G182" s="16" t="n">
        <v>0.98</v>
      </c>
      <c r="H182" s="16" t="n">
        <v>0.995</v>
      </c>
      <c r="I182" s="16" t="n">
        <v>0.999</v>
      </c>
      <c r="J182" s="16" t="n">
        <v>0.99</v>
      </c>
      <c r="K182" s="16" t="n">
        <v>0.995</v>
      </c>
      <c r="L182" s="16" t="n">
        <v>0.999</v>
      </c>
      <c r="M182" s="16" t="n">
        <v>0.99</v>
      </c>
      <c r="N182" s="16" t="n">
        <v>0.96</v>
      </c>
      <c r="O182" s="16" t="n">
        <v>0.96</v>
      </c>
      <c r="P182" s="16" t="n">
        <v>0.98</v>
      </c>
      <c r="Q182" s="16" t="n">
        <v>0.992</v>
      </c>
      <c r="R182" s="0" t="n">
        <v>0.99</v>
      </c>
      <c r="S182" s="0" t="n">
        <v>0.9945</v>
      </c>
    </row>
    <row r="183" customFormat="false" ht="12.75" hidden="false" customHeight="false" outlineLevel="0" collapsed="false">
      <c r="A183" s="326" t="n">
        <v>42491</v>
      </c>
      <c r="B183" s="16" t="n">
        <v>0.9306</v>
      </c>
      <c r="C183" s="16" t="n">
        <v>0.99</v>
      </c>
      <c r="D183" s="16" t="n">
        <v>0.96</v>
      </c>
      <c r="E183" s="16" t="n">
        <v>0.9306</v>
      </c>
      <c r="F183" s="16" t="n">
        <v>0.999</v>
      </c>
      <c r="G183" s="16" t="n">
        <v>0.98</v>
      </c>
      <c r="H183" s="16" t="n">
        <v>0.995</v>
      </c>
      <c r="I183" s="16" t="n">
        <v>0.999</v>
      </c>
      <c r="J183" s="16" t="n">
        <v>0.99</v>
      </c>
      <c r="K183" s="16" t="n">
        <v>0.995</v>
      </c>
      <c r="L183" s="16" t="n">
        <v>0.999</v>
      </c>
      <c r="M183" s="16" t="n">
        <v>0.99</v>
      </c>
      <c r="N183" s="16" t="n">
        <v>0.96</v>
      </c>
      <c r="O183" s="16" t="n">
        <v>0.96</v>
      </c>
      <c r="P183" s="16" t="n">
        <v>0.98</v>
      </c>
      <c r="Q183" s="16" t="n">
        <v>0.992</v>
      </c>
      <c r="R183" s="0" t="n">
        <v>0.99</v>
      </c>
      <c r="S183" s="0" t="n">
        <v>0.9945</v>
      </c>
    </row>
    <row r="184" customFormat="false" ht="12.75" hidden="false" customHeight="false" outlineLevel="0" collapsed="false">
      <c r="A184" s="326" t="n">
        <v>42522</v>
      </c>
      <c r="B184" s="16" t="n">
        <v>0.9306</v>
      </c>
      <c r="C184" s="16" t="n">
        <v>0.99</v>
      </c>
      <c r="D184" s="16" t="n">
        <v>0.96</v>
      </c>
      <c r="E184" s="16" t="n">
        <v>0.9306</v>
      </c>
      <c r="F184" s="16" t="n">
        <v>0.999</v>
      </c>
      <c r="G184" s="16" t="n">
        <v>0.98</v>
      </c>
      <c r="H184" s="16" t="n">
        <v>0.995</v>
      </c>
      <c r="I184" s="16" t="n">
        <v>0.999</v>
      </c>
      <c r="J184" s="16" t="n">
        <v>0.99</v>
      </c>
      <c r="K184" s="16" t="n">
        <v>0.995</v>
      </c>
      <c r="L184" s="16" t="n">
        <v>0.999</v>
      </c>
      <c r="M184" s="16" t="n">
        <v>0.99</v>
      </c>
      <c r="N184" s="16" t="n">
        <v>0.96</v>
      </c>
      <c r="O184" s="16" t="n">
        <v>0.96</v>
      </c>
      <c r="P184" s="16" t="n">
        <v>0.98</v>
      </c>
      <c r="Q184" s="16" t="n">
        <v>0.992</v>
      </c>
      <c r="R184" s="0" t="n">
        <v>0.99</v>
      </c>
      <c r="S184" s="0" t="n">
        <v>0.9945</v>
      </c>
    </row>
    <row r="185" customFormat="false" ht="12.75" hidden="false" customHeight="false" outlineLevel="0" collapsed="false">
      <c r="A185" s="326" t="n">
        <v>42552</v>
      </c>
      <c r="B185" s="16" t="n">
        <v>0.9306</v>
      </c>
      <c r="C185" s="16" t="n">
        <v>0.99</v>
      </c>
      <c r="D185" s="16" t="n">
        <v>0.96</v>
      </c>
      <c r="E185" s="16" t="n">
        <v>0.9306</v>
      </c>
      <c r="F185" s="16" t="n">
        <v>0.999</v>
      </c>
      <c r="G185" s="16" t="n">
        <v>0.98</v>
      </c>
      <c r="H185" s="16" t="n">
        <v>0.995</v>
      </c>
      <c r="I185" s="16" t="n">
        <v>0.999</v>
      </c>
      <c r="J185" s="16" t="n">
        <v>0.99</v>
      </c>
      <c r="K185" s="16" t="n">
        <v>0.995</v>
      </c>
      <c r="L185" s="16" t="n">
        <v>0.999</v>
      </c>
      <c r="M185" s="16" t="n">
        <v>0.99</v>
      </c>
      <c r="N185" s="16" t="n">
        <v>0.96</v>
      </c>
      <c r="O185" s="16" t="n">
        <v>0.96</v>
      </c>
      <c r="P185" s="16" t="n">
        <v>0.98</v>
      </c>
      <c r="Q185" s="16" t="n">
        <v>0.992</v>
      </c>
      <c r="R185" s="0" t="n">
        <v>0.99</v>
      </c>
      <c r="S185" s="0" t="n">
        <v>0.9945</v>
      </c>
    </row>
    <row r="186" customFormat="false" ht="12.75" hidden="false" customHeight="false" outlineLevel="0" collapsed="false">
      <c r="A186" s="326" t="n">
        <v>42583</v>
      </c>
      <c r="B186" s="16" t="n">
        <v>0.9306</v>
      </c>
      <c r="C186" s="16" t="n">
        <v>0.99</v>
      </c>
      <c r="D186" s="16" t="n">
        <v>0.96</v>
      </c>
      <c r="E186" s="16" t="n">
        <v>0.9306</v>
      </c>
      <c r="F186" s="16" t="n">
        <v>0.999</v>
      </c>
      <c r="G186" s="16" t="n">
        <v>0.98</v>
      </c>
      <c r="H186" s="16" t="n">
        <v>0.995</v>
      </c>
      <c r="I186" s="16" t="n">
        <v>0.999</v>
      </c>
      <c r="J186" s="16" t="n">
        <v>0.99</v>
      </c>
      <c r="K186" s="16" t="n">
        <v>0.995</v>
      </c>
      <c r="L186" s="16" t="n">
        <v>0.999</v>
      </c>
      <c r="M186" s="16" t="n">
        <v>0.99</v>
      </c>
      <c r="N186" s="16" t="n">
        <v>0.96</v>
      </c>
      <c r="O186" s="16" t="n">
        <v>0.96</v>
      </c>
      <c r="P186" s="16" t="n">
        <v>0.98</v>
      </c>
      <c r="Q186" s="16" t="n">
        <v>0.992</v>
      </c>
      <c r="R186" s="0" t="n">
        <v>0.99</v>
      </c>
      <c r="S186" s="0" t="n">
        <v>0.9945</v>
      </c>
    </row>
    <row r="187" customFormat="false" ht="12.75" hidden="false" customHeight="false" outlineLevel="0" collapsed="false">
      <c r="A187" s="326" t="n">
        <v>42614</v>
      </c>
      <c r="B187" s="16" t="n">
        <v>0.9306</v>
      </c>
      <c r="C187" s="16" t="n">
        <v>0.99</v>
      </c>
      <c r="D187" s="16" t="n">
        <v>0.96</v>
      </c>
      <c r="E187" s="16" t="n">
        <v>0.9306</v>
      </c>
      <c r="F187" s="16" t="n">
        <v>0.999</v>
      </c>
      <c r="G187" s="16" t="n">
        <v>0.98</v>
      </c>
      <c r="H187" s="16" t="n">
        <v>0.995</v>
      </c>
      <c r="I187" s="16" t="n">
        <v>0.999</v>
      </c>
      <c r="J187" s="16" t="n">
        <v>0.99</v>
      </c>
      <c r="K187" s="16" t="n">
        <v>0.995</v>
      </c>
      <c r="L187" s="16" t="n">
        <v>0.999</v>
      </c>
      <c r="M187" s="16" t="n">
        <v>0.99</v>
      </c>
      <c r="N187" s="16" t="n">
        <v>0.96</v>
      </c>
      <c r="O187" s="16" t="n">
        <v>0.96</v>
      </c>
      <c r="P187" s="16" t="n">
        <v>0.98</v>
      </c>
      <c r="Q187" s="16" t="n">
        <v>0.992</v>
      </c>
      <c r="R187" s="0" t="n">
        <v>0.99</v>
      </c>
      <c r="S187" s="0" t="n">
        <v>0.9945</v>
      </c>
    </row>
    <row r="188" customFormat="false" ht="12.75" hidden="false" customHeight="false" outlineLevel="0" collapsed="false">
      <c r="A188" s="326" t="n">
        <v>42644</v>
      </c>
      <c r="B188" s="16" t="n">
        <v>0.9306</v>
      </c>
      <c r="C188" s="16" t="n">
        <v>0.99</v>
      </c>
      <c r="D188" s="16" t="n">
        <v>0.96</v>
      </c>
      <c r="E188" s="16" t="n">
        <v>0.9306</v>
      </c>
      <c r="F188" s="16" t="n">
        <v>0.999</v>
      </c>
      <c r="G188" s="16" t="n">
        <v>0.98</v>
      </c>
      <c r="H188" s="16" t="n">
        <v>0.995</v>
      </c>
      <c r="I188" s="16" t="n">
        <v>0.999</v>
      </c>
      <c r="J188" s="16" t="n">
        <v>0.99</v>
      </c>
      <c r="K188" s="16" t="n">
        <v>0.995</v>
      </c>
      <c r="L188" s="16" t="n">
        <v>0.999</v>
      </c>
      <c r="M188" s="16" t="n">
        <v>0.99</v>
      </c>
      <c r="N188" s="16" t="n">
        <v>0.96</v>
      </c>
      <c r="O188" s="16" t="n">
        <v>0.96</v>
      </c>
      <c r="P188" s="16" t="n">
        <v>0.98</v>
      </c>
      <c r="Q188" s="16" t="n">
        <v>0.992</v>
      </c>
      <c r="R188" s="0" t="n">
        <v>0.99</v>
      </c>
      <c r="S188" s="0" t="n">
        <v>0.9945</v>
      </c>
    </row>
    <row r="189" customFormat="false" ht="12.75" hidden="false" customHeight="false" outlineLevel="0" collapsed="false">
      <c r="A189" s="326" t="n">
        <v>42675</v>
      </c>
      <c r="B189" s="16" t="n">
        <v>0.9306</v>
      </c>
      <c r="C189" s="16" t="n">
        <v>0.99</v>
      </c>
      <c r="D189" s="16" t="n">
        <v>0.96</v>
      </c>
      <c r="E189" s="16" t="n">
        <v>0.9306</v>
      </c>
      <c r="F189" s="16" t="n">
        <v>0.999</v>
      </c>
      <c r="G189" s="16" t="n">
        <v>0.98</v>
      </c>
      <c r="H189" s="16" t="n">
        <v>0.995</v>
      </c>
      <c r="I189" s="16" t="n">
        <v>0.999</v>
      </c>
      <c r="J189" s="16" t="n">
        <v>0.99</v>
      </c>
      <c r="K189" s="16" t="n">
        <v>0.995</v>
      </c>
      <c r="L189" s="16" t="n">
        <v>0.999</v>
      </c>
      <c r="M189" s="16" t="n">
        <v>0.99</v>
      </c>
      <c r="N189" s="16" t="n">
        <v>0.96</v>
      </c>
      <c r="O189" s="16" t="n">
        <v>0.96</v>
      </c>
      <c r="P189" s="16" t="n">
        <v>0.98</v>
      </c>
      <c r="Q189" s="16" t="n">
        <v>0.992</v>
      </c>
      <c r="R189" s="0" t="n">
        <v>0.99</v>
      </c>
      <c r="S189" s="0" t="n">
        <v>0.9945</v>
      </c>
    </row>
    <row r="190" customFormat="false" ht="12.75" hidden="false" customHeight="false" outlineLevel="0" collapsed="false">
      <c r="A190" s="326" t="n">
        <v>42705</v>
      </c>
      <c r="B190" s="16" t="n">
        <v>0.9306</v>
      </c>
      <c r="C190" s="16" t="n">
        <v>0.99</v>
      </c>
      <c r="D190" s="16" t="n">
        <v>0.96</v>
      </c>
      <c r="E190" s="16" t="n">
        <v>0.9306</v>
      </c>
      <c r="F190" s="16" t="n">
        <v>0.999</v>
      </c>
      <c r="G190" s="16" t="n">
        <v>0.98</v>
      </c>
      <c r="H190" s="16" t="n">
        <v>0.995</v>
      </c>
      <c r="I190" s="16" t="n">
        <v>0.999</v>
      </c>
      <c r="J190" s="16" t="n">
        <v>0.99</v>
      </c>
      <c r="K190" s="16" t="n">
        <v>0.995</v>
      </c>
      <c r="L190" s="16" t="n">
        <v>0.999</v>
      </c>
      <c r="M190" s="16" t="n">
        <v>0.99</v>
      </c>
      <c r="N190" s="16" t="n">
        <v>0.96</v>
      </c>
      <c r="O190" s="16" t="n">
        <v>0.96</v>
      </c>
      <c r="P190" s="16" t="n">
        <v>0.98</v>
      </c>
      <c r="Q190" s="16" t="n">
        <v>0.992</v>
      </c>
      <c r="R190" s="0" t="n">
        <v>0.99</v>
      </c>
      <c r="S190" s="0" t="n">
        <v>0.9945</v>
      </c>
    </row>
    <row r="191" customFormat="false" ht="12.75" hidden="false" customHeight="false" outlineLevel="0" collapsed="false">
      <c r="A191" s="326" t="n">
        <v>42736</v>
      </c>
      <c r="B191" s="16" t="n">
        <v>0.9306</v>
      </c>
      <c r="C191" s="16" t="n">
        <v>0.99</v>
      </c>
      <c r="D191" s="16" t="n">
        <v>0.96</v>
      </c>
      <c r="E191" s="16" t="n">
        <v>0.9306</v>
      </c>
      <c r="F191" s="16" t="n">
        <v>0.999</v>
      </c>
      <c r="G191" s="16" t="n">
        <v>0.98</v>
      </c>
      <c r="H191" s="16" t="n">
        <v>0.995</v>
      </c>
      <c r="I191" s="16" t="n">
        <v>0.999</v>
      </c>
      <c r="J191" s="16" t="n">
        <v>0.99</v>
      </c>
      <c r="K191" s="16" t="n">
        <v>0.995</v>
      </c>
      <c r="L191" s="16" t="n">
        <v>0.999</v>
      </c>
      <c r="M191" s="16" t="n">
        <v>0.99</v>
      </c>
      <c r="N191" s="16" t="n">
        <v>0.96</v>
      </c>
      <c r="O191" s="16" t="n">
        <v>0.96</v>
      </c>
      <c r="P191" s="16" t="n">
        <v>0.98</v>
      </c>
      <c r="Q191" s="16" t="n">
        <v>0.992</v>
      </c>
      <c r="R191" s="0" t="n">
        <v>0.99</v>
      </c>
      <c r="S191" s="0" t="n">
        <v>0.9945</v>
      </c>
    </row>
    <row r="192" customFormat="false" ht="12.75" hidden="false" customHeight="false" outlineLevel="0" collapsed="false">
      <c r="A192" s="326" t="n">
        <v>42767</v>
      </c>
      <c r="B192" s="16" t="n">
        <v>0.9306</v>
      </c>
      <c r="C192" s="16" t="n">
        <v>0.99</v>
      </c>
      <c r="D192" s="16" t="n">
        <v>0.96</v>
      </c>
      <c r="E192" s="16" t="n">
        <v>0.9306</v>
      </c>
      <c r="F192" s="16" t="n">
        <v>0.999</v>
      </c>
      <c r="G192" s="16" t="n">
        <v>0.98</v>
      </c>
      <c r="H192" s="16" t="n">
        <v>0.995</v>
      </c>
      <c r="I192" s="16" t="n">
        <v>0.999</v>
      </c>
      <c r="J192" s="16" t="n">
        <v>0.99</v>
      </c>
      <c r="K192" s="16" t="n">
        <v>0.995</v>
      </c>
      <c r="L192" s="16" t="n">
        <v>0.999</v>
      </c>
      <c r="M192" s="16" t="n">
        <v>0.99</v>
      </c>
      <c r="N192" s="16" t="n">
        <v>0.96</v>
      </c>
      <c r="O192" s="16" t="n">
        <v>0.96</v>
      </c>
      <c r="P192" s="16" t="n">
        <v>0.98</v>
      </c>
      <c r="Q192" s="16" t="n">
        <v>0.992</v>
      </c>
      <c r="R192" s="0" t="n">
        <v>0.99</v>
      </c>
      <c r="S192" s="0" t="n">
        <v>0.9945</v>
      </c>
    </row>
    <row r="193" customFormat="false" ht="12.75" hidden="false" customHeight="false" outlineLevel="0" collapsed="false">
      <c r="A193" s="326" t="n">
        <v>42795</v>
      </c>
      <c r="B193" s="16" t="n">
        <v>0.9306</v>
      </c>
      <c r="C193" s="16" t="n">
        <v>0.99</v>
      </c>
      <c r="D193" s="16" t="n">
        <v>0.96</v>
      </c>
      <c r="E193" s="16" t="n">
        <v>0.9306</v>
      </c>
      <c r="F193" s="16" t="n">
        <v>0.999</v>
      </c>
      <c r="G193" s="16" t="n">
        <v>0.98</v>
      </c>
      <c r="H193" s="16" t="n">
        <v>0.995</v>
      </c>
      <c r="I193" s="16" t="n">
        <v>0.999</v>
      </c>
      <c r="J193" s="16" t="n">
        <v>0.99</v>
      </c>
      <c r="K193" s="16" t="n">
        <v>0.995</v>
      </c>
      <c r="L193" s="16" t="n">
        <v>0.999</v>
      </c>
      <c r="M193" s="16" t="n">
        <v>0.99</v>
      </c>
      <c r="N193" s="16" t="n">
        <v>0.96</v>
      </c>
      <c r="O193" s="16" t="n">
        <v>0.96</v>
      </c>
      <c r="P193" s="16" t="n">
        <v>0.98</v>
      </c>
      <c r="Q193" s="16" t="n">
        <v>0.992</v>
      </c>
      <c r="R193" s="0" t="n">
        <v>0.99</v>
      </c>
      <c r="S193" s="0" t="n">
        <v>0.9945</v>
      </c>
    </row>
    <row r="194" customFormat="false" ht="12.75" hidden="false" customHeight="false" outlineLevel="0" collapsed="false">
      <c r="A194" s="326" t="n">
        <v>42826</v>
      </c>
      <c r="B194" s="16" t="n">
        <v>0.9306</v>
      </c>
      <c r="C194" s="16" t="n">
        <v>0.99</v>
      </c>
      <c r="D194" s="16" t="n">
        <v>0.96</v>
      </c>
      <c r="E194" s="16" t="n">
        <v>0.9306</v>
      </c>
      <c r="F194" s="16" t="n">
        <v>0.999</v>
      </c>
      <c r="G194" s="16" t="n">
        <v>0.98</v>
      </c>
      <c r="H194" s="16" t="n">
        <v>0.995</v>
      </c>
      <c r="I194" s="16" t="n">
        <v>0.999</v>
      </c>
      <c r="J194" s="16" t="n">
        <v>0.99</v>
      </c>
      <c r="K194" s="16" t="n">
        <v>0.995</v>
      </c>
      <c r="L194" s="16" t="n">
        <v>0.999</v>
      </c>
      <c r="M194" s="16" t="n">
        <v>0.99</v>
      </c>
      <c r="N194" s="16" t="n">
        <v>0.96</v>
      </c>
      <c r="O194" s="16" t="n">
        <v>0.96</v>
      </c>
      <c r="P194" s="16" t="n">
        <v>0.98</v>
      </c>
      <c r="Q194" s="16" t="n">
        <v>0.992</v>
      </c>
      <c r="R194" s="0" t="n">
        <v>0.99</v>
      </c>
      <c r="S194" s="0" t="n">
        <v>0.9945</v>
      </c>
    </row>
    <row r="195" customFormat="false" ht="12.75" hidden="false" customHeight="false" outlineLevel="0" collapsed="false">
      <c r="A195" s="326" t="n">
        <v>42856</v>
      </c>
      <c r="B195" s="16" t="n">
        <v>0.9306</v>
      </c>
      <c r="C195" s="16" t="n">
        <v>0.99</v>
      </c>
      <c r="D195" s="16" t="n">
        <v>0.96</v>
      </c>
      <c r="E195" s="16" t="n">
        <v>0.9306</v>
      </c>
      <c r="F195" s="16" t="n">
        <v>0.999</v>
      </c>
      <c r="G195" s="16" t="n">
        <v>0.98</v>
      </c>
      <c r="H195" s="16" t="n">
        <v>0.995</v>
      </c>
      <c r="I195" s="16" t="n">
        <v>0.999</v>
      </c>
      <c r="J195" s="16" t="n">
        <v>0.99</v>
      </c>
      <c r="K195" s="16" t="n">
        <v>0.995</v>
      </c>
      <c r="L195" s="16" t="n">
        <v>0.999</v>
      </c>
      <c r="M195" s="16" t="n">
        <v>0.99</v>
      </c>
      <c r="N195" s="16" t="n">
        <v>0.96</v>
      </c>
      <c r="O195" s="16" t="n">
        <v>0.96</v>
      </c>
      <c r="P195" s="16" t="n">
        <v>0.98</v>
      </c>
      <c r="Q195" s="16" t="n">
        <v>0.992</v>
      </c>
      <c r="R195" s="0" t="n">
        <v>0.99</v>
      </c>
      <c r="S195" s="0" t="n">
        <v>0.9945</v>
      </c>
    </row>
    <row r="196" customFormat="false" ht="12.75" hidden="false" customHeight="false" outlineLevel="0" collapsed="false">
      <c r="A196" s="326" t="n">
        <v>42887</v>
      </c>
      <c r="B196" s="16" t="n">
        <v>0.9306</v>
      </c>
      <c r="C196" s="16" t="n">
        <v>0.99</v>
      </c>
      <c r="D196" s="16" t="n">
        <v>0.96</v>
      </c>
      <c r="E196" s="16" t="n">
        <v>0.9306</v>
      </c>
      <c r="F196" s="16" t="n">
        <v>0.999</v>
      </c>
      <c r="G196" s="16" t="n">
        <v>0.98</v>
      </c>
      <c r="H196" s="16" t="n">
        <v>0.995</v>
      </c>
      <c r="I196" s="16" t="n">
        <v>0.999</v>
      </c>
      <c r="J196" s="16" t="n">
        <v>0.99</v>
      </c>
      <c r="K196" s="16" t="n">
        <v>0.995</v>
      </c>
      <c r="L196" s="16" t="n">
        <v>0.999</v>
      </c>
      <c r="M196" s="16" t="n">
        <v>0.99</v>
      </c>
      <c r="N196" s="16" t="n">
        <v>0.96</v>
      </c>
      <c r="O196" s="16" t="n">
        <v>0.96</v>
      </c>
      <c r="P196" s="16" t="n">
        <v>0.98</v>
      </c>
      <c r="Q196" s="16" t="n">
        <v>0.992</v>
      </c>
      <c r="R196" s="0" t="n">
        <v>0.99</v>
      </c>
      <c r="S196" s="0" t="n">
        <v>0.9945</v>
      </c>
    </row>
    <row r="197" customFormat="false" ht="12.75" hidden="false" customHeight="false" outlineLevel="0" collapsed="false">
      <c r="A197" s="326" t="n">
        <v>42917</v>
      </c>
      <c r="B197" s="16" t="n">
        <v>0.9306</v>
      </c>
      <c r="C197" s="16" t="n">
        <v>0.99</v>
      </c>
      <c r="D197" s="16" t="n">
        <v>0.96</v>
      </c>
      <c r="E197" s="16" t="n">
        <v>0.9306</v>
      </c>
      <c r="F197" s="16" t="n">
        <v>0.999</v>
      </c>
      <c r="G197" s="16" t="n">
        <v>0.98</v>
      </c>
      <c r="H197" s="16" t="n">
        <v>0.995</v>
      </c>
      <c r="I197" s="16" t="n">
        <v>0.999</v>
      </c>
      <c r="J197" s="16" t="n">
        <v>0.99</v>
      </c>
      <c r="K197" s="16" t="n">
        <v>0.995</v>
      </c>
      <c r="L197" s="16" t="n">
        <v>0.999</v>
      </c>
      <c r="M197" s="16" t="n">
        <v>0.99</v>
      </c>
      <c r="N197" s="16" t="n">
        <v>0.96</v>
      </c>
      <c r="O197" s="16" t="n">
        <v>0.96</v>
      </c>
      <c r="P197" s="16" t="n">
        <v>0.98</v>
      </c>
      <c r="Q197" s="16" t="n">
        <v>0.992</v>
      </c>
      <c r="R197" s="0" t="n">
        <v>0.99</v>
      </c>
      <c r="S197" s="0" t="n">
        <v>0.9945</v>
      </c>
    </row>
    <row r="198" customFormat="false" ht="12.75" hidden="false" customHeight="false" outlineLevel="0" collapsed="false">
      <c r="A198" s="326" t="n">
        <v>42948</v>
      </c>
      <c r="B198" s="16" t="n">
        <v>0.9306</v>
      </c>
      <c r="C198" s="16" t="n">
        <v>0.99</v>
      </c>
      <c r="D198" s="16" t="n">
        <v>0.96</v>
      </c>
      <c r="E198" s="16" t="n">
        <v>0.9306</v>
      </c>
      <c r="F198" s="16" t="n">
        <v>0.999</v>
      </c>
      <c r="G198" s="16" t="n">
        <v>0.98</v>
      </c>
      <c r="H198" s="16" t="n">
        <v>0.995</v>
      </c>
      <c r="I198" s="16" t="n">
        <v>0.999</v>
      </c>
      <c r="J198" s="16" t="n">
        <v>0.99</v>
      </c>
      <c r="K198" s="16" t="n">
        <v>0.995</v>
      </c>
      <c r="L198" s="16" t="n">
        <v>0.999</v>
      </c>
      <c r="M198" s="16" t="n">
        <v>0.99</v>
      </c>
      <c r="N198" s="16" t="n">
        <v>0.96</v>
      </c>
      <c r="O198" s="16" t="n">
        <v>0.96</v>
      </c>
      <c r="P198" s="16" t="n">
        <v>0.98</v>
      </c>
      <c r="Q198" s="16" t="n">
        <v>0.992</v>
      </c>
      <c r="R198" s="0" t="n">
        <v>0.99</v>
      </c>
      <c r="S198" s="0" t="n">
        <v>0.9945</v>
      </c>
    </row>
    <row r="199" customFormat="false" ht="12.75" hidden="false" customHeight="false" outlineLevel="0" collapsed="false">
      <c r="A199" s="326" t="n">
        <v>42979</v>
      </c>
      <c r="B199" s="16" t="n">
        <v>0.9306</v>
      </c>
      <c r="C199" s="16" t="n">
        <v>0.99</v>
      </c>
      <c r="D199" s="16" t="n">
        <v>0.96</v>
      </c>
      <c r="E199" s="16" t="n">
        <v>0.9306</v>
      </c>
      <c r="F199" s="16" t="n">
        <v>0.999</v>
      </c>
      <c r="G199" s="16" t="n">
        <v>0.98</v>
      </c>
      <c r="H199" s="16" t="n">
        <v>0.995</v>
      </c>
      <c r="I199" s="16" t="n">
        <v>0.999</v>
      </c>
      <c r="J199" s="16" t="n">
        <v>0.99</v>
      </c>
      <c r="K199" s="16" t="n">
        <v>0.995</v>
      </c>
      <c r="L199" s="16" t="n">
        <v>0.999</v>
      </c>
      <c r="M199" s="16" t="n">
        <v>0.99</v>
      </c>
      <c r="N199" s="16" t="n">
        <v>0.96</v>
      </c>
      <c r="O199" s="16" t="n">
        <v>0.96</v>
      </c>
      <c r="P199" s="16" t="n">
        <v>0.98</v>
      </c>
      <c r="Q199" s="16" t="n">
        <v>0.992</v>
      </c>
      <c r="R199" s="0" t="n">
        <v>0.99</v>
      </c>
      <c r="S199" s="0" t="n">
        <v>0.9945</v>
      </c>
    </row>
    <row r="200" customFormat="false" ht="12.75" hidden="false" customHeight="false" outlineLevel="0" collapsed="false">
      <c r="A200" s="326" t="n">
        <v>43009</v>
      </c>
      <c r="B200" s="16" t="n">
        <v>0.9306</v>
      </c>
      <c r="C200" s="16" t="n">
        <v>0.99</v>
      </c>
      <c r="D200" s="16" t="n">
        <v>0.96</v>
      </c>
      <c r="E200" s="16" t="n">
        <v>0.9306</v>
      </c>
      <c r="F200" s="16" t="n">
        <v>0.999</v>
      </c>
      <c r="G200" s="16" t="n">
        <v>0.98</v>
      </c>
      <c r="H200" s="16" t="n">
        <v>0.995</v>
      </c>
      <c r="I200" s="16" t="n">
        <v>0.999</v>
      </c>
      <c r="J200" s="16" t="n">
        <v>0.99</v>
      </c>
      <c r="K200" s="16" t="n">
        <v>0.995</v>
      </c>
      <c r="L200" s="16" t="n">
        <v>0.999</v>
      </c>
      <c r="M200" s="16" t="n">
        <v>0.99</v>
      </c>
      <c r="N200" s="16" t="n">
        <v>0.96</v>
      </c>
      <c r="O200" s="16" t="n">
        <v>0.96</v>
      </c>
      <c r="P200" s="16" t="n">
        <v>0.98</v>
      </c>
      <c r="Q200" s="16" t="n">
        <v>0.992</v>
      </c>
      <c r="R200" s="0" t="n">
        <v>0.99</v>
      </c>
      <c r="S200" s="0" t="n">
        <v>0.9945</v>
      </c>
    </row>
    <row r="201" customFormat="false" ht="12.75" hidden="false" customHeight="false" outlineLevel="0" collapsed="false">
      <c r="A201" s="326" t="n">
        <v>43040</v>
      </c>
      <c r="B201" s="16" t="n">
        <v>0.9306</v>
      </c>
      <c r="C201" s="16" t="n">
        <v>0.99</v>
      </c>
      <c r="D201" s="16" t="n">
        <v>0.96</v>
      </c>
      <c r="E201" s="16" t="n">
        <v>0.9306</v>
      </c>
      <c r="F201" s="16" t="n">
        <v>0.999</v>
      </c>
      <c r="G201" s="16" t="n">
        <v>0.98</v>
      </c>
      <c r="H201" s="16" t="n">
        <v>0.995</v>
      </c>
      <c r="I201" s="16" t="n">
        <v>0.999</v>
      </c>
      <c r="J201" s="16" t="n">
        <v>0.99</v>
      </c>
      <c r="K201" s="16" t="n">
        <v>0.995</v>
      </c>
      <c r="L201" s="16" t="n">
        <v>0.999</v>
      </c>
      <c r="M201" s="16" t="n">
        <v>0.99</v>
      </c>
      <c r="N201" s="16" t="n">
        <v>0.96</v>
      </c>
      <c r="O201" s="16" t="n">
        <v>0.96</v>
      </c>
      <c r="P201" s="16" t="n">
        <v>0.98</v>
      </c>
      <c r="Q201" s="16" t="n">
        <v>0.992</v>
      </c>
      <c r="R201" s="0" t="n">
        <v>0.99</v>
      </c>
      <c r="S201" s="0" t="n">
        <v>0.9945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306"/>
  <sheetViews>
    <sheetView showFormulas="false" showGridLines="true" showRowColHeaders="true" showZeros="true" rightToLeft="false" tabSelected="false" showOutlineSymbols="true" defaultGridColor="true" view="normal" topLeftCell="A53" colorId="64" zoomScale="100" zoomScaleNormal="100" zoomScalePageLayoutView="100" workbookViewId="0">
      <selection pane="topLeft" activeCell="H70" activeCellId="0" sqref="H70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257" min="1" style="329" width="9.14"/>
  </cols>
  <sheetData>
    <row r="1" customFormat="false" ht="12" hidden="false" customHeight="false" outlineLevel="0" collapsed="false">
      <c r="A1" s="330"/>
      <c r="B1" s="331"/>
      <c r="C1" s="332"/>
      <c r="D1" s="332"/>
      <c r="E1" s="332"/>
      <c r="F1" s="332"/>
      <c r="G1" s="333"/>
      <c r="H1" s="333"/>
      <c r="I1" s="333"/>
      <c r="J1" s="333"/>
      <c r="K1" s="333"/>
      <c r="L1" s="333"/>
      <c r="M1" s="333"/>
    </row>
    <row r="2" customFormat="false" ht="11.25" hidden="false" customHeight="false" outlineLevel="0" collapsed="false">
      <c r="A2" s="332"/>
      <c r="B2" s="332"/>
      <c r="C2" s="332"/>
      <c r="D2" s="332"/>
      <c r="E2" s="332"/>
      <c r="F2" s="332"/>
      <c r="G2" s="334" t="s">
        <v>289</v>
      </c>
      <c r="H2" s="334"/>
      <c r="I2" s="334"/>
    </row>
    <row r="3" customFormat="false" ht="11.25" hidden="false" customHeight="false" outlineLevel="0" collapsed="false">
      <c r="A3" s="335"/>
      <c r="B3" s="336"/>
      <c r="C3" s="335"/>
      <c r="D3" s="332"/>
      <c r="E3" s="332"/>
      <c r="F3" s="332"/>
      <c r="G3" s="337" t="s">
        <v>290</v>
      </c>
      <c r="H3" s="337"/>
      <c r="I3" s="337"/>
    </row>
    <row r="4" customFormat="false" ht="11.25" hidden="false" customHeight="false" outlineLevel="0" collapsed="false">
      <c r="A4" s="335"/>
      <c r="B4" s="338"/>
      <c r="C4" s="339"/>
      <c r="D4" s="332"/>
      <c r="E4" s="332"/>
      <c r="F4" s="332"/>
      <c r="G4" s="340"/>
      <c r="H4" s="341" t="s">
        <v>291</v>
      </c>
      <c r="I4" s="342" t="s">
        <v>292</v>
      </c>
    </row>
    <row r="5" customFormat="false" ht="11.25" hidden="false" customHeight="false" outlineLevel="0" collapsed="false">
      <c r="A5" s="335"/>
      <c r="B5" s="338"/>
      <c r="C5" s="339"/>
      <c r="D5" s="332"/>
      <c r="E5" s="332"/>
      <c r="F5" s="332"/>
      <c r="G5" s="343" t="s">
        <v>293</v>
      </c>
      <c r="H5" s="344" t="s">
        <v>294</v>
      </c>
      <c r="I5" s="345" t="s">
        <v>294</v>
      </c>
    </row>
    <row r="6" customFormat="false" ht="12" hidden="false" customHeight="false" outlineLevel="0" collapsed="false">
      <c r="A6" s="335"/>
      <c r="B6" s="338"/>
      <c r="C6" s="339"/>
      <c r="D6" s="332"/>
      <c r="E6" s="332"/>
      <c r="F6" s="332"/>
      <c r="G6" s="346" t="s">
        <v>295</v>
      </c>
      <c r="H6" s="347" t="s">
        <v>288</v>
      </c>
      <c r="I6" s="348" t="s">
        <v>288</v>
      </c>
    </row>
    <row r="7" customFormat="false" ht="11.25" hidden="false" customHeight="false" outlineLevel="0" collapsed="false">
      <c r="A7" s="335"/>
      <c r="B7" s="336"/>
      <c r="C7" s="339"/>
      <c r="D7" s="332"/>
      <c r="E7" s="332"/>
      <c r="F7" s="332"/>
      <c r="G7" s="349" t="n">
        <v>35431</v>
      </c>
      <c r="H7" s="350" t="n">
        <v>35423</v>
      </c>
      <c r="I7" s="351" t="n">
        <v>35422</v>
      </c>
    </row>
    <row r="8" customFormat="false" ht="11.25" hidden="false" customHeight="false" outlineLevel="0" collapsed="false">
      <c r="A8" s="335"/>
      <c r="B8" s="338"/>
      <c r="C8" s="352"/>
      <c r="D8" s="353"/>
      <c r="E8" s="353"/>
      <c r="F8" s="332"/>
      <c r="G8" s="354" t="n">
        <v>35462</v>
      </c>
      <c r="H8" s="355" t="n">
        <v>35457</v>
      </c>
      <c r="I8" s="356" t="n">
        <v>35454</v>
      </c>
    </row>
    <row r="9" customFormat="false" ht="11.25" hidden="false" customHeight="false" outlineLevel="0" collapsed="false">
      <c r="A9" s="335"/>
      <c r="B9" s="338"/>
      <c r="C9" s="357"/>
      <c r="D9" s="358"/>
      <c r="E9" s="358"/>
      <c r="F9" s="332"/>
      <c r="G9" s="354" t="n">
        <v>35490</v>
      </c>
      <c r="H9" s="355" t="n">
        <v>35485</v>
      </c>
      <c r="I9" s="356" t="n">
        <v>35482</v>
      </c>
    </row>
    <row r="10" customFormat="false" ht="11.25" hidden="false" customHeight="false" outlineLevel="0" collapsed="false">
      <c r="A10" s="335"/>
      <c r="B10" s="338"/>
      <c r="C10" s="339"/>
      <c r="D10" s="359"/>
      <c r="E10" s="359"/>
      <c r="F10" s="332"/>
      <c r="G10" s="354" t="n">
        <v>35521</v>
      </c>
      <c r="H10" s="355" t="n">
        <v>35513</v>
      </c>
      <c r="I10" s="356" t="n">
        <v>35510</v>
      </c>
    </row>
    <row r="11" customFormat="false" ht="11.25" hidden="false" customHeight="false" outlineLevel="0" collapsed="false">
      <c r="A11" s="335"/>
      <c r="B11" s="338"/>
      <c r="C11" s="339"/>
      <c r="D11" s="359"/>
      <c r="E11" s="359"/>
      <c r="F11" s="332"/>
      <c r="G11" s="354" t="n">
        <v>35551</v>
      </c>
      <c r="H11" s="355" t="n">
        <v>35544</v>
      </c>
      <c r="I11" s="356" t="n">
        <v>35543</v>
      </c>
    </row>
    <row r="12" customFormat="false" ht="11.25" hidden="false" customHeight="false" outlineLevel="0" collapsed="false">
      <c r="A12" s="335"/>
      <c r="B12" s="338"/>
      <c r="C12" s="339"/>
      <c r="D12" s="359"/>
      <c r="E12" s="359"/>
      <c r="F12" s="332"/>
      <c r="G12" s="354" t="n">
        <v>35582</v>
      </c>
      <c r="H12" s="355" t="n">
        <v>35578</v>
      </c>
      <c r="I12" s="356" t="n">
        <v>35577</v>
      </c>
    </row>
    <row r="13" customFormat="false" ht="12.75" hidden="false" customHeight="false" outlineLevel="0" collapsed="false">
      <c r="A13" s="335"/>
      <c r="B13" s="360"/>
      <c r="C13" s="361"/>
      <c r="D13" s="362"/>
      <c r="E13" s="362"/>
      <c r="F13" s="332"/>
      <c r="G13" s="354" t="n">
        <v>35612</v>
      </c>
      <c r="H13" s="355" t="n">
        <v>35607</v>
      </c>
      <c r="I13" s="356" t="n">
        <v>35606</v>
      </c>
    </row>
    <row r="14" customFormat="false" ht="12.75" hidden="false" customHeight="false" outlineLevel="0" collapsed="false">
      <c r="A14" s="332"/>
      <c r="B14" s="363"/>
      <c r="C14" s="364"/>
      <c r="D14" s="362"/>
      <c r="E14" s="362"/>
      <c r="F14" s="332"/>
      <c r="G14" s="354" t="n">
        <v>35643</v>
      </c>
      <c r="H14" s="355" t="n">
        <v>35640</v>
      </c>
      <c r="I14" s="356" t="n">
        <v>35639</v>
      </c>
    </row>
    <row r="15" customFormat="false" ht="12.75" hidden="false" customHeight="false" outlineLevel="0" collapsed="false">
      <c r="A15" s="332"/>
      <c r="B15" s="363"/>
      <c r="C15" s="364"/>
      <c r="D15" s="362"/>
      <c r="E15" s="362"/>
      <c r="F15" s="332"/>
      <c r="G15" s="354" t="n">
        <v>35674</v>
      </c>
      <c r="H15" s="355" t="n">
        <v>35669</v>
      </c>
      <c r="I15" s="356" t="n">
        <v>35668</v>
      </c>
    </row>
    <row r="16" customFormat="false" ht="12.75" hidden="false" customHeight="false" outlineLevel="0" collapsed="false">
      <c r="A16" s="332"/>
      <c r="B16" s="363"/>
      <c r="C16" s="364"/>
      <c r="D16" s="362"/>
      <c r="E16" s="362"/>
      <c r="F16" s="332"/>
      <c r="G16" s="354" t="n">
        <v>35704</v>
      </c>
      <c r="H16" s="355" t="n">
        <v>35699</v>
      </c>
      <c r="I16" s="356" t="n">
        <v>35698</v>
      </c>
    </row>
    <row r="17" customFormat="false" ht="12.75" hidden="false" customHeight="false" outlineLevel="0" collapsed="false">
      <c r="A17" s="365"/>
      <c r="B17" s="363"/>
      <c r="C17" s="364"/>
      <c r="D17" s="362"/>
      <c r="E17" s="362"/>
      <c r="F17" s="332"/>
      <c r="G17" s="354" t="n">
        <v>35735</v>
      </c>
      <c r="H17" s="355" t="n">
        <v>35732</v>
      </c>
      <c r="I17" s="356" t="n">
        <v>35731</v>
      </c>
    </row>
    <row r="18" customFormat="false" ht="12.75" hidden="false" customHeight="false" outlineLevel="0" collapsed="false">
      <c r="A18" s="365"/>
      <c r="B18" s="363"/>
      <c r="C18" s="364"/>
      <c r="D18" s="362"/>
      <c r="E18" s="362"/>
      <c r="F18" s="332"/>
      <c r="G18" s="354" t="n">
        <v>35765</v>
      </c>
      <c r="H18" s="355" t="n">
        <v>35758</v>
      </c>
      <c r="I18" s="356" t="n">
        <v>35755</v>
      </c>
    </row>
    <row r="19" customFormat="false" ht="12.75" hidden="false" customHeight="false" outlineLevel="0" collapsed="false">
      <c r="A19" s="365"/>
      <c r="B19" s="363"/>
      <c r="C19" s="364"/>
      <c r="D19" s="362"/>
      <c r="E19" s="362"/>
      <c r="F19" s="332"/>
      <c r="G19" s="354" t="n">
        <v>35796</v>
      </c>
      <c r="H19" s="355" t="n">
        <v>35793</v>
      </c>
      <c r="I19" s="356" t="n">
        <v>35790</v>
      </c>
    </row>
    <row r="20" customFormat="false" ht="12.75" hidden="false" customHeight="false" outlineLevel="0" collapsed="false">
      <c r="A20" s="365"/>
      <c r="B20" s="363"/>
      <c r="C20" s="364"/>
      <c r="D20" s="362"/>
      <c r="E20" s="362"/>
      <c r="F20" s="332"/>
      <c r="G20" s="354" t="n">
        <v>35827</v>
      </c>
      <c r="H20" s="355" t="n">
        <v>35823</v>
      </c>
      <c r="I20" s="356" t="n">
        <v>35822</v>
      </c>
    </row>
    <row r="21" customFormat="false" ht="12.75" hidden="false" customHeight="false" outlineLevel="0" collapsed="false">
      <c r="A21" s="365"/>
      <c r="B21" s="363"/>
      <c r="C21" s="364"/>
      <c r="D21" s="362"/>
      <c r="E21" s="362"/>
      <c r="F21" s="332"/>
      <c r="G21" s="354" t="n">
        <v>35855</v>
      </c>
      <c r="H21" s="355" t="n">
        <v>35851</v>
      </c>
      <c r="I21" s="356" t="n">
        <v>35850</v>
      </c>
    </row>
    <row r="22" customFormat="false" ht="12.75" hidden="false" customHeight="false" outlineLevel="0" collapsed="false">
      <c r="A22" s="365"/>
      <c r="B22" s="363"/>
      <c r="C22" s="364"/>
      <c r="D22" s="362"/>
      <c r="E22" s="362"/>
      <c r="F22" s="332"/>
      <c r="G22" s="354" t="n">
        <v>35886</v>
      </c>
      <c r="H22" s="355" t="n">
        <v>35881</v>
      </c>
      <c r="I22" s="356" t="n">
        <v>35880</v>
      </c>
    </row>
    <row r="23" customFormat="false" ht="12.75" hidden="false" customHeight="false" outlineLevel="0" collapsed="false">
      <c r="A23" s="365"/>
      <c r="B23" s="363"/>
      <c r="C23" s="364"/>
      <c r="D23" s="362"/>
      <c r="E23" s="362"/>
      <c r="F23" s="332"/>
      <c r="G23" s="354" t="n">
        <v>35916</v>
      </c>
      <c r="H23" s="355" t="n">
        <v>35913</v>
      </c>
      <c r="I23" s="356" t="n">
        <v>35912</v>
      </c>
    </row>
    <row r="24" customFormat="false" ht="12.75" hidden="false" customHeight="false" outlineLevel="0" collapsed="false">
      <c r="A24" s="365"/>
      <c r="B24" s="363"/>
      <c r="C24" s="364"/>
      <c r="D24" s="362"/>
      <c r="E24" s="362"/>
      <c r="F24" s="332"/>
      <c r="G24" s="354" t="n">
        <v>35947</v>
      </c>
      <c r="H24" s="355" t="n">
        <v>35942</v>
      </c>
      <c r="I24" s="356" t="n">
        <v>35941</v>
      </c>
    </row>
    <row r="25" customFormat="false" ht="12.75" hidden="false" customHeight="false" outlineLevel="0" collapsed="false">
      <c r="A25" s="365"/>
      <c r="B25" s="363"/>
      <c r="C25" s="364"/>
      <c r="D25" s="362"/>
      <c r="E25" s="362"/>
      <c r="F25" s="332"/>
      <c r="G25" s="354" t="n">
        <v>35977</v>
      </c>
      <c r="H25" s="355" t="n">
        <v>35972</v>
      </c>
      <c r="I25" s="356" t="n">
        <v>35971</v>
      </c>
    </row>
    <row r="26" customFormat="false" ht="12.75" hidden="false" customHeight="false" outlineLevel="0" collapsed="false">
      <c r="A26" s="365"/>
      <c r="B26" s="363"/>
      <c r="C26" s="364"/>
      <c r="D26" s="362"/>
      <c r="E26" s="362"/>
      <c r="F26" s="332"/>
      <c r="G26" s="354" t="n">
        <v>36008</v>
      </c>
      <c r="H26" s="355" t="n">
        <v>36005</v>
      </c>
      <c r="I26" s="356" t="n">
        <v>36004</v>
      </c>
    </row>
    <row r="27" customFormat="false" ht="12.75" hidden="false" customHeight="false" outlineLevel="0" collapsed="false">
      <c r="A27" s="365"/>
      <c r="B27" s="363"/>
      <c r="C27" s="364"/>
      <c r="D27" s="362"/>
      <c r="E27" s="362"/>
      <c r="F27" s="332"/>
      <c r="G27" s="354" t="n">
        <v>36039</v>
      </c>
      <c r="H27" s="355" t="n">
        <v>36034</v>
      </c>
      <c r="I27" s="356" t="n">
        <v>36033</v>
      </c>
    </row>
    <row r="28" customFormat="false" ht="12.75" hidden="false" customHeight="false" outlineLevel="0" collapsed="false">
      <c r="A28" s="365"/>
      <c r="B28" s="363"/>
      <c r="C28" s="364"/>
      <c r="D28" s="362"/>
      <c r="E28" s="362"/>
      <c r="F28" s="332"/>
      <c r="G28" s="354" t="n">
        <v>36069</v>
      </c>
      <c r="H28" s="355" t="n">
        <v>36066</v>
      </c>
      <c r="I28" s="356" t="n">
        <v>36063</v>
      </c>
    </row>
    <row r="29" customFormat="false" ht="12.75" hidden="false" customHeight="false" outlineLevel="0" collapsed="false">
      <c r="A29" s="365"/>
      <c r="B29" s="363"/>
      <c r="C29" s="364"/>
      <c r="D29" s="362"/>
      <c r="E29" s="362"/>
      <c r="F29" s="332"/>
      <c r="G29" s="354" t="n">
        <v>36100</v>
      </c>
      <c r="H29" s="355" t="n">
        <v>36096</v>
      </c>
      <c r="I29" s="356" t="n">
        <v>36095</v>
      </c>
    </row>
    <row r="30" customFormat="false" ht="12.75" hidden="false" customHeight="false" outlineLevel="0" collapsed="false">
      <c r="A30" s="365"/>
      <c r="B30" s="363"/>
      <c r="C30" s="364"/>
      <c r="D30" s="362"/>
      <c r="E30" s="362"/>
      <c r="F30" s="332"/>
      <c r="G30" s="354" t="n">
        <v>36130</v>
      </c>
      <c r="H30" s="355" t="n">
        <v>36124</v>
      </c>
      <c r="I30" s="356" t="n">
        <v>36123</v>
      </c>
    </row>
    <row r="31" customFormat="false" ht="12.75" hidden="false" customHeight="false" outlineLevel="0" collapsed="false">
      <c r="A31" s="365"/>
      <c r="B31" s="363"/>
      <c r="C31" s="364"/>
      <c r="D31" s="362"/>
      <c r="E31" s="362"/>
      <c r="F31" s="332"/>
      <c r="G31" s="354" t="n">
        <v>36161</v>
      </c>
      <c r="H31" s="355" t="n">
        <v>36158</v>
      </c>
      <c r="I31" s="356" t="n">
        <v>36157</v>
      </c>
    </row>
    <row r="32" customFormat="false" ht="12.75" hidden="false" customHeight="false" outlineLevel="0" collapsed="false">
      <c r="A32" s="365"/>
      <c r="B32" s="363"/>
      <c r="C32" s="364"/>
      <c r="D32" s="362"/>
      <c r="E32" s="362"/>
      <c r="F32" s="332"/>
      <c r="G32" s="354" t="n">
        <v>36192</v>
      </c>
      <c r="H32" s="355" t="n">
        <v>36187</v>
      </c>
      <c r="I32" s="356" t="n">
        <v>36186</v>
      </c>
    </row>
    <row r="33" customFormat="false" ht="12.75" hidden="false" customHeight="false" outlineLevel="0" collapsed="false">
      <c r="A33" s="365"/>
      <c r="B33" s="363"/>
      <c r="C33" s="364"/>
      <c r="D33" s="362"/>
      <c r="E33" s="362"/>
      <c r="F33" s="332"/>
      <c r="G33" s="354" t="n">
        <v>36220</v>
      </c>
      <c r="H33" s="355" t="n">
        <v>36215</v>
      </c>
      <c r="I33" s="356" t="n">
        <v>36214</v>
      </c>
    </row>
    <row r="34" customFormat="false" ht="12.75" hidden="false" customHeight="false" outlineLevel="0" collapsed="false">
      <c r="A34" s="365"/>
      <c r="B34" s="363"/>
      <c r="C34" s="364"/>
      <c r="D34" s="362"/>
      <c r="E34" s="362"/>
      <c r="F34" s="332"/>
      <c r="G34" s="354" t="n">
        <v>36251</v>
      </c>
      <c r="H34" s="355" t="n">
        <v>36248</v>
      </c>
      <c r="I34" s="356" t="n">
        <v>36245</v>
      </c>
    </row>
    <row r="35" customFormat="false" ht="12.75" hidden="false" customHeight="false" outlineLevel="0" collapsed="false">
      <c r="A35" s="365"/>
      <c r="B35" s="363"/>
      <c r="C35" s="364"/>
      <c r="D35" s="362"/>
      <c r="E35" s="362"/>
      <c r="F35" s="332"/>
      <c r="G35" s="354" t="n">
        <v>36281</v>
      </c>
      <c r="H35" s="355" t="n">
        <v>36278</v>
      </c>
      <c r="I35" s="356" t="n">
        <v>36277</v>
      </c>
    </row>
    <row r="36" customFormat="false" ht="12.75" hidden="false" customHeight="false" outlineLevel="0" collapsed="false">
      <c r="A36" s="365"/>
      <c r="B36" s="363"/>
      <c r="C36" s="364"/>
      <c r="D36" s="362"/>
      <c r="E36" s="362"/>
      <c r="F36" s="332"/>
      <c r="G36" s="354" t="n">
        <v>36312</v>
      </c>
      <c r="H36" s="355" t="n">
        <v>36306</v>
      </c>
      <c r="I36" s="356" t="n">
        <v>36305</v>
      </c>
    </row>
    <row r="37" customFormat="false" ht="12.75" hidden="false" customHeight="false" outlineLevel="0" collapsed="false">
      <c r="A37" s="365"/>
      <c r="B37" s="363"/>
      <c r="C37" s="364"/>
      <c r="D37" s="362"/>
      <c r="E37" s="362"/>
      <c r="F37" s="332"/>
      <c r="G37" s="354" t="n">
        <v>36342</v>
      </c>
      <c r="H37" s="355" t="n">
        <v>36339</v>
      </c>
      <c r="I37" s="356" t="n">
        <v>36336</v>
      </c>
    </row>
    <row r="38" customFormat="false" ht="12.75" hidden="false" customHeight="false" outlineLevel="0" collapsed="false">
      <c r="A38" s="365"/>
      <c r="B38" s="363"/>
      <c r="C38" s="364"/>
      <c r="D38" s="362"/>
      <c r="E38" s="362"/>
      <c r="F38" s="332"/>
      <c r="G38" s="354" t="n">
        <v>36373</v>
      </c>
      <c r="H38" s="355" t="n">
        <v>36369</v>
      </c>
      <c r="I38" s="356" t="n">
        <v>36368</v>
      </c>
    </row>
    <row r="39" customFormat="false" ht="12.75" hidden="false" customHeight="false" outlineLevel="0" collapsed="false">
      <c r="A39" s="365"/>
      <c r="B39" s="363"/>
      <c r="C39" s="364"/>
      <c r="D39" s="362"/>
      <c r="E39" s="362"/>
      <c r="F39" s="332"/>
      <c r="G39" s="354" t="n">
        <v>36404</v>
      </c>
      <c r="H39" s="355" t="n">
        <v>36399</v>
      </c>
      <c r="I39" s="356" t="n">
        <v>36398</v>
      </c>
    </row>
    <row r="40" customFormat="false" ht="12.75" hidden="false" customHeight="false" outlineLevel="0" collapsed="false">
      <c r="A40" s="365"/>
      <c r="B40" s="363"/>
      <c r="C40" s="364"/>
      <c r="D40" s="362"/>
      <c r="E40" s="362"/>
      <c r="F40" s="332"/>
      <c r="G40" s="354" t="n">
        <v>36434</v>
      </c>
      <c r="H40" s="355" t="n">
        <v>36431</v>
      </c>
      <c r="I40" s="356" t="n">
        <v>36430</v>
      </c>
    </row>
    <row r="41" customFormat="false" ht="12.75" hidden="false" customHeight="false" outlineLevel="0" collapsed="false">
      <c r="A41" s="365"/>
      <c r="B41" s="363"/>
      <c r="C41" s="364"/>
      <c r="D41" s="362"/>
      <c r="E41" s="362"/>
      <c r="F41" s="332"/>
      <c r="G41" s="354" t="n">
        <v>36465</v>
      </c>
      <c r="H41" s="355" t="n">
        <v>36460</v>
      </c>
      <c r="I41" s="356" t="n">
        <v>36459</v>
      </c>
    </row>
    <row r="42" customFormat="false" ht="12.75" hidden="false" customHeight="false" outlineLevel="0" collapsed="false">
      <c r="A42" s="365"/>
      <c r="B42" s="363"/>
      <c r="C42" s="364"/>
      <c r="D42" s="362"/>
      <c r="E42" s="362"/>
      <c r="F42" s="332"/>
      <c r="G42" s="354" t="n">
        <v>36495</v>
      </c>
      <c r="H42" s="355" t="n">
        <v>36488</v>
      </c>
      <c r="I42" s="356" t="n">
        <v>36487</v>
      </c>
    </row>
    <row r="43" customFormat="false" ht="12.75" hidden="false" customHeight="false" outlineLevel="0" collapsed="false">
      <c r="A43" s="365"/>
      <c r="B43" s="363"/>
      <c r="C43" s="364"/>
      <c r="D43" s="362"/>
      <c r="E43" s="362"/>
      <c r="F43" s="332"/>
      <c r="G43" s="354" t="n">
        <v>36526</v>
      </c>
      <c r="H43" s="355" t="n">
        <v>36522</v>
      </c>
      <c r="I43" s="356" t="n">
        <v>36522</v>
      </c>
    </row>
    <row r="44" customFormat="false" ht="12.75" hidden="false" customHeight="false" outlineLevel="0" collapsed="false">
      <c r="A44" s="365"/>
      <c r="B44" s="363"/>
      <c r="C44" s="364"/>
      <c r="D44" s="362"/>
      <c r="E44" s="362"/>
      <c r="F44" s="332"/>
      <c r="G44" s="354" t="n">
        <v>36557</v>
      </c>
      <c r="H44" s="355" t="n">
        <v>36552</v>
      </c>
      <c r="I44" s="356" t="n">
        <v>36551</v>
      </c>
    </row>
    <row r="45" customFormat="false" ht="12.75" hidden="false" customHeight="false" outlineLevel="0" collapsed="false">
      <c r="A45" s="365"/>
      <c r="B45" s="363"/>
      <c r="C45" s="364"/>
      <c r="D45" s="362"/>
      <c r="E45" s="362"/>
      <c r="F45" s="332"/>
      <c r="G45" s="354" t="n">
        <v>36586</v>
      </c>
      <c r="H45" s="355" t="n">
        <v>36581</v>
      </c>
      <c r="I45" s="356" t="n">
        <v>36580</v>
      </c>
    </row>
    <row r="46" customFormat="false" ht="12.75" hidden="false" customHeight="false" outlineLevel="0" collapsed="false">
      <c r="A46" s="365"/>
      <c r="B46" s="363"/>
      <c r="C46" s="364"/>
      <c r="D46" s="362"/>
      <c r="E46" s="362"/>
      <c r="F46" s="332"/>
      <c r="G46" s="354" t="n">
        <v>36617</v>
      </c>
      <c r="H46" s="355" t="n">
        <v>36614</v>
      </c>
      <c r="I46" s="356" t="n">
        <v>36613</v>
      </c>
    </row>
    <row r="47" customFormat="false" ht="12.75" hidden="false" customHeight="false" outlineLevel="0" collapsed="false">
      <c r="A47" s="365"/>
      <c r="B47" s="363"/>
      <c r="C47" s="364"/>
      <c r="D47" s="362"/>
      <c r="E47" s="362"/>
      <c r="F47" s="332"/>
      <c r="G47" s="354" t="n">
        <v>36647</v>
      </c>
      <c r="H47" s="355" t="n">
        <v>36642</v>
      </c>
      <c r="I47" s="356" t="n">
        <v>36641</v>
      </c>
    </row>
    <row r="48" customFormat="false" ht="12.75" hidden="false" customHeight="false" outlineLevel="0" collapsed="false">
      <c r="A48" s="365"/>
      <c r="B48" s="363"/>
      <c r="C48" s="364"/>
      <c r="D48" s="362"/>
      <c r="E48" s="362"/>
      <c r="F48" s="332"/>
      <c r="G48" s="354" t="n">
        <v>36678</v>
      </c>
      <c r="H48" s="355" t="n">
        <v>36672</v>
      </c>
      <c r="I48" s="356" t="n">
        <v>36671</v>
      </c>
    </row>
    <row r="49" customFormat="false" ht="12.75" hidden="false" customHeight="false" outlineLevel="0" collapsed="false">
      <c r="A49" s="365"/>
      <c r="B49" s="363"/>
      <c r="C49" s="364"/>
      <c r="D49" s="362"/>
      <c r="E49" s="362"/>
      <c r="F49" s="332"/>
      <c r="G49" s="354" t="n">
        <v>36708</v>
      </c>
      <c r="H49" s="355" t="n">
        <v>36705</v>
      </c>
      <c r="I49" s="356" t="n">
        <v>36704</v>
      </c>
    </row>
    <row r="50" customFormat="false" ht="12.75" hidden="false" customHeight="false" outlineLevel="0" collapsed="false">
      <c r="A50" s="365"/>
      <c r="B50" s="363"/>
      <c r="C50" s="364"/>
      <c r="D50" s="362"/>
      <c r="E50" s="362"/>
      <c r="F50" s="332"/>
      <c r="G50" s="354" t="n">
        <v>36739</v>
      </c>
      <c r="H50" s="355" t="n">
        <v>36735</v>
      </c>
      <c r="I50" s="356" t="n">
        <v>36733</v>
      </c>
    </row>
    <row r="51" customFormat="false" ht="12.75" hidden="false" customHeight="false" outlineLevel="0" collapsed="false">
      <c r="A51" s="365"/>
      <c r="B51" s="363"/>
      <c r="C51" s="364"/>
      <c r="D51" s="362"/>
      <c r="E51" s="362"/>
      <c r="F51" s="332"/>
      <c r="G51" s="354" t="n">
        <v>36770</v>
      </c>
      <c r="H51" s="355" t="n">
        <v>36768</v>
      </c>
      <c r="I51" s="356" t="n">
        <v>36766</v>
      </c>
    </row>
    <row r="52" customFormat="false" ht="12.75" hidden="false" customHeight="false" outlineLevel="0" collapsed="false">
      <c r="A52" s="365"/>
      <c r="B52" s="363"/>
      <c r="C52" s="364"/>
      <c r="D52" s="362"/>
      <c r="E52" s="362"/>
      <c r="F52" s="332"/>
      <c r="G52" s="354" t="n">
        <v>36800</v>
      </c>
      <c r="H52" s="355" t="n">
        <v>36797</v>
      </c>
      <c r="I52" s="356" t="n">
        <v>36795</v>
      </c>
    </row>
    <row r="53" customFormat="false" ht="12.75" hidden="false" customHeight="false" outlineLevel="0" collapsed="false">
      <c r="A53" s="365"/>
      <c r="B53" s="363"/>
      <c r="C53" s="364"/>
      <c r="D53" s="362"/>
      <c r="E53" s="362"/>
      <c r="F53" s="332"/>
      <c r="G53" s="354" t="n">
        <v>36831</v>
      </c>
      <c r="H53" s="355" t="n">
        <v>36827</v>
      </c>
      <c r="I53" s="356" t="n">
        <v>36827</v>
      </c>
    </row>
    <row r="54" customFormat="false" ht="12.75" hidden="false" customHeight="false" outlineLevel="0" collapsed="false">
      <c r="A54" s="365"/>
      <c r="B54" s="363"/>
      <c r="C54" s="364"/>
      <c r="D54" s="362"/>
      <c r="E54" s="362"/>
      <c r="F54" s="332"/>
      <c r="G54" s="354" t="n">
        <v>36861</v>
      </c>
      <c r="H54" s="355" t="n">
        <v>36858</v>
      </c>
      <c r="I54" s="356" t="n">
        <v>36857</v>
      </c>
    </row>
    <row r="55" customFormat="false" ht="12.75" hidden="false" customHeight="false" outlineLevel="0" collapsed="false">
      <c r="A55" s="365"/>
      <c r="B55" s="363"/>
      <c r="C55" s="364"/>
      <c r="D55" s="362"/>
      <c r="E55" s="362"/>
      <c r="F55" s="332"/>
      <c r="G55" s="354" t="n">
        <v>36892</v>
      </c>
      <c r="H55" s="355" t="n">
        <v>36888</v>
      </c>
      <c r="I55" s="356" t="n">
        <v>36888</v>
      </c>
    </row>
    <row r="56" customFormat="false" ht="12.75" hidden="false" customHeight="false" outlineLevel="0" collapsed="false">
      <c r="A56" s="365"/>
      <c r="B56" s="363"/>
      <c r="C56" s="364"/>
      <c r="D56" s="362"/>
      <c r="E56" s="362"/>
      <c r="F56" s="332"/>
      <c r="G56" s="354" t="n">
        <v>36923</v>
      </c>
      <c r="H56" s="355" t="n">
        <v>36921</v>
      </c>
      <c r="I56" s="356" t="n">
        <v>36917</v>
      </c>
      <c r="J56" s="366" t="n">
        <f aca="false">WORKDAY(H56,1)</f>
        <v>36922</v>
      </c>
    </row>
    <row r="57" customFormat="false" ht="12.75" hidden="false" customHeight="false" outlineLevel="0" collapsed="false">
      <c r="A57" s="365"/>
      <c r="B57" s="363"/>
      <c r="C57" s="364"/>
      <c r="D57" s="362"/>
      <c r="E57" s="362"/>
      <c r="F57" s="332"/>
      <c r="G57" s="354" t="n">
        <v>36951</v>
      </c>
      <c r="H57" s="355" t="n">
        <v>36948</v>
      </c>
      <c r="I57" s="356" t="n">
        <v>36945</v>
      </c>
      <c r="J57" s="366" t="n">
        <f aca="false">WORKDAY(H57,1)</f>
        <v>36949</v>
      </c>
    </row>
    <row r="58" customFormat="false" ht="12.75" hidden="false" customHeight="false" outlineLevel="0" collapsed="false">
      <c r="A58" s="365"/>
      <c r="B58" s="363"/>
      <c r="C58" s="364"/>
      <c r="D58" s="362"/>
      <c r="E58" s="362"/>
      <c r="F58" s="332"/>
      <c r="G58" s="354" t="n">
        <v>36982</v>
      </c>
      <c r="H58" s="355" t="n">
        <v>36978</v>
      </c>
      <c r="I58" s="356" t="n">
        <v>36977</v>
      </c>
      <c r="J58" s="366" t="n">
        <f aca="false">WORKDAY(H58,1)</f>
        <v>36979</v>
      </c>
    </row>
    <row r="59" customFormat="false" ht="12.75" hidden="false" customHeight="false" outlineLevel="0" collapsed="false">
      <c r="A59" s="365"/>
      <c r="B59" s="363"/>
      <c r="C59" s="364"/>
      <c r="D59" s="362"/>
      <c r="E59" s="362"/>
      <c r="F59" s="332"/>
      <c r="G59" s="354" t="n">
        <v>37012</v>
      </c>
      <c r="H59" s="355" t="n">
        <v>37008</v>
      </c>
      <c r="I59" s="356" t="n">
        <v>37006</v>
      </c>
      <c r="J59" s="366" t="n">
        <f aca="false">WORKDAY(H59,1)</f>
        <v>37011</v>
      </c>
    </row>
    <row r="60" customFormat="false" ht="12.75" hidden="false" customHeight="false" outlineLevel="0" collapsed="false">
      <c r="A60" s="365"/>
      <c r="B60" s="363"/>
      <c r="C60" s="364"/>
      <c r="D60" s="362"/>
      <c r="E60" s="362"/>
      <c r="F60" s="332"/>
      <c r="G60" s="354" t="n">
        <v>37043</v>
      </c>
      <c r="H60" s="355" t="n">
        <v>37041</v>
      </c>
      <c r="I60" s="356" t="n">
        <v>37036</v>
      </c>
      <c r="J60" s="366" t="n">
        <f aca="false">WORKDAY(H60,1)</f>
        <v>37042</v>
      </c>
    </row>
    <row r="61" customFormat="false" ht="12.75" hidden="false" customHeight="false" outlineLevel="0" collapsed="false">
      <c r="A61" s="365"/>
      <c r="B61" s="363"/>
      <c r="C61" s="364"/>
      <c r="D61" s="362"/>
      <c r="E61" s="362"/>
      <c r="F61" s="332"/>
      <c r="G61" s="354" t="n">
        <v>37073</v>
      </c>
      <c r="H61" s="355" t="n">
        <v>37069</v>
      </c>
      <c r="I61" s="356" t="n">
        <v>37068</v>
      </c>
      <c r="J61" s="366" t="n">
        <f aca="false">WORKDAY(H61,1)</f>
        <v>37070</v>
      </c>
    </row>
    <row r="62" customFormat="false" ht="12.75" hidden="false" customHeight="false" outlineLevel="0" collapsed="false">
      <c r="A62" s="365"/>
      <c r="B62" s="363"/>
      <c r="C62" s="364"/>
      <c r="D62" s="362"/>
      <c r="E62" s="362"/>
      <c r="F62" s="332"/>
      <c r="G62" s="354" t="n">
        <v>37104</v>
      </c>
      <c r="H62" s="355" t="n">
        <v>37100</v>
      </c>
      <c r="I62" s="356" t="n">
        <v>37098</v>
      </c>
      <c r="J62" s="366" t="n">
        <f aca="false">WORKDAY(H62,1)</f>
        <v>37102</v>
      </c>
    </row>
    <row r="63" customFormat="false" ht="12.75" hidden="false" customHeight="false" outlineLevel="0" collapsed="false">
      <c r="A63" s="365"/>
      <c r="B63" s="363"/>
      <c r="C63" s="364"/>
      <c r="D63" s="362"/>
      <c r="E63" s="362"/>
      <c r="F63" s="332"/>
      <c r="G63" s="354" t="n">
        <v>37135</v>
      </c>
      <c r="H63" s="355" t="n">
        <v>37132</v>
      </c>
      <c r="I63" s="356" t="n">
        <v>37131</v>
      </c>
      <c r="J63" s="366" t="n">
        <f aca="false">WORKDAY(H63,1)</f>
        <v>37133</v>
      </c>
    </row>
    <row r="64" customFormat="false" ht="12.75" hidden="false" customHeight="false" outlineLevel="0" collapsed="false">
      <c r="A64" s="365"/>
      <c r="B64" s="363"/>
      <c r="C64" s="364"/>
      <c r="D64" s="362"/>
      <c r="E64" s="362"/>
      <c r="F64" s="332"/>
      <c r="G64" s="354" t="n">
        <v>37165</v>
      </c>
      <c r="H64" s="355" t="n">
        <v>37160</v>
      </c>
      <c r="I64" s="356" t="n">
        <v>37159</v>
      </c>
      <c r="J64" s="366" t="n">
        <f aca="false">WORKDAY(H64,1)</f>
        <v>37161</v>
      </c>
    </row>
    <row r="65" customFormat="false" ht="12.75" hidden="false" customHeight="false" outlineLevel="0" collapsed="false">
      <c r="A65" s="365"/>
      <c r="B65" s="363"/>
      <c r="C65" s="364"/>
      <c r="D65" s="362"/>
      <c r="E65" s="362"/>
      <c r="F65" s="332"/>
      <c r="G65" s="354" t="n">
        <v>37196</v>
      </c>
      <c r="H65" s="355" t="n">
        <v>37193</v>
      </c>
      <c r="I65" s="356" t="n">
        <v>37190</v>
      </c>
      <c r="J65" s="366" t="n">
        <f aca="false">WORKDAY(H65,1)</f>
        <v>37194</v>
      </c>
    </row>
    <row r="66" customFormat="false" ht="12.75" hidden="false" customHeight="false" outlineLevel="0" collapsed="false">
      <c r="A66" s="365"/>
      <c r="B66" s="363"/>
      <c r="C66" s="364"/>
      <c r="D66" s="362"/>
      <c r="E66" s="362"/>
      <c r="F66" s="332"/>
      <c r="G66" s="354" t="n">
        <v>37226</v>
      </c>
      <c r="H66" s="355" t="n">
        <v>37223</v>
      </c>
      <c r="I66" s="356" t="n">
        <v>37222</v>
      </c>
      <c r="J66" s="366" t="n">
        <f aca="false">WORKDAY(H66,1)</f>
        <v>37224</v>
      </c>
    </row>
    <row r="67" customFormat="false" ht="12.75" hidden="false" customHeight="false" outlineLevel="0" collapsed="false">
      <c r="A67" s="365"/>
      <c r="B67" s="363"/>
      <c r="C67" s="364"/>
      <c r="D67" s="362"/>
      <c r="E67" s="362"/>
      <c r="F67" s="332"/>
      <c r="G67" s="354" t="n">
        <v>37257</v>
      </c>
      <c r="H67" s="355" t="n">
        <v>37252</v>
      </c>
      <c r="I67" s="356" t="n">
        <v>37251</v>
      </c>
      <c r="J67" s="366" t="n">
        <f aca="false">WORKDAY(H67,1)</f>
        <v>37253</v>
      </c>
    </row>
    <row r="68" customFormat="false" ht="12.75" hidden="false" customHeight="false" outlineLevel="0" collapsed="false">
      <c r="A68" s="365"/>
      <c r="B68" s="363"/>
      <c r="C68" s="364"/>
      <c r="D68" s="362"/>
      <c r="E68" s="362"/>
      <c r="F68" s="332"/>
      <c r="G68" s="354" t="n">
        <v>37288</v>
      </c>
      <c r="H68" s="355" t="n">
        <v>37285</v>
      </c>
      <c r="I68" s="356" t="n">
        <v>37284</v>
      </c>
      <c r="J68" s="366" t="n">
        <f aca="false">WORKDAY(H68,1)</f>
        <v>37286</v>
      </c>
    </row>
    <row r="69" customFormat="false" ht="12.75" hidden="false" customHeight="false" outlineLevel="0" collapsed="false">
      <c r="A69" s="365"/>
      <c r="B69" s="363"/>
      <c r="C69" s="364"/>
      <c r="D69" s="362"/>
      <c r="E69" s="362"/>
      <c r="F69" s="332"/>
      <c r="G69" s="354" t="n">
        <v>37316</v>
      </c>
      <c r="H69" s="355" t="n">
        <v>37313</v>
      </c>
      <c r="I69" s="356" t="n">
        <v>37312</v>
      </c>
      <c r="J69" s="366" t="n">
        <f aca="false">WORKDAY(H69,1)</f>
        <v>37314</v>
      </c>
    </row>
    <row r="70" customFormat="false" ht="12.75" hidden="false" customHeight="false" outlineLevel="0" collapsed="false">
      <c r="A70" s="365"/>
      <c r="B70" s="363"/>
      <c r="C70" s="364"/>
      <c r="D70" s="362"/>
      <c r="E70" s="362"/>
      <c r="F70" s="332"/>
      <c r="G70" s="354" t="n">
        <v>37347</v>
      </c>
      <c r="H70" s="355" t="n">
        <v>37341</v>
      </c>
      <c r="I70" s="356" t="n">
        <v>37340</v>
      </c>
      <c r="J70" s="366" t="n">
        <f aca="false">WORKDAY(H70,1)</f>
        <v>37342</v>
      </c>
    </row>
    <row r="71" customFormat="false" ht="12.75" hidden="false" customHeight="false" outlineLevel="0" collapsed="false">
      <c r="A71" s="365"/>
      <c r="B71" s="363"/>
      <c r="C71" s="364"/>
      <c r="D71" s="362"/>
      <c r="E71" s="362"/>
      <c r="F71" s="332"/>
      <c r="G71" s="354" t="n">
        <v>37377</v>
      </c>
      <c r="H71" s="355" t="n">
        <v>37372</v>
      </c>
      <c r="I71" s="356" t="n">
        <v>37371</v>
      </c>
      <c r="J71" s="366" t="n">
        <f aca="false">WORKDAY(H71,1)</f>
        <v>37375</v>
      </c>
    </row>
    <row r="72" customFormat="false" ht="12.75" hidden="false" customHeight="false" outlineLevel="0" collapsed="false">
      <c r="A72" s="365"/>
      <c r="B72" s="363"/>
      <c r="C72" s="364"/>
      <c r="D72" s="362"/>
      <c r="E72" s="362"/>
      <c r="F72" s="332"/>
      <c r="G72" s="354" t="n">
        <v>37408</v>
      </c>
      <c r="H72" s="355" t="n">
        <v>37405</v>
      </c>
      <c r="I72" s="356" t="n">
        <v>37404</v>
      </c>
      <c r="J72" s="366" t="n">
        <f aca="false">WORKDAY(H72,1)</f>
        <v>37406</v>
      </c>
    </row>
    <row r="73" customFormat="false" ht="12.75" hidden="false" customHeight="false" outlineLevel="0" collapsed="false">
      <c r="A73" s="365"/>
      <c r="B73" s="363"/>
      <c r="C73" s="364"/>
      <c r="D73" s="362"/>
      <c r="E73" s="362"/>
      <c r="F73" s="332"/>
      <c r="G73" s="354" t="n">
        <v>37438</v>
      </c>
      <c r="H73" s="355" t="n">
        <v>37433</v>
      </c>
      <c r="I73" s="356" t="n">
        <v>37432</v>
      </c>
      <c r="J73" s="366" t="n">
        <f aca="false">WORKDAY(H73,1)</f>
        <v>37434</v>
      </c>
    </row>
    <row r="74" customFormat="false" ht="12.75" hidden="false" customHeight="false" outlineLevel="0" collapsed="false">
      <c r="A74" s="365"/>
      <c r="B74" s="363"/>
      <c r="C74" s="364"/>
      <c r="D74" s="362"/>
      <c r="E74" s="362"/>
      <c r="F74" s="332"/>
      <c r="G74" s="354" t="n">
        <v>37469</v>
      </c>
      <c r="H74" s="355" t="n">
        <v>37466</v>
      </c>
      <c r="I74" s="356" t="n">
        <v>37463</v>
      </c>
      <c r="J74" s="366" t="n">
        <f aca="false">WORKDAY(H74,1)</f>
        <v>37467</v>
      </c>
    </row>
    <row r="75" customFormat="false" ht="12.75" hidden="false" customHeight="false" outlineLevel="0" collapsed="false">
      <c r="A75" s="365"/>
      <c r="B75" s="363"/>
      <c r="C75" s="364"/>
      <c r="D75" s="362"/>
      <c r="E75" s="362"/>
      <c r="F75" s="332"/>
      <c r="G75" s="354" t="n">
        <v>37500</v>
      </c>
      <c r="H75" s="355" t="n">
        <v>37496</v>
      </c>
      <c r="I75" s="356" t="n">
        <v>37495</v>
      </c>
      <c r="J75" s="366" t="n">
        <f aca="false">WORKDAY(H75,1)</f>
        <v>37497</v>
      </c>
    </row>
    <row r="76" customFormat="false" ht="12.75" hidden="false" customHeight="false" outlineLevel="0" collapsed="false">
      <c r="A76" s="365"/>
      <c r="B76" s="363"/>
      <c r="C76" s="364"/>
      <c r="D76" s="362"/>
      <c r="E76" s="362"/>
      <c r="F76" s="332"/>
      <c r="G76" s="354" t="n">
        <v>37530</v>
      </c>
      <c r="H76" s="355" t="n">
        <v>37525</v>
      </c>
      <c r="I76" s="356" t="n">
        <v>37524</v>
      </c>
      <c r="J76" s="366" t="n">
        <f aca="false">WORKDAY(H76,1)</f>
        <v>37526</v>
      </c>
    </row>
    <row r="77" customFormat="false" ht="12.75" hidden="false" customHeight="false" outlineLevel="0" collapsed="false">
      <c r="A77" s="365"/>
      <c r="B77" s="363"/>
      <c r="C77" s="364"/>
      <c r="D77" s="362"/>
      <c r="E77" s="362"/>
      <c r="F77" s="332"/>
      <c r="G77" s="354" t="n">
        <v>37561</v>
      </c>
      <c r="H77" s="355" t="n">
        <v>37558</v>
      </c>
      <c r="I77" s="356" t="n">
        <v>37557</v>
      </c>
      <c r="J77" s="366" t="n">
        <f aca="false">WORKDAY(H77,1)</f>
        <v>37559</v>
      </c>
    </row>
    <row r="78" customFormat="false" ht="12.75" hidden="false" customHeight="false" outlineLevel="0" collapsed="false">
      <c r="A78" s="365"/>
      <c r="B78" s="363"/>
      <c r="C78" s="364"/>
      <c r="D78" s="362"/>
      <c r="E78" s="362"/>
      <c r="F78" s="332"/>
      <c r="G78" s="354" t="n">
        <v>37591</v>
      </c>
      <c r="H78" s="355" t="n">
        <v>37586</v>
      </c>
      <c r="I78" s="356" t="n">
        <v>37585</v>
      </c>
      <c r="J78" s="366" t="n">
        <f aca="false">WORKDAY(H78,1)</f>
        <v>37587</v>
      </c>
    </row>
    <row r="79" customFormat="false" ht="12.75" hidden="false" customHeight="false" outlineLevel="0" collapsed="false">
      <c r="A79" s="365"/>
      <c r="B79" s="363"/>
      <c r="C79" s="364"/>
      <c r="D79" s="362"/>
      <c r="E79" s="362"/>
      <c r="F79" s="332"/>
      <c r="G79" s="354" t="n">
        <v>37622</v>
      </c>
      <c r="H79" s="355" t="n">
        <v>37617</v>
      </c>
      <c r="I79" s="356" t="n">
        <v>37616</v>
      </c>
      <c r="J79" s="366" t="n">
        <f aca="false">WORKDAY(H79,1)</f>
        <v>37620</v>
      </c>
    </row>
    <row r="80" customFormat="false" ht="12.75" hidden="false" customHeight="false" outlineLevel="0" collapsed="false">
      <c r="A80" s="365"/>
      <c r="B80" s="363"/>
      <c r="C80" s="364"/>
      <c r="D80" s="362"/>
      <c r="E80" s="362"/>
      <c r="F80" s="332"/>
      <c r="G80" s="354" t="n">
        <v>37653</v>
      </c>
      <c r="H80" s="355" t="n">
        <v>37650</v>
      </c>
      <c r="I80" s="356" t="n">
        <v>37649</v>
      </c>
      <c r="J80" s="366" t="n">
        <f aca="false">WORKDAY(H80,1)</f>
        <v>37651</v>
      </c>
    </row>
    <row r="81" customFormat="false" ht="12.75" hidden="false" customHeight="false" outlineLevel="0" collapsed="false">
      <c r="A81" s="365"/>
      <c r="B81" s="363"/>
      <c r="C81" s="364"/>
      <c r="D81" s="362"/>
      <c r="E81" s="362"/>
      <c r="F81" s="332"/>
      <c r="G81" s="354" t="n">
        <v>37681</v>
      </c>
      <c r="H81" s="355" t="n">
        <v>37678</v>
      </c>
      <c r="I81" s="356" t="n">
        <v>37677</v>
      </c>
      <c r="J81" s="366" t="n">
        <f aca="false">WORKDAY(H81,1)</f>
        <v>37679</v>
      </c>
    </row>
    <row r="82" customFormat="false" ht="12.75" hidden="false" customHeight="false" outlineLevel="0" collapsed="false">
      <c r="A82" s="365"/>
      <c r="B82" s="363"/>
      <c r="C82" s="364"/>
      <c r="D82" s="362"/>
      <c r="E82" s="362"/>
      <c r="F82" s="332"/>
      <c r="G82" s="354" t="n">
        <v>37712</v>
      </c>
      <c r="H82" s="355" t="n">
        <v>37707</v>
      </c>
      <c r="I82" s="356" t="n">
        <v>37706</v>
      </c>
      <c r="J82" s="366" t="n">
        <f aca="false">WORKDAY(H82,1)</f>
        <v>37708</v>
      </c>
    </row>
    <row r="83" customFormat="false" ht="12.75" hidden="false" customHeight="false" outlineLevel="0" collapsed="false">
      <c r="A83" s="365"/>
      <c r="B83" s="363"/>
      <c r="C83" s="364"/>
      <c r="D83" s="362"/>
      <c r="E83" s="362"/>
      <c r="F83" s="332"/>
      <c r="G83" s="354" t="n">
        <v>37742</v>
      </c>
      <c r="H83" s="355" t="n">
        <v>37739</v>
      </c>
      <c r="I83" s="356" t="n">
        <v>37736</v>
      </c>
      <c r="J83" s="366" t="n">
        <f aca="false">WORKDAY(H83,1)</f>
        <v>37740</v>
      </c>
    </row>
    <row r="84" customFormat="false" ht="12.75" hidden="false" customHeight="false" outlineLevel="0" collapsed="false">
      <c r="A84" s="365"/>
      <c r="B84" s="363"/>
      <c r="C84" s="364"/>
      <c r="D84" s="362"/>
      <c r="E84" s="362"/>
      <c r="F84" s="332"/>
      <c r="G84" s="354" t="n">
        <v>37773</v>
      </c>
      <c r="H84" s="355" t="n">
        <v>37769</v>
      </c>
      <c r="I84" s="356" t="n">
        <v>37768</v>
      </c>
      <c r="J84" s="366" t="n">
        <f aca="false">WORKDAY(H84,1)</f>
        <v>37770</v>
      </c>
    </row>
    <row r="85" customFormat="false" ht="12.75" hidden="false" customHeight="false" outlineLevel="0" collapsed="false">
      <c r="A85" s="365"/>
      <c r="B85" s="363"/>
      <c r="C85" s="364"/>
      <c r="D85" s="362"/>
      <c r="E85" s="362"/>
      <c r="F85" s="332"/>
      <c r="G85" s="354" t="n">
        <v>37803</v>
      </c>
      <c r="H85" s="355" t="n">
        <v>37798</v>
      </c>
      <c r="I85" s="356" t="n">
        <v>37797</v>
      </c>
      <c r="J85" s="366" t="n">
        <f aca="false">WORKDAY(H85,1)</f>
        <v>37799</v>
      </c>
    </row>
    <row r="86" customFormat="false" ht="12.75" hidden="false" customHeight="false" outlineLevel="0" collapsed="false">
      <c r="A86" s="365"/>
      <c r="B86" s="363"/>
      <c r="C86" s="364"/>
      <c r="D86" s="362"/>
      <c r="E86" s="362"/>
      <c r="F86" s="332"/>
      <c r="G86" s="354" t="n">
        <v>37834</v>
      </c>
      <c r="H86" s="355" t="n">
        <v>37831</v>
      </c>
      <c r="I86" s="356" t="n">
        <v>37830</v>
      </c>
      <c r="J86" s="366" t="n">
        <f aca="false">WORKDAY(H86,1)</f>
        <v>37832</v>
      </c>
    </row>
    <row r="87" customFormat="false" ht="12.75" hidden="false" customHeight="false" outlineLevel="0" collapsed="false">
      <c r="A87" s="365"/>
      <c r="B87" s="363"/>
      <c r="C87" s="364"/>
      <c r="D87" s="362"/>
      <c r="E87" s="362"/>
      <c r="F87" s="332"/>
      <c r="G87" s="354" t="n">
        <v>37865</v>
      </c>
      <c r="H87" s="355" t="n">
        <v>37860</v>
      </c>
      <c r="I87" s="356" t="n">
        <v>37859</v>
      </c>
      <c r="J87" s="366" t="n">
        <f aca="false">WORKDAY(H87,1)</f>
        <v>37861</v>
      </c>
    </row>
    <row r="88" customFormat="false" ht="12.75" hidden="false" customHeight="false" outlineLevel="0" collapsed="false">
      <c r="A88" s="365"/>
      <c r="B88" s="363"/>
      <c r="C88" s="364"/>
      <c r="D88" s="362"/>
      <c r="E88" s="362"/>
      <c r="F88" s="332"/>
      <c r="G88" s="354" t="n">
        <v>37895</v>
      </c>
      <c r="H88" s="355" t="n">
        <v>37890</v>
      </c>
      <c r="I88" s="356" t="n">
        <v>37889</v>
      </c>
      <c r="J88" s="366" t="n">
        <f aca="false">WORKDAY(H88,1)</f>
        <v>37893</v>
      </c>
    </row>
    <row r="89" customFormat="false" ht="12.75" hidden="false" customHeight="false" outlineLevel="0" collapsed="false">
      <c r="A89" s="365"/>
      <c r="B89" s="363"/>
      <c r="C89" s="364"/>
      <c r="D89" s="362"/>
      <c r="E89" s="362"/>
      <c r="F89" s="332"/>
      <c r="G89" s="354" t="n">
        <v>37926</v>
      </c>
      <c r="H89" s="355" t="n">
        <v>37923</v>
      </c>
      <c r="I89" s="356" t="n">
        <v>37922</v>
      </c>
      <c r="J89" s="366" t="n">
        <f aca="false">WORKDAY(H89,1)</f>
        <v>37924</v>
      </c>
    </row>
    <row r="90" customFormat="false" ht="12.75" hidden="false" customHeight="false" outlineLevel="0" collapsed="false">
      <c r="A90" s="365"/>
      <c r="B90" s="363"/>
      <c r="C90" s="364"/>
      <c r="D90" s="362"/>
      <c r="E90" s="362"/>
      <c r="F90" s="332"/>
      <c r="G90" s="354" t="n">
        <v>37956</v>
      </c>
      <c r="H90" s="355" t="n">
        <v>37950</v>
      </c>
      <c r="I90" s="356" t="n">
        <v>37949</v>
      </c>
      <c r="J90" s="366" t="n">
        <f aca="false">WORKDAY(H90,1)</f>
        <v>37951</v>
      </c>
    </row>
    <row r="91" customFormat="false" ht="12.75" hidden="false" customHeight="false" outlineLevel="0" collapsed="false">
      <c r="A91" s="365"/>
      <c r="B91" s="363"/>
      <c r="C91" s="364"/>
      <c r="D91" s="362"/>
      <c r="E91" s="362"/>
      <c r="F91" s="332"/>
      <c r="G91" s="354" t="n">
        <v>37987</v>
      </c>
      <c r="H91" s="355" t="n">
        <v>37984</v>
      </c>
      <c r="I91" s="356" t="n">
        <v>37981</v>
      </c>
      <c r="J91" s="366" t="n">
        <f aca="false">WORKDAY(H91,1)</f>
        <v>37985</v>
      </c>
    </row>
    <row r="92" customFormat="false" ht="12.75" hidden="false" customHeight="false" outlineLevel="0" collapsed="false">
      <c r="A92" s="365"/>
      <c r="B92" s="363"/>
      <c r="C92" s="364"/>
      <c r="D92" s="362"/>
      <c r="E92" s="362"/>
      <c r="F92" s="332"/>
      <c r="G92" s="354" t="n">
        <v>38018</v>
      </c>
      <c r="H92" s="355" t="n">
        <v>38014</v>
      </c>
      <c r="I92" s="356" t="n">
        <v>38013</v>
      </c>
      <c r="J92" s="366" t="n">
        <f aca="false">WORKDAY(H92,1)</f>
        <v>38015</v>
      </c>
    </row>
    <row r="93" customFormat="false" ht="12.75" hidden="false" customHeight="false" outlineLevel="0" collapsed="false">
      <c r="A93" s="365"/>
      <c r="B93" s="363"/>
      <c r="C93" s="364"/>
      <c r="D93" s="362"/>
      <c r="E93" s="362"/>
      <c r="F93" s="332"/>
      <c r="G93" s="354" t="n">
        <v>38047</v>
      </c>
      <c r="H93" s="355" t="n">
        <v>38042</v>
      </c>
      <c r="I93" s="356" t="n">
        <v>38041</v>
      </c>
      <c r="J93" s="366" t="n">
        <f aca="false">WORKDAY(H93,1)</f>
        <v>38043</v>
      </c>
    </row>
    <row r="94" customFormat="false" ht="12.75" hidden="false" customHeight="false" outlineLevel="0" collapsed="false">
      <c r="A94" s="365"/>
      <c r="B94" s="363"/>
      <c r="C94" s="364"/>
      <c r="D94" s="362"/>
      <c r="E94" s="362"/>
      <c r="F94" s="332"/>
      <c r="G94" s="354" t="n">
        <v>38078</v>
      </c>
      <c r="H94" s="355" t="n">
        <v>38075</v>
      </c>
      <c r="I94" s="356" t="n">
        <v>38072</v>
      </c>
      <c r="J94" s="366" t="n">
        <f aca="false">WORKDAY(H94,1)</f>
        <v>38076</v>
      </c>
    </row>
    <row r="95" customFormat="false" ht="12.75" hidden="false" customHeight="false" outlineLevel="0" collapsed="false">
      <c r="A95" s="365"/>
      <c r="B95" s="363"/>
      <c r="C95" s="364"/>
      <c r="D95" s="362"/>
      <c r="E95" s="362"/>
      <c r="F95" s="332"/>
      <c r="G95" s="354" t="n">
        <v>38108</v>
      </c>
      <c r="H95" s="355" t="n">
        <v>38105</v>
      </c>
      <c r="I95" s="356" t="n">
        <v>38104</v>
      </c>
      <c r="J95" s="366" t="n">
        <f aca="false">WORKDAY(H95,1)</f>
        <v>38106</v>
      </c>
    </row>
    <row r="96" customFormat="false" ht="12.75" hidden="false" customHeight="false" outlineLevel="0" collapsed="false">
      <c r="A96" s="365"/>
      <c r="B96" s="363"/>
      <c r="C96" s="364"/>
      <c r="D96" s="362"/>
      <c r="E96" s="362"/>
      <c r="F96" s="332"/>
      <c r="G96" s="354" t="n">
        <v>38139</v>
      </c>
      <c r="H96" s="355" t="n">
        <v>38133</v>
      </c>
      <c r="I96" s="356" t="n">
        <v>38132</v>
      </c>
      <c r="J96" s="366" t="n">
        <f aca="false">WORKDAY(H96,1)</f>
        <v>38134</v>
      </c>
    </row>
    <row r="97" customFormat="false" ht="12.75" hidden="false" customHeight="false" outlineLevel="0" collapsed="false">
      <c r="A97" s="365"/>
      <c r="B97" s="363"/>
      <c r="C97" s="364"/>
      <c r="D97" s="362"/>
      <c r="E97" s="362"/>
      <c r="F97" s="332"/>
      <c r="G97" s="354" t="n">
        <v>38169</v>
      </c>
      <c r="H97" s="355" t="n">
        <v>38166</v>
      </c>
      <c r="I97" s="356" t="n">
        <v>38163</v>
      </c>
      <c r="J97" s="366" t="n">
        <f aca="false">WORKDAY(H97,1)</f>
        <v>38167</v>
      </c>
    </row>
    <row r="98" customFormat="false" ht="12.75" hidden="false" customHeight="false" outlineLevel="0" collapsed="false">
      <c r="A98" s="365"/>
      <c r="B98" s="363"/>
      <c r="C98" s="364"/>
      <c r="D98" s="362"/>
      <c r="E98" s="362"/>
      <c r="F98" s="332"/>
      <c r="G98" s="354" t="n">
        <v>38200</v>
      </c>
      <c r="H98" s="355" t="n">
        <v>38196</v>
      </c>
      <c r="I98" s="356" t="n">
        <v>38195</v>
      </c>
      <c r="J98" s="366" t="n">
        <f aca="false">WORKDAY(H98,1)</f>
        <v>38197</v>
      </c>
    </row>
    <row r="99" customFormat="false" ht="12.75" hidden="false" customHeight="false" outlineLevel="0" collapsed="false">
      <c r="A99" s="365"/>
      <c r="B99" s="363"/>
      <c r="C99" s="364"/>
      <c r="D99" s="362"/>
      <c r="E99" s="362"/>
      <c r="F99" s="332"/>
      <c r="G99" s="354" t="n">
        <v>38231</v>
      </c>
      <c r="H99" s="355" t="n">
        <v>38226</v>
      </c>
      <c r="I99" s="356" t="n">
        <v>38225</v>
      </c>
      <c r="J99" s="366" t="n">
        <f aca="false">WORKDAY(H99,1)</f>
        <v>38229</v>
      </c>
    </row>
    <row r="100" customFormat="false" ht="12.75" hidden="false" customHeight="false" outlineLevel="0" collapsed="false">
      <c r="A100" s="365"/>
      <c r="B100" s="363"/>
      <c r="C100" s="364"/>
      <c r="D100" s="362"/>
      <c r="E100" s="362"/>
      <c r="F100" s="332"/>
      <c r="G100" s="354" t="n">
        <v>38261</v>
      </c>
      <c r="H100" s="355" t="n">
        <v>38258</v>
      </c>
      <c r="I100" s="356" t="n">
        <v>38257</v>
      </c>
      <c r="J100" s="366" t="n">
        <f aca="false">WORKDAY(H100,1)</f>
        <v>38259</v>
      </c>
    </row>
    <row r="101" customFormat="false" ht="12.75" hidden="false" customHeight="false" outlineLevel="0" collapsed="false">
      <c r="A101" s="365"/>
      <c r="B101" s="363"/>
      <c r="C101" s="364"/>
      <c r="D101" s="362"/>
      <c r="E101" s="362"/>
      <c r="F101" s="332"/>
      <c r="G101" s="354" t="n">
        <v>38292</v>
      </c>
      <c r="H101" s="355" t="n">
        <v>38287</v>
      </c>
      <c r="I101" s="356" t="n">
        <v>38286</v>
      </c>
      <c r="J101" s="366" t="n">
        <f aca="false">WORKDAY(H101,1)</f>
        <v>38288</v>
      </c>
    </row>
    <row r="102" customFormat="false" ht="12.75" hidden="false" customHeight="false" outlineLevel="0" collapsed="false">
      <c r="A102" s="365"/>
      <c r="B102" s="363"/>
      <c r="C102" s="364"/>
      <c r="D102" s="362"/>
      <c r="E102" s="362"/>
      <c r="F102" s="332"/>
      <c r="G102" s="354" t="n">
        <v>38322</v>
      </c>
      <c r="H102" s="355" t="n">
        <v>38317</v>
      </c>
      <c r="I102" s="356" t="n">
        <v>38315</v>
      </c>
      <c r="J102" s="366" t="n">
        <f aca="false">WORKDAY(H102,1)</f>
        <v>38320</v>
      </c>
    </row>
    <row r="103" customFormat="false" ht="12.75" hidden="false" customHeight="false" outlineLevel="0" collapsed="false">
      <c r="A103" s="365"/>
      <c r="B103" s="363"/>
      <c r="C103" s="364"/>
      <c r="D103" s="362"/>
      <c r="E103" s="362"/>
      <c r="F103" s="332"/>
      <c r="G103" s="354" t="n">
        <v>38353</v>
      </c>
      <c r="H103" s="355" t="n">
        <v>38349</v>
      </c>
      <c r="I103" s="356" t="n">
        <v>38348</v>
      </c>
      <c r="J103" s="366" t="n">
        <f aca="false">WORKDAY(H103,1)</f>
        <v>38350</v>
      </c>
    </row>
    <row r="104" customFormat="false" ht="12.75" hidden="false" customHeight="false" outlineLevel="0" collapsed="false">
      <c r="A104" s="365"/>
      <c r="B104" s="363"/>
      <c r="C104" s="364"/>
      <c r="D104" s="362"/>
      <c r="E104" s="362"/>
      <c r="F104" s="332"/>
      <c r="G104" s="354" t="n">
        <v>38384</v>
      </c>
      <c r="H104" s="355" t="n">
        <v>38379</v>
      </c>
      <c r="I104" s="356" t="n">
        <v>38378</v>
      </c>
      <c r="J104" s="366" t="n">
        <f aca="false">WORKDAY(H104,1)</f>
        <v>38380</v>
      </c>
    </row>
    <row r="105" customFormat="false" ht="12.75" hidden="false" customHeight="false" outlineLevel="0" collapsed="false">
      <c r="A105" s="365"/>
      <c r="B105" s="363"/>
      <c r="C105" s="364"/>
      <c r="D105" s="362"/>
      <c r="E105" s="362"/>
      <c r="F105" s="332"/>
      <c r="G105" s="354" t="n">
        <v>38412</v>
      </c>
      <c r="H105" s="355" t="n">
        <v>38407</v>
      </c>
      <c r="I105" s="356" t="n">
        <v>38406</v>
      </c>
      <c r="J105" s="366" t="n">
        <f aca="false">WORKDAY(H105,1)</f>
        <v>38408</v>
      </c>
    </row>
    <row r="106" customFormat="false" ht="12.75" hidden="false" customHeight="false" outlineLevel="0" collapsed="false">
      <c r="A106" s="365"/>
      <c r="B106" s="363"/>
      <c r="C106" s="364"/>
      <c r="D106" s="362"/>
      <c r="E106" s="362"/>
      <c r="F106" s="332"/>
      <c r="G106" s="354" t="n">
        <v>38443</v>
      </c>
      <c r="H106" s="355" t="n">
        <v>38440</v>
      </c>
      <c r="I106" s="356" t="n">
        <v>38439</v>
      </c>
      <c r="J106" s="366" t="n">
        <f aca="false">WORKDAY(H106,1)</f>
        <v>38441</v>
      </c>
    </row>
    <row r="107" customFormat="false" ht="12.75" hidden="false" customHeight="false" outlineLevel="0" collapsed="false">
      <c r="A107" s="365"/>
      <c r="B107" s="363"/>
      <c r="C107" s="364"/>
      <c r="D107" s="362"/>
      <c r="E107" s="362"/>
      <c r="F107" s="332"/>
      <c r="G107" s="354" t="n">
        <v>38473</v>
      </c>
      <c r="H107" s="355" t="n">
        <v>38469</v>
      </c>
      <c r="I107" s="356" t="n">
        <v>38468</v>
      </c>
      <c r="J107" s="366" t="n">
        <f aca="false">WORKDAY(H107,1)</f>
        <v>38470</v>
      </c>
    </row>
    <row r="108" customFormat="false" ht="12.75" hidden="false" customHeight="false" outlineLevel="0" collapsed="false">
      <c r="A108" s="365"/>
      <c r="B108" s="363"/>
      <c r="C108" s="364"/>
      <c r="D108" s="362"/>
      <c r="E108" s="362"/>
      <c r="F108" s="332"/>
      <c r="G108" s="354" t="n">
        <v>38504</v>
      </c>
      <c r="H108" s="355" t="n">
        <v>38498</v>
      </c>
      <c r="I108" s="356" t="n">
        <v>38497</v>
      </c>
      <c r="J108" s="366" t="n">
        <f aca="false">WORKDAY(H108,1)</f>
        <v>38499</v>
      </c>
    </row>
    <row r="109" customFormat="false" ht="12.75" hidden="false" customHeight="false" outlineLevel="0" collapsed="false">
      <c r="A109" s="365"/>
      <c r="B109" s="363"/>
      <c r="C109" s="364"/>
      <c r="D109" s="362"/>
      <c r="E109" s="362"/>
      <c r="F109" s="332"/>
      <c r="G109" s="354" t="n">
        <v>38534</v>
      </c>
      <c r="H109" s="355" t="n">
        <v>38531</v>
      </c>
      <c r="I109" s="356" t="n">
        <v>38530</v>
      </c>
      <c r="J109" s="366" t="n">
        <f aca="false">WORKDAY(H109,1)</f>
        <v>38532</v>
      </c>
    </row>
    <row r="110" customFormat="false" ht="12.75" hidden="false" customHeight="false" outlineLevel="0" collapsed="false">
      <c r="A110" s="365"/>
      <c r="B110" s="363"/>
      <c r="C110" s="364"/>
      <c r="D110" s="362"/>
      <c r="E110" s="362"/>
      <c r="F110" s="332"/>
      <c r="G110" s="354" t="n">
        <v>38565</v>
      </c>
      <c r="H110" s="355" t="n">
        <v>38560</v>
      </c>
      <c r="I110" s="356" t="n">
        <v>38559</v>
      </c>
      <c r="J110" s="366" t="n">
        <f aca="false">WORKDAY(H110,1)</f>
        <v>38561</v>
      </c>
    </row>
    <row r="111" customFormat="false" ht="12.75" hidden="false" customHeight="false" outlineLevel="0" collapsed="false">
      <c r="A111" s="365"/>
      <c r="B111" s="363"/>
      <c r="C111" s="364"/>
      <c r="D111" s="362"/>
      <c r="E111" s="362"/>
      <c r="F111" s="332"/>
      <c r="G111" s="354" t="n">
        <v>38596</v>
      </c>
      <c r="H111" s="355" t="n">
        <v>38593</v>
      </c>
      <c r="I111" s="356" t="n">
        <v>38590</v>
      </c>
      <c r="J111" s="366" t="n">
        <f aca="false">WORKDAY(H111,1)</f>
        <v>38594</v>
      </c>
    </row>
    <row r="112" customFormat="false" ht="12.75" hidden="false" customHeight="false" outlineLevel="0" collapsed="false">
      <c r="A112" s="365"/>
      <c r="B112" s="363"/>
      <c r="C112" s="364"/>
      <c r="D112" s="362"/>
      <c r="E112" s="362"/>
      <c r="F112" s="332"/>
      <c r="G112" s="354" t="n">
        <v>38626</v>
      </c>
      <c r="H112" s="355" t="n">
        <v>38623</v>
      </c>
      <c r="I112" s="356" t="n">
        <v>38622</v>
      </c>
      <c r="J112" s="366" t="n">
        <f aca="false">WORKDAY(H112,1)</f>
        <v>38624</v>
      </c>
    </row>
    <row r="113" customFormat="false" ht="12.75" hidden="false" customHeight="false" outlineLevel="0" collapsed="false">
      <c r="A113" s="365"/>
      <c r="B113" s="363"/>
      <c r="C113" s="364"/>
      <c r="D113" s="362"/>
      <c r="E113" s="362"/>
      <c r="F113" s="332"/>
      <c r="G113" s="354" t="n">
        <v>38657</v>
      </c>
      <c r="H113" s="355" t="n">
        <v>38652</v>
      </c>
      <c r="I113" s="356" t="n">
        <v>38651</v>
      </c>
      <c r="J113" s="366" t="n">
        <f aca="false">WORKDAY(H113,1)</f>
        <v>38653</v>
      </c>
    </row>
    <row r="114" customFormat="false" ht="12.75" hidden="false" customHeight="false" outlineLevel="0" collapsed="false">
      <c r="A114" s="365"/>
      <c r="B114" s="363"/>
      <c r="C114" s="364"/>
      <c r="D114" s="362"/>
      <c r="E114" s="362"/>
      <c r="F114" s="332"/>
      <c r="G114" s="354" t="n">
        <v>38687</v>
      </c>
      <c r="H114" s="355" t="n">
        <v>38684</v>
      </c>
      <c r="I114" s="356" t="n">
        <v>38681</v>
      </c>
      <c r="J114" s="366" t="n">
        <f aca="false">WORKDAY(H114,1)</f>
        <v>38685</v>
      </c>
    </row>
    <row r="115" customFormat="false" ht="12.75" hidden="false" customHeight="false" outlineLevel="0" collapsed="false">
      <c r="A115" s="365"/>
      <c r="B115" s="363"/>
      <c r="C115" s="364"/>
      <c r="D115" s="362"/>
      <c r="E115" s="362"/>
      <c r="F115" s="332"/>
      <c r="G115" s="354" t="n">
        <v>38718</v>
      </c>
      <c r="H115" s="355" t="n">
        <v>38714</v>
      </c>
      <c r="I115" s="356" t="n">
        <v>38713</v>
      </c>
      <c r="J115" s="366" t="n">
        <f aca="false">WORKDAY(H115,1)</f>
        <v>38715</v>
      </c>
    </row>
    <row r="116" customFormat="false" ht="12.75" hidden="false" customHeight="false" outlineLevel="0" collapsed="false">
      <c r="A116" s="365"/>
      <c r="B116" s="363"/>
      <c r="C116" s="364"/>
      <c r="D116" s="362"/>
      <c r="E116" s="362"/>
      <c r="F116" s="332"/>
      <c r="G116" s="354" t="n">
        <v>38749</v>
      </c>
      <c r="H116" s="355" t="n">
        <v>38744</v>
      </c>
      <c r="I116" s="356" t="n">
        <v>38743</v>
      </c>
      <c r="J116" s="366" t="n">
        <f aca="false">WORKDAY(H116,1)</f>
        <v>38747</v>
      </c>
    </row>
    <row r="117" customFormat="false" ht="12.75" hidden="false" customHeight="false" outlineLevel="0" collapsed="false">
      <c r="A117" s="365"/>
      <c r="B117" s="363"/>
      <c r="C117" s="364"/>
      <c r="D117" s="362"/>
      <c r="E117" s="362"/>
      <c r="F117" s="332"/>
      <c r="G117" s="354" t="n">
        <v>38777</v>
      </c>
      <c r="H117" s="355" t="n">
        <v>38772</v>
      </c>
      <c r="I117" s="356" t="n">
        <v>38771</v>
      </c>
      <c r="J117" s="366" t="n">
        <f aca="false">WORKDAY(H117,1)</f>
        <v>38775</v>
      </c>
    </row>
    <row r="118" customFormat="false" ht="12.75" hidden="false" customHeight="false" outlineLevel="0" collapsed="false">
      <c r="A118" s="365"/>
      <c r="B118" s="363"/>
      <c r="C118" s="364"/>
      <c r="D118" s="362"/>
      <c r="E118" s="362"/>
      <c r="F118" s="332"/>
      <c r="G118" s="354" t="n">
        <v>38808</v>
      </c>
      <c r="H118" s="355" t="n">
        <v>38805</v>
      </c>
      <c r="I118" s="356" t="n">
        <v>38804</v>
      </c>
      <c r="J118" s="366" t="n">
        <f aca="false">WORKDAY(H118,1)</f>
        <v>38806</v>
      </c>
    </row>
    <row r="119" customFormat="false" ht="12.75" hidden="false" customHeight="false" outlineLevel="0" collapsed="false">
      <c r="A119" s="365"/>
      <c r="B119" s="363"/>
      <c r="C119" s="364"/>
      <c r="D119" s="362"/>
      <c r="E119" s="362"/>
      <c r="F119" s="332"/>
      <c r="G119" s="354" t="n">
        <v>38838</v>
      </c>
      <c r="H119" s="355" t="n">
        <v>38833</v>
      </c>
      <c r="I119" s="356" t="n">
        <v>38832</v>
      </c>
      <c r="J119" s="366" t="n">
        <f aca="false">WORKDAY(H119,1)</f>
        <v>38834</v>
      </c>
    </row>
    <row r="120" customFormat="false" ht="12.75" hidden="false" customHeight="false" outlineLevel="0" collapsed="false">
      <c r="A120" s="365"/>
      <c r="B120" s="363"/>
      <c r="C120" s="364"/>
      <c r="D120" s="362"/>
      <c r="E120" s="362"/>
      <c r="F120" s="332"/>
      <c r="G120" s="354" t="n">
        <v>38869</v>
      </c>
      <c r="H120" s="355" t="n">
        <v>38863</v>
      </c>
      <c r="I120" s="356" t="n">
        <v>38862</v>
      </c>
      <c r="J120" s="366" t="n">
        <f aca="false">WORKDAY(H120,1)</f>
        <v>38866</v>
      </c>
    </row>
    <row r="121" customFormat="false" ht="12.75" hidden="false" customHeight="false" outlineLevel="0" collapsed="false">
      <c r="A121" s="365"/>
      <c r="B121" s="363"/>
      <c r="C121" s="364"/>
      <c r="D121" s="362"/>
      <c r="E121" s="362"/>
      <c r="F121" s="332"/>
      <c r="G121" s="354" t="n">
        <v>38899</v>
      </c>
      <c r="H121" s="355" t="n">
        <v>38896</v>
      </c>
      <c r="I121" s="356" t="n">
        <v>38895</v>
      </c>
      <c r="J121" s="366" t="n">
        <f aca="false">WORKDAY(H121,1)</f>
        <v>38897</v>
      </c>
    </row>
    <row r="122" customFormat="false" ht="12.75" hidden="false" customHeight="false" outlineLevel="0" collapsed="false">
      <c r="A122" s="365"/>
      <c r="B122" s="363"/>
      <c r="C122" s="364"/>
      <c r="D122" s="362"/>
      <c r="E122" s="362"/>
      <c r="F122" s="332"/>
      <c r="G122" s="354" t="n">
        <v>38930</v>
      </c>
      <c r="H122" s="355" t="n">
        <v>38925</v>
      </c>
      <c r="I122" s="356" t="n">
        <v>38924</v>
      </c>
      <c r="J122" s="366" t="n">
        <f aca="false">WORKDAY(H122,1)</f>
        <v>38926</v>
      </c>
    </row>
    <row r="123" customFormat="false" ht="12.75" hidden="false" customHeight="false" outlineLevel="0" collapsed="false">
      <c r="A123" s="365"/>
      <c r="B123" s="363"/>
      <c r="C123" s="364"/>
      <c r="D123" s="362"/>
      <c r="E123" s="362"/>
      <c r="F123" s="332"/>
      <c r="G123" s="354" t="n">
        <v>38961</v>
      </c>
      <c r="H123" s="355" t="n">
        <v>38958</v>
      </c>
      <c r="I123" s="356" t="n">
        <v>38957</v>
      </c>
      <c r="J123" s="366" t="n">
        <f aca="false">WORKDAY(H123,1)</f>
        <v>38959</v>
      </c>
    </row>
    <row r="124" customFormat="false" ht="12.75" hidden="false" customHeight="false" outlineLevel="0" collapsed="false">
      <c r="A124" s="365"/>
      <c r="B124" s="363"/>
      <c r="C124" s="364"/>
      <c r="D124" s="362"/>
      <c r="E124" s="362"/>
      <c r="F124" s="332"/>
      <c r="G124" s="354" t="n">
        <v>38991</v>
      </c>
      <c r="H124" s="355" t="n">
        <v>38987</v>
      </c>
      <c r="I124" s="356" t="n">
        <v>38986</v>
      </c>
      <c r="J124" s="366" t="n">
        <f aca="false">WORKDAY(H124,1)</f>
        <v>38988</v>
      </c>
    </row>
    <row r="125" customFormat="false" ht="12.75" hidden="false" customHeight="false" outlineLevel="0" collapsed="false">
      <c r="A125" s="365"/>
      <c r="B125" s="363"/>
      <c r="C125" s="364"/>
      <c r="D125" s="362"/>
      <c r="E125" s="362"/>
      <c r="F125" s="332"/>
      <c r="G125" s="354" t="n">
        <v>39022</v>
      </c>
      <c r="H125" s="355" t="n">
        <v>39017</v>
      </c>
      <c r="I125" s="356" t="n">
        <v>39016</v>
      </c>
      <c r="J125" s="366" t="n">
        <f aca="false">WORKDAY(H125,1)</f>
        <v>39020</v>
      </c>
    </row>
    <row r="126" customFormat="false" ht="12.75" hidden="false" customHeight="false" outlineLevel="0" collapsed="false">
      <c r="A126" s="365"/>
      <c r="B126" s="363"/>
      <c r="C126" s="364"/>
      <c r="D126" s="362"/>
      <c r="E126" s="362"/>
      <c r="F126" s="332"/>
      <c r="G126" s="354" t="n">
        <v>39052</v>
      </c>
      <c r="H126" s="355" t="n">
        <v>39049</v>
      </c>
      <c r="I126" s="356" t="n">
        <v>39048</v>
      </c>
      <c r="J126" s="366" t="n">
        <f aca="false">WORKDAY(H126,1)</f>
        <v>39050</v>
      </c>
    </row>
    <row r="127" customFormat="false" ht="12.75" hidden="false" customHeight="false" outlineLevel="0" collapsed="false">
      <c r="A127" s="365"/>
      <c r="B127" s="363"/>
      <c r="C127" s="364"/>
      <c r="D127" s="362"/>
      <c r="E127" s="362"/>
      <c r="F127" s="332"/>
      <c r="G127" s="354" t="n">
        <v>39083</v>
      </c>
      <c r="H127" s="355" t="n">
        <v>39078</v>
      </c>
      <c r="I127" s="356" t="n">
        <v>39077</v>
      </c>
      <c r="J127" s="366" t="n">
        <f aca="false">WORKDAY(H127,1)</f>
        <v>39079</v>
      </c>
    </row>
    <row r="128" customFormat="false" ht="12.75" hidden="false" customHeight="false" outlineLevel="0" collapsed="false">
      <c r="A128" s="365"/>
      <c r="B128" s="363"/>
      <c r="C128" s="364"/>
      <c r="D128" s="362"/>
      <c r="E128" s="362"/>
      <c r="F128" s="332"/>
      <c r="G128" s="354" t="n">
        <v>39114</v>
      </c>
      <c r="H128" s="355" t="n">
        <v>39111</v>
      </c>
      <c r="I128" s="356" t="n">
        <v>39108</v>
      </c>
      <c r="J128" s="366" t="n">
        <f aca="false">WORKDAY(H128,1)</f>
        <v>39112</v>
      </c>
    </row>
    <row r="129" customFormat="false" ht="12.75" hidden="false" customHeight="false" outlineLevel="0" collapsed="false">
      <c r="A129" s="365"/>
      <c r="B129" s="363"/>
      <c r="C129" s="364"/>
      <c r="D129" s="362"/>
      <c r="E129" s="362"/>
      <c r="F129" s="332"/>
      <c r="G129" s="354" t="n">
        <v>39142</v>
      </c>
      <c r="H129" s="355" t="n">
        <v>39139</v>
      </c>
      <c r="I129" s="356" t="n">
        <v>39136</v>
      </c>
      <c r="J129" s="366" t="n">
        <f aca="false">WORKDAY(H129,1)</f>
        <v>39140</v>
      </c>
    </row>
    <row r="130" customFormat="false" ht="12.75" hidden="false" customHeight="false" outlineLevel="0" collapsed="false">
      <c r="A130" s="365"/>
      <c r="B130" s="363"/>
      <c r="C130" s="364"/>
      <c r="D130" s="362"/>
      <c r="E130" s="362"/>
      <c r="F130" s="332"/>
      <c r="G130" s="354" t="n">
        <v>39173</v>
      </c>
      <c r="H130" s="355" t="n">
        <v>39169</v>
      </c>
      <c r="I130" s="356" t="n">
        <v>39168</v>
      </c>
      <c r="J130" s="366" t="n">
        <f aca="false">WORKDAY(H130,1)</f>
        <v>39170</v>
      </c>
    </row>
    <row r="131" customFormat="false" ht="12.75" hidden="false" customHeight="false" outlineLevel="0" collapsed="false">
      <c r="A131" s="365"/>
      <c r="B131" s="363"/>
      <c r="C131" s="364"/>
      <c r="D131" s="362"/>
      <c r="E131" s="362"/>
      <c r="F131" s="332"/>
      <c r="G131" s="354" t="n">
        <v>39203</v>
      </c>
      <c r="H131" s="355" t="n">
        <v>39198</v>
      </c>
      <c r="I131" s="356" t="n">
        <v>39197</v>
      </c>
      <c r="J131" s="366" t="n">
        <f aca="false">WORKDAY(H131,1)</f>
        <v>39199</v>
      </c>
    </row>
    <row r="132" customFormat="false" ht="12.75" hidden="false" customHeight="false" outlineLevel="0" collapsed="false">
      <c r="A132" s="365"/>
      <c r="B132" s="363"/>
      <c r="C132" s="364"/>
      <c r="D132" s="362"/>
      <c r="E132" s="362"/>
      <c r="F132" s="332"/>
      <c r="G132" s="354" t="n">
        <v>39234</v>
      </c>
      <c r="H132" s="355" t="n">
        <v>39231</v>
      </c>
      <c r="I132" s="356" t="n">
        <v>39227</v>
      </c>
      <c r="J132" s="366" t="n">
        <f aca="false">WORKDAY(H132,1)</f>
        <v>39232</v>
      </c>
    </row>
    <row r="133" customFormat="false" ht="12.75" hidden="false" customHeight="false" outlineLevel="0" collapsed="false">
      <c r="A133" s="365"/>
      <c r="B133" s="363"/>
      <c r="C133" s="364"/>
      <c r="D133" s="362"/>
      <c r="E133" s="362"/>
      <c r="F133" s="332"/>
      <c r="G133" s="354" t="n">
        <v>39264</v>
      </c>
      <c r="H133" s="355" t="n">
        <v>39260</v>
      </c>
      <c r="I133" s="356" t="n">
        <v>39259</v>
      </c>
      <c r="J133" s="366" t="n">
        <f aca="false">WORKDAY(H133,1)</f>
        <v>39261</v>
      </c>
    </row>
    <row r="134" customFormat="false" ht="12.75" hidden="false" customHeight="false" outlineLevel="0" collapsed="false">
      <c r="A134" s="365"/>
      <c r="B134" s="363"/>
      <c r="C134" s="364"/>
      <c r="D134" s="362"/>
      <c r="E134" s="362"/>
      <c r="F134" s="332"/>
      <c r="G134" s="354" t="n">
        <v>39295</v>
      </c>
      <c r="H134" s="355" t="n">
        <v>39290</v>
      </c>
      <c r="I134" s="356" t="n">
        <v>39289</v>
      </c>
      <c r="J134" s="366" t="n">
        <f aca="false">WORKDAY(H134,1)</f>
        <v>39293</v>
      </c>
    </row>
    <row r="135" customFormat="false" ht="12.75" hidden="false" customHeight="false" outlineLevel="0" collapsed="false">
      <c r="A135" s="365"/>
      <c r="B135" s="363"/>
      <c r="C135" s="364"/>
      <c r="D135" s="362"/>
      <c r="E135" s="362"/>
      <c r="F135" s="332"/>
      <c r="G135" s="354" t="n">
        <v>39326</v>
      </c>
      <c r="H135" s="355" t="n">
        <v>39323</v>
      </c>
      <c r="I135" s="356" t="n">
        <v>39322</v>
      </c>
      <c r="J135" s="366" t="n">
        <f aca="false">WORKDAY(H135,1)</f>
        <v>39324</v>
      </c>
    </row>
    <row r="136" customFormat="false" ht="12.75" hidden="false" customHeight="false" outlineLevel="0" collapsed="false">
      <c r="A136" s="365"/>
      <c r="B136" s="363"/>
      <c r="C136" s="364"/>
      <c r="D136" s="362"/>
      <c r="E136" s="362"/>
      <c r="F136" s="332"/>
      <c r="G136" s="354" t="n">
        <v>39356</v>
      </c>
      <c r="H136" s="355" t="n">
        <v>39351</v>
      </c>
      <c r="I136" s="356" t="n">
        <v>39350</v>
      </c>
      <c r="J136" s="366" t="n">
        <f aca="false">WORKDAY(H136,1)</f>
        <v>39352</v>
      </c>
    </row>
    <row r="137" customFormat="false" ht="12.75" hidden="false" customHeight="false" outlineLevel="0" collapsed="false">
      <c r="A137" s="365"/>
      <c r="B137" s="363"/>
      <c r="C137" s="364"/>
      <c r="D137" s="362"/>
      <c r="E137" s="362"/>
      <c r="F137" s="332"/>
      <c r="G137" s="354" t="n">
        <v>39387</v>
      </c>
      <c r="H137" s="355" t="n">
        <v>39384</v>
      </c>
      <c r="I137" s="356" t="n">
        <v>39381</v>
      </c>
      <c r="J137" s="366" t="n">
        <f aca="false">WORKDAY(H137,1)</f>
        <v>39385</v>
      </c>
    </row>
    <row r="138" customFormat="false" ht="12.75" hidden="false" customHeight="false" outlineLevel="0" collapsed="false">
      <c r="A138" s="365"/>
      <c r="B138" s="363"/>
      <c r="C138" s="364"/>
      <c r="D138" s="362"/>
      <c r="E138" s="362"/>
      <c r="F138" s="332"/>
      <c r="G138" s="354" t="n">
        <v>39417</v>
      </c>
      <c r="H138" s="355" t="n">
        <v>39414</v>
      </c>
      <c r="I138" s="356" t="n">
        <v>39413</v>
      </c>
      <c r="J138" s="366" t="n">
        <f aca="false">WORKDAY(H138,1)</f>
        <v>39415</v>
      </c>
    </row>
    <row r="139" customFormat="false" ht="12.75" hidden="false" customHeight="false" outlineLevel="0" collapsed="false">
      <c r="A139" s="365"/>
      <c r="B139" s="363"/>
      <c r="C139" s="364"/>
      <c r="D139" s="362"/>
      <c r="E139" s="362"/>
      <c r="F139" s="332"/>
      <c r="G139" s="354" t="n">
        <v>39448</v>
      </c>
      <c r="H139" s="355" t="n">
        <v>39443</v>
      </c>
      <c r="I139" s="356" t="n">
        <v>39442</v>
      </c>
      <c r="J139" s="366" t="n">
        <f aca="false">WORKDAY(H139,1)</f>
        <v>39444</v>
      </c>
    </row>
    <row r="140" customFormat="false" ht="12.75" hidden="false" customHeight="false" outlineLevel="0" collapsed="false">
      <c r="A140" s="365"/>
      <c r="B140" s="363"/>
      <c r="C140" s="364"/>
      <c r="D140" s="362"/>
      <c r="E140" s="362"/>
      <c r="F140" s="332"/>
      <c r="G140" s="354" t="n">
        <v>39479</v>
      </c>
      <c r="H140" s="355" t="n">
        <v>39476</v>
      </c>
      <c r="I140" s="356" t="n">
        <v>39475</v>
      </c>
      <c r="J140" s="366" t="n">
        <f aca="false">WORKDAY(H140,1)</f>
        <v>39477</v>
      </c>
    </row>
    <row r="141" customFormat="false" ht="12.75" hidden="false" customHeight="false" outlineLevel="0" collapsed="false">
      <c r="A141" s="365"/>
      <c r="B141" s="363"/>
      <c r="C141" s="364"/>
      <c r="D141" s="362"/>
      <c r="E141" s="362"/>
      <c r="F141" s="332"/>
      <c r="G141" s="354" t="n">
        <v>39508</v>
      </c>
      <c r="H141" s="355" t="n">
        <v>39505</v>
      </c>
      <c r="I141" s="356" t="n">
        <v>39504</v>
      </c>
      <c r="J141" s="366" t="n">
        <f aca="false">WORKDAY(H141,1)</f>
        <v>39506</v>
      </c>
    </row>
    <row r="142" customFormat="false" ht="12.75" hidden="false" customHeight="false" outlineLevel="0" collapsed="false">
      <c r="A142" s="365"/>
      <c r="B142" s="363"/>
      <c r="C142" s="364"/>
      <c r="D142" s="362"/>
      <c r="E142" s="362"/>
      <c r="F142" s="332"/>
      <c r="G142" s="354" t="n">
        <v>39539</v>
      </c>
      <c r="H142" s="355" t="n">
        <v>39534</v>
      </c>
      <c r="I142" s="356" t="n">
        <v>39533</v>
      </c>
      <c r="J142" s="366" t="n">
        <f aca="false">WORKDAY(H142,1)</f>
        <v>39535</v>
      </c>
    </row>
    <row r="143" customFormat="false" ht="12.75" hidden="false" customHeight="false" outlineLevel="0" collapsed="false">
      <c r="A143" s="365"/>
      <c r="B143" s="363"/>
      <c r="C143" s="364"/>
      <c r="D143" s="362"/>
      <c r="E143" s="362"/>
      <c r="F143" s="332"/>
      <c r="G143" s="354" t="n">
        <v>39569</v>
      </c>
      <c r="H143" s="355" t="n">
        <v>39566</v>
      </c>
      <c r="I143" s="356" t="n">
        <v>39563</v>
      </c>
      <c r="J143" s="366" t="n">
        <f aca="false">WORKDAY(H143,1)</f>
        <v>39567</v>
      </c>
    </row>
    <row r="144" customFormat="false" ht="12.75" hidden="false" customHeight="false" outlineLevel="0" collapsed="false">
      <c r="A144" s="365"/>
      <c r="B144" s="363"/>
      <c r="C144" s="364"/>
      <c r="D144" s="362"/>
      <c r="E144" s="362"/>
      <c r="F144" s="332"/>
      <c r="G144" s="354" t="n">
        <v>39600</v>
      </c>
      <c r="H144" s="355" t="n">
        <v>39596</v>
      </c>
      <c r="I144" s="356" t="n">
        <v>39595</v>
      </c>
      <c r="J144" s="366" t="n">
        <f aca="false">WORKDAY(H144,1)</f>
        <v>39597</v>
      </c>
    </row>
    <row r="145" customFormat="false" ht="12.75" hidden="false" customHeight="false" outlineLevel="0" collapsed="false">
      <c r="A145" s="365"/>
      <c r="B145" s="363"/>
      <c r="C145" s="364"/>
      <c r="D145" s="362"/>
      <c r="E145" s="362"/>
      <c r="F145" s="332"/>
      <c r="G145" s="354" t="n">
        <v>39630</v>
      </c>
      <c r="H145" s="355" t="n">
        <v>39625</v>
      </c>
      <c r="I145" s="356" t="n">
        <v>39624</v>
      </c>
      <c r="J145" s="366" t="n">
        <f aca="false">WORKDAY(H145,1)</f>
        <v>39626</v>
      </c>
    </row>
    <row r="146" customFormat="false" ht="12.75" hidden="false" customHeight="false" outlineLevel="0" collapsed="false">
      <c r="A146" s="365"/>
      <c r="B146" s="363"/>
      <c r="C146" s="364"/>
      <c r="D146" s="362"/>
      <c r="E146" s="362"/>
      <c r="F146" s="332"/>
      <c r="G146" s="354" t="n">
        <v>39661</v>
      </c>
      <c r="H146" s="355" t="n">
        <v>39658</v>
      </c>
      <c r="I146" s="356" t="n">
        <v>39657</v>
      </c>
      <c r="J146" s="366" t="n">
        <f aca="false">WORKDAY(H146,1)</f>
        <v>39659</v>
      </c>
    </row>
    <row r="147" customFormat="false" ht="12.75" hidden="false" customHeight="false" outlineLevel="0" collapsed="false">
      <c r="A147" s="365"/>
      <c r="B147" s="363"/>
      <c r="C147" s="364"/>
      <c r="D147" s="362"/>
      <c r="E147" s="362"/>
      <c r="F147" s="332"/>
      <c r="G147" s="354" t="n">
        <v>39692</v>
      </c>
      <c r="H147" s="355" t="n">
        <v>39687</v>
      </c>
      <c r="I147" s="356" t="n">
        <v>39686</v>
      </c>
      <c r="J147" s="366" t="n">
        <f aca="false">WORKDAY(H147,1)</f>
        <v>39688</v>
      </c>
    </row>
    <row r="148" customFormat="false" ht="12.75" hidden="false" customHeight="false" outlineLevel="0" collapsed="false">
      <c r="A148" s="365"/>
      <c r="B148" s="363"/>
      <c r="C148" s="364"/>
      <c r="D148" s="362"/>
      <c r="E148" s="362"/>
      <c r="F148" s="332"/>
      <c r="G148" s="354" t="n">
        <v>39722</v>
      </c>
      <c r="H148" s="355" t="n">
        <v>39717</v>
      </c>
      <c r="I148" s="356" t="n">
        <v>39716</v>
      </c>
      <c r="J148" s="366" t="n">
        <f aca="false">WORKDAY(H148,1)</f>
        <v>39720</v>
      </c>
    </row>
    <row r="149" customFormat="false" ht="12.75" hidden="false" customHeight="false" outlineLevel="0" collapsed="false">
      <c r="A149" s="365"/>
      <c r="B149" s="363"/>
      <c r="C149" s="364"/>
      <c r="D149" s="362"/>
      <c r="E149" s="362"/>
      <c r="F149" s="332"/>
      <c r="G149" s="354" t="n">
        <v>39753</v>
      </c>
      <c r="H149" s="355" t="n">
        <v>39750</v>
      </c>
      <c r="I149" s="356" t="n">
        <v>39749</v>
      </c>
      <c r="J149" s="366" t="n">
        <f aca="false">WORKDAY(H149,1)</f>
        <v>39751</v>
      </c>
    </row>
    <row r="150" customFormat="false" ht="12.75" hidden="false" customHeight="false" outlineLevel="0" collapsed="false">
      <c r="A150" s="365"/>
      <c r="B150" s="363"/>
      <c r="C150" s="364"/>
      <c r="D150" s="362"/>
      <c r="E150" s="362"/>
      <c r="F150" s="332"/>
      <c r="G150" s="354" t="n">
        <v>39783</v>
      </c>
      <c r="H150" s="355" t="n">
        <v>39777</v>
      </c>
      <c r="I150" s="356" t="n">
        <v>39776</v>
      </c>
      <c r="J150" s="366" t="n">
        <f aca="false">WORKDAY(H150,1)</f>
        <v>39778</v>
      </c>
    </row>
    <row r="151" customFormat="false" ht="12.75" hidden="false" customHeight="false" outlineLevel="0" collapsed="false">
      <c r="A151" s="365"/>
      <c r="B151" s="363"/>
      <c r="C151" s="364"/>
      <c r="D151" s="362"/>
      <c r="E151" s="362"/>
      <c r="F151" s="332"/>
      <c r="G151" s="354" t="n">
        <v>39814</v>
      </c>
      <c r="H151" s="355" t="n">
        <v>39811</v>
      </c>
      <c r="I151" s="356" t="n">
        <v>39808</v>
      </c>
      <c r="J151" s="366" t="n">
        <f aca="false">WORKDAY(H151,1)</f>
        <v>39812</v>
      </c>
    </row>
    <row r="152" customFormat="false" ht="12.75" hidden="false" customHeight="false" outlineLevel="0" collapsed="false">
      <c r="A152" s="365"/>
      <c r="B152" s="363"/>
      <c r="C152" s="364"/>
      <c r="D152" s="362"/>
      <c r="E152" s="362"/>
      <c r="F152" s="332"/>
      <c r="G152" s="354" t="n">
        <v>39845</v>
      </c>
      <c r="H152" s="355" t="n">
        <v>39841</v>
      </c>
      <c r="I152" s="356" t="n">
        <v>39840</v>
      </c>
      <c r="J152" s="366" t="n">
        <f aca="false">WORKDAY(H152,1)</f>
        <v>39842</v>
      </c>
    </row>
    <row r="153" customFormat="false" ht="12.75" hidden="false" customHeight="false" outlineLevel="0" collapsed="false">
      <c r="A153" s="365"/>
      <c r="B153" s="363"/>
      <c r="C153" s="364"/>
      <c r="D153" s="362"/>
      <c r="E153" s="362"/>
      <c r="F153" s="332"/>
      <c r="G153" s="354" t="n">
        <v>39873</v>
      </c>
      <c r="H153" s="355" t="n">
        <v>39869</v>
      </c>
      <c r="I153" s="356" t="n">
        <v>39868</v>
      </c>
      <c r="J153" s="366" t="n">
        <f aca="false">WORKDAY(H153,1)</f>
        <v>39870</v>
      </c>
    </row>
    <row r="154" customFormat="false" ht="12.75" hidden="false" customHeight="false" outlineLevel="0" collapsed="false">
      <c r="A154" s="365"/>
      <c r="B154" s="363"/>
      <c r="C154" s="364"/>
      <c r="D154" s="362"/>
      <c r="E154" s="362"/>
      <c r="F154" s="332"/>
      <c r="G154" s="354" t="n">
        <v>39904</v>
      </c>
      <c r="H154" s="355" t="n">
        <v>39899</v>
      </c>
      <c r="I154" s="356" t="n">
        <v>39898</v>
      </c>
      <c r="J154" s="366" t="n">
        <f aca="false">WORKDAY(H154,1)</f>
        <v>39902</v>
      </c>
    </row>
    <row r="155" customFormat="false" ht="12.75" hidden="false" customHeight="false" outlineLevel="0" collapsed="false">
      <c r="A155" s="365"/>
      <c r="B155" s="363"/>
      <c r="C155" s="364"/>
      <c r="D155" s="362"/>
      <c r="E155" s="362"/>
      <c r="F155" s="332"/>
      <c r="G155" s="354" t="n">
        <v>39934</v>
      </c>
      <c r="H155" s="355" t="n">
        <v>39931</v>
      </c>
      <c r="I155" s="356" t="n">
        <v>39930</v>
      </c>
      <c r="J155" s="366" t="n">
        <f aca="false">WORKDAY(H155,1)</f>
        <v>39932</v>
      </c>
    </row>
    <row r="156" customFormat="false" ht="12.75" hidden="false" customHeight="false" outlineLevel="0" collapsed="false">
      <c r="A156" s="365"/>
      <c r="B156" s="363"/>
      <c r="C156" s="364"/>
      <c r="D156" s="362"/>
      <c r="E156" s="362"/>
      <c r="F156" s="332"/>
      <c r="G156" s="354" t="n">
        <v>39965</v>
      </c>
      <c r="H156" s="355" t="n">
        <v>39960</v>
      </c>
      <c r="I156" s="356" t="n">
        <v>39959</v>
      </c>
      <c r="J156" s="366" t="n">
        <f aca="false">WORKDAY(H156,1)</f>
        <v>39961</v>
      </c>
    </row>
    <row r="157" customFormat="false" ht="12.75" hidden="false" customHeight="false" outlineLevel="0" collapsed="false">
      <c r="A157" s="365"/>
      <c r="B157" s="363"/>
      <c r="C157" s="364"/>
      <c r="D157" s="362"/>
      <c r="E157" s="362"/>
      <c r="F157" s="332"/>
      <c r="G157" s="354" t="n">
        <v>39995</v>
      </c>
      <c r="H157" s="355" t="n">
        <v>39990</v>
      </c>
      <c r="I157" s="356" t="n">
        <v>39989</v>
      </c>
      <c r="J157" s="366" t="n">
        <f aca="false">WORKDAY(H157,1)</f>
        <v>39993</v>
      </c>
    </row>
    <row r="158" customFormat="false" ht="12.75" hidden="false" customHeight="false" outlineLevel="0" collapsed="false">
      <c r="A158" s="365"/>
      <c r="B158" s="363"/>
      <c r="C158" s="364"/>
      <c r="D158" s="362"/>
      <c r="E158" s="362"/>
      <c r="F158" s="332"/>
      <c r="G158" s="354" t="n">
        <v>40026</v>
      </c>
      <c r="H158" s="355" t="n">
        <v>40023</v>
      </c>
      <c r="I158" s="356" t="n">
        <v>40022</v>
      </c>
      <c r="J158" s="366" t="n">
        <f aca="false">WORKDAY(H158,1)</f>
        <v>40024</v>
      </c>
    </row>
    <row r="159" customFormat="false" ht="12.75" hidden="false" customHeight="false" outlineLevel="0" collapsed="false">
      <c r="A159" s="365"/>
      <c r="B159" s="363"/>
      <c r="C159" s="364"/>
      <c r="D159" s="362"/>
      <c r="E159" s="362"/>
      <c r="F159" s="332"/>
      <c r="G159" s="354" t="n">
        <v>40057</v>
      </c>
      <c r="H159" s="355" t="n">
        <v>40052</v>
      </c>
      <c r="I159" s="356" t="n">
        <v>40051</v>
      </c>
      <c r="J159" s="366" t="n">
        <f aca="false">WORKDAY(H159,1)</f>
        <v>40053</v>
      </c>
    </row>
    <row r="160" customFormat="false" ht="12.75" hidden="false" customHeight="false" outlineLevel="0" collapsed="false">
      <c r="A160" s="365"/>
      <c r="B160" s="363"/>
      <c r="C160" s="364"/>
      <c r="D160" s="362"/>
      <c r="E160" s="362"/>
      <c r="F160" s="332"/>
      <c r="G160" s="354" t="n">
        <v>40087</v>
      </c>
      <c r="H160" s="355" t="n">
        <v>40084</v>
      </c>
      <c r="I160" s="356" t="n">
        <v>40081</v>
      </c>
      <c r="J160" s="366" t="n">
        <f aca="false">WORKDAY(H160,1)</f>
        <v>40085</v>
      </c>
    </row>
    <row r="161" customFormat="false" ht="12.75" hidden="false" customHeight="false" outlineLevel="0" collapsed="false">
      <c r="A161" s="365"/>
      <c r="B161" s="363"/>
      <c r="C161" s="364"/>
      <c r="D161" s="362"/>
      <c r="E161" s="362"/>
      <c r="F161" s="332"/>
      <c r="G161" s="354" t="n">
        <v>40118</v>
      </c>
      <c r="H161" s="355" t="n">
        <v>40114</v>
      </c>
      <c r="I161" s="356" t="n">
        <v>40113</v>
      </c>
      <c r="J161" s="366" t="n">
        <f aca="false">WORKDAY(H161,1)</f>
        <v>40115</v>
      </c>
    </row>
    <row r="162" customFormat="false" ht="12.75" hidden="false" customHeight="false" outlineLevel="0" collapsed="false">
      <c r="A162" s="365"/>
      <c r="B162" s="363"/>
      <c r="C162" s="364"/>
      <c r="D162" s="362"/>
      <c r="E162" s="362"/>
      <c r="F162" s="332"/>
      <c r="G162" s="354" t="n">
        <v>40148</v>
      </c>
      <c r="H162" s="355" t="n">
        <v>40142</v>
      </c>
      <c r="I162" s="356" t="n">
        <v>40141</v>
      </c>
      <c r="J162" s="366" t="n">
        <f aca="false">WORKDAY(H162,1)</f>
        <v>40143</v>
      </c>
    </row>
    <row r="163" customFormat="false" ht="12.75" hidden="false" customHeight="false" outlineLevel="0" collapsed="false">
      <c r="A163" s="365"/>
      <c r="B163" s="363"/>
      <c r="C163" s="364"/>
      <c r="D163" s="362"/>
      <c r="E163" s="362"/>
      <c r="F163" s="332"/>
      <c r="G163" s="354" t="n">
        <v>40179</v>
      </c>
      <c r="H163" s="355" t="n">
        <v>40176</v>
      </c>
      <c r="I163" s="356" t="n">
        <v>40175</v>
      </c>
      <c r="J163" s="366" t="n">
        <f aca="false">WORKDAY(H163,1)</f>
        <v>40177</v>
      </c>
    </row>
    <row r="164" customFormat="false" ht="12.75" hidden="false" customHeight="false" outlineLevel="0" collapsed="false">
      <c r="A164" s="365"/>
      <c r="B164" s="363"/>
      <c r="C164" s="364"/>
      <c r="D164" s="362"/>
      <c r="E164" s="362"/>
      <c r="F164" s="332"/>
      <c r="G164" s="354" t="n">
        <v>40210</v>
      </c>
      <c r="H164" s="355" t="n">
        <v>40205</v>
      </c>
      <c r="I164" s="356" t="n">
        <v>40204</v>
      </c>
      <c r="J164" s="366" t="n">
        <f aca="false">WORKDAY(H164,1)</f>
        <v>40206</v>
      </c>
    </row>
    <row r="165" customFormat="false" ht="12.75" hidden="false" customHeight="false" outlineLevel="0" collapsed="false">
      <c r="A165" s="365"/>
      <c r="B165" s="363"/>
      <c r="C165" s="364"/>
      <c r="D165" s="362"/>
      <c r="E165" s="362"/>
      <c r="F165" s="332"/>
      <c r="G165" s="354" t="n">
        <v>40238</v>
      </c>
      <c r="H165" s="355" t="n">
        <v>40233</v>
      </c>
      <c r="I165" s="356" t="n">
        <v>40232</v>
      </c>
      <c r="J165" s="366" t="n">
        <f aca="false">WORKDAY(H165,1)</f>
        <v>40234</v>
      </c>
    </row>
    <row r="166" customFormat="false" ht="12.75" hidden="false" customHeight="false" outlineLevel="0" collapsed="false">
      <c r="A166" s="365"/>
      <c r="B166" s="363"/>
      <c r="C166" s="364"/>
      <c r="D166" s="362"/>
      <c r="E166" s="362"/>
      <c r="F166" s="332"/>
      <c r="G166" s="354" t="n">
        <v>40269</v>
      </c>
      <c r="H166" s="355" t="n">
        <v>40266</v>
      </c>
      <c r="I166" s="356" t="n">
        <v>40263</v>
      </c>
      <c r="J166" s="366" t="n">
        <f aca="false">WORKDAY(H166,1)</f>
        <v>40267</v>
      </c>
    </row>
    <row r="167" customFormat="false" ht="12.75" hidden="false" customHeight="false" outlineLevel="0" collapsed="false">
      <c r="A167" s="365"/>
      <c r="B167" s="363"/>
      <c r="C167" s="364"/>
      <c r="D167" s="362"/>
      <c r="E167" s="362"/>
      <c r="F167" s="332"/>
      <c r="G167" s="354" t="n">
        <v>40299</v>
      </c>
      <c r="H167" s="355" t="n">
        <v>40296</v>
      </c>
      <c r="I167" s="356" t="n">
        <v>40295</v>
      </c>
      <c r="J167" s="366" t="n">
        <f aca="false">WORKDAY(H167,1)</f>
        <v>40297</v>
      </c>
    </row>
    <row r="168" customFormat="false" ht="12.75" hidden="false" customHeight="false" outlineLevel="0" collapsed="false">
      <c r="A168" s="365"/>
      <c r="B168" s="363"/>
      <c r="C168" s="364"/>
      <c r="D168" s="362"/>
      <c r="E168" s="362"/>
      <c r="F168" s="332"/>
      <c r="G168" s="354" t="n">
        <v>40330</v>
      </c>
      <c r="H168" s="355" t="n">
        <v>40324</v>
      </c>
      <c r="I168" s="356" t="n">
        <v>40323</v>
      </c>
      <c r="J168" s="366" t="n">
        <f aca="false">WORKDAY(H168,1)</f>
        <v>40325</v>
      </c>
    </row>
    <row r="169" customFormat="false" ht="12.75" hidden="false" customHeight="false" outlineLevel="0" collapsed="false">
      <c r="A169" s="365"/>
      <c r="B169" s="363"/>
      <c r="C169" s="364"/>
      <c r="D169" s="362"/>
      <c r="E169" s="362"/>
      <c r="F169" s="332"/>
      <c r="G169" s="354" t="n">
        <v>40360</v>
      </c>
      <c r="H169" s="355" t="n">
        <v>40357</v>
      </c>
      <c r="I169" s="356" t="n">
        <v>40354</v>
      </c>
      <c r="J169" s="366" t="n">
        <f aca="false">WORKDAY(H169,1)</f>
        <v>40358</v>
      </c>
    </row>
    <row r="170" customFormat="false" ht="12.75" hidden="false" customHeight="false" outlineLevel="0" collapsed="false">
      <c r="A170" s="365"/>
      <c r="B170" s="363"/>
      <c r="C170" s="364"/>
      <c r="D170" s="362"/>
      <c r="E170" s="362"/>
      <c r="F170" s="332"/>
      <c r="G170" s="354" t="n">
        <v>40391</v>
      </c>
      <c r="H170" s="355" t="n">
        <v>40387</v>
      </c>
      <c r="I170" s="356" t="n">
        <v>40386</v>
      </c>
      <c r="J170" s="366" t="n">
        <f aca="false">WORKDAY(H170,1)</f>
        <v>40388</v>
      </c>
    </row>
    <row r="171" customFormat="false" ht="12.75" hidden="false" customHeight="false" outlineLevel="0" collapsed="false">
      <c r="A171" s="365"/>
      <c r="B171" s="363"/>
      <c r="C171" s="364"/>
      <c r="D171" s="362"/>
      <c r="E171" s="362"/>
      <c r="F171" s="332"/>
      <c r="G171" s="354" t="n">
        <v>40422</v>
      </c>
      <c r="H171" s="355" t="n">
        <v>40417</v>
      </c>
      <c r="I171" s="356" t="n">
        <v>40416</v>
      </c>
      <c r="J171" s="366" t="n">
        <f aca="false">WORKDAY(H171,1)</f>
        <v>40420</v>
      </c>
    </row>
    <row r="172" customFormat="false" ht="12.75" hidden="false" customHeight="false" outlineLevel="0" collapsed="false">
      <c r="A172" s="365"/>
      <c r="B172" s="363"/>
      <c r="C172" s="364"/>
      <c r="D172" s="362"/>
      <c r="E172" s="362"/>
      <c r="F172" s="332"/>
      <c r="G172" s="354" t="n">
        <v>40452</v>
      </c>
      <c r="H172" s="355" t="n">
        <v>40449</v>
      </c>
      <c r="I172" s="356" t="n">
        <v>40448</v>
      </c>
      <c r="J172" s="366" t="n">
        <f aca="false">WORKDAY(H172,1)</f>
        <v>40450</v>
      </c>
    </row>
    <row r="173" customFormat="false" ht="12.75" hidden="false" customHeight="false" outlineLevel="0" collapsed="false">
      <c r="A173" s="365"/>
      <c r="B173" s="363"/>
      <c r="C173" s="364"/>
      <c r="D173" s="362"/>
      <c r="E173" s="362"/>
      <c r="F173" s="332"/>
      <c r="G173" s="354" t="n">
        <v>40483</v>
      </c>
      <c r="H173" s="355" t="n">
        <v>40478</v>
      </c>
      <c r="I173" s="356" t="n">
        <v>40477</v>
      </c>
      <c r="J173" s="366" t="n">
        <f aca="false">WORKDAY(H173,1)</f>
        <v>40479</v>
      </c>
    </row>
    <row r="174" customFormat="false" ht="12.75" hidden="false" customHeight="false" outlineLevel="0" collapsed="false">
      <c r="A174" s="365"/>
      <c r="B174" s="363"/>
      <c r="C174" s="364"/>
      <c r="D174" s="362"/>
      <c r="E174" s="362"/>
      <c r="F174" s="332"/>
      <c r="G174" s="354" t="n">
        <v>40513</v>
      </c>
      <c r="H174" s="355" t="n">
        <v>40508</v>
      </c>
      <c r="I174" s="356" t="n">
        <v>40506</v>
      </c>
      <c r="J174" s="366" t="n">
        <f aca="false">WORKDAY(H174,1)</f>
        <v>40511</v>
      </c>
    </row>
    <row r="175" customFormat="false" ht="12.75" hidden="false" customHeight="false" outlineLevel="0" collapsed="false">
      <c r="A175" s="365"/>
      <c r="B175" s="363"/>
      <c r="C175" s="364"/>
      <c r="D175" s="362"/>
      <c r="E175" s="362"/>
      <c r="F175" s="332"/>
      <c r="G175" s="354" t="n">
        <v>40544</v>
      </c>
      <c r="H175" s="355" t="n">
        <v>40540</v>
      </c>
      <c r="I175" s="356" t="n">
        <v>40539</v>
      </c>
      <c r="J175" s="366" t="n">
        <f aca="false">WORKDAY(H175,1)</f>
        <v>40541</v>
      </c>
    </row>
    <row r="176" customFormat="false" ht="12.75" hidden="false" customHeight="false" outlineLevel="0" collapsed="false">
      <c r="A176" s="365"/>
      <c r="B176" s="363"/>
      <c r="C176" s="364"/>
      <c r="D176" s="362"/>
      <c r="E176" s="362"/>
      <c r="F176" s="332"/>
      <c r="G176" s="354" t="n">
        <v>40575</v>
      </c>
      <c r="H176" s="355" t="n">
        <v>40570</v>
      </c>
      <c r="I176" s="356" t="n">
        <v>40569</v>
      </c>
      <c r="J176" s="366" t="n">
        <f aca="false">WORKDAY(H176,1)</f>
        <v>40571</v>
      </c>
    </row>
    <row r="177" customFormat="false" ht="12.75" hidden="false" customHeight="false" outlineLevel="0" collapsed="false">
      <c r="A177" s="365"/>
      <c r="B177" s="363"/>
      <c r="C177" s="364"/>
      <c r="D177" s="362"/>
      <c r="E177" s="362"/>
      <c r="F177" s="332"/>
      <c r="G177" s="354" t="n">
        <v>40603</v>
      </c>
      <c r="H177" s="355" t="n">
        <v>40598</v>
      </c>
      <c r="I177" s="356" t="n">
        <v>40597</v>
      </c>
      <c r="J177" s="366" t="n">
        <f aca="false">WORKDAY(H177,1)</f>
        <v>40599</v>
      </c>
    </row>
    <row r="178" customFormat="false" ht="12.75" hidden="false" customHeight="false" outlineLevel="0" collapsed="false">
      <c r="A178" s="365"/>
      <c r="B178" s="363"/>
      <c r="C178" s="364"/>
      <c r="D178" s="362"/>
      <c r="E178" s="362"/>
      <c r="F178" s="332"/>
      <c r="G178" s="354" t="n">
        <v>40634</v>
      </c>
      <c r="H178" s="355" t="n">
        <v>40631</v>
      </c>
      <c r="I178" s="356" t="n">
        <v>40630</v>
      </c>
      <c r="J178" s="366" t="n">
        <f aca="false">WORKDAY(H178,1)</f>
        <v>40632</v>
      </c>
    </row>
    <row r="179" customFormat="false" ht="12.75" hidden="false" customHeight="false" outlineLevel="0" collapsed="false">
      <c r="A179" s="365"/>
      <c r="B179" s="363"/>
      <c r="C179" s="364"/>
      <c r="D179" s="362"/>
      <c r="E179" s="362"/>
      <c r="F179" s="332"/>
      <c r="G179" s="354" t="n">
        <v>40664</v>
      </c>
      <c r="H179" s="355" t="n">
        <v>40660</v>
      </c>
      <c r="I179" s="356" t="n">
        <v>40659</v>
      </c>
      <c r="J179" s="366" t="n">
        <f aca="false">WORKDAY(H179,1)</f>
        <v>40661</v>
      </c>
    </row>
    <row r="180" customFormat="false" ht="12.75" hidden="false" customHeight="false" outlineLevel="0" collapsed="false">
      <c r="A180" s="365"/>
      <c r="B180" s="363"/>
      <c r="C180" s="364"/>
      <c r="D180" s="362"/>
      <c r="E180" s="362"/>
      <c r="F180" s="332"/>
      <c r="G180" s="354" t="n">
        <v>40695</v>
      </c>
      <c r="H180" s="355" t="n">
        <v>40689</v>
      </c>
      <c r="I180" s="356" t="n">
        <v>40688</v>
      </c>
      <c r="J180" s="366" t="n">
        <f aca="false">WORKDAY(H180,1)</f>
        <v>40690</v>
      </c>
    </row>
    <row r="181" customFormat="false" ht="12.75" hidden="false" customHeight="false" outlineLevel="0" collapsed="false">
      <c r="A181" s="365"/>
      <c r="B181" s="363"/>
      <c r="C181" s="364"/>
      <c r="D181" s="362"/>
      <c r="E181" s="362"/>
      <c r="F181" s="332"/>
      <c r="G181" s="354" t="n">
        <v>40725</v>
      </c>
      <c r="H181" s="355" t="n">
        <v>40722</v>
      </c>
      <c r="I181" s="356" t="n">
        <v>40721</v>
      </c>
      <c r="J181" s="366" t="n">
        <f aca="false">WORKDAY(H181,1)</f>
        <v>40723</v>
      </c>
    </row>
    <row r="182" customFormat="false" ht="12.75" hidden="false" customHeight="false" outlineLevel="0" collapsed="false">
      <c r="A182" s="365"/>
      <c r="B182" s="363"/>
      <c r="C182" s="364"/>
      <c r="D182" s="362"/>
      <c r="E182" s="362"/>
      <c r="F182" s="332"/>
      <c r="G182" s="354" t="n">
        <v>40756</v>
      </c>
      <c r="H182" s="355" t="n">
        <v>40751</v>
      </c>
      <c r="I182" s="356" t="n">
        <v>40750</v>
      </c>
      <c r="J182" s="366" t="n">
        <f aca="false">WORKDAY(H182,1)</f>
        <v>40752</v>
      </c>
    </row>
    <row r="183" customFormat="false" ht="12.75" hidden="false" customHeight="false" outlineLevel="0" collapsed="false">
      <c r="A183" s="365"/>
      <c r="B183" s="363"/>
      <c r="C183" s="364"/>
      <c r="D183" s="362"/>
      <c r="E183" s="362"/>
      <c r="F183" s="332"/>
      <c r="G183" s="354" t="n">
        <v>40787</v>
      </c>
      <c r="H183" s="355" t="n">
        <v>40784</v>
      </c>
      <c r="I183" s="356" t="n">
        <v>40781</v>
      </c>
      <c r="J183" s="366" t="n">
        <f aca="false">WORKDAY(H183,1)</f>
        <v>40785</v>
      </c>
    </row>
    <row r="184" customFormat="false" ht="12.75" hidden="false" customHeight="false" outlineLevel="0" collapsed="false">
      <c r="A184" s="365"/>
      <c r="B184" s="363"/>
      <c r="C184" s="364"/>
      <c r="D184" s="362"/>
      <c r="E184" s="362"/>
      <c r="F184" s="332"/>
      <c r="G184" s="354" t="n">
        <v>40817</v>
      </c>
      <c r="H184" s="355" t="n">
        <v>40814</v>
      </c>
      <c r="I184" s="356" t="n">
        <v>40813</v>
      </c>
      <c r="J184" s="366" t="n">
        <f aca="false">WORKDAY(H184,1)</f>
        <v>40815</v>
      </c>
    </row>
    <row r="185" customFormat="false" ht="12.75" hidden="false" customHeight="false" outlineLevel="0" collapsed="false">
      <c r="A185" s="365"/>
      <c r="B185" s="363"/>
      <c r="C185" s="364"/>
      <c r="D185" s="362"/>
      <c r="E185" s="362"/>
      <c r="F185" s="332"/>
      <c r="G185" s="354" t="n">
        <v>40848</v>
      </c>
      <c r="H185" s="355" t="n">
        <v>40843</v>
      </c>
      <c r="I185" s="356" t="n">
        <v>40842</v>
      </c>
      <c r="J185" s="366" t="n">
        <f aca="false">WORKDAY(H185,1)</f>
        <v>40844</v>
      </c>
    </row>
    <row r="186" customFormat="false" ht="12.75" hidden="false" customHeight="false" outlineLevel="0" collapsed="false">
      <c r="A186" s="365"/>
      <c r="B186" s="363"/>
      <c r="C186" s="364"/>
      <c r="D186" s="362"/>
      <c r="E186" s="362"/>
      <c r="F186" s="332"/>
      <c r="G186" s="354" t="n">
        <v>40878</v>
      </c>
      <c r="H186" s="355" t="n">
        <v>40875</v>
      </c>
      <c r="I186" s="356" t="n">
        <v>40872</v>
      </c>
      <c r="J186" s="366" t="n">
        <f aca="false">WORKDAY(H186,1)</f>
        <v>40876</v>
      </c>
    </row>
    <row r="187" customFormat="false" ht="12.75" hidden="false" customHeight="false" outlineLevel="0" collapsed="false">
      <c r="A187" s="365"/>
      <c r="B187" s="363"/>
      <c r="C187" s="364"/>
      <c r="D187" s="362"/>
      <c r="E187" s="362"/>
      <c r="F187" s="332"/>
      <c r="G187" s="354" t="n">
        <v>40909</v>
      </c>
      <c r="H187" s="355" t="n">
        <v>40905</v>
      </c>
      <c r="I187" s="356" t="n">
        <v>40904</v>
      </c>
      <c r="J187" s="366" t="n">
        <f aca="false">WORKDAY(H187,1)</f>
        <v>40906</v>
      </c>
    </row>
    <row r="188" customFormat="false" ht="12.75" hidden="false" customHeight="false" outlineLevel="0" collapsed="false">
      <c r="A188" s="365"/>
      <c r="B188" s="363"/>
      <c r="C188" s="364"/>
      <c r="D188" s="362"/>
      <c r="E188" s="362"/>
      <c r="F188" s="332"/>
      <c r="G188" s="354" t="n">
        <v>40940</v>
      </c>
      <c r="H188" s="355" t="n">
        <v>40935</v>
      </c>
      <c r="I188" s="356" t="n">
        <v>40934</v>
      </c>
      <c r="J188" s="366" t="n">
        <f aca="false">WORKDAY(H188,1)</f>
        <v>40938</v>
      </c>
    </row>
    <row r="189" customFormat="false" ht="12.75" hidden="false" customHeight="false" outlineLevel="0" collapsed="false">
      <c r="A189" s="365"/>
      <c r="B189" s="363"/>
      <c r="C189" s="364"/>
      <c r="D189" s="362"/>
      <c r="E189" s="362"/>
      <c r="F189" s="332"/>
      <c r="G189" s="354" t="n">
        <v>40969</v>
      </c>
      <c r="H189" s="355" t="n">
        <v>40966</v>
      </c>
      <c r="I189" s="356" t="n">
        <v>40963</v>
      </c>
      <c r="J189" s="366" t="n">
        <f aca="false">WORKDAY(H189,1)</f>
        <v>40967</v>
      </c>
    </row>
    <row r="190" customFormat="false" ht="12.75" hidden="false" customHeight="false" outlineLevel="0" collapsed="false">
      <c r="A190" s="365"/>
      <c r="B190" s="363"/>
      <c r="C190" s="364"/>
      <c r="D190" s="362"/>
      <c r="E190" s="362"/>
      <c r="F190" s="332"/>
      <c r="G190" s="354" t="n">
        <v>41000</v>
      </c>
      <c r="H190" s="355" t="n">
        <v>40996</v>
      </c>
      <c r="I190" s="356" t="n">
        <v>40995</v>
      </c>
      <c r="J190" s="366" t="n">
        <f aca="false">WORKDAY(H190,1)</f>
        <v>40997</v>
      </c>
    </row>
    <row r="191" customFormat="false" ht="12.75" hidden="false" customHeight="false" outlineLevel="0" collapsed="false">
      <c r="A191" s="365"/>
      <c r="B191" s="363"/>
      <c r="C191" s="364"/>
      <c r="D191" s="362"/>
      <c r="E191" s="362"/>
      <c r="F191" s="332"/>
      <c r="G191" s="354" t="n">
        <v>41030</v>
      </c>
      <c r="H191" s="355" t="n">
        <v>41025</v>
      </c>
      <c r="I191" s="356" t="n">
        <v>41024</v>
      </c>
      <c r="J191" s="366" t="n">
        <f aca="false">WORKDAY(H191,1)</f>
        <v>41026</v>
      </c>
    </row>
    <row r="192" customFormat="false" ht="12.75" hidden="false" customHeight="false" outlineLevel="0" collapsed="false">
      <c r="A192" s="365"/>
      <c r="B192" s="363"/>
      <c r="C192" s="364"/>
      <c r="D192" s="362"/>
      <c r="E192" s="362"/>
      <c r="F192" s="332"/>
      <c r="G192" s="354" t="n">
        <v>41061</v>
      </c>
      <c r="H192" s="355" t="n">
        <v>41058</v>
      </c>
      <c r="I192" s="356" t="n">
        <v>41054</v>
      </c>
      <c r="J192" s="366" t="n">
        <f aca="false">WORKDAY(H192,1)</f>
        <v>41059</v>
      </c>
    </row>
    <row r="193" customFormat="false" ht="12.75" hidden="false" customHeight="false" outlineLevel="0" collapsed="false">
      <c r="A193" s="365"/>
      <c r="B193" s="363"/>
      <c r="C193" s="364"/>
      <c r="D193" s="362"/>
      <c r="E193" s="362"/>
      <c r="F193" s="332"/>
      <c r="G193" s="354" t="n">
        <v>41091</v>
      </c>
      <c r="H193" s="355" t="n">
        <v>41087</v>
      </c>
      <c r="I193" s="356" t="n">
        <v>41086</v>
      </c>
      <c r="J193" s="366" t="n">
        <f aca="false">WORKDAY(H193,1)</f>
        <v>41088</v>
      </c>
    </row>
    <row r="194" customFormat="false" ht="12.75" hidden="false" customHeight="false" outlineLevel="0" collapsed="false">
      <c r="A194" s="365"/>
      <c r="B194" s="363"/>
      <c r="C194" s="364"/>
      <c r="D194" s="362"/>
      <c r="E194" s="362"/>
      <c r="F194" s="332"/>
      <c r="G194" s="354" t="n">
        <v>41122</v>
      </c>
      <c r="H194" s="355" t="n">
        <v>41117</v>
      </c>
      <c r="I194" s="356" t="n">
        <v>41116</v>
      </c>
      <c r="J194" s="366" t="n">
        <f aca="false">WORKDAY(H194,1)</f>
        <v>41120</v>
      </c>
    </row>
    <row r="195" customFormat="false" ht="12.75" hidden="false" customHeight="false" outlineLevel="0" collapsed="false">
      <c r="A195" s="365"/>
      <c r="B195" s="363"/>
      <c r="C195" s="364"/>
      <c r="D195" s="362"/>
      <c r="E195" s="362"/>
      <c r="F195" s="332"/>
      <c r="G195" s="354" t="n">
        <v>41153</v>
      </c>
      <c r="H195" s="355" t="n">
        <v>41150</v>
      </c>
      <c r="I195" s="356" t="n">
        <v>41149</v>
      </c>
      <c r="J195" s="366" t="n">
        <f aca="false">WORKDAY(H195,1)</f>
        <v>41151</v>
      </c>
    </row>
    <row r="196" customFormat="false" ht="12.75" hidden="false" customHeight="false" outlineLevel="0" collapsed="false">
      <c r="A196" s="365"/>
      <c r="B196" s="363"/>
      <c r="C196" s="364"/>
      <c r="D196" s="362"/>
      <c r="E196" s="362"/>
      <c r="F196" s="332"/>
      <c r="G196" s="354" t="n">
        <v>41183</v>
      </c>
      <c r="H196" s="355" t="n">
        <v>41178</v>
      </c>
      <c r="I196" s="356" t="n">
        <v>41177</v>
      </c>
      <c r="J196" s="366" t="n">
        <f aca="false">WORKDAY(H196,1)</f>
        <v>41179</v>
      </c>
    </row>
    <row r="197" customFormat="false" ht="12.75" hidden="false" customHeight="false" outlineLevel="0" collapsed="false">
      <c r="A197" s="365"/>
      <c r="B197" s="363"/>
      <c r="C197" s="364"/>
      <c r="D197" s="362"/>
      <c r="E197" s="362"/>
      <c r="F197" s="332"/>
      <c r="G197" s="354" t="n">
        <v>41214</v>
      </c>
      <c r="H197" s="355" t="n">
        <v>41211</v>
      </c>
      <c r="I197" s="356" t="n">
        <v>41208</v>
      </c>
      <c r="J197" s="366" t="n">
        <f aca="false">WORKDAY(H197,1)</f>
        <v>41212</v>
      </c>
    </row>
    <row r="198" customFormat="false" ht="12.75" hidden="false" customHeight="false" outlineLevel="0" collapsed="false">
      <c r="A198" s="365"/>
      <c r="B198" s="363"/>
      <c r="C198" s="364"/>
      <c r="D198" s="362"/>
      <c r="E198" s="362"/>
      <c r="F198" s="332"/>
      <c r="G198" s="354" t="n">
        <v>41244</v>
      </c>
      <c r="H198" s="355" t="n">
        <v>41241</v>
      </c>
      <c r="I198" s="356" t="n">
        <v>41240</v>
      </c>
      <c r="J198" s="366" t="n">
        <f aca="false">WORKDAY(H198,1)</f>
        <v>41242</v>
      </c>
    </row>
    <row r="199" customFormat="false" ht="12.75" hidden="false" customHeight="false" outlineLevel="0" collapsed="false">
      <c r="A199" s="365"/>
      <c r="B199" s="363"/>
      <c r="C199" s="364"/>
      <c r="D199" s="362"/>
      <c r="E199" s="362"/>
      <c r="F199" s="332"/>
      <c r="G199" s="354" t="n">
        <v>41275</v>
      </c>
      <c r="H199" s="355" t="n">
        <v>41270</v>
      </c>
      <c r="I199" s="356" t="n">
        <v>41269</v>
      </c>
      <c r="J199" s="366" t="n">
        <f aca="false">WORKDAY(H199,1)</f>
        <v>41271</v>
      </c>
    </row>
    <row r="200" customFormat="false" ht="12.75" hidden="false" customHeight="false" outlineLevel="0" collapsed="false">
      <c r="A200" s="365"/>
      <c r="B200" s="363"/>
      <c r="C200" s="364"/>
      <c r="D200" s="362"/>
      <c r="E200" s="362"/>
      <c r="F200" s="332"/>
      <c r="G200" s="354" t="n">
        <v>41306</v>
      </c>
      <c r="H200" s="355" t="n">
        <v>41303</v>
      </c>
      <c r="I200" s="356" t="n">
        <v>41302</v>
      </c>
      <c r="J200" s="366" t="n">
        <f aca="false">WORKDAY(H200,1)</f>
        <v>41304</v>
      </c>
    </row>
    <row r="201" customFormat="false" ht="12.75" hidden="false" customHeight="false" outlineLevel="0" collapsed="false">
      <c r="A201" s="365"/>
      <c r="B201" s="363"/>
      <c r="C201" s="364"/>
      <c r="D201" s="362"/>
      <c r="E201" s="362"/>
      <c r="F201" s="332"/>
      <c r="G201" s="354" t="n">
        <v>41334</v>
      </c>
      <c r="H201" s="355" t="n">
        <v>41331</v>
      </c>
      <c r="I201" s="356" t="n">
        <v>41330</v>
      </c>
      <c r="J201" s="366" t="n">
        <f aca="false">WORKDAY(H201,1)</f>
        <v>41332</v>
      </c>
    </row>
    <row r="202" customFormat="false" ht="12.75" hidden="false" customHeight="false" outlineLevel="0" collapsed="false">
      <c r="A202" s="365"/>
      <c r="B202" s="363"/>
      <c r="C202" s="364"/>
      <c r="D202" s="362"/>
      <c r="E202" s="362"/>
      <c r="F202" s="332"/>
      <c r="G202" s="354" t="n">
        <v>41365</v>
      </c>
      <c r="H202" s="355" t="n">
        <v>41359</v>
      </c>
      <c r="I202" s="356" t="n">
        <v>41358</v>
      </c>
      <c r="J202" s="366" t="n">
        <f aca="false">WORKDAY(H202,1)</f>
        <v>41360</v>
      </c>
    </row>
    <row r="203" customFormat="false" ht="12.75" hidden="false" customHeight="false" outlineLevel="0" collapsed="false">
      <c r="A203" s="365"/>
      <c r="B203" s="363"/>
      <c r="C203" s="364"/>
      <c r="D203" s="362"/>
      <c r="E203" s="362"/>
      <c r="F203" s="332"/>
      <c r="G203" s="354" t="n">
        <v>41395</v>
      </c>
      <c r="H203" s="355" t="n">
        <v>41390</v>
      </c>
      <c r="I203" s="356" t="n">
        <v>41389</v>
      </c>
      <c r="J203" s="366" t="n">
        <f aca="false">WORKDAY(H203,1)</f>
        <v>41393</v>
      </c>
    </row>
    <row r="204" customFormat="false" ht="12.75" hidden="false" customHeight="false" outlineLevel="0" collapsed="false">
      <c r="A204" s="365"/>
      <c r="B204" s="363"/>
      <c r="C204" s="364"/>
      <c r="D204" s="362"/>
      <c r="E204" s="362"/>
      <c r="F204" s="332"/>
      <c r="G204" s="354" t="n">
        <v>41426</v>
      </c>
      <c r="H204" s="355" t="n">
        <v>41423</v>
      </c>
      <c r="I204" s="356" t="n">
        <v>41422</v>
      </c>
      <c r="J204" s="366" t="n">
        <f aca="false">WORKDAY(H204,1)</f>
        <v>41424</v>
      </c>
    </row>
    <row r="205" customFormat="false" ht="12.75" hidden="false" customHeight="false" outlineLevel="0" collapsed="false">
      <c r="A205" s="365"/>
      <c r="B205" s="363"/>
      <c r="C205" s="364"/>
      <c r="D205" s="362"/>
      <c r="E205" s="362"/>
      <c r="F205" s="332"/>
      <c r="G205" s="354" t="n">
        <v>41456</v>
      </c>
      <c r="H205" s="355" t="n">
        <v>41451</v>
      </c>
      <c r="I205" s="356" t="n">
        <v>41450</v>
      </c>
      <c r="J205" s="366" t="n">
        <f aca="false">WORKDAY(H205,1)</f>
        <v>41452</v>
      </c>
    </row>
    <row r="206" customFormat="false" ht="12.75" hidden="false" customHeight="false" outlineLevel="0" collapsed="false">
      <c r="A206" s="365"/>
      <c r="B206" s="363"/>
      <c r="C206" s="364"/>
      <c r="D206" s="362"/>
      <c r="E206" s="362"/>
      <c r="F206" s="332"/>
      <c r="G206" s="354" t="n">
        <v>41487</v>
      </c>
      <c r="H206" s="355" t="n">
        <v>41484</v>
      </c>
      <c r="I206" s="356" t="n">
        <v>41481</v>
      </c>
      <c r="J206" s="366" t="n">
        <f aca="false">WORKDAY(H206,1)</f>
        <v>41485</v>
      </c>
    </row>
    <row r="207" customFormat="false" ht="12.75" hidden="false" customHeight="false" outlineLevel="0" collapsed="false">
      <c r="A207" s="365"/>
      <c r="B207" s="363"/>
      <c r="C207" s="364"/>
      <c r="D207" s="362"/>
      <c r="E207" s="362"/>
      <c r="F207" s="332"/>
      <c r="G207" s="354" t="n">
        <v>41518</v>
      </c>
      <c r="H207" s="355" t="n">
        <v>41514</v>
      </c>
      <c r="I207" s="356" t="n">
        <v>41513</v>
      </c>
      <c r="J207" s="366" t="n">
        <f aca="false">WORKDAY(H207,1)</f>
        <v>41515</v>
      </c>
    </row>
    <row r="208" customFormat="false" ht="12.75" hidden="false" customHeight="false" outlineLevel="0" collapsed="false">
      <c r="A208" s="365"/>
      <c r="B208" s="363"/>
      <c r="C208" s="364"/>
      <c r="D208" s="362"/>
      <c r="E208" s="362"/>
      <c r="F208" s="332"/>
      <c r="G208" s="354" t="n">
        <v>41548</v>
      </c>
      <c r="H208" s="355" t="n">
        <v>41543</v>
      </c>
      <c r="I208" s="356" t="n">
        <v>41542</v>
      </c>
      <c r="J208" s="366" t="n">
        <f aca="false">WORKDAY(H208,1)</f>
        <v>41544</v>
      </c>
    </row>
    <row r="209" customFormat="false" ht="12.75" hidden="false" customHeight="false" outlineLevel="0" collapsed="false">
      <c r="A209" s="365"/>
      <c r="B209" s="363"/>
      <c r="C209" s="364"/>
      <c r="D209" s="362"/>
      <c r="E209" s="362"/>
      <c r="F209" s="332"/>
      <c r="G209" s="354" t="n">
        <v>41579</v>
      </c>
      <c r="H209" s="355" t="n">
        <v>41576</v>
      </c>
      <c r="I209" s="356" t="n">
        <v>41575</v>
      </c>
      <c r="J209" s="366" t="n">
        <f aca="false">WORKDAY(H209,1)</f>
        <v>41577</v>
      </c>
    </row>
    <row r="210" customFormat="false" ht="12.75" hidden="false" customHeight="false" outlineLevel="0" collapsed="false">
      <c r="A210" s="365"/>
      <c r="B210" s="363"/>
      <c r="C210" s="364"/>
      <c r="D210" s="362"/>
      <c r="E210" s="362"/>
      <c r="F210" s="332"/>
      <c r="G210" s="354" t="n">
        <v>41609</v>
      </c>
      <c r="H210" s="355" t="n">
        <v>41604</v>
      </c>
      <c r="I210" s="356" t="n">
        <v>41603</v>
      </c>
      <c r="J210" s="366" t="n">
        <f aca="false">WORKDAY(H210,1)</f>
        <v>41605</v>
      </c>
    </row>
    <row r="211" customFormat="false" ht="12.75" hidden="false" customHeight="false" outlineLevel="0" collapsed="false">
      <c r="A211" s="365"/>
      <c r="B211" s="363"/>
      <c r="C211" s="364"/>
      <c r="D211" s="362"/>
      <c r="E211" s="362"/>
      <c r="F211" s="332"/>
      <c r="G211" s="354" t="n">
        <v>41640</v>
      </c>
      <c r="H211" s="355" t="n">
        <v>41635</v>
      </c>
      <c r="I211" s="356" t="n">
        <v>41634</v>
      </c>
      <c r="J211" s="366" t="n">
        <f aca="false">WORKDAY(H211,1)</f>
        <v>41638</v>
      </c>
    </row>
    <row r="212" customFormat="false" ht="12.75" hidden="false" customHeight="false" outlineLevel="0" collapsed="false">
      <c r="A212" s="365"/>
      <c r="B212" s="363"/>
      <c r="C212" s="364"/>
      <c r="D212" s="362"/>
      <c r="E212" s="362"/>
      <c r="F212" s="332"/>
      <c r="G212" s="354" t="n">
        <v>41671</v>
      </c>
      <c r="H212" s="355" t="n">
        <v>41668</v>
      </c>
      <c r="I212" s="356" t="n">
        <v>41667</v>
      </c>
      <c r="J212" s="366" t="n">
        <f aca="false">WORKDAY(H212,1)</f>
        <v>41669</v>
      </c>
    </row>
    <row r="213" customFormat="false" ht="12.75" hidden="false" customHeight="false" outlineLevel="0" collapsed="false">
      <c r="A213" s="365"/>
      <c r="B213" s="363"/>
      <c r="C213" s="364"/>
      <c r="D213" s="362"/>
      <c r="E213" s="362"/>
      <c r="F213" s="332"/>
      <c r="G213" s="354" t="n">
        <v>41699</v>
      </c>
      <c r="H213" s="355" t="n">
        <v>41696</v>
      </c>
      <c r="I213" s="356" t="n">
        <v>41695</v>
      </c>
      <c r="J213" s="366" t="n">
        <f aca="false">WORKDAY(H213,1)</f>
        <v>41697</v>
      </c>
    </row>
    <row r="214" customFormat="false" ht="12.75" hidden="false" customHeight="false" outlineLevel="0" collapsed="false">
      <c r="A214" s="365"/>
      <c r="B214" s="363"/>
      <c r="C214" s="364"/>
      <c r="D214" s="362"/>
      <c r="E214" s="362"/>
      <c r="F214" s="332"/>
      <c r="G214" s="354" t="n">
        <v>41730</v>
      </c>
      <c r="H214" s="355" t="n">
        <v>41725</v>
      </c>
      <c r="I214" s="356" t="n">
        <v>41724</v>
      </c>
      <c r="J214" s="366" t="n">
        <f aca="false">WORKDAY(H214,1)</f>
        <v>41726</v>
      </c>
    </row>
    <row r="215" customFormat="false" ht="12.75" hidden="false" customHeight="false" outlineLevel="0" collapsed="false">
      <c r="A215" s="365"/>
      <c r="B215" s="363"/>
      <c r="C215" s="364"/>
      <c r="D215" s="362"/>
      <c r="E215" s="362"/>
      <c r="F215" s="332"/>
      <c r="G215" s="354" t="n">
        <v>41760</v>
      </c>
      <c r="H215" s="355" t="n">
        <v>41757</v>
      </c>
      <c r="I215" s="356" t="n">
        <v>41754</v>
      </c>
      <c r="J215" s="366" t="n">
        <f aca="false">WORKDAY(H215,1)</f>
        <v>41758</v>
      </c>
    </row>
    <row r="216" customFormat="false" ht="12.75" hidden="false" customHeight="false" outlineLevel="0" collapsed="false">
      <c r="A216" s="365"/>
      <c r="B216" s="363"/>
      <c r="C216" s="364"/>
      <c r="D216" s="362"/>
      <c r="E216" s="362"/>
      <c r="F216" s="332"/>
      <c r="G216" s="354" t="n">
        <v>41791</v>
      </c>
      <c r="H216" s="355" t="n">
        <v>41787</v>
      </c>
      <c r="I216" s="356" t="n">
        <v>41786</v>
      </c>
      <c r="J216" s="366" t="n">
        <f aca="false">WORKDAY(H216,1)</f>
        <v>41788</v>
      </c>
    </row>
    <row r="217" customFormat="false" ht="12.75" hidden="false" customHeight="false" outlineLevel="0" collapsed="false">
      <c r="A217" s="365"/>
      <c r="B217" s="363"/>
      <c r="C217" s="364"/>
      <c r="D217" s="362"/>
      <c r="E217" s="362"/>
      <c r="F217" s="332"/>
      <c r="G217" s="354" t="n">
        <v>41821</v>
      </c>
      <c r="H217" s="355" t="n">
        <v>41816</v>
      </c>
      <c r="I217" s="356" t="n">
        <v>41815</v>
      </c>
      <c r="J217" s="366" t="n">
        <f aca="false">WORKDAY(H217,1)</f>
        <v>41817</v>
      </c>
    </row>
    <row r="218" customFormat="false" ht="12.75" hidden="false" customHeight="false" outlineLevel="0" collapsed="false">
      <c r="A218" s="365"/>
      <c r="B218" s="363"/>
      <c r="C218" s="364"/>
      <c r="D218" s="362"/>
      <c r="E218" s="362"/>
      <c r="F218" s="332"/>
      <c r="G218" s="354" t="n">
        <v>41852</v>
      </c>
      <c r="H218" s="355" t="n">
        <v>41849</v>
      </c>
      <c r="I218" s="356" t="n">
        <v>41848</v>
      </c>
      <c r="J218" s="366" t="n">
        <f aca="false">WORKDAY(H218,1)</f>
        <v>41850</v>
      </c>
    </row>
    <row r="219" customFormat="false" ht="12.75" hidden="false" customHeight="false" outlineLevel="0" collapsed="false">
      <c r="A219" s="365"/>
      <c r="B219" s="363"/>
      <c r="C219" s="364"/>
      <c r="D219" s="362"/>
      <c r="E219" s="362"/>
      <c r="F219" s="332"/>
      <c r="G219" s="354" t="n">
        <v>41883</v>
      </c>
      <c r="H219" s="355" t="n">
        <v>41878</v>
      </c>
      <c r="I219" s="356" t="n">
        <v>41877</v>
      </c>
      <c r="J219" s="366" t="n">
        <f aca="false">WORKDAY(H219,1)</f>
        <v>41879</v>
      </c>
    </row>
    <row r="220" customFormat="false" ht="12.75" hidden="false" customHeight="false" outlineLevel="0" collapsed="false">
      <c r="A220" s="365"/>
      <c r="B220" s="363"/>
      <c r="C220" s="364"/>
      <c r="D220" s="362"/>
      <c r="E220" s="362"/>
      <c r="F220" s="332"/>
      <c r="G220" s="354" t="n">
        <v>41913</v>
      </c>
      <c r="H220" s="355" t="n">
        <v>41908</v>
      </c>
      <c r="I220" s="356" t="n">
        <v>41907</v>
      </c>
      <c r="J220" s="366" t="n">
        <f aca="false">WORKDAY(H220,1)</f>
        <v>41911</v>
      </c>
    </row>
    <row r="221" customFormat="false" ht="12.75" hidden="false" customHeight="false" outlineLevel="0" collapsed="false">
      <c r="A221" s="365"/>
      <c r="B221" s="363"/>
      <c r="C221" s="364"/>
      <c r="D221" s="362"/>
      <c r="E221" s="362"/>
      <c r="F221" s="332"/>
      <c r="G221" s="354" t="n">
        <v>41944</v>
      </c>
      <c r="H221" s="355" t="n">
        <v>41941</v>
      </c>
      <c r="I221" s="356" t="n">
        <v>41940</v>
      </c>
      <c r="J221" s="366" t="n">
        <f aca="false">WORKDAY(H221,1)</f>
        <v>41942</v>
      </c>
    </row>
    <row r="222" customFormat="false" ht="12.75" hidden="false" customHeight="false" outlineLevel="0" collapsed="false">
      <c r="A222" s="365"/>
      <c r="B222" s="363"/>
      <c r="C222" s="364"/>
      <c r="D222" s="362"/>
      <c r="E222" s="362"/>
      <c r="F222" s="332"/>
      <c r="G222" s="354" t="n">
        <v>41974</v>
      </c>
      <c r="H222" s="355" t="n">
        <v>41968</v>
      </c>
      <c r="I222" s="356" t="n">
        <v>41967</v>
      </c>
      <c r="J222" s="366" t="n">
        <f aca="false">WORKDAY(H222,1)</f>
        <v>41969</v>
      </c>
    </row>
    <row r="223" customFormat="false" ht="12.75" hidden="false" customHeight="false" outlineLevel="0" collapsed="false">
      <c r="A223" s="365"/>
      <c r="B223" s="363"/>
      <c r="C223" s="364"/>
      <c r="D223" s="362"/>
      <c r="E223" s="362"/>
      <c r="F223" s="332"/>
      <c r="G223" s="354" t="n">
        <v>42005</v>
      </c>
      <c r="H223" s="355" t="n">
        <v>42002</v>
      </c>
      <c r="I223" s="356" t="n">
        <v>41999</v>
      </c>
      <c r="J223" s="366" t="n">
        <f aca="false">WORKDAY(H223,1)</f>
        <v>42003</v>
      </c>
    </row>
    <row r="224" customFormat="false" ht="12.75" hidden="false" customHeight="false" outlineLevel="0" collapsed="false">
      <c r="A224" s="365"/>
      <c r="B224" s="363"/>
      <c r="C224" s="364"/>
      <c r="D224" s="362"/>
      <c r="E224" s="362"/>
      <c r="F224" s="332"/>
      <c r="G224" s="354" t="n">
        <v>42036</v>
      </c>
      <c r="H224" s="355" t="n">
        <v>42032</v>
      </c>
      <c r="I224" s="356" t="n">
        <v>42031</v>
      </c>
      <c r="J224" s="366" t="n">
        <f aca="false">WORKDAY(H224,1)</f>
        <v>42033</v>
      </c>
    </row>
    <row r="225" customFormat="false" ht="12.75" hidden="false" customHeight="false" outlineLevel="0" collapsed="false">
      <c r="A225" s="365"/>
      <c r="B225" s="363"/>
      <c r="C225" s="364"/>
      <c r="D225" s="362"/>
      <c r="E225" s="362"/>
      <c r="F225" s="332"/>
      <c r="G225" s="354" t="n">
        <v>42064</v>
      </c>
      <c r="H225" s="355" t="n">
        <v>42060</v>
      </c>
      <c r="I225" s="356" t="n">
        <v>42059</v>
      </c>
      <c r="J225" s="366" t="n">
        <f aca="false">WORKDAY(H225,1)</f>
        <v>42061</v>
      </c>
    </row>
    <row r="226" customFormat="false" ht="12.75" hidden="false" customHeight="false" outlineLevel="0" collapsed="false">
      <c r="A226" s="365"/>
      <c r="B226" s="363"/>
      <c r="C226" s="364"/>
      <c r="D226" s="362"/>
      <c r="E226" s="362"/>
      <c r="F226" s="332"/>
      <c r="G226" s="354" t="n">
        <v>42095</v>
      </c>
      <c r="H226" s="355" t="n">
        <v>42090</v>
      </c>
      <c r="I226" s="356" t="n">
        <v>42089</v>
      </c>
      <c r="J226" s="366" t="n">
        <f aca="false">WORKDAY(H226,1)</f>
        <v>42093</v>
      </c>
    </row>
    <row r="227" customFormat="false" ht="12.75" hidden="false" customHeight="false" outlineLevel="0" collapsed="false">
      <c r="A227" s="365"/>
      <c r="B227" s="363"/>
      <c r="C227" s="364"/>
      <c r="D227" s="362"/>
      <c r="E227" s="362"/>
      <c r="F227" s="332"/>
      <c r="G227" s="354" t="n">
        <v>42125</v>
      </c>
      <c r="H227" s="355" t="n">
        <v>42122</v>
      </c>
      <c r="I227" s="356" t="n">
        <v>42121</v>
      </c>
      <c r="J227" s="366" t="n">
        <f aca="false">WORKDAY(H227,1)</f>
        <v>42123</v>
      </c>
    </row>
    <row r="228" customFormat="false" ht="12.75" hidden="false" customHeight="false" outlineLevel="0" collapsed="false">
      <c r="A228" s="365"/>
      <c r="B228" s="363"/>
      <c r="C228" s="364"/>
      <c r="D228" s="362"/>
      <c r="E228" s="362"/>
      <c r="F228" s="332"/>
      <c r="G228" s="354" t="n">
        <v>42156</v>
      </c>
      <c r="H228" s="355" t="n">
        <v>42151</v>
      </c>
      <c r="I228" s="356" t="n">
        <v>42150</v>
      </c>
      <c r="J228" s="366" t="n">
        <f aca="false">WORKDAY(H228,1)</f>
        <v>42152</v>
      </c>
    </row>
    <row r="229" customFormat="false" ht="12.75" hidden="false" customHeight="false" outlineLevel="0" collapsed="false">
      <c r="A229" s="365"/>
      <c r="B229" s="363"/>
      <c r="C229" s="364"/>
      <c r="D229" s="362"/>
      <c r="E229" s="362"/>
      <c r="F229" s="332"/>
      <c r="G229" s="354" t="n">
        <v>42186</v>
      </c>
      <c r="H229" s="355" t="n">
        <v>42181</v>
      </c>
      <c r="I229" s="356" t="n">
        <v>42180</v>
      </c>
      <c r="J229" s="366" t="n">
        <f aca="false">WORKDAY(H229,1)</f>
        <v>42184</v>
      </c>
    </row>
    <row r="230" customFormat="false" ht="12.75" hidden="false" customHeight="false" outlineLevel="0" collapsed="false">
      <c r="A230" s="365"/>
      <c r="B230" s="363"/>
      <c r="C230" s="364"/>
      <c r="D230" s="362"/>
      <c r="E230" s="362"/>
      <c r="F230" s="332"/>
      <c r="G230" s="354" t="n">
        <v>42217</v>
      </c>
      <c r="H230" s="355" t="n">
        <v>42214</v>
      </c>
      <c r="I230" s="356" t="n">
        <v>42213</v>
      </c>
      <c r="J230" s="366" t="n">
        <f aca="false">WORKDAY(H230,1)</f>
        <v>42215</v>
      </c>
    </row>
    <row r="231" customFormat="false" ht="12.75" hidden="false" customHeight="false" outlineLevel="0" collapsed="false">
      <c r="A231" s="365"/>
      <c r="B231" s="363"/>
      <c r="C231" s="364"/>
      <c r="D231" s="362"/>
      <c r="E231" s="362"/>
      <c r="F231" s="332"/>
      <c r="G231" s="354" t="n">
        <v>42248</v>
      </c>
      <c r="H231" s="355" t="n">
        <v>42243</v>
      </c>
      <c r="I231" s="356" t="n">
        <v>42242</v>
      </c>
      <c r="J231" s="366" t="n">
        <f aca="false">WORKDAY(H231,1)</f>
        <v>42244</v>
      </c>
    </row>
    <row r="232" customFormat="false" ht="12.75" hidden="false" customHeight="false" outlineLevel="0" collapsed="false">
      <c r="A232" s="365"/>
      <c r="B232" s="363"/>
      <c r="C232" s="364"/>
      <c r="D232" s="362"/>
      <c r="E232" s="362"/>
      <c r="F232" s="332"/>
      <c r="G232" s="354" t="n">
        <v>42278</v>
      </c>
      <c r="H232" s="355" t="n">
        <v>42275</v>
      </c>
      <c r="I232" s="356" t="n">
        <v>42272</v>
      </c>
      <c r="J232" s="366" t="n">
        <f aca="false">WORKDAY(H232,1)</f>
        <v>42276</v>
      </c>
    </row>
    <row r="233" customFormat="false" ht="12.75" hidden="false" customHeight="false" outlineLevel="0" collapsed="false">
      <c r="A233" s="365"/>
      <c r="B233" s="363"/>
      <c r="C233" s="364"/>
      <c r="D233" s="362"/>
      <c r="E233" s="362"/>
      <c r="F233" s="332"/>
      <c r="G233" s="354" t="n">
        <v>42309</v>
      </c>
      <c r="H233" s="355" t="n">
        <v>42305</v>
      </c>
      <c r="I233" s="356" t="n">
        <v>42304</v>
      </c>
      <c r="J233" s="366" t="n">
        <f aca="false">WORKDAY(H233,1)</f>
        <v>42306</v>
      </c>
    </row>
    <row r="234" customFormat="false" ht="12.75" hidden="false" customHeight="false" outlineLevel="0" collapsed="false">
      <c r="A234" s="365"/>
      <c r="B234" s="363"/>
      <c r="C234" s="364"/>
      <c r="D234" s="362"/>
      <c r="E234" s="362"/>
      <c r="F234" s="362"/>
      <c r="G234" s="367" t="n">
        <v>42339</v>
      </c>
      <c r="H234" s="355" t="n">
        <v>42333</v>
      </c>
      <c r="I234" s="356" t="n">
        <v>42332</v>
      </c>
      <c r="J234" s="366" t="n">
        <f aca="false">WORKDAY(H234,1)</f>
        <v>42334</v>
      </c>
    </row>
    <row r="235" customFormat="false" ht="12.75" hidden="false" customHeight="false" outlineLevel="0" collapsed="false">
      <c r="A235" s="365"/>
      <c r="B235" s="363"/>
      <c r="C235" s="364"/>
      <c r="D235" s="362"/>
      <c r="E235" s="362"/>
      <c r="F235" s="362"/>
      <c r="G235" s="367" t="n">
        <v>42370</v>
      </c>
      <c r="H235" s="355" t="n">
        <v>42367</v>
      </c>
      <c r="I235" s="356" t="n">
        <v>42366</v>
      </c>
      <c r="J235" s="366" t="n">
        <f aca="false">WORKDAY(H235,1)</f>
        <v>42368</v>
      </c>
    </row>
    <row r="236" customFormat="false" ht="12.75" hidden="false" customHeight="false" outlineLevel="0" collapsed="false">
      <c r="A236" s="365"/>
      <c r="B236" s="363"/>
      <c r="C236" s="364"/>
      <c r="D236" s="362"/>
      <c r="E236" s="362"/>
      <c r="F236" s="362"/>
      <c r="G236" s="367" t="n">
        <v>42401</v>
      </c>
      <c r="H236" s="355" t="n">
        <v>42396</v>
      </c>
      <c r="I236" s="356" t="n">
        <v>42395</v>
      </c>
      <c r="J236" s="366" t="n">
        <f aca="false">WORKDAY(H236,1)</f>
        <v>42397</v>
      </c>
    </row>
    <row r="237" customFormat="false" ht="12.75" hidden="false" customHeight="false" outlineLevel="0" collapsed="false">
      <c r="A237" s="365"/>
      <c r="B237" s="363"/>
      <c r="C237" s="364"/>
      <c r="D237" s="362"/>
      <c r="E237" s="362"/>
      <c r="F237" s="362"/>
      <c r="G237" s="367" t="n">
        <v>42430</v>
      </c>
      <c r="H237" s="355" t="n">
        <v>42425</v>
      </c>
      <c r="I237" s="356" t="n">
        <v>42424</v>
      </c>
      <c r="J237" s="366" t="n">
        <f aca="false">WORKDAY(H237,1)</f>
        <v>42426</v>
      </c>
    </row>
    <row r="238" customFormat="false" ht="12.75" hidden="false" customHeight="false" outlineLevel="0" collapsed="false">
      <c r="A238" s="365"/>
      <c r="B238" s="363"/>
      <c r="C238" s="364"/>
      <c r="D238" s="362"/>
      <c r="E238" s="362"/>
      <c r="F238" s="362"/>
      <c r="G238" s="367" t="n">
        <v>42461</v>
      </c>
      <c r="H238" s="355" t="n">
        <v>42458</v>
      </c>
      <c r="I238" s="356" t="n">
        <v>42457</v>
      </c>
      <c r="J238" s="366" t="n">
        <f aca="false">WORKDAY(H238,1)</f>
        <v>42459</v>
      </c>
    </row>
    <row r="239" customFormat="false" ht="12.75" hidden="false" customHeight="false" outlineLevel="0" collapsed="false">
      <c r="A239" s="365"/>
      <c r="B239" s="363"/>
      <c r="C239" s="364"/>
      <c r="D239" s="362"/>
      <c r="E239" s="362"/>
      <c r="F239" s="362"/>
      <c r="G239" s="367" t="n">
        <v>42491</v>
      </c>
      <c r="H239" s="355" t="n">
        <v>42487</v>
      </c>
      <c r="I239" s="356" t="n">
        <v>42486</v>
      </c>
      <c r="J239" s="366" t="n">
        <f aca="false">WORKDAY(H239,1)</f>
        <v>42488</v>
      </c>
    </row>
    <row r="240" customFormat="false" ht="12.75" hidden="false" customHeight="false" outlineLevel="0" collapsed="false">
      <c r="A240" s="365"/>
      <c r="B240" s="363"/>
      <c r="C240" s="364"/>
      <c r="D240" s="362"/>
      <c r="E240" s="362"/>
      <c r="F240" s="362"/>
      <c r="G240" s="367" t="n">
        <v>42522</v>
      </c>
      <c r="H240" s="355" t="n">
        <v>42516</v>
      </c>
      <c r="I240" s="356" t="n">
        <v>42515</v>
      </c>
      <c r="J240" s="366" t="n">
        <f aca="false">WORKDAY(H240,1)</f>
        <v>42517</v>
      </c>
    </row>
    <row r="241" customFormat="false" ht="12.75" hidden="false" customHeight="false" outlineLevel="0" collapsed="false">
      <c r="A241" s="365"/>
      <c r="B241" s="363"/>
      <c r="C241" s="364"/>
      <c r="D241" s="362"/>
      <c r="E241" s="362"/>
      <c r="F241" s="362"/>
      <c r="G241" s="367" t="n">
        <v>42552</v>
      </c>
      <c r="H241" s="355" t="n">
        <v>42549</v>
      </c>
      <c r="I241" s="356" t="n">
        <v>42548</v>
      </c>
      <c r="J241" s="366" t="n">
        <f aca="false">WORKDAY(H241,1)</f>
        <v>42550</v>
      </c>
    </row>
    <row r="242" customFormat="false" ht="12.75" hidden="false" customHeight="false" outlineLevel="0" collapsed="false">
      <c r="A242" s="365"/>
      <c r="B242" s="363"/>
      <c r="C242" s="364"/>
      <c r="D242" s="362"/>
      <c r="E242" s="362"/>
      <c r="F242" s="362"/>
      <c r="G242" s="367" t="n">
        <v>42583</v>
      </c>
      <c r="H242" s="355" t="n">
        <v>42578</v>
      </c>
      <c r="I242" s="356" t="n">
        <v>42577</v>
      </c>
      <c r="J242" s="366" t="n">
        <f aca="false">WORKDAY(H242,1)</f>
        <v>42579</v>
      </c>
    </row>
    <row r="243" customFormat="false" ht="12.75" hidden="false" customHeight="false" outlineLevel="0" collapsed="false">
      <c r="A243" s="365"/>
      <c r="B243" s="363"/>
      <c r="C243" s="364"/>
      <c r="D243" s="362"/>
      <c r="E243" s="362"/>
      <c r="F243" s="362"/>
      <c r="G243" s="367" t="n">
        <v>42614</v>
      </c>
      <c r="H243" s="355" t="n">
        <v>42611</v>
      </c>
      <c r="I243" s="356" t="n">
        <v>42608</v>
      </c>
      <c r="J243" s="366" t="n">
        <f aca="false">WORKDAY(H243,1)</f>
        <v>42612</v>
      </c>
    </row>
    <row r="244" customFormat="false" ht="12.75" hidden="false" customHeight="false" outlineLevel="0" collapsed="false">
      <c r="A244" s="365"/>
      <c r="B244" s="363"/>
      <c r="C244" s="364"/>
      <c r="D244" s="362"/>
      <c r="E244" s="362"/>
      <c r="F244" s="362"/>
      <c r="G244" s="367" t="n">
        <v>42644</v>
      </c>
      <c r="H244" s="355" t="n">
        <v>42641</v>
      </c>
      <c r="I244" s="356" t="n">
        <v>42640</v>
      </c>
      <c r="J244" s="366" t="n">
        <f aca="false">WORKDAY(H244,1)</f>
        <v>42642</v>
      </c>
    </row>
    <row r="245" customFormat="false" ht="12.75" hidden="false" customHeight="false" outlineLevel="0" collapsed="false">
      <c r="A245" s="365"/>
      <c r="B245" s="363"/>
      <c r="C245" s="364"/>
      <c r="D245" s="362"/>
      <c r="E245" s="362"/>
      <c r="F245" s="362"/>
      <c r="G245" s="367" t="n">
        <v>42675</v>
      </c>
      <c r="H245" s="355" t="n">
        <v>42670</v>
      </c>
      <c r="I245" s="356" t="n">
        <v>42669</v>
      </c>
      <c r="J245" s="366" t="n">
        <f aca="false">WORKDAY(H245,1)</f>
        <v>42671</v>
      </c>
    </row>
    <row r="246" customFormat="false" ht="12.75" hidden="false" customHeight="false" outlineLevel="0" collapsed="false">
      <c r="A246" s="365"/>
      <c r="B246" s="363"/>
      <c r="C246" s="364"/>
      <c r="D246" s="362"/>
      <c r="E246" s="362"/>
      <c r="F246" s="362"/>
      <c r="G246" s="367" t="n">
        <v>42705</v>
      </c>
      <c r="H246" s="355" t="n">
        <v>42702</v>
      </c>
      <c r="I246" s="356" t="n">
        <v>42699</v>
      </c>
      <c r="J246" s="366" t="n">
        <f aca="false">WORKDAY(H246,1)</f>
        <v>42703</v>
      </c>
    </row>
    <row r="247" customFormat="false" ht="12.75" hidden="false" customHeight="false" outlineLevel="0" collapsed="false">
      <c r="A247" s="365"/>
      <c r="B247" s="363"/>
      <c r="C247" s="364"/>
      <c r="D247" s="362"/>
      <c r="E247" s="362"/>
      <c r="F247" s="362"/>
      <c r="G247" s="367" t="n">
        <v>42736</v>
      </c>
      <c r="H247" s="355" t="n">
        <v>42732</v>
      </c>
      <c r="I247" s="356" t="n">
        <v>42731</v>
      </c>
      <c r="J247" s="366" t="n">
        <f aca="false">WORKDAY(H247,1)</f>
        <v>42733</v>
      </c>
    </row>
    <row r="248" customFormat="false" ht="12.75" hidden="false" customHeight="false" outlineLevel="0" collapsed="false">
      <c r="A248" s="365"/>
      <c r="B248" s="363"/>
      <c r="C248" s="364"/>
      <c r="D248" s="362"/>
      <c r="E248" s="362"/>
      <c r="F248" s="362"/>
      <c r="G248" s="367" t="n">
        <v>42767</v>
      </c>
      <c r="H248" s="355" t="n">
        <v>42762</v>
      </c>
      <c r="I248" s="356" t="n">
        <v>42761</v>
      </c>
      <c r="J248" s="366" t="n">
        <f aca="false">WORKDAY(H248,1)</f>
        <v>42765</v>
      </c>
    </row>
    <row r="249" customFormat="false" ht="12.75" hidden="false" customHeight="false" outlineLevel="0" collapsed="false">
      <c r="A249" s="365"/>
      <c r="B249" s="363"/>
      <c r="C249" s="364"/>
      <c r="D249" s="362"/>
      <c r="E249" s="362"/>
      <c r="F249" s="362"/>
      <c r="G249" s="367" t="n">
        <v>42795</v>
      </c>
      <c r="H249" s="355" t="n">
        <v>42790</v>
      </c>
      <c r="I249" s="356" t="n">
        <v>42789</v>
      </c>
      <c r="J249" s="366" t="n">
        <f aca="false">WORKDAY(H249,1)</f>
        <v>42793</v>
      </c>
    </row>
    <row r="250" customFormat="false" ht="12.75" hidden="false" customHeight="false" outlineLevel="0" collapsed="false">
      <c r="A250" s="365"/>
      <c r="B250" s="363"/>
      <c r="C250" s="364"/>
      <c r="D250" s="362"/>
      <c r="E250" s="362"/>
      <c r="F250" s="362"/>
      <c r="G250" s="367" t="n">
        <v>42826</v>
      </c>
      <c r="H250" s="355" t="n">
        <v>42823</v>
      </c>
      <c r="I250" s="356" t="n">
        <v>42822</v>
      </c>
      <c r="J250" s="366" t="n">
        <f aca="false">WORKDAY(H250,1)</f>
        <v>42824</v>
      </c>
    </row>
    <row r="251" customFormat="false" ht="12.75" hidden="false" customHeight="false" outlineLevel="0" collapsed="false">
      <c r="A251" s="365"/>
      <c r="B251" s="363"/>
      <c r="C251" s="364"/>
      <c r="D251" s="362"/>
      <c r="E251" s="362"/>
      <c r="F251" s="362"/>
      <c r="G251" s="367" t="n">
        <v>42856</v>
      </c>
      <c r="H251" s="355" t="n">
        <v>42851</v>
      </c>
      <c r="I251" s="356" t="n">
        <v>42850</v>
      </c>
      <c r="J251" s="366" t="n">
        <f aca="false">WORKDAY(H251,1)</f>
        <v>42852</v>
      </c>
    </row>
    <row r="252" customFormat="false" ht="12.75" hidden="false" customHeight="false" outlineLevel="0" collapsed="false">
      <c r="A252" s="365"/>
      <c r="B252" s="363"/>
      <c r="C252" s="364"/>
      <c r="D252" s="362"/>
      <c r="E252" s="362"/>
      <c r="F252" s="362"/>
      <c r="G252" s="367" t="n">
        <v>42887</v>
      </c>
      <c r="H252" s="355" t="n">
        <v>42881</v>
      </c>
      <c r="I252" s="356" t="n">
        <v>42880</v>
      </c>
      <c r="J252" s="366" t="n">
        <f aca="false">WORKDAY(H252,1)</f>
        <v>42884</v>
      </c>
    </row>
    <row r="253" customFormat="false" ht="12.75" hidden="false" customHeight="false" outlineLevel="0" collapsed="false">
      <c r="A253" s="365"/>
      <c r="B253" s="363"/>
      <c r="C253" s="364"/>
      <c r="D253" s="362"/>
      <c r="E253" s="362"/>
      <c r="F253" s="362"/>
      <c r="G253" s="367" t="n">
        <v>42917</v>
      </c>
      <c r="H253" s="355" t="n">
        <v>42914</v>
      </c>
      <c r="I253" s="356" t="n">
        <v>42913</v>
      </c>
      <c r="J253" s="366" t="n">
        <f aca="false">WORKDAY(H253,1)</f>
        <v>42915</v>
      </c>
    </row>
    <row r="254" customFormat="false" ht="12.75" hidden="false" customHeight="false" outlineLevel="0" collapsed="false">
      <c r="A254" s="365"/>
      <c r="B254" s="363"/>
      <c r="C254" s="364"/>
      <c r="D254" s="362"/>
      <c r="E254" s="362"/>
      <c r="F254" s="362"/>
      <c r="G254" s="367" t="n">
        <v>42948</v>
      </c>
      <c r="H254" s="355" t="n">
        <v>42943</v>
      </c>
      <c r="I254" s="356" t="n">
        <v>42942</v>
      </c>
      <c r="J254" s="366" t="n">
        <f aca="false">WORKDAY(H254,1)</f>
        <v>42944</v>
      </c>
    </row>
    <row r="255" customFormat="false" ht="12.75" hidden="false" customHeight="false" outlineLevel="0" collapsed="false">
      <c r="A255" s="365"/>
      <c r="B255" s="363"/>
      <c r="C255" s="364"/>
      <c r="D255" s="362"/>
      <c r="E255" s="362"/>
      <c r="F255" s="362"/>
      <c r="G255" s="367" t="n">
        <v>42979</v>
      </c>
      <c r="H255" s="355" t="n">
        <v>42976</v>
      </c>
      <c r="I255" s="356" t="n">
        <v>42975</v>
      </c>
      <c r="J255" s="366" t="n">
        <f aca="false">WORKDAY(H255,1)</f>
        <v>42977</v>
      </c>
    </row>
    <row r="256" customFormat="false" ht="12.75" hidden="false" customHeight="false" outlineLevel="0" collapsed="false">
      <c r="A256" s="365"/>
      <c r="B256" s="363"/>
      <c r="C256" s="364"/>
      <c r="D256" s="362"/>
      <c r="E256" s="362"/>
      <c r="F256" s="362"/>
      <c r="G256" s="367" t="n">
        <v>43009</v>
      </c>
      <c r="H256" s="355" t="n">
        <v>43005</v>
      </c>
      <c r="I256" s="356" t="n">
        <v>43004</v>
      </c>
      <c r="J256" s="366" t="n">
        <f aca="false">WORKDAY(H256,1)</f>
        <v>43006</v>
      </c>
    </row>
    <row r="257" customFormat="false" ht="12.75" hidden="false" customHeight="false" outlineLevel="0" collapsed="false">
      <c r="A257" s="365"/>
      <c r="B257" s="363"/>
      <c r="C257" s="364"/>
      <c r="D257" s="362"/>
      <c r="E257" s="362"/>
      <c r="F257" s="362"/>
      <c r="G257" s="367" t="n">
        <v>43040</v>
      </c>
      <c r="H257" s="355" t="n">
        <v>43035</v>
      </c>
      <c r="I257" s="356" t="n">
        <v>43034</v>
      </c>
      <c r="J257" s="366" t="n">
        <f aca="false">WORKDAY(H257,1)</f>
        <v>43038</v>
      </c>
    </row>
    <row r="258" customFormat="false" ht="12.75" hidden="false" customHeight="false" outlineLevel="0" collapsed="false">
      <c r="A258" s="365"/>
      <c r="B258" s="363"/>
      <c r="C258" s="364"/>
      <c r="D258" s="362"/>
      <c r="E258" s="362"/>
      <c r="F258" s="362"/>
      <c r="G258" s="367" t="n">
        <v>43070</v>
      </c>
      <c r="H258" s="355" t="n">
        <v>43067</v>
      </c>
      <c r="I258" s="356" t="n">
        <v>43066</v>
      </c>
      <c r="J258" s="366" t="n">
        <f aca="false">WORKDAY(H258,1)</f>
        <v>43068</v>
      </c>
    </row>
    <row r="259" customFormat="false" ht="12.75" hidden="false" customHeight="false" outlineLevel="0" collapsed="false">
      <c r="A259" s="365"/>
      <c r="B259" s="363"/>
      <c r="C259" s="364"/>
      <c r="D259" s="362"/>
      <c r="E259" s="362"/>
      <c r="F259" s="362"/>
      <c r="G259" s="367" t="n">
        <v>43101</v>
      </c>
      <c r="H259" s="355" t="n">
        <v>43096</v>
      </c>
      <c r="I259" s="356" t="n">
        <v>43095</v>
      </c>
      <c r="J259" s="366" t="n">
        <f aca="false">WORKDAY(H259,1)</f>
        <v>43097</v>
      </c>
    </row>
    <row r="260" customFormat="false" ht="12.75" hidden="false" customHeight="false" outlineLevel="0" collapsed="false">
      <c r="A260" s="365"/>
      <c r="B260" s="363"/>
      <c r="C260" s="364"/>
      <c r="D260" s="362"/>
      <c r="E260" s="362"/>
      <c r="F260" s="362"/>
      <c r="G260" s="367" t="n">
        <v>43132</v>
      </c>
      <c r="H260" s="355" t="n">
        <v>43129</v>
      </c>
      <c r="I260" s="356" t="n">
        <v>43126</v>
      </c>
      <c r="J260" s="366" t="n">
        <f aca="false">WORKDAY(H260,1)</f>
        <v>43130</v>
      </c>
    </row>
    <row r="261" customFormat="false" ht="12.75" hidden="false" customHeight="false" outlineLevel="0" collapsed="false">
      <c r="A261" s="365"/>
      <c r="B261" s="363"/>
      <c r="C261" s="364"/>
      <c r="D261" s="362"/>
      <c r="E261" s="362"/>
      <c r="F261" s="362"/>
      <c r="G261" s="367" t="n">
        <v>43160</v>
      </c>
      <c r="H261" s="355" t="n">
        <v>43157</v>
      </c>
      <c r="I261" s="356" t="n">
        <v>43154</v>
      </c>
      <c r="J261" s="366" t="n">
        <f aca="false">WORKDAY(H261,1)</f>
        <v>43158</v>
      </c>
    </row>
    <row r="262" customFormat="false" ht="12.75" hidden="false" customHeight="false" outlineLevel="0" collapsed="false">
      <c r="A262" s="365"/>
      <c r="B262" s="363"/>
      <c r="C262" s="364"/>
      <c r="D262" s="362"/>
      <c r="E262" s="362"/>
      <c r="F262" s="362"/>
      <c r="G262" s="367" t="n">
        <v>43191</v>
      </c>
      <c r="H262" s="355" t="n">
        <v>43186</v>
      </c>
      <c r="I262" s="356" t="n">
        <v>43185</v>
      </c>
      <c r="J262" s="366" t="n">
        <f aca="false">WORKDAY(H262,1)</f>
        <v>43187</v>
      </c>
    </row>
    <row r="263" customFormat="false" ht="12.75" hidden="false" customHeight="false" outlineLevel="0" collapsed="false">
      <c r="A263" s="365"/>
      <c r="B263" s="363"/>
      <c r="C263" s="364"/>
      <c r="D263" s="362"/>
      <c r="E263" s="362"/>
      <c r="F263" s="362"/>
      <c r="G263" s="367" t="n">
        <v>43221</v>
      </c>
      <c r="H263" s="355" t="n">
        <v>43216</v>
      </c>
      <c r="I263" s="356" t="n">
        <v>43215</v>
      </c>
      <c r="J263" s="366" t="n">
        <f aca="false">WORKDAY(H263,1)</f>
        <v>43217</v>
      </c>
    </row>
    <row r="264" customFormat="false" ht="12.75" hidden="false" customHeight="false" outlineLevel="0" collapsed="false">
      <c r="A264" s="365"/>
      <c r="B264" s="363"/>
      <c r="C264" s="364"/>
      <c r="D264" s="362"/>
      <c r="E264" s="362"/>
      <c r="F264" s="362"/>
      <c r="G264" s="367" t="n">
        <v>43252</v>
      </c>
      <c r="H264" s="355" t="n">
        <v>43249</v>
      </c>
      <c r="I264" s="356" t="n">
        <v>43245</v>
      </c>
      <c r="J264" s="366" t="n">
        <f aca="false">WORKDAY(H264,1)</f>
        <v>43250</v>
      </c>
    </row>
    <row r="265" customFormat="false" ht="12.75" hidden="false" customHeight="false" outlineLevel="0" collapsed="false">
      <c r="A265" s="365"/>
      <c r="B265" s="363"/>
      <c r="C265" s="364"/>
      <c r="D265" s="362"/>
      <c r="E265" s="362"/>
      <c r="F265" s="362"/>
      <c r="G265" s="367" t="n">
        <v>43282</v>
      </c>
      <c r="H265" s="355" t="n">
        <v>43278</v>
      </c>
      <c r="I265" s="356" t="n">
        <v>43277</v>
      </c>
      <c r="J265" s="366" t="n">
        <f aca="false">WORKDAY(H265,1)</f>
        <v>43279</v>
      </c>
    </row>
    <row r="266" customFormat="false" ht="12.75" hidden="false" customHeight="false" outlineLevel="0" collapsed="false">
      <c r="A266" s="365"/>
      <c r="B266" s="363"/>
      <c r="C266" s="364"/>
      <c r="D266" s="362"/>
      <c r="E266" s="362"/>
      <c r="F266" s="362"/>
      <c r="G266" s="367" t="n">
        <v>43313</v>
      </c>
      <c r="H266" s="355" t="n">
        <v>43308</v>
      </c>
      <c r="I266" s="356" t="n">
        <v>43307</v>
      </c>
      <c r="J266" s="366" t="n">
        <f aca="false">WORKDAY(H266,1)</f>
        <v>43311</v>
      </c>
    </row>
    <row r="267" customFormat="false" ht="12.75" hidden="false" customHeight="false" outlineLevel="0" collapsed="false">
      <c r="A267" s="365"/>
      <c r="B267" s="363"/>
      <c r="C267" s="364"/>
      <c r="D267" s="362"/>
      <c r="E267" s="362"/>
      <c r="F267" s="362"/>
      <c r="G267" s="367" t="n">
        <v>43344</v>
      </c>
      <c r="H267" s="355" t="n">
        <v>43341</v>
      </c>
      <c r="I267" s="356" t="n">
        <v>43340</v>
      </c>
      <c r="J267" s="366" t="n">
        <f aca="false">WORKDAY(H267,1)</f>
        <v>43342</v>
      </c>
    </row>
    <row r="268" customFormat="false" ht="12.75" hidden="false" customHeight="false" outlineLevel="0" collapsed="false">
      <c r="A268" s="365"/>
      <c r="B268" s="363"/>
      <c r="C268" s="364"/>
      <c r="D268" s="362"/>
      <c r="E268" s="362"/>
      <c r="F268" s="362"/>
      <c r="G268" s="367" t="n">
        <v>43374</v>
      </c>
      <c r="H268" s="355" t="n">
        <v>43369</v>
      </c>
      <c r="I268" s="356" t="n">
        <v>43368</v>
      </c>
      <c r="J268" s="366" t="n">
        <f aca="false">WORKDAY(H268,1)</f>
        <v>43370</v>
      </c>
    </row>
    <row r="269" customFormat="false" ht="12.75" hidden="false" customHeight="false" outlineLevel="0" collapsed="false">
      <c r="A269" s="365"/>
      <c r="B269" s="363"/>
      <c r="C269" s="364"/>
      <c r="D269" s="362"/>
      <c r="E269" s="362"/>
      <c r="F269" s="362"/>
      <c r="G269" s="367" t="n">
        <v>43405</v>
      </c>
      <c r="H269" s="355" t="n">
        <v>43402</v>
      </c>
      <c r="I269" s="356" t="n">
        <v>43399</v>
      </c>
      <c r="J269" s="366" t="n">
        <f aca="false">WORKDAY(H269,1)</f>
        <v>43403</v>
      </c>
    </row>
    <row r="270" customFormat="false" ht="12.75" hidden="false" customHeight="false" outlineLevel="0" collapsed="false">
      <c r="A270" s="365"/>
      <c r="B270" s="363"/>
      <c r="C270" s="364"/>
      <c r="D270" s="362"/>
      <c r="E270" s="362"/>
      <c r="F270" s="362"/>
      <c r="G270" s="367" t="n">
        <v>43435</v>
      </c>
      <c r="H270" s="355" t="n">
        <v>43432</v>
      </c>
      <c r="I270" s="356" t="n">
        <v>43431</v>
      </c>
      <c r="J270" s="366" t="n">
        <f aca="false">WORKDAY(H270,1)</f>
        <v>43433</v>
      </c>
    </row>
    <row r="271" customFormat="false" ht="12.75" hidden="false" customHeight="false" outlineLevel="0" collapsed="false">
      <c r="A271" s="365"/>
      <c r="B271" s="363"/>
      <c r="C271" s="364"/>
      <c r="D271" s="362"/>
      <c r="E271" s="362"/>
      <c r="F271" s="362"/>
      <c r="G271" s="367" t="n">
        <v>43466</v>
      </c>
      <c r="H271" s="355" t="n">
        <v>43461</v>
      </c>
      <c r="I271" s="356" t="n">
        <v>43460</v>
      </c>
      <c r="J271" s="366" t="n">
        <f aca="false">WORKDAY(H271,1)</f>
        <v>43462</v>
      </c>
    </row>
    <row r="272" customFormat="false" ht="12.75" hidden="false" customHeight="false" outlineLevel="0" collapsed="false">
      <c r="A272" s="365"/>
      <c r="B272" s="363"/>
      <c r="C272" s="364"/>
      <c r="D272" s="362"/>
      <c r="E272" s="362"/>
      <c r="F272" s="362"/>
      <c r="G272" s="367" t="n">
        <v>43497</v>
      </c>
      <c r="H272" s="355" t="n">
        <v>43494</v>
      </c>
      <c r="I272" s="356" t="n">
        <v>43493</v>
      </c>
      <c r="J272" s="366" t="n">
        <f aca="false">WORKDAY(H272,1)</f>
        <v>43495</v>
      </c>
    </row>
    <row r="273" customFormat="false" ht="12.75" hidden="false" customHeight="false" outlineLevel="0" collapsed="false">
      <c r="A273" s="365"/>
      <c r="B273" s="363"/>
      <c r="C273" s="364"/>
      <c r="D273" s="362"/>
      <c r="E273" s="362"/>
      <c r="F273" s="362"/>
      <c r="G273" s="367" t="n">
        <v>43525</v>
      </c>
      <c r="H273" s="355" t="n">
        <v>43522</v>
      </c>
      <c r="I273" s="356" t="n">
        <v>43521</v>
      </c>
      <c r="J273" s="366" t="n">
        <f aca="false">WORKDAY(H273,1)</f>
        <v>43523</v>
      </c>
    </row>
    <row r="274" customFormat="false" ht="12.75" hidden="false" customHeight="false" outlineLevel="0" collapsed="false">
      <c r="A274" s="365"/>
      <c r="B274" s="363"/>
      <c r="C274" s="364"/>
      <c r="D274" s="362"/>
      <c r="E274" s="362"/>
      <c r="F274" s="362"/>
      <c r="G274" s="367" t="n">
        <v>43556</v>
      </c>
      <c r="H274" s="355" t="n">
        <v>43551</v>
      </c>
      <c r="I274" s="356" t="n">
        <v>43550</v>
      </c>
      <c r="J274" s="366" t="n">
        <f aca="false">WORKDAY(H274,1)</f>
        <v>43552</v>
      </c>
    </row>
    <row r="275" customFormat="false" ht="12.75" hidden="false" customHeight="false" outlineLevel="0" collapsed="false">
      <c r="A275" s="365"/>
      <c r="B275" s="363"/>
      <c r="C275" s="364"/>
      <c r="D275" s="362"/>
      <c r="E275" s="362"/>
      <c r="F275" s="362"/>
      <c r="G275" s="367" t="n">
        <v>43586</v>
      </c>
      <c r="H275" s="355" t="n">
        <v>43581</v>
      </c>
      <c r="I275" s="356" t="n">
        <v>43580</v>
      </c>
      <c r="J275" s="366" t="n">
        <f aca="false">WORKDAY(H275,1)</f>
        <v>43584</v>
      </c>
    </row>
    <row r="276" customFormat="false" ht="12.75" hidden="false" customHeight="false" outlineLevel="0" collapsed="false">
      <c r="A276" s="365"/>
      <c r="B276" s="363"/>
      <c r="C276" s="364"/>
      <c r="D276" s="362"/>
      <c r="E276" s="362"/>
      <c r="F276" s="362"/>
      <c r="G276" s="367" t="n">
        <v>43617</v>
      </c>
      <c r="H276" s="355" t="n">
        <v>43614</v>
      </c>
      <c r="I276" s="356" t="n">
        <v>43613</v>
      </c>
      <c r="J276" s="366" t="n">
        <f aca="false">WORKDAY(H276,1)</f>
        <v>43615</v>
      </c>
    </row>
    <row r="277" customFormat="false" ht="12.75" hidden="false" customHeight="false" outlineLevel="0" collapsed="false">
      <c r="A277" s="365"/>
      <c r="B277" s="363"/>
      <c r="C277" s="364"/>
      <c r="D277" s="362"/>
      <c r="E277" s="362"/>
      <c r="F277" s="362"/>
      <c r="G277" s="367" t="n">
        <v>43647</v>
      </c>
      <c r="H277" s="355" t="n">
        <v>43642</v>
      </c>
      <c r="I277" s="356" t="n">
        <v>43641</v>
      </c>
      <c r="J277" s="366" t="n">
        <f aca="false">WORKDAY(H277,1)</f>
        <v>43643</v>
      </c>
    </row>
    <row r="278" customFormat="false" ht="12.75" hidden="false" customHeight="false" outlineLevel="0" collapsed="false">
      <c r="A278" s="365"/>
      <c r="B278" s="363"/>
      <c r="C278" s="364"/>
      <c r="D278" s="362"/>
      <c r="E278" s="362"/>
      <c r="F278" s="362"/>
      <c r="G278" s="367" t="n">
        <v>43678</v>
      </c>
      <c r="H278" s="355" t="n">
        <v>43675</v>
      </c>
      <c r="I278" s="356" t="n">
        <v>43672</v>
      </c>
      <c r="J278" s="366" t="n">
        <f aca="false">WORKDAY(H278,1)</f>
        <v>43676</v>
      </c>
    </row>
    <row r="279" customFormat="false" ht="12.75" hidden="false" customHeight="false" outlineLevel="0" collapsed="false">
      <c r="A279" s="365"/>
      <c r="B279" s="363"/>
      <c r="C279" s="364"/>
      <c r="D279" s="362"/>
      <c r="E279" s="362"/>
      <c r="F279" s="362"/>
      <c r="G279" s="367" t="n">
        <v>43709</v>
      </c>
      <c r="H279" s="355" t="n">
        <v>43705</v>
      </c>
      <c r="I279" s="356" t="n">
        <v>43704</v>
      </c>
      <c r="J279" s="366" t="n">
        <f aca="false">WORKDAY(H279,1)</f>
        <v>43706</v>
      </c>
    </row>
    <row r="280" customFormat="false" ht="12.75" hidden="false" customHeight="false" outlineLevel="0" collapsed="false">
      <c r="A280" s="365"/>
      <c r="B280" s="363"/>
      <c r="C280" s="364"/>
      <c r="D280" s="362"/>
      <c r="E280" s="362"/>
      <c r="F280" s="362"/>
      <c r="G280" s="367" t="n">
        <v>43739</v>
      </c>
      <c r="H280" s="355" t="n">
        <v>43734</v>
      </c>
      <c r="I280" s="356" t="n">
        <v>43733</v>
      </c>
      <c r="J280" s="366" t="n">
        <f aca="false">WORKDAY(H280,1)</f>
        <v>43735</v>
      </c>
    </row>
    <row r="281" customFormat="false" ht="12.75" hidden="false" customHeight="false" outlineLevel="0" collapsed="false">
      <c r="A281" s="365"/>
      <c r="B281" s="363"/>
      <c r="C281" s="364"/>
      <c r="D281" s="362"/>
      <c r="E281" s="362"/>
      <c r="F281" s="362"/>
      <c r="G281" s="367" t="n">
        <v>43770</v>
      </c>
      <c r="H281" s="355" t="n">
        <v>43767</v>
      </c>
      <c r="I281" s="356" t="n">
        <v>43766</v>
      </c>
      <c r="J281" s="366" t="n">
        <f aca="false">WORKDAY(H281,1)</f>
        <v>43768</v>
      </c>
    </row>
    <row r="282" customFormat="false" ht="12.75" hidden="false" customHeight="false" outlineLevel="0" collapsed="false">
      <c r="A282" s="365"/>
      <c r="B282" s="363"/>
      <c r="C282" s="364"/>
      <c r="D282" s="362"/>
      <c r="E282" s="362"/>
      <c r="F282" s="362"/>
      <c r="G282" s="367" t="n">
        <v>43800</v>
      </c>
      <c r="H282" s="355" t="n">
        <v>43795</v>
      </c>
      <c r="I282" s="356" t="n">
        <v>43794</v>
      </c>
      <c r="J282" s="366" t="n">
        <f aca="false">WORKDAY(H282,1)</f>
        <v>43796</v>
      </c>
    </row>
    <row r="283" customFormat="false" ht="12.75" hidden="false" customHeight="false" outlineLevel="0" collapsed="false">
      <c r="A283" s="365"/>
      <c r="B283" s="363"/>
      <c r="C283" s="364"/>
      <c r="D283" s="362"/>
      <c r="E283" s="362"/>
      <c r="F283" s="362"/>
      <c r="G283" s="367" t="n">
        <v>43831</v>
      </c>
      <c r="H283" s="355" t="n">
        <v>43826</v>
      </c>
      <c r="I283" s="356" t="n">
        <v>43825</v>
      </c>
      <c r="J283" s="366" t="n">
        <f aca="false">WORKDAY(H283,1)</f>
        <v>43829</v>
      </c>
    </row>
    <row r="284" customFormat="false" ht="12.75" hidden="false" customHeight="false" outlineLevel="0" collapsed="false">
      <c r="A284" s="365"/>
      <c r="B284" s="363"/>
      <c r="C284" s="364"/>
      <c r="D284" s="362"/>
      <c r="E284" s="362"/>
      <c r="F284" s="362"/>
      <c r="G284" s="367" t="n">
        <v>43862</v>
      </c>
      <c r="H284" s="355" t="n">
        <v>43859</v>
      </c>
      <c r="I284" s="356" t="n">
        <v>43858</v>
      </c>
      <c r="J284" s="366" t="n">
        <f aca="false">WORKDAY(H284,1)</f>
        <v>43860</v>
      </c>
    </row>
    <row r="285" customFormat="false" ht="12.75" hidden="false" customHeight="false" outlineLevel="0" collapsed="false">
      <c r="A285" s="365"/>
      <c r="B285" s="363"/>
      <c r="C285" s="364"/>
      <c r="D285" s="362"/>
      <c r="E285" s="362"/>
      <c r="F285" s="362"/>
      <c r="G285" s="367" t="n">
        <v>43891</v>
      </c>
      <c r="H285" s="355" t="n">
        <v>43887</v>
      </c>
      <c r="I285" s="356" t="n">
        <v>43886</v>
      </c>
      <c r="J285" s="366" t="n">
        <f aca="false">WORKDAY(H285,1)</f>
        <v>43888</v>
      </c>
    </row>
    <row r="286" customFormat="false" ht="12.75" hidden="false" customHeight="false" outlineLevel="0" collapsed="false">
      <c r="A286" s="365"/>
      <c r="B286" s="363"/>
      <c r="C286" s="364"/>
      <c r="D286" s="362"/>
      <c r="E286" s="362"/>
      <c r="F286" s="362"/>
      <c r="G286" s="367" t="n">
        <v>43922</v>
      </c>
      <c r="H286" s="355" t="n">
        <v>43917</v>
      </c>
      <c r="I286" s="356" t="n">
        <v>43916</v>
      </c>
      <c r="J286" s="366" t="n">
        <f aca="false">WORKDAY(H286,1)</f>
        <v>43920</v>
      </c>
    </row>
    <row r="287" customFormat="false" ht="12.75" hidden="false" customHeight="false" outlineLevel="0" collapsed="false">
      <c r="A287" s="365"/>
      <c r="B287" s="363"/>
      <c r="C287" s="364"/>
      <c r="D287" s="362"/>
      <c r="E287" s="362"/>
      <c r="F287" s="362"/>
      <c r="G287" s="367" t="n">
        <v>43952</v>
      </c>
      <c r="H287" s="355" t="n">
        <v>43949</v>
      </c>
      <c r="I287" s="356" t="n">
        <v>43948</v>
      </c>
      <c r="J287" s="366" t="n">
        <f aca="false">WORKDAY(H287,1)</f>
        <v>43950</v>
      </c>
    </row>
    <row r="288" customFormat="false" ht="12.75" hidden="false" customHeight="false" outlineLevel="0" collapsed="false">
      <c r="A288" s="365"/>
      <c r="B288" s="363"/>
      <c r="C288" s="364"/>
      <c r="D288" s="362"/>
      <c r="E288" s="362"/>
      <c r="F288" s="362"/>
      <c r="G288" s="367" t="n">
        <v>43983</v>
      </c>
      <c r="H288" s="355" t="n">
        <v>43978</v>
      </c>
      <c r="I288" s="356" t="n">
        <v>43977</v>
      </c>
      <c r="J288" s="366" t="n">
        <f aca="false">WORKDAY(H288,1)</f>
        <v>43979</v>
      </c>
    </row>
    <row r="289" customFormat="false" ht="12.75" hidden="false" customHeight="false" outlineLevel="0" collapsed="false">
      <c r="A289" s="365"/>
      <c r="B289" s="363"/>
      <c r="C289" s="364"/>
      <c r="D289" s="362"/>
      <c r="E289" s="362"/>
      <c r="F289" s="362"/>
      <c r="G289" s="367" t="n">
        <v>44013</v>
      </c>
      <c r="H289" s="355" t="n">
        <v>44008</v>
      </c>
      <c r="I289" s="356" t="n">
        <v>44007</v>
      </c>
      <c r="J289" s="366" t="n">
        <f aca="false">WORKDAY(H289,1)</f>
        <v>44011</v>
      </c>
    </row>
    <row r="290" customFormat="false" ht="12.75" hidden="false" customHeight="false" outlineLevel="0" collapsed="false">
      <c r="A290" s="365"/>
      <c r="B290" s="363"/>
      <c r="C290" s="364"/>
      <c r="D290" s="362"/>
      <c r="E290" s="362"/>
      <c r="F290" s="362"/>
      <c r="G290" s="367" t="n">
        <v>44044</v>
      </c>
      <c r="H290" s="355" t="n">
        <v>44041</v>
      </c>
      <c r="I290" s="356" t="n">
        <v>44040</v>
      </c>
      <c r="J290" s="366" t="n">
        <f aca="false">WORKDAY(H290,1)</f>
        <v>44042</v>
      </c>
    </row>
    <row r="291" customFormat="false" ht="12.75" hidden="false" customHeight="false" outlineLevel="0" collapsed="false">
      <c r="A291" s="365"/>
      <c r="B291" s="363"/>
      <c r="C291" s="364"/>
      <c r="D291" s="362"/>
      <c r="E291" s="362"/>
      <c r="F291" s="362"/>
      <c r="G291" s="367" t="n">
        <v>44075</v>
      </c>
      <c r="H291" s="355" t="n">
        <v>44070</v>
      </c>
      <c r="I291" s="356" t="n">
        <v>44069</v>
      </c>
      <c r="J291" s="366" t="n">
        <f aca="false">WORKDAY(H291,1)</f>
        <v>44071</v>
      </c>
    </row>
    <row r="292" customFormat="false" ht="12.75" hidden="false" customHeight="false" outlineLevel="0" collapsed="false">
      <c r="A292" s="365"/>
      <c r="B292" s="363"/>
      <c r="C292" s="364"/>
      <c r="D292" s="362"/>
      <c r="E292" s="362"/>
      <c r="F292" s="362"/>
      <c r="G292" s="367" t="n">
        <v>44105</v>
      </c>
      <c r="H292" s="355" t="n">
        <v>44102</v>
      </c>
      <c r="I292" s="356" t="n">
        <v>44099</v>
      </c>
      <c r="J292" s="366" t="n">
        <f aca="false">WORKDAY(H292,1)</f>
        <v>44103</v>
      </c>
    </row>
    <row r="293" customFormat="false" ht="12.75" hidden="false" customHeight="false" outlineLevel="0" collapsed="false">
      <c r="A293" s="365"/>
      <c r="B293" s="363"/>
      <c r="C293" s="364"/>
      <c r="D293" s="362"/>
      <c r="E293" s="362"/>
      <c r="F293" s="362"/>
      <c r="G293" s="367" t="n">
        <v>44136</v>
      </c>
      <c r="H293" s="355" t="n">
        <v>44132</v>
      </c>
      <c r="I293" s="356" t="n">
        <v>44131</v>
      </c>
      <c r="J293" s="366" t="n">
        <f aca="false">WORKDAY(H293,1)</f>
        <v>44133</v>
      </c>
    </row>
    <row r="294" customFormat="false" ht="12.75" hidden="false" customHeight="false" outlineLevel="0" collapsed="false">
      <c r="A294" s="365"/>
      <c r="B294" s="363"/>
      <c r="C294" s="364"/>
      <c r="D294" s="362"/>
      <c r="E294" s="362"/>
      <c r="F294" s="362"/>
      <c r="G294" s="367" t="n">
        <v>44166</v>
      </c>
      <c r="H294" s="355" t="n">
        <v>44160</v>
      </c>
      <c r="I294" s="356" t="n">
        <v>44159</v>
      </c>
      <c r="J294" s="366" t="n">
        <f aca="false">WORKDAY(H294,1)</f>
        <v>44161</v>
      </c>
    </row>
    <row r="295" customFormat="false" ht="12.75" hidden="false" customHeight="false" outlineLevel="0" collapsed="false">
      <c r="A295" s="365"/>
      <c r="B295" s="363"/>
      <c r="C295" s="364"/>
      <c r="D295" s="362"/>
      <c r="E295" s="362"/>
      <c r="F295" s="362"/>
      <c r="G295" s="367" t="n">
        <v>44197</v>
      </c>
      <c r="H295" s="355" t="n">
        <v>44194</v>
      </c>
      <c r="I295" s="356" t="n">
        <v>44193</v>
      </c>
      <c r="J295" s="366" t="n">
        <f aca="false">WORKDAY(H295,1)</f>
        <v>44195</v>
      </c>
    </row>
    <row r="296" customFormat="false" ht="12.75" hidden="false" customHeight="false" outlineLevel="0" collapsed="false">
      <c r="A296" s="365"/>
      <c r="B296" s="363"/>
      <c r="C296" s="364"/>
      <c r="D296" s="362"/>
      <c r="E296" s="362"/>
      <c r="F296" s="362"/>
      <c r="G296" s="367" t="n">
        <v>44228</v>
      </c>
      <c r="H296" s="355" t="n">
        <v>44223</v>
      </c>
      <c r="I296" s="356" t="n">
        <v>44222</v>
      </c>
      <c r="J296" s="366" t="n">
        <f aca="false">WORKDAY(H296,1)</f>
        <v>44224</v>
      </c>
    </row>
    <row r="297" customFormat="false" ht="12.75" hidden="false" customHeight="false" outlineLevel="0" collapsed="false">
      <c r="A297" s="365"/>
      <c r="B297" s="363"/>
      <c r="C297" s="364"/>
      <c r="D297" s="362"/>
      <c r="E297" s="362"/>
      <c r="F297" s="362"/>
      <c r="G297" s="367" t="n">
        <v>44256</v>
      </c>
      <c r="H297" s="355" t="n">
        <v>44251</v>
      </c>
      <c r="I297" s="356" t="n">
        <v>44250</v>
      </c>
      <c r="J297" s="366" t="n">
        <f aca="false">WORKDAY(H297,1)</f>
        <v>44252</v>
      </c>
    </row>
    <row r="298" customFormat="false" ht="12.75" hidden="false" customHeight="false" outlineLevel="0" collapsed="false">
      <c r="A298" s="365"/>
      <c r="B298" s="363"/>
      <c r="C298" s="364"/>
      <c r="D298" s="362"/>
      <c r="E298" s="362"/>
      <c r="F298" s="362"/>
      <c r="G298" s="367" t="n">
        <v>44287</v>
      </c>
      <c r="H298" s="355" t="n">
        <v>44284</v>
      </c>
      <c r="I298" s="356" t="n">
        <v>44281</v>
      </c>
      <c r="J298" s="366" t="n">
        <f aca="false">WORKDAY(H298,1)</f>
        <v>44285</v>
      </c>
    </row>
    <row r="299" customFormat="false" ht="12.75" hidden="false" customHeight="false" outlineLevel="0" collapsed="false">
      <c r="A299" s="365"/>
      <c r="B299" s="363"/>
      <c r="C299" s="364"/>
      <c r="D299" s="362"/>
      <c r="E299" s="362"/>
      <c r="F299" s="362"/>
      <c r="G299" s="367" t="n">
        <v>44317</v>
      </c>
      <c r="H299" s="355" t="n">
        <v>44314</v>
      </c>
      <c r="I299" s="356" t="n">
        <v>44313</v>
      </c>
      <c r="J299" s="366" t="n">
        <f aca="false">WORKDAY(H299,1)</f>
        <v>44315</v>
      </c>
    </row>
    <row r="300" customFormat="false" ht="12.75" hidden="false" customHeight="false" outlineLevel="0" collapsed="false">
      <c r="A300" s="365"/>
      <c r="B300" s="363"/>
      <c r="C300" s="364"/>
      <c r="D300" s="362"/>
      <c r="E300" s="362"/>
      <c r="F300" s="362"/>
      <c r="G300" s="367" t="n">
        <v>44348</v>
      </c>
      <c r="H300" s="355" t="n">
        <v>44342</v>
      </c>
      <c r="I300" s="356" t="n">
        <v>44341</v>
      </c>
      <c r="J300" s="366" t="n">
        <f aca="false">WORKDAY(H300,1)</f>
        <v>44343</v>
      </c>
    </row>
    <row r="301" customFormat="false" ht="12.75" hidden="false" customHeight="false" outlineLevel="0" collapsed="false">
      <c r="A301" s="365"/>
      <c r="B301" s="363"/>
      <c r="C301" s="364"/>
      <c r="D301" s="362"/>
      <c r="E301" s="362"/>
      <c r="F301" s="362"/>
      <c r="G301" s="367" t="n">
        <v>44378</v>
      </c>
      <c r="H301" s="355" t="n">
        <v>44375</v>
      </c>
      <c r="I301" s="356" t="n">
        <v>44372</v>
      </c>
      <c r="J301" s="366" t="n">
        <f aca="false">WORKDAY(H301,1)</f>
        <v>44376</v>
      </c>
    </row>
    <row r="302" customFormat="false" ht="12.75" hidden="false" customHeight="false" outlineLevel="0" collapsed="false">
      <c r="A302" s="365"/>
      <c r="B302" s="363"/>
      <c r="C302" s="364"/>
      <c r="D302" s="362"/>
      <c r="E302" s="362"/>
      <c r="F302" s="362"/>
      <c r="G302" s="367" t="n">
        <v>44409</v>
      </c>
      <c r="H302" s="355" t="n">
        <v>44405</v>
      </c>
      <c r="I302" s="356" t="n">
        <v>44404</v>
      </c>
      <c r="J302" s="366" t="n">
        <f aca="false">WORKDAY(H302,1)</f>
        <v>44406</v>
      </c>
    </row>
    <row r="303" customFormat="false" ht="12.75" hidden="false" customHeight="false" outlineLevel="0" collapsed="false">
      <c r="A303" s="365"/>
      <c r="B303" s="363"/>
      <c r="C303" s="364"/>
      <c r="D303" s="362"/>
      <c r="E303" s="362"/>
      <c r="F303" s="362"/>
      <c r="G303" s="367" t="n">
        <v>44440</v>
      </c>
      <c r="H303" s="355" t="n">
        <v>44435</v>
      </c>
      <c r="I303" s="356" t="n">
        <v>44434</v>
      </c>
      <c r="J303" s="366" t="n">
        <f aca="false">WORKDAY(H303,1)</f>
        <v>44438</v>
      </c>
    </row>
    <row r="304" customFormat="false" ht="12.75" hidden="false" customHeight="false" outlineLevel="0" collapsed="false">
      <c r="A304" s="365"/>
      <c r="B304" s="363"/>
      <c r="C304" s="364"/>
      <c r="D304" s="362"/>
      <c r="E304" s="362"/>
      <c r="F304" s="362"/>
      <c r="G304" s="367" t="n">
        <v>44470</v>
      </c>
      <c r="H304" s="355" t="n">
        <v>44467</v>
      </c>
      <c r="I304" s="356" t="n">
        <v>44466</v>
      </c>
      <c r="J304" s="366" t="n">
        <f aca="false">WORKDAY(H304,1)</f>
        <v>44468</v>
      </c>
    </row>
    <row r="305" customFormat="false" ht="12.75" hidden="false" customHeight="false" outlineLevel="0" collapsed="false">
      <c r="A305" s="365"/>
      <c r="B305" s="363"/>
      <c r="C305" s="364"/>
      <c r="D305" s="362"/>
      <c r="E305" s="362"/>
      <c r="F305" s="362"/>
      <c r="G305" s="367" t="n">
        <v>44501</v>
      </c>
      <c r="H305" s="355" t="n">
        <v>44496</v>
      </c>
      <c r="I305" s="356" t="n">
        <v>44495</v>
      </c>
      <c r="J305" s="366" t="n">
        <f aca="false">WORKDAY(H305,1)</f>
        <v>44497</v>
      </c>
    </row>
    <row r="306" customFormat="false" ht="12.75" hidden="false" customHeight="false" outlineLevel="0" collapsed="false">
      <c r="A306" s="365"/>
      <c r="B306" s="363"/>
      <c r="C306" s="364"/>
      <c r="D306" s="362"/>
      <c r="E306" s="362"/>
      <c r="F306" s="362"/>
      <c r="G306" s="367" t="n">
        <v>44531</v>
      </c>
      <c r="H306" s="355" t="n">
        <v>44526</v>
      </c>
      <c r="I306" s="356" t="n">
        <v>44524</v>
      </c>
      <c r="J306" s="366" t="n">
        <f aca="false">WORKDAY(H306,1)</f>
        <v>44529</v>
      </c>
    </row>
    <row r="307" customFormat="false" ht="12.75" hidden="false" customHeight="false" outlineLevel="0" collapsed="false">
      <c r="A307" s="365"/>
      <c r="B307" s="363"/>
      <c r="C307" s="364"/>
      <c r="D307" s="362"/>
      <c r="E307" s="362"/>
      <c r="F307" s="362"/>
      <c r="G307" s="367" t="n">
        <v>44562</v>
      </c>
      <c r="H307" s="355" t="n">
        <v>44558</v>
      </c>
      <c r="I307" s="356" t="n">
        <v>44557</v>
      </c>
      <c r="J307" s="366" t="n">
        <f aca="false">WORKDAY(H307,1)</f>
        <v>44559</v>
      </c>
    </row>
    <row r="308" customFormat="false" ht="12.75" hidden="false" customHeight="false" outlineLevel="0" collapsed="false">
      <c r="A308" s="365"/>
      <c r="B308" s="363"/>
      <c r="C308" s="364"/>
      <c r="D308" s="362"/>
      <c r="E308" s="362"/>
      <c r="F308" s="362"/>
      <c r="G308" s="367" t="n">
        <v>44593</v>
      </c>
      <c r="H308" s="355" t="n">
        <v>44588</v>
      </c>
      <c r="I308" s="356" t="n">
        <v>44587</v>
      </c>
      <c r="J308" s="366" t="n">
        <f aca="false">WORKDAY(H308,1)</f>
        <v>44589</v>
      </c>
    </row>
    <row r="309" customFormat="false" ht="12.75" hidden="false" customHeight="false" outlineLevel="0" collapsed="false">
      <c r="A309" s="365"/>
      <c r="B309" s="363"/>
      <c r="C309" s="364"/>
      <c r="D309" s="362"/>
      <c r="E309" s="362"/>
      <c r="F309" s="362"/>
      <c r="G309" s="367" t="n">
        <v>44621</v>
      </c>
      <c r="H309" s="355" t="n">
        <v>44616</v>
      </c>
      <c r="I309" s="356" t="n">
        <v>44615</v>
      </c>
      <c r="J309" s="366" t="n">
        <f aca="false">WORKDAY(H309,1)</f>
        <v>44617</v>
      </c>
    </row>
    <row r="310" customFormat="false" ht="12.75" hidden="false" customHeight="false" outlineLevel="0" collapsed="false">
      <c r="A310" s="365"/>
      <c r="B310" s="363"/>
      <c r="C310" s="364"/>
      <c r="D310" s="362"/>
      <c r="E310" s="362"/>
      <c r="F310" s="362"/>
      <c r="G310" s="367" t="n">
        <v>44652</v>
      </c>
      <c r="H310" s="355" t="n">
        <v>44649</v>
      </c>
      <c r="I310" s="356" t="n">
        <v>44648</v>
      </c>
      <c r="J310" s="366" t="n">
        <f aca="false">WORKDAY(H310,1)</f>
        <v>44650</v>
      </c>
    </row>
    <row r="311" customFormat="false" ht="12.75" hidden="false" customHeight="false" outlineLevel="0" collapsed="false">
      <c r="A311" s="365"/>
      <c r="B311" s="363"/>
      <c r="C311" s="364"/>
      <c r="D311" s="364"/>
      <c r="E311" s="364"/>
      <c r="F311" s="362"/>
      <c r="G311" s="367" t="n">
        <v>44682</v>
      </c>
      <c r="H311" s="355" t="n">
        <v>44678</v>
      </c>
      <c r="I311" s="356" t="n">
        <v>44677</v>
      </c>
      <c r="J311" s="366" t="n">
        <f aca="false">WORKDAY(H311,1)</f>
        <v>44679</v>
      </c>
    </row>
    <row r="312" customFormat="false" ht="12.75" hidden="false" customHeight="false" outlineLevel="0" collapsed="false">
      <c r="A312" s="365"/>
      <c r="B312" s="363"/>
      <c r="C312" s="364"/>
      <c r="D312" s="364"/>
      <c r="E312" s="364"/>
      <c r="F312" s="362"/>
      <c r="G312" s="367" t="n">
        <v>44713</v>
      </c>
      <c r="H312" s="355" t="n">
        <v>44707</v>
      </c>
      <c r="I312" s="356" t="n">
        <v>44706</v>
      </c>
      <c r="J312" s="366" t="n">
        <f aca="false">WORKDAY(H312,1)</f>
        <v>44708</v>
      </c>
    </row>
    <row r="313" customFormat="false" ht="12.75" hidden="false" customHeight="false" outlineLevel="0" collapsed="false">
      <c r="A313" s="365"/>
      <c r="B313" s="363"/>
      <c r="C313" s="364"/>
      <c r="D313" s="364"/>
      <c r="E313" s="364"/>
      <c r="F313" s="362"/>
      <c r="G313" s="367" t="n">
        <v>44743</v>
      </c>
      <c r="H313" s="355" t="n">
        <v>44740</v>
      </c>
      <c r="I313" s="356" t="n">
        <v>44739</v>
      </c>
      <c r="J313" s="366" t="n">
        <f aca="false">WORKDAY(H313,1)</f>
        <v>44741</v>
      </c>
    </row>
    <row r="314" customFormat="false" ht="12.75" hidden="false" customHeight="false" outlineLevel="0" collapsed="false">
      <c r="A314" s="365"/>
      <c r="B314" s="363"/>
      <c r="C314" s="364"/>
      <c r="D314" s="364"/>
      <c r="E314" s="364"/>
      <c r="F314" s="362"/>
      <c r="G314" s="367" t="n">
        <v>44774</v>
      </c>
      <c r="H314" s="355" t="n">
        <v>44769</v>
      </c>
      <c r="I314" s="356" t="n">
        <v>44768</v>
      </c>
      <c r="J314" s="366" t="n">
        <f aca="false">WORKDAY(H314,1)</f>
        <v>44770</v>
      </c>
    </row>
    <row r="315" customFormat="false" ht="12.75" hidden="false" customHeight="false" outlineLevel="0" collapsed="false">
      <c r="A315" s="365"/>
      <c r="B315" s="363"/>
      <c r="C315" s="364"/>
      <c r="D315" s="364"/>
      <c r="E315" s="364"/>
      <c r="F315" s="362"/>
      <c r="G315" s="367" t="n">
        <v>44805</v>
      </c>
      <c r="H315" s="355" t="n">
        <v>44802</v>
      </c>
      <c r="I315" s="356" t="n">
        <v>44799</v>
      </c>
      <c r="J315" s="366" t="n">
        <f aca="false">WORKDAY(H315,1)</f>
        <v>44803</v>
      </c>
    </row>
    <row r="316" customFormat="false" ht="12.75" hidden="false" customHeight="false" outlineLevel="0" collapsed="false">
      <c r="A316" s="365"/>
      <c r="B316" s="363"/>
      <c r="C316" s="364"/>
      <c r="D316" s="364"/>
      <c r="E316" s="364"/>
      <c r="F316" s="362"/>
      <c r="G316" s="367" t="n">
        <v>44835</v>
      </c>
      <c r="H316" s="355" t="n">
        <v>44832</v>
      </c>
      <c r="I316" s="356" t="n">
        <v>44831</v>
      </c>
      <c r="J316" s="366" t="n">
        <f aca="false">WORKDAY(H316,1)</f>
        <v>44833</v>
      </c>
    </row>
    <row r="317" customFormat="false" ht="12.75" hidden="false" customHeight="false" outlineLevel="0" collapsed="false">
      <c r="A317" s="365"/>
      <c r="B317" s="363"/>
      <c r="C317" s="364"/>
      <c r="D317" s="364"/>
      <c r="E317" s="364"/>
      <c r="F317" s="362"/>
      <c r="G317" s="367" t="n">
        <v>44866</v>
      </c>
      <c r="H317" s="355" t="n">
        <v>44861</v>
      </c>
      <c r="I317" s="356" t="n">
        <v>44860</v>
      </c>
      <c r="J317" s="366" t="n">
        <f aca="false">WORKDAY(H317,1)</f>
        <v>44862</v>
      </c>
    </row>
    <row r="318" customFormat="false" ht="12.75" hidden="false" customHeight="false" outlineLevel="0" collapsed="false">
      <c r="A318" s="365"/>
      <c r="B318" s="363"/>
      <c r="C318" s="364"/>
      <c r="D318" s="364"/>
      <c r="E318" s="364"/>
      <c r="F318" s="362"/>
      <c r="G318" s="367" t="n">
        <v>44896</v>
      </c>
      <c r="H318" s="355" t="n">
        <v>44893</v>
      </c>
      <c r="I318" s="356" t="n">
        <v>44890</v>
      </c>
      <c r="J318" s="366" t="n">
        <f aca="false">WORKDAY(H318,1)</f>
        <v>44894</v>
      </c>
    </row>
    <row r="319" customFormat="false" ht="12.75" hidden="false" customHeight="false" outlineLevel="0" collapsed="false">
      <c r="A319" s="365"/>
      <c r="B319" s="363"/>
      <c r="C319" s="364"/>
      <c r="D319" s="364"/>
      <c r="E319" s="364"/>
      <c r="F319" s="362"/>
      <c r="G319" s="367" t="n">
        <v>44927</v>
      </c>
      <c r="H319" s="355" t="n">
        <v>44923</v>
      </c>
      <c r="I319" s="356" t="n">
        <v>44922</v>
      </c>
      <c r="J319" s="366" t="n">
        <f aca="false">WORKDAY(H319,1)</f>
        <v>44924</v>
      </c>
    </row>
    <row r="320" customFormat="false" ht="12.75" hidden="false" customHeight="false" outlineLevel="0" collapsed="false">
      <c r="A320" s="365"/>
      <c r="B320" s="363"/>
      <c r="C320" s="364"/>
      <c r="D320" s="364"/>
      <c r="E320" s="364"/>
      <c r="F320" s="362"/>
      <c r="G320" s="367" t="n">
        <v>44958</v>
      </c>
      <c r="H320" s="355" t="n">
        <v>44953</v>
      </c>
      <c r="I320" s="356" t="n">
        <v>44952</v>
      </c>
      <c r="J320" s="366" t="n">
        <f aca="false">WORKDAY(H320,1)</f>
        <v>44956</v>
      </c>
    </row>
    <row r="321" customFormat="false" ht="12.75" hidden="false" customHeight="false" outlineLevel="0" collapsed="false">
      <c r="A321" s="365"/>
      <c r="B321" s="363"/>
      <c r="C321" s="364"/>
      <c r="D321" s="364"/>
      <c r="E321" s="364"/>
      <c r="F321" s="362"/>
      <c r="G321" s="367" t="n">
        <v>44986</v>
      </c>
      <c r="H321" s="355" t="n">
        <v>44981</v>
      </c>
      <c r="I321" s="356" t="n">
        <v>44980</v>
      </c>
      <c r="J321" s="366" t="n">
        <f aca="false">WORKDAY(H321,1)</f>
        <v>44984</v>
      </c>
    </row>
    <row r="322" customFormat="false" ht="12.75" hidden="false" customHeight="false" outlineLevel="0" collapsed="false">
      <c r="A322" s="365"/>
      <c r="B322" s="363"/>
      <c r="C322" s="364"/>
      <c r="D322" s="364"/>
      <c r="E322" s="364"/>
      <c r="F322" s="362"/>
      <c r="G322" s="367" t="n">
        <v>45017</v>
      </c>
      <c r="H322" s="355" t="n">
        <v>45014</v>
      </c>
      <c r="I322" s="356" t="n">
        <v>45013</v>
      </c>
      <c r="J322" s="366" t="n">
        <f aca="false">WORKDAY(H322,1)</f>
        <v>45015</v>
      </c>
    </row>
    <row r="323" customFormat="false" ht="12.75" hidden="false" customHeight="false" outlineLevel="0" collapsed="false">
      <c r="A323" s="365"/>
      <c r="B323" s="363"/>
      <c r="C323" s="364"/>
      <c r="D323" s="364"/>
      <c r="E323" s="364"/>
      <c r="F323" s="362"/>
      <c r="G323" s="367" t="n">
        <v>45047</v>
      </c>
      <c r="H323" s="355" t="n">
        <v>45042</v>
      </c>
      <c r="I323" s="356" t="n">
        <v>45041</v>
      </c>
      <c r="J323" s="366" t="n">
        <f aca="false">WORKDAY(H323,1)</f>
        <v>45043</v>
      </c>
    </row>
    <row r="324" customFormat="false" ht="12.75" hidden="false" customHeight="false" outlineLevel="0" collapsed="false">
      <c r="A324" s="365"/>
      <c r="B324" s="363"/>
      <c r="C324" s="364"/>
      <c r="D324" s="364"/>
      <c r="E324" s="364"/>
      <c r="F324" s="362"/>
      <c r="G324" s="367" t="n">
        <v>45078</v>
      </c>
      <c r="H324" s="355" t="n">
        <v>45072</v>
      </c>
      <c r="I324" s="356" t="n">
        <v>45071</v>
      </c>
      <c r="J324" s="366" t="n">
        <f aca="false">WORKDAY(H324,1)</f>
        <v>45075</v>
      </c>
    </row>
    <row r="325" customFormat="false" ht="12.75" hidden="false" customHeight="false" outlineLevel="0" collapsed="false">
      <c r="A325" s="365"/>
      <c r="B325" s="363"/>
      <c r="C325" s="364"/>
      <c r="D325" s="364"/>
      <c r="E325" s="364"/>
      <c r="F325" s="362"/>
      <c r="G325" s="367" t="n">
        <v>45108</v>
      </c>
      <c r="H325" s="355" t="n">
        <v>45105</v>
      </c>
      <c r="I325" s="356" t="n">
        <v>45104</v>
      </c>
      <c r="J325" s="366" t="n">
        <f aca="false">WORKDAY(H325,1)</f>
        <v>45106</v>
      </c>
    </row>
    <row r="326" customFormat="false" ht="12.75" hidden="false" customHeight="false" outlineLevel="0" collapsed="false">
      <c r="A326" s="365"/>
      <c r="B326" s="363"/>
      <c r="C326" s="364"/>
      <c r="D326" s="364"/>
      <c r="E326" s="364"/>
      <c r="F326" s="362"/>
      <c r="G326" s="367" t="n">
        <v>45139</v>
      </c>
      <c r="H326" s="355" t="n">
        <v>45134</v>
      </c>
      <c r="I326" s="356" t="n">
        <v>45133</v>
      </c>
      <c r="J326" s="366" t="n">
        <f aca="false">WORKDAY(H326,1)</f>
        <v>45135</v>
      </c>
    </row>
    <row r="327" customFormat="false" ht="12.75" hidden="false" customHeight="false" outlineLevel="0" collapsed="false">
      <c r="A327" s="365"/>
      <c r="B327" s="363"/>
      <c r="C327" s="364"/>
      <c r="D327" s="364"/>
      <c r="E327" s="364"/>
      <c r="F327" s="362"/>
      <c r="G327" s="367" t="n">
        <v>45170</v>
      </c>
      <c r="H327" s="355" t="n">
        <v>45167</v>
      </c>
      <c r="I327" s="356" t="n">
        <v>45166</v>
      </c>
      <c r="J327" s="366" t="n">
        <f aca="false">WORKDAY(H327,1)</f>
        <v>45168</v>
      </c>
    </row>
    <row r="328" customFormat="false" ht="12.75" hidden="false" customHeight="false" outlineLevel="0" collapsed="false">
      <c r="A328" s="365"/>
      <c r="B328" s="363"/>
      <c r="C328" s="364"/>
      <c r="D328" s="364"/>
      <c r="E328" s="364"/>
      <c r="F328" s="362"/>
      <c r="G328" s="367" t="n">
        <v>45200</v>
      </c>
      <c r="H328" s="355" t="n">
        <v>45196</v>
      </c>
      <c r="I328" s="356" t="n">
        <v>45195</v>
      </c>
      <c r="J328" s="366" t="n">
        <f aca="false">WORKDAY(H328,1)</f>
        <v>45197</v>
      </c>
    </row>
    <row r="329" customFormat="false" ht="12.75" hidden="false" customHeight="false" outlineLevel="0" collapsed="false">
      <c r="A329" s="365"/>
      <c r="B329" s="363"/>
      <c r="C329" s="364"/>
      <c r="D329" s="364"/>
      <c r="E329" s="364"/>
      <c r="F329" s="362"/>
      <c r="G329" s="367" t="n">
        <v>45231</v>
      </c>
      <c r="H329" s="355" t="n">
        <v>45226</v>
      </c>
      <c r="I329" s="356" t="n">
        <v>45225</v>
      </c>
      <c r="J329" s="366" t="n">
        <f aca="false">WORKDAY(H329,1)</f>
        <v>45229</v>
      </c>
    </row>
    <row r="330" customFormat="false" ht="12.75" hidden="false" customHeight="false" outlineLevel="0" collapsed="false">
      <c r="A330" s="365"/>
      <c r="B330" s="363"/>
      <c r="C330" s="364"/>
      <c r="D330" s="364"/>
      <c r="E330" s="364"/>
      <c r="F330" s="362"/>
      <c r="G330" s="367" t="n">
        <v>45261</v>
      </c>
      <c r="H330" s="355" t="n">
        <v>45258</v>
      </c>
      <c r="I330" s="356" t="n">
        <v>45257</v>
      </c>
      <c r="J330" s="366" t="n">
        <f aca="false">WORKDAY(H330,1)</f>
        <v>45259</v>
      </c>
    </row>
    <row r="331" customFormat="false" ht="12.75" hidden="false" customHeight="false" outlineLevel="0" collapsed="false">
      <c r="A331" s="365"/>
      <c r="B331" s="363"/>
      <c r="C331" s="364"/>
      <c r="D331" s="364"/>
      <c r="E331" s="364"/>
      <c r="F331" s="362"/>
      <c r="G331" s="367" t="n">
        <v>45292</v>
      </c>
      <c r="H331" s="355" t="n">
        <v>45287</v>
      </c>
      <c r="I331" s="356" t="n">
        <v>45286</v>
      </c>
      <c r="J331" s="366" t="n">
        <f aca="false">WORKDAY(H331,1)</f>
        <v>45288</v>
      </c>
    </row>
    <row r="332" customFormat="false" ht="12.75" hidden="false" customHeight="false" outlineLevel="0" collapsed="false">
      <c r="A332" s="365"/>
      <c r="B332" s="363"/>
      <c r="C332" s="364"/>
      <c r="D332" s="364"/>
      <c r="E332" s="364"/>
      <c r="F332" s="362"/>
      <c r="G332" s="367" t="n">
        <v>45323</v>
      </c>
      <c r="H332" s="355" t="n">
        <v>45320</v>
      </c>
      <c r="I332" s="356" t="n">
        <v>45317</v>
      </c>
      <c r="J332" s="366" t="n">
        <f aca="false">WORKDAY(H332,1)</f>
        <v>45321</v>
      </c>
    </row>
    <row r="333" customFormat="false" ht="12.75" hidden="false" customHeight="false" outlineLevel="0" collapsed="false">
      <c r="A333" s="365"/>
      <c r="B333" s="363"/>
      <c r="C333" s="364"/>
      <c r="D333" s="364"/>
      <c r="E333" s="364"/>
      <c r="F333" s="362"/>
      <c r="G333" s="367" t="n">
        <v>45352</v>
      </c>
      <c r="H333" s="355" t="n">
        <v>45349</v>
      </c>
      <c r="I333" s="356" t="n">
        <v>45348</v>
      </c>
      <c r="J333" s="366" t="n">
        <f aca="false">WORKDAY(H333,1)</f>
        <v>45350</v>
      </c>
    </row>
    <row r="334" customFormat="false" ht="12.75" hidden="false" customHeight="false" outlineLevel="0" collapsed="false">
      <c r="A334" s="365"/>
      <c r="B334" s="363"/>
      <c r="C334" s="364"/>
      <c r="D334" s="364"/>
      <c r="E334" s="364"/>
      <c r="F334" s="362"/>
      <c r="G334" s="367" t="n">
        <v>45383</v>
      </c>
      <c r="H334" s="355" t="n">
        <v>45377</v>
      </c>
      <c r="I334" s="356" t="n">
        <v>45376</v>
      </c>
      <c r="J334" s="366" t="n">
        <f aca="false">WORKDAY(H334,1)</f>
        <v>45378</v>
      </c>
    </row>
    <row r="335" customFormat="false" ht="12.75" hidden="false" customHeight="false" outlineLevel="0" collapsed="false">
      <c r="A335" s="365"/>
      <c r="B335" s="363"/>
      <c r="C335" s="364"/>
      <c r="D335" s="364"/>
      <c r="E335" s="364"/>
      <c r="F335" s="362"/>
      <c r="G335" s="367" t="n">
        <v>45413</v>
      </c>
      <c r="H335" s="355" t="n">
        <v>45408</v>
      </c>
      <c r="I335" s="356" t="n">
        <v>45407</v>
      </c>
      <c r="J335" s="366" t="n">
        <f aca="false">WORKDAY(H335,1)</f>
        <v>45411</v>
      </c>
    </row>
    <row r="336" customFormat="false" ht="12.75" hidden="false" customHeight="false" outlineLevel="0" collapsed="false">
      <c r="A336" s="365"/>
      <c r="B336" s="363"/>
      <c r="C336" s="364"/>
      <c r="D336" s="364"/>
      <c r="E336" s="364"/>
      <c r="F336" s="362"/>
      <c r="G336" s="367" t="n">
        <v>45444</v>
      </c>
      <c r="H336" s="355" t="n">
        <v>45441</v>
      </c>
      <c r="I336" s="356" t="n">
        <v>45440</v>
      </c>
      <c r="J336" s="366" t="n">
        <f aca="false">WORKDAY(H336,1)</f>
        <v>45442</v>
      </c>
    </row>
    <row r="337" customFormat="false" ht="12.75" hidden="false" customHeight="false" outlineLevel="0" collapsed="false">
      <c r="A337" s="365"/>
      <c r="B337" s="363"/>
      <c r="C337" s="364"/>
      <c r="D337" s="364"/>
      <c r="E337" s="364"/>
      <c r="F337" s="362"/>
      <c r="G337" s="367" t="n">
        <v>45474</v>
      </c>
      <c r="H337" s="355" t="n">
        <v>45469</v>
      </c>
      <c r="I337" s="356" t="n">
        <v>45468</v>
      </c>
      <c r="J337" s="366" t="n">
        <f aca="false">WORKDAY(H337,1)</f>
        <v>45470</v>
      </c>
    </row>
    <row r="338" customFormat="false" ht="12.75" hidden="false" customHeight="false" outlineLevel="0" collapsed="false">
      <c r="A338" s="365"/>
      <c r="B338" s="363"/>
      <c r="C338" s="364"/>
      <c r="D338" s="364"/>
      <c r="E338" s="364"/>
      <c r="F338" s="362"/>
      <c r="G338" s="367" t="n">
        <v>45505</v>
      </c>
      <c r="H338" s="355" t="n">
        <v>45502</v>
      </c>
      <c r="I338" s="356" t="n">
        <v>45499</v>
      </c>
      <c r="J338" s="366" t="n">
        <f aca="false">WORKDAY(H338,1)</f>
        <v>45503</v>
      </c>
    </row>
    <row r="339" customFormat="false" ht="12.75" hidden="false" customHeight="false" outlineLevel="0" collapsed="false">
      <c r="A339" s="365"/>
      <c r="B339" s="363"/>
      <c r="C339" s="364"/>
      <c r="D339" s="364"/>
      <c r="E339" s="364"/>
      <c r="F339" s="362"/>
      <c r="G339" s="367" t="n">
        <v>45536</v>
      </c>
      <c r="H339" s="355" t="n">
        <v>45532</v>
      </c>
      <c r="I339" s="356" t="n">
        <v>45531</v>
      </c>
      <c r="J339" s="366" t="n">
        <f aca="false">WORKDAY(H339,1)</f>
        <v>45533</v>
      </c>
    </row>
    <row r="340" customFormat="false" ht="12.75" hidden="false" customHeight="false" outlineLevel="0" collapsed="false">
      <c r="A340" s="365"/>
      <c r="B340" s="363"/>
      <c r="C340" s="364"/>
      <c r="D340" s="364"/>
      <c r="E340" s="364"/>
      <c r="F340" s="362"/>
      <c r="G340" s="367" t="n">
        <v>45566</v>
      </c>
      <c r="H340" s="355" t="n">
        <v>45561</v>
      </c>
      <c r="I340" s="356" t="n">
        <v>45560</v>
      </c>
      <c r="J340" s="366" t="n">
        <f aca="false">WORKDAY(H340,1)</f>
        <v>45562</v>
      </c>
    </row>
    <row r="341" customFormat="false" ht="12.75" hidden="false" customHeight="false" outlineLevel="0" collapsed="false">
      <c r="A341" s="365"/>
      <c r="B341" s="363"/>
      <c r="C341" s="364"/>
      <c r="D341" s="364"/>
      <c r="E341" s="364"/>
      <c r="F341" s="362"/>
      <c r="G341" s="367" t="n">
        <v>45597</v>
      </c>
      <c r="H341" s="355" t="n">
        <v>45594</v>
      </c>
      <c r="I341" s="356" t="n">
        <v>45593</v>
      </c>
      <c r="J341" s="366" t="n">
        <f aca="false">WORKDAY(H341,1)</f>
        <v>45595</v>
      </c>
    </row>
    <row r="342" customFormat="false" ht="12.75" hidden="false" customHeight="false" outlineLevel="0" collapsed="false">
      <c r="A342" s="365"/>
      <c r="B342" s="363"/>
      <c r="C342" s="364"/>
      <c r="D342" s="364"/>
      <c r="E342" s="364"/>
      <c r="F342" s="362"/>
      <c r="G342" s="367" t="n">
        <v>45627</v>
      </c>
      <c r="H342" s="355" t="n">
        <v>45622</v>
      </c>
      <c r="I342" s="356" t="n">
        <v>45621</v>
      </c>
      <c r="J342" s="366" t="n">
        <f aca="false">WORKDAY(H342,1)</f>
        <v>45623</v>
      </c>
    </row>
    <row r="343" customFormat="false" ht="12.75" hidden="false" customHeight="false" outlineLevel="0" collapsed="false">
      <c r="A343" s="365"/>
      <c r="B343" s="363"/>
      <c r="C343" s="364"/>
      <c r="D343" s="364"/>
      <c r="E343" s="364"/>
      <c r="F343" s="362"/>
      <c r="G343" s="367" t="n">
        <v>45658</v>
      </c>
      <c r="H343" s="355" t="n">
        <v>45653</v>
      </c>
      <c r="I343" s="356" t="n">
        <v>45652</v>
      </c>
      <c r="J343" s="366" t="n">
        <f aca="false">WORKDAY(H343,1)</f>
        <v>45656</v>
      </c>
    </row>
    <row r="344" customFormat="false" ht="12.75" hidden="false" customHeight="false" outlineLevel="0" collapsed="false">
      <c r="A344" s="365"/>
      <c r="B344" s="363"/>
      <c r="C344" s="364"/>
      <c r="D344" s="364"/>
      <c r="E344" s="364"/>
      <c r="F344" s="362"/>
      <c r="G344" s="367" t="n">
        <v>45689</v>
      </c>
      <c r="H344" s="355" t="n">
        <v>45686</v>
      </c>
      <c r="I344" s="356" t="n">
        <v>45685</v>
      </c>
      <c r="J344" s="366" t="n">
        <f aca="false">WORKDAY(H344,1)</f>
        <v>45687</v>
      </c>
    </row>
    <row r="345" customFormat="false" ht="12.75" hidden="false" customHeight="false" outlineLevel="0" collapsed="false">
      <c r="A345" s="365"/>
      <c r="B345" s="363"/>
      <c r="C345" s="364"/>
      <c r="D345" s="364"/>
      <c r="E345" s="364"/>
      <c r="F345" s="362"/>
      <c r="G345" s="367" t="n">
        <v>45717</v>
      </c>
      <c r="H345" s="355" t="n">
        <v>45714</v>
      </c>
      <c r="I345" s="356" t="n">
        <v>45713</v>
      </c>
      <c r="J345" s="366" t="n">
        <f aca="false">WORKDAY(H345,1)</f>
        <v>45715</v>
      </c>
    </row>
    <row r="346" customFormat="false" ht="12.75" hidden="false" customHeight="false" outlineLevel="0" collapsed="false">
      <c r="A346" s="365"/>
      <c r="B346" s="363"/>
      <c r="C346" s="364"/>
      <c r="D346" s="364"/>
      <c r="E346" s="364"/>
      <c r="F346" s="362"/>
      <c r="G346" s="367" t="n">
        <v>45748</v>
      </c>
      <c r="H346" s="355" t="n">
        <v>45743</v>
      </c>
      <c r="I346" s="356" t="n">
        <v>45742</v>
      </c>
      <c r="J346" s="366" t="n">
        <f aca="false">WORKDAY(H346,1)</f>
        <v>45744</v>
      </c>
    </row>
    <row r="347" customFormat="false" ht="12.75" hidden="false" customHeight="false" outlineLevel="0" collapsed="false">
      <c r="A347" s="365"/>
      <c r="B347" s="363"/>
      <c r="C347" s="364"/>
      <c r="D347" s="364"/>
      <c r="E347" s="364"/>
      <c r="F347" s="362"/>
      <c r="G347" s="367" t="n">
        <v>45778</v>
      </c>
      <c r="H347" s="355" t="n">
        <v>45775</v>
      </c>
      <c r="I347" s="356" t="n">
        <v>45772</v>
      </c>
      <c r="J347" s="366" t="n">
        <f aca="false">WORKDAY(H347,1)</f>
        <v>45776</v>
      </c>
    </row>
    <row r="348" customFormat="false" ht="12.75" hidden="false" customHeight="false" outlineLevel="0" collapsed="false">
      <c r="A348" s="365"/>
      <c r="B348" s="363"/>
      <c r="C348" s="364"/>
      <c r="D348" s="364"/>
      <c r="E348" s="364"/>
      <c r="F348" s="362"/>
      <c r="G348" s="367" t="n">
        <v>45809</v>
      </c>
      <c r="H348" s="355" t="n">
        <v>45805</v>
      </c>
      <c r="I348" s="356" t="n">
        <v>45804</v>
      </c>
      <c r="J348" s="366" t="n">
        <f aca="false">WORKDAY(H348,1)</f>
        <v>45806</v>
      </c>
    </row>
    <row r="349" customFormat="false" ht="12.75" hidden="false" customHeight="false" outlineLevel="0" collapsed="false">
      <c r="A349" s="365"/>
      <c r="B349" s="363"/>
      <c r="C349" s="364"/>
      <c r="D349" s="364"/>
      <c r="E349" s="364"/>
      <c r="F349" s="362"/>
      <c r="G349" s="367" t="n">
        <v>45839</v>
      </c>
      <c r="H349" s="355" t="n">
        <v>45834</v>
      </c>
      <c r="I349" s="356" t="n">
        <v>45833</v>
      </c>
      <c r="J349" s="366" t="n">
        <f aca="false">WORKDAY(H349,1)</f>
        <v>45835</v>
      </c>
    </row>
    <row r="350" customFormat="false" ht="12.75" hidden="false" customHeight="false" outlineLevel="0" collapsed="false">
      <c r="A350" s="365"/>
      <c r="B350" s="363"/>
      <c r="C350" s="364"/>
      <c r="D350" s="364"/>
      <c r="E350" s="364"/>
      <c r="F350" s="362"/>
      <c r="G350" s="367" t="n">
        <v>45870</v>
      </c>
      <c r="H350" s="355" t="n">
        <v>45867</v>
      </c>
      <c r="I350" s="356" t="n">
        <v>45866</v>
      </c>
      <c r="J350" s="366" t="n">
        <f aca="false">WORKDAY(H350,1)</f>
        <v>45868</v>
      </c>
    </row>
    <row r="351" customFormat="false" ht="12.75" hidden="false" customHeight="false" outlineLevel="0" collapsed="false">
      <c r="A351" s="365"/>
      <c r="B351" s="363"/>
      <c r="C351" s="364"/>
      <c r="D351" s="364"/>
      <c r="E351" s="364"/>
      <c r="F351" s="362"/>
      <c r="G351" s="367" t="n">
        <v>45901</v>
      </c>
      <c r="H351" s="355" t="n">
        <v>45896</v>
      </c>
      <c r="I351" s="356" t="n">
        <v>45895</v>
      </c>
      <c r="J351" s="366" t="n">
        <f aca="false">WORKDAY(H351,1)</f>
        <v>45897</v>
      </c>
    </row>
    <row r="352" customFormat="false" ht="12.75" hidden="false" customHeight="false" outlineLevel="0" collapsed="false">
      <c r="A352" s="365"/>
      <c r="B352" s="363"/>
      <c r="C352" s="364"/>
      <c r="D352" s="364"/>
      <c r="E352" s="364"/>
      <c r="F352" s="362"/>
      <c r="G352" s="367" t="n">
        <v>45931</v>
      </c>
      <c r="H352" s="355" t="n">
        <v>45926</v>
      </c>
      <c r="I352" s="356" t="n">
        <v>45925</v>
      </c>
      <c r="J352" s="366" t="n">
        <f aca="false">WORKDAY(H352,1)</f>
        <v>45929</v>
      </c>
    </row>
    <row r="353" customFormat="false" ht="12.75" hidden="false" customHeight="false" outlineLevel="0" collapsed="false">
      <c r="A353" s="365"/>
      <c r="B353" s="363"/>
      <c r="C353" s="364"/>
      <c r="D353" s="364"/>
      <c r="E353" s="364"/>
      <c r="F353" s="362"/>
      <c r="G353" s="367" t="n">
        <v>45962</v>
      </c>
      <c r="H353" s="355" t="n">
        <v>45959</v>
      </c>
      <c r="I353" s="356" t="n">
        <v>45958</v>
      </c>
      <c r="J353" s="366" t="n">
        <f aca="false">WORKDAY(H353,1)</f>
        <v>45960</v>
      </c>
    </row>
    <row r="354" customFormat="false" ht="12.75" hidden="false" customHeight="false" outlineLevel="0" collapsed="false">
      <c r="A354" s="365"/>
      <c r="B354" s="363"/>
      <c r="C354" s="364"/>
      <c r="D354" s="364"/>
      <c r="E354" s="364"/>
      <c r="F354" s="362"/>
      <c r="G354" s="367" t="n">
        <v>45992</v>
      </c>
      <c r="H354" s="355" t="n">
        <v>45986</v>
      </c>
      <c r="I354" s="356" t="n">
        <v>45985</v>
      </c>
      <c r="J354" s="366" t="n">
        <f aca="false">WORKDAY(H354,1)</f>
        <v>45987</v>
      </c>
    </row>
    <row r="355" customFormat="false" ht="12.75" hidden="false" customHeight="false" outlineLevel="0" collapsed="false">
      <c r="A355" s="365"/>
      <c r="B355" s="363"/>
      <c r="C355" s="364"/>
      <c r="D355" s="364"/>
      <c r="E355" s="364"/>
      <c r="F355" s="362"/>
      <c r="G355" s="367" t="n">
        <v>46023</v>
      </c>
      <c r="H355" s="355" t="n">
        <v>46020</v>
      </c>
      <c r="I355" s="356" t="n">
        <v>46017</v>
      </c>
      <c r="J355" s="366" t="n">
        <f aca="false">WORKDAY(H355,1)</f>
        <v>46021</v>
      </c>
    </row>
    <row r="356" customFormat="false" ht="12.75" hidden="false" customHeight="false" outlineLevel="0" collapsed="false">
      <c r="A356" s="365"/>
      <c r="B356" s="363"/>
      <c r="C356" s="364"/>
      <c r="D356" s="364"/>
      <c r="E356" s="364"/>
      <c r="F356" s="362"/>
      <c r="G356" s="367" t="n">
        <v>46054</v>
      </c>
      <c r="H356" s="355" t="n">
        <v>46050</v>
      </c>
      <c r="I356" s="356" t="n">
        <v>46049</v>
      </c>
      <c r="J356" s="366" t="n">
        <f aca="false">WORKDAY(H356,1)</f>
        <v>46051</v>
      </c>
    </row>
    <row r="357" customFormat="false" ht="12.75" hidden="false" customHeight="false" outlineLevel="0" collapsed="false">
      <c r="A357" s="365"/>
      <c r="B357" s="363"/>
      <c r="C357" s="364"/>
      <c r="D357" s="364"/>
      <c r="E357" s="364"/>
      <c r="F357" s="362"/>
      <c r="G357" s="367" t="n">
        <v>46082</v>
      </c>
      <c r="H357" s="355" t="n">
        <v>46078</v>
      </c>
      <c r="I357" s="356" t="n">
        <v>46077</v>
      </c>
      <c r="J357" s="366" t="n">
        <f aca="false">WORKDAY(H357,1)</f>
        <v>46079</v>
      </c>
    </row>
    <row r="358" customFormat="false" ht="12.75" hidden="false" customHeight="false" outlineLevel="0" collapsed="false">
      <c r="A358" s="365"/>
      <c r="B358" s="363"/>
      <c r="C358" s="364"/>
      <c r="D358" s="364"/>
      <c r="E358" s="364"/>
      <c r="F358" s="362"/>
      <c r="G358" s="367" t="n">
        <v>46113</v>
      </c>
      <c r="H358" s="355" t="n">
        <v>46108</v>
      </c>
      <c r="I358" s="356" t="n">
        <v>46107</v>
      </c>
      <c r="J358" s="366" t="n">
        <f aca="false">WORKDAY(H358,1)</f>
        <v>46111</v>
      </c>
    </row>
    <row r="359" customFormat="false" ht="12.75" hidden="false" customHeight="false" outlineLevel="0" collapsed="false">
      <c r="A359" s="365"/>
      <c r="B359" s="363"/>
      <c r="C359" s="364"/>
      <c r="D359" s="364"/>
      <c r="E359" s="364"/>
      <c r="F359" s="362"/>
      <c r="G359" s="367" t="n">
        <v>46143</v>
      </c>
      <c r="H359" s="355" t="n">
        <v>46140</v>
      </c>
      <c r="I359" s="356" t="n">
        <v>46139</v>
      </c>
      <c r="J359" s="366" t="n">
        <f aca="false">WORKDAY(H359,1)</f>
        <v>46141</v>
      </c>
    </row>
    <row r="360" customFormat="false" ht="12.75" hidden="false" customHeight="false" outlineLevel="0" collapsed="false">
      <c r="A360" s="365"/>
      <c r="B360" s="363"/>
      <c r="C360" s="364"/>
      <c r="D360" s="364"/>
      <c r="E360" s="364"/>
      <c r="F360" s="362"/>
      <c r="G360" s="367" t="n">
        <v>46174</v>
      </c>
      <c r="H360" s="355" t="n">
        <v>46169</v>
      </c>
      <c r="I360" s="356" t="n">
        <v>46168</v>
      </c>
      <c r="J360" s="366" t="n">
        <f aca="false">WORKDAY(H360,1)</f>
        <v>46170</v>
      </c>
    </row>
    <row r="361" customFormat="false" ht="12.75" hidden="false" customHeight="false" outlineLevel="0" collapsed="false">
      <c r="A361" s="365"/>
      <c r="B361" s="363"/>
      <c r="C361" s="364"/>
      <c r="D361" s="364"/>
      <c r="E361" s="364"/>
      <c r="F361" s="362"/>
      <c r="G361" s="367" t="n">
        <v>46204</v>
      </c>
      <c r="H361" s="355" t="n">
        <v>46199</v>
      </c>
      <c r="I361" s="356" t="n">
        <v>46198</v>
      </c>
      <c r="J361" s="366" t="n">
        <f aca="false">WORKDAY(H361,1)</f>
        <v>46202</v>
      </c>
    </row>
    <row r="362" customFormat="false" ht="12.75" hidden="false" customHeight="false" outlineLevel="0" collapsed="false">
      <c r="A362" s="365"/>
      <c r="B362" s="363"/>
      <c r="C362" s="364"/>
      <c r="D362" s="364"/>
      <c r="E362" s="364"/>
      <c r="F362" s="362"/>
      <c r="G362" s="367" t="n">
        <v>46235</v>
      </c>
      <c r="H362" s="355" t="n">
        <v>46232</v>
      </c>
      <c r="I362" s="356" t="n">
        <v>46231</v>
      </c>
      <c r="J362" s="366" t="n">
        <f aca="false">WORKDAY(H362,1)</f>
        <v>46233</v>
      </c>
    </row>
    <row r="363" customFormat="false" ht="12.75" hidden="false" customHeight="false" outlineLevel="0" collapsed="false">
      <c r="A363" s="365"/>
      <c r="B363" s="363"/>
      <c r="C363" s="364"/>
      <c r="D363" s="364"/>
      <c r="E363" s="364"/>
      <c r="F363" s="362"/>
      <c r="G363" s="367" t="n">
        <v>46266</v>
      </c>
      <c r="H363" s="355" t="n">
        <v>46261</v>
      </c>
      <c r="I363" s="356" t="n">
        <v>46260</v>
      </c>
      <c r="J363" s="366" t="n">
        <f aca="false">WORKDAY(H363,1)</f>
        <v>46262</v>
      </c>
    </row>
    <row r="364" customFormat="false" ht="12.75" hidden="false" customHeight="false" outlineLevel="0" collapsed="false">
      <c r="A364" s="365"/>
      <c r="B364" s="363"/>
      <c r="C364" s="364"/>
      <c r="D364" s="364"/>
      <c r="E364" s="364"/>
      <c r="F364" s="362"/>
      <c r="G364" s="367" t="n">
        <v>46296</v>
      </c>
      <c r="H364" s="355" t="n">
        <v>46293</v>
      </c>
      <c r="I364" s="356" t="n">
        <v>46290</v>
      </c>
      <c r="J364" s="366" t="n">
        <f aca="false">WORKDAY(H364,1)</f>
        <v>46294</v>
      </c>
    </row>
    <row r="365" customFormat="false" ht="12.75" hidden="false" customHeight="false" outlineLevel="0" collapsed="false">
      <c r="A365" s="365"/>
      <c r="B365" s="363"/>
      <c r="C365" s="364"/>
      <c r="D365" s="364"/>
      <c r="E365" s="364"/>
      <c r="F365" s="362"/>
      <c r="G365" s="367" t="n">
        <v>46327</v>
      </c>
      <c r="H365" s="355" t="n">
        <v>46323</v>
      </c>
      <c r="I365" s="356" t="n">
        <v>46322</v>
      </c>
      <c r="J365" s="366" t="n">
        <f aca="false">WORKDAY(H365,1)</f>
        <v>46324</v>
      </c>
    </row>
    <row r="366" customFormat="false" ht="12.75" hidden="false" customHeight="false" outlineLevel="0" collapsed="false">
      <c r="A366" s="365"/>
      <c r="B366" s="363"/>
      <c r="C366" s="364"/>
      <c r="D366" s="364"/>
      <c r="E366" s="364"/>
      <c r="F366" s="362"/>
      <c r="G366" s="367" t="n">
        <v>46357</v>
      </c>
      <c r="H366" s="355" t="n">
        <v>46351</v>
      </c>
      <c r="I366" s="356" t="n">
        <v>46350</v>
      </c>
      <c r="J366" s="366" t="n">
        <f aca="false">WORKDAY(H366,1)</f>
        <v>46352</v>
      </c>
    </row>
    <row r="367" customFormat="false" ht="12.75" hidden="false" customHeight="false" outlineLevel="0" collapsed="false">
      <c r="A367" s="365"/>
      <c r="B367" s="363"/>
      <c r="C367" s="364"/>
      <c r="D367" s="364"/>
      <c r="E367" s="364"/>
      <c r="F367" s="362"/>
      <c r="G367" s="367" t="n">
        <v>46388</v>
      </c>
      <c r="H367" s="355" t="n">
        <v>46385</v>
      </c>
      <c r="I367" s="356" t="n">
        <v>46384</v>
      </c>
      <c r="J367" s="366" t="n">
        <f aca="false">WORKDAY(H367,1)</f>
        <v>46386</v>
      </c>
    </row>
    <row r="368" customFormat="false" ht="12.75" hidden="false" customHeight="false" outlineLevel="0" collapsed="false">
      <c r="A368" s="365"/>
      <c r="B368" s="363"/>
      <c r="C368" s="364"/>
      <c r="D368" s="364"/>
      <c r="E368" s="364"/>
      <c r="F368" s="362"/>
      <c r="G368" s="367" t="n">
        <v>46419</v>
      </c>
      <c r="H368" s="355" t="n">
        <v>46414</v>
      </c>
      <c r="I368" s="356" t="n">
        <v>46413</v>
      </c>
      <c r="J368" s="366" t="n">
        <f aca="false">WORKDAY(H368,1)</f>
        <v>46415</v>
      </c>
    </row>
    <row r="369" customFormat="false" ht="12.75" hidden="false" customHeight="false" outlineLevel="0" collapsed="false">
      <c r="A369" s="365"/>
      <c r="B369" s="363"/>
      <c r="C369" s="364"/>
      <c r="D369" s="364"/>
      <c r="E369" s="364"/>
      <c r="F369" s="362"/>
      <c r="G369" s="367" t="n">
        <v>46447</v>
      </c>
      <c r="H369" s="355" t="n">
        <v>46442</v>
      </c>
      <c r="I369" s="356" t="n">
        <v>46441</v>
      </c>
      <c r="J369" s="366" t="n">
        <f aca="false">WORKDAY(H369,1)</f>
        <v>46443</v>
      </c>
    </row>
    <row r="370" customFormat="false" ht="12.75" hidden="false" customHeight="false" outlineLevel="0" collapsed="false">
      <c r="A370" s="365"/>
      <c r="B370" s="363"/>
      <c r="C370" s="364"/>
      <c r="D370" s="364"/>
      <c r="E370" s="364"/>
      <c r="F370" s="362"/>
      <c r="G370" s="367" t="n">
        <v>46478</v>
      </c>
      <c r="H370" s="355" t="n">
        <v>46475</v>
      </c>
      <c r="I370" s="356" t="n">
        <v>46471</v>
      </c>
      <c r="J370" s="366" t="n">
        <f aca="false">WORKDAY(H370,1)</f>
        <v>46476</v>
      </c>
    </row>
    <row r="371" customFormat="false" ht="12.75" hidden="false" customHeight="false" outlineLevel="0" collapsed="false">
      <c r="A371" s="365"/>
      <c r="B371" s="363"/>
      <c r="C371" s="364"/>
      <c r="D371" s="364"/>
      <c r="E371" s="364"/>
      <c r="F371" s="362"/>
      <c r="G371" s="367" t="n">
        <v>46508</v>
      </c>
      <c r="H371" s="355" t="n">
        <v>46505</v>
      </c>
      <c r="I371" s="356" t="n">
        <v>46504</v>
      </c>
      <c r="J371" s="366" t="n">
        <f aca="false">WORKDAY(H371,1)</f>
        <v>46506</v>
      </c>
    </row>
    <row r="372" customFormat="false" ht="12.75" hidden="false" customHeight="false" outlineLevel="0" collapsed="false">
      <c r="A372" s="365"/>
      <c r="B372" s="363"/>
      <c r="C372" s="364"/>
      <c r="D372" s="364"/>
      <c r="E372" s="364"/>
      <c r="F372" s="362"/>
      <c r="G372" s="367" t="n">
        <v>46539</v>
      </c>
      <c r="H372" s="355" t="n">
        <v>46533</v>
      </c>
      <c r="I372" s="356" t="n">
        <v>46532</v>
      </c>
      <c r="J372" s="366" t="n">
        <f aca="false">WORKDAY(H372,1)</f>
        <v>46534</v>
      </c>
    </row>
    <row r="373" customFormat="false" ht="12.75" hidden="false" customHeight="false" outlineLevel="0" collapsed="false">
      <c r="A373" s="365"/>
      <c r="B373" s="332"/>
      <c r="C373" s="332"/>
      <c r="D373" s="332"/>
      <c r="E373" s="332"/>
      <c r="F373" s="332"/>
      <c r="G373" s="367" t="n">
        <v>46569</v>
      </c>
      <c r="H373" s="355" t="n">
        <v>46566</v>
      </c>
      <c r="I373" s="356" t="n">
        <v>46563</v>
      </c>
      <c r="J373" s="366" t="n">
        <f aca="false">WORKDAY(H373,1)</f>
        <v>46567</v>
      </c>
    </row>
    <row r="374" customFormat="false" ht="12.75" hidden="false" customHeight="false" outlineLevel="0" collapsed="false">
      <c r="A374" s="365"/>
      <c r="B374" s="332"/>
      <c r="C374" s="332"/>
      <c r="D374" s="332"/>
      <c r="E374" s="332"/>
      <c r="F374" s="332"/>
      <c r="G374" s="367" t="n">
        <v>46600</v>
      </c>
      <c r="H374" s="355" t="n">
        <v>46596</v>
      </c>
      <c r="I374" s="356" t="n">
        <v>46595</v>
      </c>
      <c r="J374" s="366" t="n">
        <f aca="false">WORKDAY(H374,1)</f>
        <v>46597</v>
      </c>
    </row>
    <row r="375" customFormat="false" ht="12.75" hidden="false" customHeight="false" outlineLevel="0" collapsed="false">
      <c r="A375" s="365"/>
      <c r="B375" s="332"/>
      <c r="C375" s="332"/>
      <c r="D375" s="332"/>
      <c r="E375" s="332"/>
      <c r="F375" s="332"/>
      <c r="G375" s="367" t="n">
        <v>46631</v>
      </c>
      <c r="H375" s="355" t="n">
        <v>46626</v>
      </c>
      <c r="I375" s="356" t="n">
        <v>46625</v>
      </c>
      <c r="J375" s="366" t="n">
        <f aca="false">WORKDAY(H375,1)</f>
        <v>46629</v>
      </c>
    </row>
    <row r="376" customFormat="false" ht="12.75" hidden="false" customHeight="false" outlineLevel="0" collapsed="false">
      <c r="A376" s="365"/>
      <c r="B376" s="332"/>
      <c r="C376" s="332"/>
      <c r="D376" s="332"/>
      <c r="E376" s="332"/>
      <c r="F376" s="332"/>
      <c r="G376" s="367" t="n">
        <v>46661</v>
      </c>
      <c r="H376" s="355" t="n">
        <v>46658</v>
      </c>
      <c r="I376" s="356" t="n">
        <v>46657</v>
      </c>
      <c r="J376" s="366" t="n">
        <f aca="false">WORKDAY(H376,1)</f>
        <v>46659</v>
      </c>
    </row>
    <row r="377" customFormat="false" ht="12.75" hidden="false" customHeight="false" outlineLevel="0" collapsed="false">
      <c r="A377" s="365"/>
      <c r="B377" s="332"/>
      <c r="C377" s="332"/>
      <c r="D377" s="332"/>
      <c r="E377" s="332"/>
      <c r="F377" s="332"/>
      <c r="G377" s="367" t="n">
        <v>46692</v>
      </c>
      <c r="H377" s="355" t="n">
        <v>46687</v>
      </c>
      <c r="I377" s="356" t="n">
        <v>46686</v>
      </c>
      <c r="J377" s="366" t="n">
        <f aca="false">WORKDAY(H377,1)</f>
        <v>46688</v>
      </c>
    </row>
    <row r="378" customFormat="false" ht="12.75" hidden="false" customHeight="false" outlineLevel="0" collapsed="false">
      <c r="A378" s="365"/>
      <c r="B378" s="332"/>
      <c r="C378" s="332"/>
      <c r="D378" s="332"/>
      <c r="E378" s="332"/>
      <c r="F378" s="332"/>
      <c r="G378" s="367" t="n">
        <v>46722</v>
      </c>
      <c r="H378" s="355" t="n">
        <v>46717</v>
      </c>
      <c r="I378" s="356" t="n">
        <v>46715</v>
      </c>
      <c r="J378" s="366" t="n">
        <f aca="false">WORKDAY(H378,1)</f>
        <v>46720</v>
      </c>
    </row>
    <row r="379" customFormat="false" ht="12.75" hidden="false" customHeight="false" outlineLevel="0" collapsed="false">
      <c r="A379" s="365"/>
      <c r="B379" s="332"/>
      <c r="C379" s="332"/>
      <c r="D379" s="332"/>
      <c r="E379" s="332"/>
      <c r="F379" s="332"/>
      <c r="G379" s="367" t="n">
        <v>46753</v>
      </c>
      <c r="H379" s="355" t="n">
        <v>46749</v>
      </c>
      <c r="I379" s="356" t="n">
        <v>46748</v>
      </c>
      <c r="J379" s="366" t="n">
        <f aca="false">WORKDAY(H379,1)</f>
        <v>46750</v>
      </c>
    </row>
    <row r="380" customFormat="false" ht="12.75" hidden="false" customHeight="false" outlineLevel="0" collapsed="false">
      <c r="A380" s="365"/>
      <c r="B380" s="332"/>
      <c r="C380" s="332"/>
      <c r="D380" s="332"/>
      <c r="E380" s="332"/>
      <c r="F380" s="332"/>
      <c r="G380" s="367" t="n">
        <v>46784</v>
      </c>
      <c r="H380" s="355" t="n">
        <v>46779</v>
      </c>
      <c r="I380" s="356" t="n">
        <v>46778</v>
      </c>
      <c r="J380" s="366" t="n">
        <f aca="false">WORKDAY(H380,1)</f>
        <v>46780</v>
      </c>
    </row>
    <row r="381" customFormat="false" ht="12.75" hidden="false" customHeight="false" outlineLevel="0" collapsed="false">
      <c r="A381" s="365"/>
      <c r="B381" s="332"/>
      <c r="C381" s="332"/>
      <c r="D381" s="332"/>
      <c r="E381" s="332"/>
      <c r="F381" s="332"/>
      <c r="G381" s="367" t="n">
        <v>46813</v>
      </c>
      <c r="H381" s="355" t="n">
        <v>46808</v>
      </c>
      <c r="I381" s="356" t="n">
        <v>46807</v>
      </c>
      <c r="J381" s="366" t="n">
        <f aca="false">WORKDAY(H381,1)</f>
        <v>46811</v>
      </c>
    </row>
    <row r="382" customFormat="false" ht="12.75" hidden="false" customHeight="false" outlineLevel="0" collapsed="false">
      <c r="A382" s="365"/>
      <c r="B382" s="332"/>
      <c r="C382" s="332"/>
      <c r="D382" s="332"/>
      <c r="E382" s="332"/>
      <c r="F382" s="332"/>
      <c r="G382" s="367" t="n">
        <v>46844</v>
      </c>
      <c r="H382" s="355" t="n">
        <v>46841</v>
      </c>
      <c r="I382" s="356" t="n">
        <v>46840</v>
      </c>
      <c r="J382" s="366" t="n">
        <f aca="false">WORKDAY(H382,1)</f>
        <v>46842</v>
      </c>
    </row>
    <row r="383" customFormat="false" ht="12.75" hidden="false" customHeight="false" outlineLevel="0" collapsed="false">
      <c r="A383" s="365"/>
      <c r="B383" s="332"/>
      <c r="C383" s="332"/>
      <c r="D383" s="332"/>
      <c r="E383" s="332"/>
      <c r="F383" s="332"/>
      <c r="G383" s="367" t="n">
        <v>46874</v>
      </c>
      <c r="H383" s="355" t="n">
        <v>46869</v>
      </c>
      <c r="I383" s="356" t="n">
        <v>46868</v>
      </c>
      <c r="J383" s="366" t="n">
        <f aca="false">WORKDAY(H383,1)</f>
        <v>46870</v>
      </c>
    </row>
    <row r="384" customFormat="false" ht="12.75" hidden="false" customHeight="false" outlineLevel="0" collapsed="false">
      <c r="A384" s="365"/>
      <c r="B384" s="332"/>
      <c r="C384" s="332"/>
      <c r="D384" s="332"/>
      <c r="E384" s="332"/>
      <c r="F384" s="332"/>
      <c r="G384" s="367" t="n">
        <v>46905</v>
      </c>
      <c r="H384" s="355" t="n">
        <v>46899</v>
      </c>
      <c r="I384" s="356" t="n">
        <v>46898</v>
      </c>
      <c r="J384" s="366" t="n">
        <f aca="false">WORKDAY(H384,1)</f>
        <v>46902</v>
      </c>
    </row>
    <row r="385" customFormat="false" ht="12.75" hidden="false" customHeight="false" outlineLevel="0" collapsed="false">
      <c r="A385" s="365"/>
      <c r="B385" s="365"/>
      <c r="C385" s="365"/>
      <c r="D385" s="365"/>
      <c r="E385" s="365"/>
      <c r="F385" s="365"/>
      <c r="G385" s="367" t="n">
        <v>46935</v>
      </c>
      <c r="H385" s="355" t="n">
        <v>46932</v>
      </c>
      <c r="I385" s="356" t="n">
        <v>46931</v>
      </c>
      <c r="J385" s="366" t="n">
        <f aca="false">WORKDAY(H385,1)</f>
        <v>46933</v>
      </c>
    </row>
    <row r="386" customFormat="false" ht="12.75" hidden="false" customHeight="false" outlineLevel="0" collapsed="false">
      <c r="A386" s="365"/>
      <c r="B386" s="365"/>
      <c r="C386" s="365"/>
      <c r="D386" s="365"/>
      <c r="E386" s="365"/>
      <c r="F386" s="365"/>
      <c r="G386" s="367" t="n">
        <v>46966</v>
      </c>
      <c r="H386" s="355" t="n">
        <v>46961</v>
      </c>
      <c r="I386" s="356" t="n">
        <v>46960</v>
      </c>
      <c r="J386" s="366" t="n">
        <f aca="false">WORKDAY(H386,1)</f>
        <v>46962</v>
      </c>
    </row>
    <row r="387" customFormat="false" ht="12.75" hidden="false" customHeight="false" outlineLevel="0" collapsed="false">
      <c r="A387" s="365"/>
      <c r="B387" s="365"/>
      <c r="C387" s="365"/>
      <c r="D387" s="365"/>
      <c r="E387" s="365"/>
      <c r="F387" s="365"/>
      <c r="G387" s="367" t="n">
        <v>46997</v>
      </c>
      <c r="H387" s="355" t="n">
        <v>46994</v>
      </c>
      <c r="I387" s="356" t="n">
        <v>46993</v>
      </c>
      <c r="J387" s="366" t="n">
        <f aca="false">WORKDAY(H387,1)</f>
        <v>46995</v>
      </c>
    </row>
    <row r="388" customFormat="false" ht="12.75" hidden="false" customHeight="false" outlineLevel="0" collapsed="false">
      <c r="A388" s="365"/>
      <c r="B388" s="365"/>
      <c r="C388" s="365"/>
      <c r="D388" s="365"/>
      <c r="E388" s="365"/>
      <c r="F388" s="365"/>
      <c r="G388" s="367" t="n">
        <v>47027</v>
      </c>
      <c r="H388" s="355" t="n">
        <v>47023</v>
      </c>
      <c r="I388" s="356" t="n">
        <v>47022</v>
      </c>
      <c r="J388" s="366" t="n">
        <f aca="false">WORKDAY(H388,1)</f>
        <v>47024</v>
      </c>
    </row>
    <row r="389" customFormat="false" ht="12.75" hidden="false" customHeight="false" outlineLevel="0" collapsed="false">
      <c r="A389" s="365"/>
      <c r="B389" s="365"/>
      <c r="C389" s="365"/>
      <c r="D389" s="365"/>
      <c r="E389" s="365"/>
      <c r="F389" s="365"/>
      <c r="G389" s="367" t="n">
        <v>47058</v>
      </c>
      <c r="H389" s="355" t="n">
        <v>47053</v>
      </c>
      <c r="I389" s="356" t="n">
        <v>47052</v>
      </c>
      <c r="J389" s="366" t="n">
        <f aca="false">WORKDAY(H389,1)</f>
        <v>47056</v>
      </c>
    </row>
    <row r="390" customFormat="false" ht="12.75" hidden="false" customHeight="false" outlineLevel="0" collapsed="false">
      <c r="A390" s="365"/>
      <c r="B390" s="365"/>
      <c r="C390" s="365"/>
      <c r="D390" s="365"/>
      <c r="E390" s="365"/>
      <c r="F390" s="365"/>
      <c r="G390" s="367" t="n">
        <v>47088</v>
      </c>
      <c r="H390" s="355" t="n">
        <v>47085</v>
      </c>
      <c r="I390" s="356" t="n">
        <v>47084</v>
      </c>
      <c r="J390" s="366" t="n">
        <f aca="false">WORKDAY(H390,1)</f>
        <v>47086</v>
      </c>
    </row>
    <row r="391" customFormat="false" ht="12.75" hidden="false" customHeight="false" outlineLevel="0" collapsed="false">
      <c r="A391" s="365"/>
      <c r="B391" s="365"/>
      <c r="C391" s="365"/>
      <c r="D391" s="365"/>
      <c r="E391" s="365"/>
      <c r="F391" s="365"/>
      <c r="G391" s="367" t="n">
        <v>47119</v>
      </c>
      <c r="H391" s="355" t="n">
        <v>47114</v>
      </c>
      <c r="I391" s="356" t="n">
        <v>47113</v>
      </c>
      <c r="J391" s="366" t="n">
        <f aca="false">WORKDAY(H391,1)</f>
        <v>47115</v>
      </c>
    </row>
    <row r="392" customFormat="false" ht="12.75" hidden="false" customHeight="false" outlineLevel="0" collapsed="false">
      <c r="A392" s="365"/>
      <c r="B392" s="365"/>
      <c r="C392" s="365"/>
      <c r="D392" s="365"/>
      <c r="E392" s="365"/>
      <c r="F392" s="365"/>
      <c r="G392" s="367" t="n">
        <v>47150</v>
      </c>
      <c r="H392" s="355" t="n">
        <v>47147</v>
      </c>
      <c r="I392" s="356" t="n">
        <v>47144</v>
      </c>
      <c r="J392" s="366" t="n">
        <f aca="false">WORKDAY(H392,1)</f>
        <v>47148</v>
      </c>
    </row>
    <row r="393" customFormat="false" ht="12.75" hidden="false" customHeight="false" outlineLevel="0" collapsed="false">
      <c r="A393" s="365"/>
      <c r="B393" s="365"/>
      <c r="C393" s="365"/>
      <c r="D393" s="365"/>
      <c r="E393" s="365"/>
      <c r="F393" s="365"/>
      <c r="G393" s="367" t="n">
        <v>47178</v>
      </c>
      <c r="H393" s="355" t="n">
        <v>47175</v>
      </c>
      <c r="I393" s="356" t="n">
        <v>47172</v>
      </c>
      <c r="J393" s="366" t="n">
        <f aca="false">WORKDAY(H393,1)</f>
        <v>47176</v>
      </c>
    </row>
    <row r="394" customFormat="false" ht="12.75" hidden="false" customHeight="false" outlineLevel="0" collapsed="false">
      <c r="A394" s="365"/>
      <c r="B394" s="365"/>
      <c r="C394" s="365"/>
      <c r="D394" s="365"/>
      <c r="E394" s="365"/>
      <c r="F394" s="365"/>
      <c r="G394" s="367" t="n">
        <v>47209</v>
      </c>
      <c r="H394" s="355" t="n">
        <v>47204</v>
      </c>
      <c r="I394" s="356" t="n">
        <v>47203</v>
      </c>
      <c r="J394" s="366" t="n">
        <f aca="false">WORKDAY(H394,1)</f>
        <v>47205</v>
      </c>
    </row>
    <row r="395" customFormat="false" ht="12.75" hidden="false" customHeight="false" outlineLevel="0" collapsed="false">
      <c r="A395" s="365"/>
      <c r="B395" s="365"/>
      <c r="C395" s="365"/>
      <c r="D395" s="365"/>
      <c r="E395" s="365"/>
      <c r="F395" s="365"/>
      <c r="G395" s="367" t="n">
        <v>47239</v>
      </c>
      <c r="H395" s="355" t="n">
        <v>47234</v>
      </c>
      <c r="I395" s="356" t="n">
        <v>47233</v>
      </c>
      <c r="J395" s="366" t="n">
        <f aca="false">WORKDAY(H395,1)</f>
        <v>47235</v>
      </c>
    </row>
    <row r="396" customFormat="false" ht="12.75" hidden="false" customHeight="false" outlineLevel="0" collapsed="false">
      <c r="A396" s="365"/>
      <c r="B396" s="365"/>
      <c r="C396" s="365"/>
      <c r="D396" s="365"/>
      <c r="E396" s="365"/>
      <c r="F396" s="365"/>
      <c r="G396" s="367" t="n">
        <v>47270</v>
      </c>
      <c r="H396" s="355" t="n">
        <v>47267</v>
      </c>
      <c r="I396" s="356" t="n">
        <v>47263</v>
      </c>
      <c r="J396" s="366" t="n">
        <f aca="false">WORKDAY(H396,1)</f>
        <v>47268</v>
      </c>
    </row>
    <row r="397" customFormat="false" ht="12.75" hidden="false" customHeight="false" outlineLevel="0" collapsed="false">
      <c r="A397" s="365"/>
      <c r="B397" s="365"/>
      <c r="C397" s="365"/>
      <c r="D397" s="365"/>
      <c r="E397" s="365"/>
      <c r="F397" s="365"/>
      <c r="G397" s="367" t="n">
        <v>47300</v>
      </c>
      <c r="H397" s="355" t="n">
        <v>47296</v>
      </c>
      <c r="I397" s="356" t="n">
        <v>47295</v>
      </c>
      <c r="J397" s="366" t="n">
        <f aca="false">WORKDAY(H397,1)</f>
        <v>47297</v>
      </c>
    </row>
    <row r="398" customFormat="false" ht="12.75" hidden="false" customHeight="false" outlineLevel="0" collapsed="false">
      <c r="A398" s="365"/>
      <c r="B398" s="365"/>
      <c r="C398" s="365"/>
      <c r="D398" s="365"/>
      <c r="E398" s="365"/>
      <c r="F398" s="365"/>
      <c r="G398" s="367" t="n">
        <v>47331</v>
      </c>
      <c r="H398" s="355" t="n">
        <v>47326</v>
      </c>
      <c r="I398" s="356" t="n">
        <v>47325</v>
      </c>
      <c r="J398" s="366" t="n">
        <f aca="false">WORKDAY(H398,1)</f>
        <v>47329</v>
      </c>
    </row>
    <row r="399" customFormat="false" ht="12.75" hidden="false" customHeight="false" outlineLevel="0" collapsed="false">
      <c r="A399" s="365"/>
      <c r="B399" s="365"/>
      <c r="C399" s="365"/>
      <c r="D399" s="365"/>
      <c r="E399" s="365"/>
      <c r="F399" s="365"/>
      <c r="G399" s="367" t="n">
        <v>47362</v>
      </c>
      <c r="H399" s="355" t="n">
        <v>47359</v>
      </c>
      <c r="I399" s="356" t="n">
        <v>47358</v>
      </c>
      <c r="J399" s="366" t="n">
        <f aca="false">WORKDAY(H399,1)</f>
        <v>47360</v>
      </c>
    </row>
    <row r="400" customFormat="false" ht="12.75" hidden="false" customHeight="false" outlineLevel="0" collapsed="false">
      <c r="A400" s="365"/>
      <c r="B400" s="365"/>
      <c r="C400" s="365"/>
      <c r="D400" s="365"/>
      <c r="E400" s="365"/>
      <c r="F400" s="365"/>
      <c r="G400" s="367" t="n">
        <v>47392</v>
      </c>
      <c r="H400" s="355" t="n">
        <v>47387</v>
      </c>
      <c r="I400" s="356" t="n">
        <v>47386</v>
      </c>
      <c r="J400" s="366" t="n">
        <f aca="false">WORKDAY(H400,1)</f>
        <v>47388</v>
      </c>
    </row>
    <row r="401" customFormat="false" ht="12.75" hidden="false" customHeight="false" outlineLevel="0" collapsed="false">
      <c r="A401" s="365"/>
      <c r="B401" s="365"/>
      <c r="C401" s="365"/>
      <c r="D401" s="365"/>
      <c r="E401" s="365"/>
      <c r="F401" s="365"/>
      <c r="G401" s="367" t="n">
        <v>47423</v>
      </c>
      <c r="H401" s="355" t="n">
        <v>47420</v>
      </c>
      <c r="I401" s="356" t="n">
        <v>47417</v>
      </c>
      <c r="J401" s="366" t="n">
        <f aca="false">WORKDAY(H401,1)</f>
        <v>47421</v>
      </c>
    </row>
    <row r="402" customFormat="false" ht="12.75" hidden="false" customHeight="false" outlineLevel="0" collapsed="false">
      <c r="A402" s="365"/>
      <c r="B402" s="365"/>
      <c r="C402" s="365"/>
      <c r="D402" s="365"/>
      <c r="E402" s="365"/>
      <c r="F402" s="365"/>
      <c r="G402" s="367" t="n">
        <v>47453</v>
      </c>
      <c r="H402" s="355" t="n">
        <v>47450</v>
      </c>
      <c r="I402" s="356" t="n">
        <v>47449</v>
      </c>
      <c r="J402" s="366" t="n">
        <f aca="false">WORKDAY(H402,1)</f>
        <v>47451</v>
      </c>
    </row>
    <row r="403" customFormat="false" ht="12.75" hidden="false" customHeight="false" outlineLevel="0" collapsed="false">
      <c r="A403" s="365"/>
      <c r="B403" s="365"/>
      <c r="C403" s="365"/>
      <c r="D403" s="365"/>
      <c r="E403" s="365"/>
      <c r="F403" s="365"/>
      <c r="G403" s="367" t="n">
        <v>47484</v>
      </c>
      <c r="H403" s="355" t="n">
        <v>47479</v>
      </c>
      <c r="I403" s="356" t="n">
        <v>47478</v>
      </c>
      <c r="J403" s="366" t="n">
        <f aca="false">WORKDAY(H403,1)</f>
        <v>47480</v>
      </c>
    </row>
    <row r="404" customFormat="false" ht="12.75" hidden="false" customHeight="false" outlineLevel="0" collapsed="false">
      <c r="A404" s="365"/>
      <c r="B404" s="365"/>
      <c r="C404" s="365"/>
      <c r="D404" s="365"/>
      <c r="E404" s="365"/>
      <c r="F404" s="365"/>
      <c r="G404" s="367" t="n">
        <v>47515</v>
      </c>
      <c r="H404" s="355" t="n">
        <v>47512</v>
      </c>
      <c r="I404" s="356" t="n">
        <v>47511</v>
      </c>
      <c r="J404" s="366" t="n">
        <f aca="false">WORKDAY(H404,1)</f>
        <v>47513</v>
      </c>
    </row>
    <row r="405" customFormat="false" ht="12.75" hidden="false" customHeight="false" outlineLevel="0" collapsed="false">
      <c r="A405" s="365"/>
      <c r="B405" s="365"/>
      <c r="C405" s="365"/>
      <c r="D405" s="365"/>
      <c r="E405" s="365"/>
      <c r="F405" s="365"/>
      <c r="G405" s="367" t="n">
        <v>47543</v>
      </c>
      <c r="H405" s="355" t="n">
        <v>47540</v>
      </c>
      <c r="I405" s="356" t="n">
        <v>47539</v>
      </c>
      <c r="J405" s="366" t="n">
        <f aca="false">WORKDAY(H405,1)</f>
        <v>47541</v>
      </c>
    </row>
    <row r="406" customFormat="false" ht="12.75" hidden="false" customHeight="false" outlineLevel="0" collapsed="false">
      <c r="A406" s="365"/>
      <c r="B406" s="365"/>
      <c r="C406" s="365"/>
      <c r="D406" s="365"/>
      <c r="E406" s="365"/>
      <c r="F406" s="365"/>
      <c r="G406" s="367" t="n">
        <v>47574</v>
      </c>
      <c r="H406" s="355" t="n">
        <v>47569</v>
      </c>
      <c r="I406" s="356" t="n">
        <v>47568</v>
      </c>
      <c r="J406" s="366" t="n">
        <f aca="false">WORKDAY(H406,1)</f>
        <v>47570</v>
      </c>
    </row>
    <row r="407" customFormat="false" ht="12.75" hidden="false" customHeight="false" outlineLevel="0" collapsed="false">
      <c r="A407" s="365"/>
      <c r="B407" s="365"/>
      <c r="C407" s="365"/>
      <c r="D407" s="365"/>
      <c r="E407" s="365"/>
      <c r="F407" s="365"/>
      <c r="G407" s="367" t="n">
        <v>47604</v>
      </c>
      <c r="H407" s="355" t="n">
        <v>47599</v>
      </c>
      <c r="I407" s="356" t="n">
        <v>47598</v>
      </c>
      <c r="J407" s="366" t="n">
        <f aca="false">WORKDAY(H407,1)</f>
        <v>47602</v>
      </c>
    </row>
    <row r="408" customFormat="false" ht="12.75" hidden="false" customHeight="false" outlineLevel="0" collapsed="false">
      <c r="A408" s="365"/>
      <c r="B408" s="365"/>
      <c r="C408" s="365"/>
      <c r="D408" s="365"/>
      <c r="E408" s="365"/>
      <c r="F408" s="365"/>
      <c r="G408" s="367" t="n">
        <v>47635</v>
      </c>
      <c r="H408" s="355" t="n">
        <v>47632</v>
      </c>
      <c r="I408" s="356" t="n">
        <v>47631</v>
      </c>
      <c r="J408" s="366" t="n">
        <f aca="false">WORKDAY(H408,1)</f>
        <v>47633</v>
      </c>
    </row>
    <row r="409" customFormat="false" ht="12.75" hidden="false" customHeight="false" outlineLevel="0" collapsed="false">
      <c r="A409" s="365"/>
      <c r="B409" s="365"/>
      <c r="C409" s="365"/>
      <c r="D409" s="365"/>
      <c r="E409" s="365"/>
      <c r="F409" s="365"/>
      <c r="G409" s="367" t="n">
        <v>47665</v>
      </c>
      <c r="H409" s="355" t="n">
        <v>47660</v>
      </c>
      <c r="I409" s="356" t="n">
        <v>47659</v>
      </c>
      <c r="J409" s="366" t="n">
        <f aca="false">WORKDAY(H409,1)</f>
        <v>47661</v>
      </c>
    </row>
    <row r="410" customFormat="false" ht="12.75" hidden="false" customHeight="false" outlineLevel="0" collapsed="false">
      <c r="A410" s="365"/>
      <c r="B410" s="365"/>
      <c r="C410" s="365"/>
      <c r="D410" s="365"/>
      <c r="E410" s="365"/>
      <c r="F410" s="365"/>
      <c r="G410" s="367" t="n">
        <v>47696</v>
      </c>
      <c r="H410" s="355" t="n">
        <v>47693</v>
      </c>
      <c r="I410" s="356" t="n">
        <v>47690</v>
      </c>
      <c r="J410" s="366" t="n">
        <f aca="false">WORKDAY(H410,1)</f>
        <v>47694</v>
      </c>
    </row>
    <row r="411" customFormat="false" ht="12.75" hidden="false" customHeight="false" outlineLevel="0" collapsed="false">
      <c r="A411" s="365"/>
      <c r="B411" s="365"/>
      <c r="C411" s="365"/>
      <c r="D411" s="365"/>
      <c r="E411" s="365"/>
      <c r="F411" s="365"/>
      <c r="G411" s="367" t="n">
        <v>47727</v>
      </c>
      <c r="H411" s="355" t="n">
        <v>47723</v>
      </c>
      <c r="I411" s="356" t="n">
        <v>47722</v>
      </c>
      <c r="J411" s="366" t="n">
        <f aca="false">WORKDAY(H411,1)</f>
        <v>47724</v>
      </c>
    </row>
    <row r="412" customFormat="false" ht="12.75" hidden="false" customHeight="false" outlineLevel="0" collapsed="false">
      <c r="A412" s="365"/>
      <c r="B412" s="365"/>
      <c r="C412" s="365"/>
      <c r="D412" s="365"/>
      <c r="E412" s="365"/>
      <c r="F412" s="365"/>
      <c r="G412" s="367" t="n">
        <v>47757</v>
      </c>
      <c r="H412" s="355" t="n">
        <v>47752</v>
      </c>
      <c r="I412" s="356" t="n">
        <v>47751</v>
      </c>
      <c r="J412" s="366" t="n">
        <f aca="false">WORKDAY(H412,1)</f>
        <v>47753</v>
      </c>
    </row>
    <row r="413" customFormat="false" ht="12.75" hidden="false" customHeight="false" outlineLevel="0" collapsed="false">
      <c r="A413" s="365"/>
      <c r="B413" s="365"/>
      <c r="C413" s="365"/>
      <c r="D413" s="365"/>
      <c r="E413" s="365"/>
      <c r="F413" s="365"/>
      <c r="G413" s="367" t="n">
        <v>47788</v>
      </c>
      <c r="H413" s="355" t="n">
        <v>47785</v>
      </c>
      <c r="I413" s="356" t="n">
        <v>47784</v>
      </c>
      <c r="J413" s="366" t="n">
        <f aca="false">WORKDAY(H413,1)</f>
        <v>47786</v>
      </c>
    </row>
    <row r="414" customFormat="false" ht="13.5" hidden="false" customHeight="false" outlineLevel="0" collapsed="false">
      <c r="A414" s="365"/>
      <c r="B414" s="365"/>
      <c r="C414" s="365"/>
      <c r="D414" s="365"/>
      <c r="E414" s="365"/>
      <c r="F414" s="365"/>
      <c r="G414" s="368" t="n">
        <v>47818</v>
      </c>
      <c r="H414" s="369" t="n">
        <v>47813</v>
      </c>
      <c r="I414" s="370" t="n">
        <v>47812</v>
      </c>
      <c r="J414" s="366" t="n">
        <f aca="false">WORKDAY(H414,1)</f>
        <v>47814</v>
      </c>
    </row>
    <row r="415" customFormat="false" ht="11.25" hidden="false" customHeight="false" outlineLevel="0" collapsed="false">
      <c r="A415" s="371"/>
      <c r="B415" s="371"/>
      <c r="C415" s="371"/>
      <c r="D415" s="371"/>
      <c r="E415" s="371"/>
      <c r="F415" s="371"/>
    </row>
    <row r="416" customFormat="false" ht="11.25" hidden="false" customHeight="false" outlineLevel="0" collapsed="false">
      <c r="A416" s="371"/>
      <c r="B416" s="371"/>
      <c r="C416" s="371"/>
      <c r="D416" s="371"/>
      <c r="E416" s="371"/>
      <c r="F416" s="371"/>
    </row>
    <row r="417" customFormat="false" ht="11.25" hidden="false" customHeight="false" outlineLevel="0" collapsed="false">
      <c r="A417" s="371"/>
      <c r="B417" s="371"/>
      <c r="C417" s="371"/>
      <c r="D417" s="371"/>
      <c r="E417" s="371"/>
      <c r="F417" s="371"/>
    </row>
    <row r="418" customFormat="false" ht="11.25" hidden="false" customHeight="false" outlineLevel="0" collapsed="false">
      <c r="A418" s="371"/>
      <c r="B418" s="371"/>
      <c r="C418" s="371"/>
      <c r="D418" s="371"/>
      <c r="E418" s="371"/>
      <c r="F418" s="371"/>
    </row>
    <row r="419" customFormat="false" ht="11.25" hidden="false" customHeight="false" outlineLevel="0" collapsed="false">
      <c r="A419" s="371"/>
      <c r="B419" s="371"/>
      <c r="C419" s="371"/>
      <c r="D419" s="371"/>
      <c r="E419" s="371"/>
      <c r="F419" s="371"/>
    </row>
    <row r="420" customFormat="false" ht="11.25" hidden="false" customHeight="false" outlineLevel="0" collapsed="false">
      <c r="A420" s="371"/>
      <c r="B420" s="371"/>
      <c r="C420" s="371"/>
      <c r="D420" s="371"/>
      <c r="E420" s="371"/>
      <c r="F420" s="371"/>
    </row>
    <row r="421" customFormat="false" ht="11.25" hidden="false" customHeight="false" outlineLevel="0" collapsed="false">
      <c r="A421" s="371"/>
      <c r="B421" s="371"/>
      <c r="C421" s="371"/>
      <c r="D421" s="371"/>
      <c r="E421" s="371"/>
      <c r="F421" s="371"/>
    </row>
    <row r="422" customFormat="false" ht="11.25" hidden="false" customHeight="false" outlineLevel="0" collapsed="false">
      <c r="A422" s="371"/>
      <c r="B422" s="371"/>
      <c r="C422" s="371"/>
      <c r="D422" s="371"/>
      <c r="E422" s="371"/>
      <c r="F422" s="371"/>
    </row>
    <row r="423" customFormat="false" ht="11.25" hidden="false" customHeight="false" outlineLevel="0" collapsed="false">
      <c r="A423" s="371"/>
      <c r="B423" s="371"/>
      <c r="C423" s="371"/>
      <c r="D423" s="371"/>
      <c r="E423" s="371"/>
      <c r="F423" s="371"/>
    </row>
    <row r="424" customFormat="false" ht="11.25" hidden="false" customHeight="false" outlineLevel="0" collapsed="false">
      <c r="A424" s="371"/>
      <c r="B424" s="371"/>
      <c r="C424" s="371"/>
      <c r="D424" s="371"/>
      <c r="E424" s="371"/>
      <c r="F424" s="371"/>
    </row>
    <row r="425" customFormat="false" ht="11.25" hidden="false" customHeight="false" outlineLevel="0" collapsed="false">
      <c r="A425" s="371"/>
      <c r="B425" s="371"/>
      <c r="C425" s="371"/>
      <c r="D425" s="371"/>
      <c r="E425" s="371"/>
      <c r="F425" s="371"/>
    </row>
    <row r="426" customFormat="false" ht="11.25" hidden="false" customHeight="false" outlineLevel="0" collapsed="false">
      <c r="A426" s="371"/>
      <c r="B426" s="371"/>
      <c r="C426" s="371"/>
      <c r="D426" s="371"/>
      <c r="E426" s="371"/>
      <c r="F426" s="371"/>
    </row>
    <row r="427" customFormat="false" ht="11.25" hidden="false" customHeight="false" outlineLevel="0" collapsed="false">
      <c r="A427" s="371"/>
      <c r="B427" s="371"/>
      <c r="C427" s="371"/>
      <c r="D427" s="371"/>
      <c r="E427" s="371"/>
      <c r="F427" s="371"/>
    </row>
    <row r="428" customFormat="false" ht="11.25" hidden="false" customHeight="false" outlineLevel="0" collapsed="false">
      <c r="A428" s="371"/>
      <c r="B428" s="371"/>
      <c r="C428" s="371"/>
      <c r="D428" s="371"/>
      <c r="E428" s="371"/>
      <c r="F428" s="371"/>
    </row>
    <row r="429" customFormat="false" ht="11.25" hidden="false" customHeight="false" outlineLevel="0" collapsed="false">
      <c r="A429" s="371"/>
      <c r="B429" s="371"/>
      <c r="C429" s="371"/>
      <c r="D429" s="371"/>
      <c r="E429" s="371"/>
      <c r="F429" s="371"/>
    </row>
    <row r="430" customFormat="false" ht="11.25" hidden="false" customHeight="false" outlineLevel="0" collapsed="false">
      <c r="A430" s="371"/>
      <c r="B430" s="371"/>
      <c r="C430" s="371"/>
      <c r="D430" s="371"/>
      <c r="E430" s="371"/>
      <c r="F430" s="371"/>
    </row>
    <row r="431" customFormat="false" ht="11.25" hidden="false" customHeight="false" outlineLevel="0" collapsed="false">
      <c r="A431" s="371"/>
      <c r="B431" s="371"/>
      <c r="C431" s="371"/>
      <c r="D431" s="371"/>
      <c r="E431" s="371"/>
      <c r="F431" s="371"/>
    </row>
    <row r="432" customFormat="false" ht="11.25" hidden="false" customHeight="false" outlineLevel="0" collapsed="false">
      <c r="A432" s="371"/>
      <c r="B432" s="371"/>
      <c r="C432" s="371"/>
      <c r="D432" s="371"/>
      <c r="E432" s="371"/>
      <c r="F432" s="371"/>
    </row>
    <row r="433" customFormat="false" ht="11.25" hidden="false" customHeight="false" outlineLevel="0" collapsed="false">
      <c r="A433" s="371"/>
      <c r="B433" s="371"/>
      <c r="C433" s="371"/>
      <c r="D433" s="371"/>
      <c r="E433" s="371"/>
      <c r="F433" s="371"/>
    </row>
    <row r="434" customFormat="false" ht="11.25" hidden="false" customHeight="false" outlineLevel="0" collapsed="false">
      <c r="A434" s="371"/>
      <c r="B434" s="371"/>
      <c r="C434" s="371"/>
      <c r="D434" s="371"/>
      <c r="E434" s="371"/>
      <c r="F434" s="371"/>
    </row>
    <row r="435" customFormat="false" ht="11.25" hidden="false" customHeight="false" outlineLevel="0" collapsed="false">
      <c r="A435" s="371"/>
      <c r="B435" s="371"/>
      <c r="C435" s="371"/>
      <c r="D435" s="371"/>
      <c r="E435" s="371"/>
      <c r="F435" s="371"/>
    </row>
    <row r="436" customFormat="false" ht="11.25" hidden="false" customHeight="false" outlineLevel="0" collapsed="false">
      <c r="A436" s="371"/>
      <c r="B436" s="371"/>
      <c r="C436" s="371"/>
      <c r="D436" s="371"/>
      <c r="E436" s="371"/>
      <c r="F436" s="371"/>
    </row>
    <row r="437" customFormat="false" ht="11.25" hidden="false" customHeight="false" outlineLevel="0" collapsed="false">
      <c r="A437" s="371"/>
      <c r="B437" s="371"/>
      <c r="C437" s="371"/>
      <c r="D437" s="371"/>
      <c r="E437" s="371"/>
      <c r="F437" s="371"/>
    </row>
    <row r="438" customFormat="false" ht="11.25" hidden="false" customHeight="false" outlineLevel="0" collapsed="false">
      <c r="A438" s="371"/>
      <c r="B438" s="371"/>
      <c r="C438" s="371"/>
      <c r="D438" s="371"/>
      <c r="E438" s="371"/>
      <c r="F438" s="371"/>
    </row>
    <row r="439" customFormat="false" ht="11.25" hidden="false" customHeight="false" outlineLevel="0" collapsed="false">
      <c r="A439" s="371"/>
      <c r="B439" s="371"/>
      <c r="C439" s="371"/>
      <c r="D439" s="371"/>
      <c r="E439" s="371"/>
      <c r="F439" s="371"/>
    </row>
    <row r="440" customFormat="false" ht="11.25" hidden="false" customHeight="false" outlineLevel="0" collapsed="false">
      <c r="A440" s="371"/>
      <c r="B440" s="371"/>
      <c r="C440" s="371"/>
      <c r="D440" s="371"/>
      <c r="E440" s="371"/>
      <c r="F440" s="371"/>
    </row>
    <row r="441" customFormat="false" ht="11.25" hidden="false" customHeight="false" outlineLevel="0" collapsed="false">
      <c r="A441" s="371"/>
      <c r="B441" s="371"/>
      <c r="C441" s="371"/>
      <c r="D441" s="371"/>
      <c r="E441" s="371"/>
      <c r="F441" s="371"/>
    </row>
    <row r="442" customFormat="false" ht="11.25" hidden="false" customHeight="false" outlineLevel="0" collapsed="false">
      <c r="A442" s="371"/>
      <c r="B442" s="371"/>
      <c r="C442" s="371"/>
      <c r="D442" s="371"/>
      <c r="E442" s="371"/>
      <c r="F442" s="371"/>
    </row>
    <row r="443" customFormat="false" ht="11.25" hidden="false" customHeight="false" outlineLevel="0" collapsed="false">
      <c r="A443" s="371"/>
      <c r="B443" s="371"/>
      <c r="C443" s="371"/>
      <c r="D443" s="371"/>
      <c r="E443" s="371"/>
      <c r="F443" s="371"/>
    </row>
    <row r="444" customFormat="false" ht="11.25" hidden="false" customHeight="false" outlineLevel="0" collapsed="false">
      <c r="A444" s="371"/>
      <c r="B444" s="371"/>
      <c r="C444" s="371"/>
      <c r="D444" s="371"/>
      <c r="E444" s="371"/>
      <c r="F444" s="371"/>
    </row>
    <row r="445" customFormat="false" ht="11.25" hidden="false" customHeight="false" outlineLevel="0" collapsed="false">
      <c r="A445" s="371"/>
      <c r="B445" s="371"/>
      <c r="C445" s="371"/>
      <c r="D445" s="371"/>
      <c r="E445" s="371"/>
      <c r="F445" s="371"/>
    </row>
    <row r="446" customFormat="false" ht="11.25" hidden="false" customHeight="false" outlineLevel="0" collapsed="false">
      <c r="A446" s="371"/>
      <c r="B446" s="371"/>
      <c r="C446" s="371"/>
      <c r="D446" s="371"/>
      <c r="E446" s="371"/>
      <c r="F446" s="371"/>
    </row>
    <row r="447" customFormat="false" ht="11.25" hidden="false" customHeight="false" outlineLevel="0" collapsed="false">
      <c r="A447" s="371"/>
      <c r="B447" s="371"/>
      <c r="C447" s="371"/>
      <c r="D447" s="371"/>
      <c r="E447" s="371"/>
      <c r="F447" s="371"/>
    </row>
    <row r="448" customFormat="false" ht="11.25" hidden="false" customHeight="false" outlineLevel="0" collapsed="false">
      <c r="A448" s="371"/>
      <c r="B448" s="371"/>
      <c r="C448" s="371"/>
      <c r="D448" s="371"/>
      <c r="E448" s="371"/>
      <c r="F448" s="371"/>
    </row>
    <row r="449" customFormat="false" ht="11.25" hidden="false" customHeight="false" outlineLevel="0" collapsed="false">
      <c r="A449" s="371"/>
      <c r="B449" s="371"/>
      <c r="C449" s="371"/>
      <c r="D449" s="371"/>
      <c r="E449" s="371"/>
      <c r="F449" s="371"/>
    </row>
    <row r="450" customFormat="false" ht="11.25" hidden="false" customHeight="false" outlineLevel="0" collapsed="false">
      <c r="A450" s="371"/>
      <c r="B450" s="371"/>
      <c r="C450" s="371"/>
      <c r="D450" s="371"/>
      <c r="E450" s="371"/>
      <c r="F450" s="371"/>
    </row>
    <row r="451" customFormat="false" ht="11.25" hidden="false" customHeight="false" outlineLevel="0" collapsed="false">
      <c r="A451" s="371"/>
      <c r="B451" s="371"/>
      <c r="C451" s="371"/>
      <c r="D451" s="371"/>
      <c r="E451" s="371"/>
      <c r="F451" s="371"/>
    </row>
    <row r="452" customFormat="false" ht="11.25" hidden="false" customHeight="false" outlineLevel="0" collapsed="false">
      <c r="A452" s="371"/>
      <c r="B452" s="371"/>
      <c r="C452" s="371"/>
      <c r="D452" s="371"/>
      <c r="E452" s="371"/>
      <c r="F452" s="371"/>
    </row>
    <row r="453" customFormat="false" ht="11.25" hidden="false" customHeight="false" outlineLevel="0" collapsed="false">
      <c r="A453" s="371"/>
      <c r="B453" s="371"/>
      <c r="C453" s="371"/>
      <c r="D453" s="371"/>
      <c r="E453" s="371"/>
      <c r="F453" s="371"/>
    </row>
    <row r="454" customFormat="false" ht="11.25" hidden="false" customHeight="false" outlineLevel="0" collapsed="false">
      <c r="A454" s="371"/>
      <c r="B454" s="371"/>
      <c r="C454" s="371"/>
      <c r="D454" s="371"/>
      <c r="E454" s="371"/>
      <c r="F454" s="371"/>
    </row>
    <row r="455" customFormat="false" ht="11.25" hidden="false" customHeight="false" outlineLevel="0" collapsed="false">
      <c r="A455" s="371"/>
      <c r="B455" s="371"/>
      <c r="C455" s="371"/>
      <c r="D455" s="371"/>
      <c r="E455" s="371"/>
      <c r="F455" s="371"/>
    </row>
    <row r="456" customFormat="false" ht="11.25" hidden="false" customHeight="false" outlineLevel="0" collapsed="false">
      <c r="A456" s="371"/>
      <c r="B456" s="371"/>
      <c r="C456" s="371"/>
      <c r="D456" s="371"/>
      <c r="E456" s="371"/>
      <c r="F456" s="371"/>
    </row>
    <row r="457" customFormat="false" ht="11.25" hidden="false" customHeight="false" outlineLevel="0" collapsed="false">
      <c r="A457" s="371"/>
      <c r="B457" s="371"/>
      <c r="C457" s="371"/>
      <c r="D457" s="371"/>
      <c r="E457" s="371"/>
      <c r="F457" s="371"/>
    </row>
    <row r="458" customFormat="false" ht="11.25" hidden="false" customHeight="false" outlineLevel="0" collapsed="false">
      <c r="A458" s="371"/>
      <c r="B458" s="371"/>
      <c r="C458" s="371"/>
      <c r="D458" s="371"/>
      <c r="E458" s="371"/>
      <c r="F458" s="371"/>
    </row>
    <row r="459" customFormat="false" ht="11.25" hidden="false" customHeight="false" outlineLevel="0" collapsed="false">
      <c r="A459" s="371"/>
      <c r="B459" s="371"/>
      <c r="C459" s="371"/>
      <c r="D459" s="371"/>
      <c r="E459" s="371"/>
      <c r="F459" s="371"/>
    </row>
    <row r="460" customFormat="false" ht="11.25" hidden="false" customHeight="false" outlineLevel="0" collapsed="false">
      <c r="A460" s="371"/>
      <c r="B460" s="371"/>
      <c r="C460" s="371"/>
      <c r="D460" s="371"/>
      <c r="E460" s="371"/>
      <c r="F460" s="371"/>
    </row>
    <row r="461" customFormat="false" ht="11.25" hidden="false" customHeight="false" outlineLevel="0" collapsed="false">
      <c r="A461" s="371"/>
      <c r="B461" s="371"/>
      <c r="C461" s="371"/>
      <c r="D461" s="371"/>
      <c r="E461" s="371"/>
      <c r="F461" s="371"/>
    </row>
    <row r="462" customFormat="false" ht="11.25" hidden="false" customHeight="false" outlineLevel="0" collapsed="false">
      <c r="A462" s="371"/>
      <c r="B462" s="371"/>
      <c r="C462" s="371"/>
      <c r="D462" s="371"/>
      <c r="E462" s="371"/>
      <c r="F462" s="371"/>
    </row>
    <row r="463" customFormat="false" ht="11.25" hidden="false" customHeight="false" outlineLevel="0" collapsed="false">
      <c r="A463" s="371"/>
      <c r="B463" s="371"/>
      <c r="C463" s="371"/>
      <c r="D463" s="371"/>
      <c r="E463" s="371"/>
      <c r="F463" s="371"/>
    </row>
    <row r="464" customFormat="false" ht="11.25" hidden="false" customHeight="false" outlineLevel="0" collapsed="false">
      <c r="A464" s="371"/>
      <c r="B464" s="371"/>
      <c r="C464" s="371"/>
      <c r="D464" s="371"/>
      <c r="E464" s="371"/>
      <c r="F464" s="371"/>
    </row>
    <row r="465" customFormat="false" ht="11.25" hidden="false" customHeight="false" outlineLevel="0" collapsed="false">
      <c r="A465" s="371"/>
      <c r="B465" s="371"/>
      <c r="C465" s="371"/>
      <c r="D465" s="371"/>
      <c r="E465" s="371"/>
      <c r="F465" s="371"/>
    </row>
    <row r="466" customFormat="false" ht="11.25" hidden="false" customHeight="false" outlineLevel="0" collapsed="false">
      <c r="A466" s="371"/>
      <c r="B466" s="371"/>
      <c r="C466" s="371"/>
      <c r="D466" s="371"/>
      <c r="E466" s="371"/>
      <c r="F466" s="371"/>
    </row>
    <row r="467" customFormat="false" ht="11.25" hidden="false" customHeight="false" outlineLevel="0" collapsed="false">
      <c r="A467" s="371"/>
      <c r="B467" s="371"/>
      <c r="C467" s="371"/>
      <c r="D467" s="371"/>
      <c r="E467" s="371"/>
      <c r="F467" s="371"/>
    </row>
    <row r="468" customFormat="false" ht="11.25" hidden="false" customHeight="false" outlineLevel="0" collapsed="false">
      <c r="A468" s="371"/>
      <c r="B468" s="371"/>
      <c r="C468" s="371"/>
      <c r="D468" s="371"/>
      <c r="E468" s="371"/>
      <c r="F468" s="371"/>
    </row>
    <row r="469" customFormat="false" ht="11.25" hidden="false" customHeight="false" outlineLevel="0" collapsed="false">
      <c r="A469" s="371"/>
      <c r="B469" s="371"/>
      <c r="C469" s="371"/>
      <c r="D469" s="371"/>
      <c r="E469" s="371"/>
      <c r="F469" s="371"/>
    </row>
    <row r="470" customFormat="false" ht="11.25" hidden="false" customHeight="false" outlineLevel="0" collapsed="false">
      <c r="A470" s="371"/>
      <c r="B470" s="371"/>
      <c r="C470" s="371"/>
      <c r="D470" s="371"/>
      <c r="E470" s="371"/>
      <c r="F470" s="371"/>
    </row>
    <row r="471" customFormat="false" ht="11.25" hidden="false" customHeight="false" outlineLevel="0" collapsed="false">
      <c r="A471" s="371"/>
      <c r="B471" s="371"/>
      <c r="C471" s="371"/>
      <c r="D471" s="371"/>
      <c r="E471" s="371"/>
      <c r="F471" s="371"/>
    </row>
    <row r="472" customFormat="false" ht="11.25" hidden="false" customHeight="false" outlineLevel="0" collapsed="false">
      <c r="A472" s="371"/>
      <c r="B472" s="371"/>
      <c r="C472" s="371"/>
      <c r="D472" s="371"/>
      <c r="E472" s="371"/>
      <c r="F472" s="371"/>
    </row>
    <row r="473" customFormat="false" ht="11.25" hidden="false" customHeight="false" outlineLevel="0" collapsed="false">
      <c r="A473" s="371"/>
      <c r="B473" s="371"/>
      <c r="C473" s="371"/>
      <c r="D473" s="371"/>
      <c r="E473" s="371"/>
      <c r="F473" s="371"/>
    </row>
    <row r="474" customFormat="false" ht="11.25" hidden="false" customHeight="false" outlineLevel="0" collapsed="false">
      <c r="A474" s="371"/>
      <c r="B474" s="371"/>
      <c r="C474" s="371"/>
      <c r="D474" s="371"/>
      <c r="E474" s="371"/>
      <c r="F474" s="371"/>
    </row>
    <row r="475" customFormat="false" ht="11.25" hidden="false" customHeight="false" outlineLevel="0" collapsed="false">
      <c r="A475" s="371"/>
      <c r="B475" s="371"/>
      <c r="C475" s="371"/>
      <c r="D475" s="371"/>
      <c r="E475" s="371"/>
      <c r="F475" s="371"/>
    </row>
    <row r="476" customFormat="false" ht="11.25" hidden="false" customHeight="false" outlineLevel="0" collapsed="false">
      <c r="A476" s="371"/>
      <c r="B476" s="371"/>
      <c r="C476" s="371"/>
      <c r="D476" s="371"/>
      <c r="E476" s="371"/>
      <c r="F476" s="371"/>
    </row>
    <row r="477" customFormat="false" ht="11.25" hidden="false" customHeight="false" outlineLevel="0" collapsed="false">
      <c r="A477" s="371"/>
      <c r="B477" s="371"/>
      <c r="C477" s="371"/>
      <c r="D477" s="371"/>
      <c r="E477" s="371"/>
      <c r="F477" s="371"/>
    </row>
    <row r="478" customFormat="false" ht="11.25" hidden="false" customHeight="false" outlineLevel="0" collapsed="false">
      <c r="A478" s="371"/>
      <c r="B478" s="371"/>
      <c r="C478" s="371"/>
      <c r="D478" s="371"/>
      <c r="E478" s="371"/>
      <c r="F478" s="371"/>
    </row>
    <row r="479" customFormat="false" ht="11.25" hidden="false" customHeight="false" outlineLevel="0" collapsed="false">
      <c r="A479" s="371"/>
      <c r="B479" s="371"/>
      <c r="C479" s="371"/>
      <c r="D479" s="371"/>
      <c r="E479" s="371"/>
      <c r="F479" s="371"/>
    </row>
    <row r="480" customFormat="false" ht="11.25" hidden="false" customHeight="false" outlineLevel="0" collapsed="false">
      <c r="A480" s="371"/>
      <c r="B480" s="371"/>
      <c r="C480" s="371"/>
      <c r="D480" s="371"/>
      <c r="E480" s="371"/>
      <c r="F480" s="371"/>
    </row>
    <row r="481" customFormat="false" ht="11.25" hidden="false" customHeight="false" outlineLevel="0" collapsed="false">
      <c r="A481" s="371"/>
      <c r="B481" s="371"/>
      <c r="C481" s="371"/>
      <c r="D481" s="371"/>
      <c r="E481" s="371"/>
      <c r="F481" s="371"/>
    </row>
    <row r="482" customFormat="false" ht="11.25" hidden="false" customHeight="false" outlineLevel="0" collapsed="false">
      <c r="A482" s="371"/>
      <c r="B482" s="371"/>
      <c r="C482" s="371"/>
      <c r="D482" s="371"/>
      <c r="E482" s="371"/>
      <c r="F482" s="371"/>
    </row>
    <row r="483" customFormat="false" ht="11.25" hidden="false" customHeight="false" outlineLevel="0" collapsed="false">
      <c r="A483" s="371"/>
      <c r="B483" s="371"/>
      <c r="C483" s="371"/>
      <c r="D483" s="371"/>
      <c r="E483" s="371"/>
      <c r="F483" s="371"/>
    </row>
    <row r="484" customFormat="false" ht="11.25" hidden="false" customHeight="false" outlineLevel="0" collapsed="false">
      <c r="A484" s="371"/>
      <c r="B484" s="371"/>
      <c r="C484" s="371"/>
      <c r="D484" s="371"/>
      <c r="E484" s="371"/>
      <c r="F484" s="371"/>
    </row>
    <row r="485" customFormat="false" ht="11.25" hidden="false" customHeight="false" outlineLevel="0" collapsed="false">
      <c r="A485" s="371"/>
      <c r="B485" s="371"/>
      <c r="C485" s="371"/>
      <c r="D485" s="371"/>
      <c r="E485" s="371"/>
      <c r="F485" s="371"/>
    </row>
    <row r="486" customFormat="false" ht="11.25" hidden="false" customHeight="false" outlineLevel="0" collapsed="false">
      <c r="A486" s="371"/>
      <c r="B486" s="371"/>
      <c r="C486" s="371"/>
      <c r="D486" s="371"/>
      <c r="E486" s="371"/>
      <c r="F486" s="371"/>
    </row>
    <row r="487" customFormat="false" ht="11.25" hidden="false" customHeight="false" outlineLevel="0" collapsed="false">
      <c r="A487" s="371"/>
      <c r="B487" s="371"/>
      <c r="C487" s="371"/>
      <c r="D487" s="371"/>
      <c r="E487" s="371"/>
      <c r="F487" s="371"/>
    </row>
    <row r="488" customFormat="false" ht="11.25" hidden="false" customHeight="false" outlineLevel="0" collapsed="false">
      <c r="A488" s="371"/>
      <c r="B488" s="371"/>
      <c r="C488" s="371"/>
      <c r="D488" s="371"/>
      <c r="E488" s="371"/>
      <c r="F488" s="371"/>
    </row>
    <row r="489" customFormat="false" ht="11.25" hidden="false" customHeight="false" outlineLevel="0" collapsed="false">
      <c r="A489" s="371"/>
      <c r="B489" s="371"/>
      <c r="C489" s="371"/>
      <c r="D489" s="371"/>
      <c r="E489" s="371"/>
      <c r="F489" s="371"/>
    </row>
    <row r="490" customFormat="false" ht="11.25" hidden="false" customHeight="false" outlineLevel="0" collapsed="false">
      <c r="A490" s="371"/>
      <c r="B490" s="371"/>
      <c r="C490" s="371"/>
      <c r="D490" s="371"/>
      <c r="E490" s="371"/>
      <c r="F490" s="371"/>
    </row>
    <row r="491" customFormat="false" ht="11.25" hidden="false" customHeight="false" outlineLevel="0" collapsed="false">
      <c r="A491" s="371"/>
      <c r="B491" s="371"/>
      <c r="C491" s="371"/>
      <c r="D491" s="371"/>
      <c r="E491" s="371"/>
      <c r="F491" s="371"/>
    </row>
    <row r="492" customFormat="false" ht="11.25" hidden="false" customHeight="false" outlineLevel="0" collapsed="false">
      <c r="A492" s="371"/>
      <c r="B492" s="371"/>
      <c r="C492" s="371"/>
      <c r="D492" s="371"/>
      <c r="E492" s="371"/>
      <c r="F492" s="371"/>
    </row>
    <row r="493" customFormat="false" ht="11.25" hidden="false" customHeight="false" outlineLevel="0" collapsed="false">
      <c r="A493" s="371"/>
      <c r="B493" s="371"/>
      <c r="C493" s="371"/>
      <c r="D493" s="371"/>
      <c r="E493" s="371"/>
      <c r="F493" s="371"/>
    </row>
    <row r="494" customFormat="false" ht="11.25" hidden="false" customHeight="false" outlineLevel="0" collapsed="false">
      <c r="A494" s="371"/>
      <c r="B494" s="371"/>
      <c r="C494" s="371"/>
      <c r="D494" s="371"/>
      <c r="E494" s="371"/>
      <c r="F494" s="371"/>
    </row>
    <row r="495" customFormat="false" ht="11.25" hidden="false" customHeight="false" outlineLevel="0" collapsed="false">
      <c r="A495" s="371"/>
      <c r="B495" s="371"/>
      <c r="C495" s="371"/>
      <c r="D495" s="371"/>
      <c r="E495" s="371"/>
      <c r="F495" s="371"/>
    </row>
    <row r="496" customFormat="false" ht="11.25" hidden="false" customHeight="false" outlineLevel="0" collapsed="false">
      <c r="A496" s="371"/>
      <c r="B496" s="371"/>
      <c r="C496" s="371"/>
      <c r="D496" s="371"/>
      <c r="E496" s="371"/>
      <c r="F496" s="371"/>
    </row>
    <row r="497" customFormat="false" ht="11.25" hidden="false" customHeight="false" outlineLevel="0" collapsed="false">
      <c r="A497" s="371"/>
      <c r="B497" s="371"/>
      <c r="C497" s="371"/>
      <c r="D497" s="371"/>
      <c r="E497" s="371"/>
      <c r="F497" s="371"/>
    </row>
    <row r="498" customFormat="false" ht="11.25" hidden="false" customHeight="false" outlineLevel="0" collapsed="false">
      <c r="A498" s="371"/>
      <c r="B498" s="371"/>
      <c r="C498" s="371"/>
      <c r="D498" s="371"/>
      <c r="E498" s="371"/>
      <c r="F498" s="371"/>
    </row>
    <row r="499" customFormat="false" ht="11.25" hidden="false" customHeight="false" outlineLevel="0" collapsed="false">
      <c r="A499" s="371"/>
      <c r="B499" s="371"/>
      <c r="C499" s="371"/>
      <c r="D499" s="371"/>
      <c r="E499" s="371"/>
      <c r="F499" s="371"/>
    </row>
    <row r="500" customFormat="false" ht="11.25" hidden="false" customHeight="false" outlineLevel="0" collapsed="false">
      <c r="A500" s="371"/>
      <c r="B500" s="371"/>
      <c r="C500" s="371"/>
      <c r="D500" s="371"/>
      <c r="E500" s="371"/>
      <c r="F500" s="371"/>
    </row>
    <row r="501" customFormat="false" ht="11.25" hidden="false" customHeight="false" outlineLevel="0" collapsed="false">
      <c r="A501" s="371"/>
      <c r="B501" s="371"/>
      <c r="C501" s="371"/>
      <c r="D501" s="371"/>
      <c r="E501" s="371"/>
      <c r="F501" s="371"/>
    </row>
    <row r="502" customFormat="false" ht="11.25" hidden="false" customHeight="false" outlineLevel="0" collapsed="false">
      <c r="A502" s="371"/>
      <c r="B502" s="371"/>
      <c r="C502" s="371"/>
      <c r="D502" s="371"/>
      <c r="E502" s="371"/>
      <c r="F502" s="371"/>
    </row>
    <row r="503" customFormat="false" ht="11.25" hidden="false" customHeight="false" outlineLevel="0" collapsed="false">
      <c r="A503" s="371"/>
      <c r="B503" s="371"/>
      <c r="C503" s="371"/>
      <c r="D503" s="371"/>
      <c r="E503" s="371"/>
      <c r="F503" s="371"/>
    </row>
    <row r="504" customFormat="false" ht="11.25" hidden="false" customHeight="false" outlineLevel="0" collapsed="false">
      <c r="A504" s="371"/>
      <c r="B504" s="371"/>
      <c r="C504" s="371"/>
      <c r="D504" s="371"/>
      <c r="E504" s="371"/>
      <c r="F504" s="371"/>
    </row>
    <row r="505" customFormat="false" ht="11.25" hidden="false" customHeight="false" outlineLevel="0" collapsed="false">
      <c r="A505" s="371"/>
      <c r="B505" s="371"/>
      <c r="C505" s="371"/>
      <c r="D505" s="371"/>
      <c r="E505" s="371"/>
      <c r="F505" s="371"/>
    </row>
    <row r="506" customFormat="false" ht="11.25" hidden="false" customHeight="false" outlineLevel="0" collapsed="false">
      <c r="A506" s="371"/>
      <c r="B506" s="371"/>
      <c r="C506" s="371"/>
      <c r="D506" s="371"/>
      <c r="E506" s="371"/>
      <c r="F506" s="371"/>
    </row>
    <row r="507" customFormat="false" ht="11.25" hidden="false" customHeight="false" outlineLevel="0" collapsed="false">
      <c r="A507" s="371"/>
      <c r="B507" s="371"/>
      <c r="C507" s="371"/>
      <c r="D507" s="371"/>
      <c r="E507" s="371"/>
      <c r="F507" s="371"/>
    </row>
    <row r="508" customFormat="false" ht="11.25" hidden="false" customHeight="false" outlineLevel="0" collapsed="false">
      <c r="A508" s="371"/>
      <c r="B508" s="371"/>
      <c r="C508" s="371"/>
      <c r="D508" s="371"/>
      <c r="E508" s="371"/>
      <c r="F508" s="371"/>
    </row>
    <row r="509" customFormat="false" ht="11.25" hidden="false" customHeight="false" outlineLevel="0" collapsed="false">
      <c r="A509" s="371"/>
      <c r="B509" s="371"/>
      <c r="C509" s="371"/>
      <c r="D509" s="371"/>
      <c r="E509" s="371"/>
      <c r="F509" s="371"/>
    </row>
    <row r="510" customFormat="false" ht="11.25" hidden="false" customHeight="false" outlineLevel="0" collapsed="false">
      <c r="A510" s="371"/>
      <c r="B510" s="371"/>
      <c r="C510" s="371"/>
      <c r="D510" s="371"/>
      <c r="E510" s="371"/>
      <c r="F510" s="371"/>
    </row>
    <row r="511" customFormat="false" ht="11.25" hidden="false" customHeight="false" outlineLevel="0" collapsed="false">
      <c r="A511" s="371"/>
      <c r="B511" s="371"/>
      <c r="C511" s="371"/>
      <c r="D511" s="371"/>
      <c r="E511" s="371"/>
      <c r="F511" s="371"/>
    </row>
    <row r="512" customFormat="false" ht="11.25" hidden="false" customHeight="false" outlineLevel="0" collapsed="false">
      <c r="A512" s="371"/>
      <c r="B512" s="371"/>
      <c r="C512" s="371"/>
      <c r="D512" s="371"/>
      <c r="E512" s="371"/>
      <c r="F512" s="371"/>
    </row>
    <row r="513" customFormat="false" ht="11.25" hidden="false" customHeight="false" outlineLevel="0" collapsed="false">
      <c r="A513" s="371"/>
      <c r="B513" s="371"/>
      <c r="C513" s="371"/>
      <c r="D513" s="371"/>
      <c r="E513" s="371"/>
      <c r="F513" s="371"/>
    </row>
    <row r="514" customFormat="false" ht="11.25" hidden="false" customHeight="false" outlineLevel="0" collapsed="false">
      <c r="A514" s="371"/>
      <c r="B514" s="371"/>
      <c r="C514" s="371"/>
      <c r="D514" s="371"/>
      <c r="E514" s="371"/>
      <c r="F514" s="371"/>
    </row>
    <row r="515" customFormat="false" ht="11.25" hidden="false" customHeight="false" outlineLevel="0" collapsed="false">
      <c r="A515" s="371"/>
      <c r="B515" s="371"/>
      <c r="C515" s="371"/>
      <c r="D515" s="371"/>
      <c r="E515" s="371"/>
      <c r="F515" s="371"/>
    </row>
    <row r="516" customFormat="false" ht="11.25" hidden="false" customHeight="false" outlineLevel="0" collapsed="false">
      <c r="A516" s="371"/>
      <c r="B516" s="371"/>
      <c r="C516" s="371"/>
      <c r="D516" s="371"/>
      <c r="E516" s="371"/>
      <c r="F516" s="371"/>
    </row>
    <row r="517" customFormat="false" ht="11.25" hidden="false" customHeight="false" outlineLevel="0" collapsed="false">
      <c r="A517" s="371"/>
      <c r="B517" s="371"/>
      <c r="C517" s="371"/>
      <c r="D517" s="371"/>
      <c r="E517" s="371"/>
      <c r="F517" s="371"/>
    </row>
    <row r="518" customFormat="false" ht="11.25" hidden="false" customHeight="false" outlineLevel="0" collapsed="false">
      <c r="A518" s="371"/>
      <c r="B518" s="371"/>
      <c r="C518" s="371"/>
      <c r="D518" s="371"/>
      <c r="E518" s="371"/>
      <c r="F518" s="371"/>
    </row>
    <row r="519" customFormat="false" ht="11.25" hidden="false" customHeight="false" outlineLevel="0" collapsed="false">
      <c r="A519" s="371"/>
      <c r="B519" s="371"/>
      <c r="C519" s="371"/>
      <c r="D519" s="371"/>
      <c r="E519" s="371"/>
      <c r="F519" s="371"/>
    </row>
    <row r="520" customFormat="false" ht="11.25" hidden="false" customHeight="false" outlineLevel="0" collapsed="false">
      <c r="A520" s="371"/>
      <c r="B520" s="371"/>
      <c r="C520" s="371"/>
      <c r="D520" s="371"/>
      <c r="E520" s="371"/>
      <c r="F520" s="371"/>
    </row>
    <row r="521" customFormat="false" ht="11.25" hidden="false" customHeight="false" outlineLevel="0" collapsed="false">
      <c r="A521" s="371"/>
      <c r="B521" s="371"/>
      <c r="C521" s="371"/>
      <c r="D521" s="371"/>
      <c r="E521" s="371"/>
      <c r="F521" s="371"/>
    </row>
    <row r="522" customFormat="false" ht="11.25" hidden="false" customHeight="false" outlineLevel="0" collapsed="false">
      <c r="A522" s="371"/>
      <c r="B522" s="371"/>
      <c r="C522" s="371"/>
      <c r="D522" s="371"/>
      <c r="E522" s="371"/>
      <c r="F522" s="371"/>
    </row>
    <row r="523" customFormat="false" ht="11.25" hidden="false" customHeight="false" outlineLevel="0" collapsed="false">
      <c r="A523" s="371"/>
      <c r="B523" s="371"/>
      <c r="C523" s="371"/>
      <c r="D523" s="371"/>
      <c r="E523" s="371"/>
      <c r="F523" s="371"/>
    </row>
    <row r="524" customFormat="false" ht="11.25" hidden="false" customHeight="false" outlineLevel="0" collapsed="false">
      <c r="A524" s="371"/>
      <c r="B524" s="371"/>
      <c r="C524" s="371"/>
      <c r="D524" s="371"/>
      <c r="E524" s="371"/>
      <c r="F524" s="371"/>
    </row>
    <row r="525" customFormat="false" ht="11.25" hidden="false" customHeight="false" outlineLevel="0" collapsed="false">
      <c r="A525" s="371"/>
      <c r="B525" s="371"/>
      <c r="C525" s="371"/>
      <c r="D525" s="371"/>
      <c r="E525" s="371"/>
      <c r="F525" s="371"/>
    </row>
    <row r="526" customFormat="false" ht="11.25" hidden="false" customHeight="false" outlineLevel="0" collapsed="false">
      <c r="A526" s="371"/>
      <c r="B526" s="371"/>
      <c r="C526" s="371"/>
      <c r="D526" s="371"/>
      <c r="E526" s="371"/>
      <c r="F526" s="371"/>
    </row>
    <row r="527" customFormat="false" ht="11.25" hidden="false" customHeight="false" outlineLevel="0" collapsed="false">
      <c r="A527" s="371"/>
      <c r="B527" s="371"/>
      <c r="C527" s="371"/>
      <c r="D527" s="371"/>
      <c r="E527" s="371"/>
      <c r="F527" s="371"/>
    </row>
    <row r="528" customFormat="false" ht="11.25" hidden="false" customHeight="false" outlineLevel="0" collapsed="false">
      <c r="A528" s="371"/>
      <c r="B528" s="371"/>
      <c r="C528" s="371"/>
      <c r="D528" s="371"/>
      <c r="E528" s="371"/>
      <c r="F528" s="371"/>
    </row>
    <row r="529" customFormat="false" ht="11.25" hidden="false" customHeight="false" outlineLevel="0" collapsed="false">
      <c r="A529" s="371"/>
      <c r="B529" s="371"/>
      <c r="C529" s="371"/>
      <c r="D529" s="371"/>
      <c r="E529" s="371"/>
      <c r="F529" s="371"/>
    </row>
    <row r="530" customFormat="false" ht="11.25" hidden="false" customHeight="false" outlineLevel="0" collapsed="false">
      <c r="A530" s="371"/>
      <c r="B530" s="371"/>
      <c r="C530" s="371"/>
      <c r="D530" s="371"/>
      <c r="E530" s="371"/>
      <c r="F530" s="371"/>
    </row>
    <row r="531" customFormat="false" ht="11.25" hidden="false" customHeight="false" outlineLevel="0" collapsed="false">
      <c r="A531" s="371"/>
      <c r="B531" s="371"/>
      <c r="C531" s="371"/>
      <c r="D531" s="371"/>
      <c r="E531" s="371"/>
      <c r="F531" s="371"/>
    </row>
    <row r="532" customFormat="false" ht="11.25" hidden="false" customHeight="false" outlineLevel="0" collapsed="false">
      <c r="A532" s="371"/>
      <c r="B532" s="371"/>
      <c r="C532" s="371"/>
      <c r="D532" s="371"/>
      <c r="E532" s="371"/>
      <c r="F532" s="371"/>
    </row>
    <row r="533" customFormat="false" ht="11.25" hidden="false" customHeight="false" outlineLevel="0" collapsed="false">
      <c r="A533" s="371"/>
      <c r="B533" s="371"/>
      <c r="C533" s="371"/>
      <c r="D533" s="371"/>
      <c r="E533" s="371"/>
      <c r="F533" s="371"/>
    </row>
    <row r="534" customFormat="false" ht="11.25" hidden="false" customHeight="false" outlineLevel="0" collapsed="false">
      <c r="A534" s="371"/>
      <c r="B534" s="371"/>
      <c r="C534" s="371"/>
      <c r="D534" s="371"/>
      <c r="E534" s="371"/>
      <c r="F534" s="371"/>
    </row>
    <row r="535" customFormat="false" ht="11.25" hidden="false" customHeight="false" outlineLevel="0" collapsed="false">
      <c r="A535" s="371"/>
      <c r="B535" s="371"/>
      <c r="C535" s="371"/>
      <c r="D535" s="371"/>
      <c r="E535" s="371"/>
      <c r="F535" s="371"/>
    </row>
    <row r="536" customFormat="false" ht="11.25" hidden="false" customHeight="false" outlineLevel="0" collapsed="false">
      <c r="A536" s="371"/>
      <c r="B536" s="371"/>
      <c r="C536" s="371"/>
      <c r="D536" s="371"/>
      <c r="E536" s="371"/>
      <c r="F536" s="371"/>
    </row>
    <row r="537" customFormat="false" ht="11.25" hidden="false" customHeight="false" outlineLevel="0" collapsed="false">
      <c r="A537" s="371"/>
      <c r="B537" s="371"/>
      <c r="C537" s="371"/>
      <c r="D537" s="371"/>
      <c r="E537" s="371"/>
      <c r="F537" s="371"/>
    </row>
    <row r="538" customFormat="false" ht="11.25" hidden="false" customHeight="false" outlineLevel="0" collapsed="false">
      <c r="A538" s="371"/>
      <c r="B538" s="371"/>
      <c r="C538" s="371"/>
      <c r="D538" s="371"/>
      <c r="E538" s="371"/>
      <c r="F538" s="371"/>
    </row>
    <row r="539" customFormat="false" ht="11.25" hidden="false" customHeight="false" outlineLevel="0" collapsed="false">
      <c r="A539" s="371"/>
      <c r="B539" s="371"/>
      <c r="C539" s="371"/>
      <c r="D539" s="371"/>
      <c r="E539" s="371"/>
      <c r="F539" s="371"/>
    </row>
    <row r="540" customFormat="false" ht="11.25" hidden="false" customHeight="false" outlineLevel="0" collapsed="false">
      <c r="A540" s="371"/>
      <c r="B540" s="371"/>
      <c r="C540" s="371"/>
      <c r="D540" s="371"/>
      <c r="E540" s="371"/>
      <c r="F540" s="371"/>
    </row>
    <row r="541" customFormat="false" ht="11.25" hidden="false" customHeight="false" outlineLevel="0" collapsed="false">
      <c r="A541" s="371"/>
      <c r="B541" s="371"/>
      <c r="C541" s="371"/>
      <c r="D541" s="371"/>
      <c r="E541" s="371"/>
      <c r="F541" s="371"/>
    </row>
    <row r="542" customFormat="false" ht="11.25" hidden="false" customHeight="false" outlineLevel="0" collapsed="false">
      <c r="A542" s="371"/>
      <c r="B542" s="371"/>
      <c r="C542" s="371"/>
      <c r="D542" s="371"/>
      <c r="E542" s="371"/>
      <c r="F542" s="371"/>
    </row>
    <row r="543" customFormat="false" ht="11.25" hidden="false" customHeight="false" outlineLevel="0" collapsed="false">
      <c r="A543" s="371"/>
      <c r="B543" s="371"/>
      <c r="C543" s="371"/>
      <c r="D543" s="371"/>
      <c r="E543" s="371"/>
      <c r="F543" s="371"/>
    </row>
    <row r="544" customFormat="false" ht="11.25" hidden="false" customHeight="false" outlineLevel="0" collapsed="false">
      <c r="A544" s="371"/>
      <c r="B544" s="371"/>
      <c r="C544" s="371"/>
      <c r="D544" s="371"/>
      <c r="E544" s="371"/>
      <c r="F544" s="371"/>
    </row>
    <row r="545" customFormat="false" ht="11.25" hidden="false" customHeight="false" outlineLevel="0" collapsed="false">
      <c r="A545" s="371"/>
      <c r="B545" s="371"/>
      <c r="C545" s="371"/>
      <c r="D545" s="371"/>
      <c r="E545" s="371"/>
      <c r="F545" s="371"/>
    </row>
    <row r="546" customFormat="false" ht="11.25" hidden="false" customHeight="false" outlineLevel="0" collapsed="false">
      <c r="A546" s="371"/>
      <c r="B546" s="371"/>
      <c r="C546" s="371"/>
      <c r="D546" s="371"/>
      <c r="E546" s="371"/>
      <c r="F546" s="371"/>
    </row>
    <row r="547" customFormat="false" ht="11.25" hidden="false" customHeight="false" outlineLevel="0" collapsed="false">
      <c r="A547" s="371"/>
      <c r="B547" s="371"/>
      <c r="C547" s="371"/>
      <c r="D547" s="371"/>
      <c r="E547" s="371"/>
      <c r="F547" s="371"/>
    </row>
    <row r="548" customFormat="false" ht="11.25" hidden="false" customHeight="false" outlineLevel="0" collapsed="false">
      <c r="A548" s="371"/>
      <c r="B548" s="371"/>
      <c r="C548" s="371"/>
      <c r="D548" s="371"/>
      <c r="E548" s="371"/>
      <c r="F548" s="371"/>
    </row>
    <row r="549" customFormat="false" ht="11.25" hidden="false" customHeight="false" outlineLevel="0" collapsed="false">
      <c r="A549" s="371"/>
      <c r="B549" s="371"/>
      <c r="C549" s="371"/>
      <c r="D549" s="371"/>
      <c r="E549" s="371"/>
      <c r="F549" s="371"/>
    </row>
    <row r="550" customFormat="false" ht="11.25" hidden="false" customHeight="false" outlineLevel="0" collapsed="false">
      <c r="A550" s="371"/>
      <c r="B550" s="371"/>
      <c r="C550" s="371"/>
      <c r="D550" s="371"/>
      <c r="E550" s="371"/>
      <c r="F550" s="371"/>
    </row>
    <row r="551" customFormat="false" ht="11.25" hidden="false" customHeight="false" outlineLevel="0" collapsed="false">
      <c r="A551" s="371"/>
      <c r="B551" s="371"/>
      <c r="C551" s="371"/>
      <c r="D551" s="371"/>
      <c r="E551" s="371"/>
      <c r="F551" s="371"/>
    </row>
    <row r="552" customFormat="false" ht="11.25" hidden="false" customHeight="false" outlineLevel="0" collapsed="false">
      <c r="A552" s="371"/>
      <c r="B552" s="371"/>
      <c r="C552" s="371"/>
      <c r="D552" s="371"/>
      <c r="E552" s="371"/>
      <c r="F552" s="371"/>
    </row>
    <row r="553" customFormat="false" ht="11.25" hidden="false" customHeight="false" outlineLevel="0" collapsed="false">
      <c r="A553" s="371"/>
      <c r="B553" s="371"/>
      <c r="C553" s="371"/>
      <c r="D553" s="371"/>
      <c r="E553" s="371"/>
      <c r="F553" s="371"/>
    </row>
    <row r="554" customFormat="false" ht="11.25" hidden="false" customHeight="false" outlineLevel="0" collapsed="false">
      <c r="A554" s="371"/>
      <c r="B554" s="371"/>
      <c r="C554" s="371"/>
      <c r="D554" s="371"/>
      <c r="E554" s="371"/>
      <c r="F554" s="371"/>
    </row>
    <row r="555" customFormat="false" ht="11.25" hidden="false" customHeight="false" outlineLevel="0" collapsed="false">
      <c r="A555" s="371"/>
      <c r="B555" s="371"/>
      <c r="C555" s="371"/>
      <c r="D555" s="371"/>
      <c r="E555" s="371"/>
      <c r="F555" s="371"/>
    </row>
    <row r="556" customFormat="false" ht="11.25" hidden="false" customHeight="false" outlineLevel="0" collapsed="false">
      <c r="A556" s="371"/>
      <c r="B556" s="371"/>
      <c r="C556" s="371"/>
      <c r="D556" s="371"/>
      <c r="E556" s="371"/>
      <c r="F556" s="371"/>
    </row>
    <row r="557" customFormat="false" ht="11.25" hidden="false" customHeight="false" outlineLevel="0" collapsed="false">
      <c r="A557" s="371"/>
      <c r="B557" s="371"/>
      <c r="C557" s="371"/>
      <c r="D557" s="371"/>
      <c r="E557" s="371"/>
      <c r="F557" s="371"/>
    </row>
    <row r="558" customFormat="false" ht="11.25" hidden="false" customHeight="false" outlineLevel="0" collapsed="false">
      <c r="A558" s="371"/>
      <c r="B558" s="371"/>
      <c r="C558" s="371"/>
      <c r="D558" s="371"/>
      <c r="E558" s="371"/>
      <c r="F558" s="371"/>
    </row>
    <row r="559" customFormat="false" ht="11.25" hidden="false" customHeight="false" outlineLevel="0" collapsed="false">
      <c r="A559" s="371"/>
      <c r="B559" s="371"/>
      <c r="C559" s="371"/>
      <c r="D559" s="371"/>
      <c r="E559" s="371"/>
      <c r="F559" s="371"/>
    </row>
    <row r="560" customFormat="false" ht="11.25" hidden="false" customHeight="false" outlineLevel="0" collapsed="false">
      <c r="A560" s="371"/>
      <c r="B560" s="371"/>
      <c r="C560" s="371"/>
      <c r="D560" s="371"/>
      <c r="E560" s="371"/>
      <c r="F560" s="371"/>
    </row>
    <row r="561" customFormat="false" ht="11.25" hidden="false" customHeight="false" outlineLevel="0" collapsed="false">
      <c r="A561" s="371"/>
      <c r="B561" s="371"/>
      <c r="C561" s="371"/>
      <c r="D561" s="371"/>
      <c r="E561" s="371"/>
      <c r="F561" s="371"/>
    </row>
    <row r="562" customFormat="false" ht="11.25" hidden="false" customHeight="false" outlineLevel="0" collapsed="false">
      <c r="A562" s="371"/>
      <c r="B562" s="371"/>
      <c r="C562" s="371"/>
      <c r="D562" s="371"/>
      <c r="E562" s="371"/>
      <c r="F562" s="371"/>
    </row>
    <row r="563" customFormat="false" ht="11.25" hidden="false" customHeight="false" outlineLevel="0" collapsed="false">
      <c r="A563" s="371"/>
      <c r="B563" s="371"/>
      <c r="C563" s="371"/>
      <c r="D563" s="371"/>
      <c r="E563" s="371"/>
      <c r="F563" s="371"/>
    </row>
    <row r="564" customFormat="false" ht="11.25" hidden="false" customHeight="false" outlineLevel="0" collapsed="false">
      <c r="A564" s="371"/>
      <c r="B564" s="371"/>
      <c r="C564" s="371"/>
      <c r="D564" s="371"/>
      <c r="E564" s="371"/>
      <c r="F564" s="371"/>
    </row>
    <row r="565" customFormat="false" ht="11.25" hidden="false" customHeight="false" outlineLevel="0" collapsed="false">
      <c r="A565" s="371"/>
      <c r="B565" s="371"/>
      <c r="C565" s="371"/>
      <c r="D565" s="371"/>
      <c r="E565" s="371"/>
      <c r="F565" s="371"/>
    </row>
    <row r="566" customFormat="false" ht="11.25" hidden="false" customHeight="false" outlineLevel="0" collapsed="false">
      <c r="A566" s="371"/>
      <c r="B566" s="371"/>
      <c r="C566" s="371"/>
      <c r="D566" s="371"/>
      <c r="E566" s="371"/>
      <c r="F566" s="371"/>
    </row>
    <row r="567" customFormat="false" ht="11.25" hidden="false" customHeight="false" outlineLevel="0" collapsed="false">
      <c r="A567" s="371"/>
      <c r="B567" s="371"/>
      <c r="C567" s="371"/>
      <c r="D567" s="371"/>
      <c r="E567" s="371"/>
      <c r="F567" s="371"/>
    </row>
    <row r="568" customFormat="false" ht="11.25" hidden="false" customHeight="false" outlineLevel="0" collapsed="false">
      <c r="A568" s="371"/>
      <c r="B568" s="371"/>
      <c r="C568" s="371"/>
      <c r="D568" s="371"/>
      <c r="E568" s="371"/>
      <c r="F568" s="371"/>
    </row>
    <row r="569" customFormat="false" ht="11.25" hidden="false" customHeight="false" outlineLevel="0" collapsed="false">
      <c r="A569" s="371"/>
      <c r="B569" s="371"/>
      <c r="C569" s="371"/>
      <c r="D569" s="371"/>
      <c r="E569" s="371"/>
      <c r="F569" s="371"/>
    </row>
    <row r="570" customFormat="false" ht="11.25" hidden="false" customHeight="false" outlineLevel="0" collapsed="false">
      <c r="A570" s="371"/>
      <c r="B570" s="371"/>
      <c r="C570" s="371"/>
      <c r="D570" s="371"/>
      <c r="E570" s="371"/>
      <c r="F570" s="371"/>
    </row>
    <row r="571" customFormat="false" ht="11.25" hidden="false" customHeight="false" outlineLevel="0" collapsed="false">
      <c r="A571" s="371"/>
      <c r="B571" s="371"/>
      <c r="C571" s="371"/>
      <c r="D571" s="371"/>
      <c r="E571" s="371"/>
      <c r="F571" s="371"/>
    </row>
    <row r="572" customFormat="false" ht="11.25" hidden="false" customHeight="false" outlineLevel="0" collapsed="false">
      <c r="A572" s="371"/>
      <c r="B572" s="371"/>
      <c r="C572" s="371"/>
      <c r="D572" s="371"/>
      <c r="E572" s="371"/>
      <c r="F572" s="371"/>
    </row>
    <row r="573" customFormat="false" ht="11.25" hidden="false" customHeight="false" outlineLevel="0" collapsed="false">
      <c r="A573" s="371"/>
      <c r="B573" s="371"/>
      <c r="C573" s="371"/>
      <c r="D573" s="371"/>
      <c r="E573" s="371"/>
      <c r="F573" s="371"/>
    </row>
    <row r="574" customFormat="false" ht="11.25" hidden="false" customHeight="false" outlineLevel="0" collapsed="false">
      <c r="A574" s="371"/>
      <c r="B574" s="371"/>
      <c r="C574" s="371"/>
      <c r="D574" s="371"/>
      <c r="E574" s="371"/>
      <c r="F574" s="371"/>
    </row>
    <row r="575" customFormat="false" ht="11.25" hidden="false" customHeight="false" outlineLevel="0" collapsed="false">
      <c r="A575" s="371"/>
      <c r="B575" s="371"/>
      <c r="C575" s="371"/>
      <c r="D575" s="371"/>
      <c r="E575" s="371"/>
      <c r="F575" s="371"/>
    </row>
    <row r="576" customFormat="false" ht="11.25" hidden="false" customHeight="false" outlineLevel="0" collapsed="false">
      <c r="A576" s="371"/>
      <c r="B576" s="371"/>
      <c r="C576" s="371"/>
      <c r="D576" s="371"/>
      <c r="E576" s="371"/>
      <c r="F576" s="371"/>
    </row>
    <row r="577" customFormat="false" ht="11.25" hidden="false" customHeight="false" outlineLevel="0" collapsed="false">
      <c r="A577" s="371"/>
      <c r="B577" s="371"/>
      <c r="C577" s="371"/>
      <c r="D577" s="371"/>
      <c r="E577" s="371"/>
      <c r="F577" s="371"/>
    </row>
    <row r="578" customFormat="false" ht="11.25" hidden="false" customHeight="false" outlineLevel="0" collapsed="false">
      <c r="A578" s="371"/>
      <c r="B578" s="371"/>
      <c r="C578" s="371"/>
      <c r="D578" s="371"/>
      <c r="E578" s="371"/>
      <c r="F578" s="371"/>
    </row>
    <row r="579" customFormat="false" ht="11.25" hidden="false" customHeight="false" outlineLevel="0" collapsed="false">
      <c r="A579" s="371"/>
      <c r="B579" s="371"/>
      <c r="C579" s="371"/>
      <c r="D579" s="371"/>
      <c r="E579" s="371"/>
      <c r="F579" s="371"/>
    </row>
    <row r="580" customFormat="false" ht="11.25" hidden="false" customHeight="false" outlineLevel="0" collapsed="false">
      <c r="A580" s="371"/>
      <c r="B580" s="371"/>
      <c r="C580" s="371"/>
      <c r="D580" s="371"/>
      <c r="E580" s="371"/>
      <c r="F580" s="371"/>
    </row>
    <row r="581" customFormat="false" ht="11.25" hidden="false" customHeight="false" outlineLevel="0" collapsed="false">
      <c r="A581" s="371"/>
      <c r="B581" s="371"/>
      <c r="C581" s="371"/>
      <c r="D581" s="371"/>
      <c r="E581" s="371"/>
      <c r="F581" s="371"/>
    </row>
    <row r="582" customFormat="false" ht="11.25" hidden="false" customHeight="false" outlineLevel="0" collapsed="false">
      <c r="A582" s="371"/>
      <c r="B582" s="371"/>
      <c r="C582" s="371"/>
      <c r="D582" s="371"/>
      <c r="E582" s="371"/>
      <c r="F582" s="371"/>
    </row>
    <row r="583" customFormat="false" ht="11.25" hidden="false" customHeight="false" outlineLevel="0" collapsed="false">
      <c r="A583" s="371"/>
      <c r="B583" s="371"/>
      <c r="C583" s="371"/>
      <c r="D583" s="371"/>
      <c r="E583" s="371"/>
      <c r="F583" s="371"/>
    </row>
    <row r="584" customFormat="false" ht="11.25" hidden="false" customHeight="false" outlineLevel="0" collapsed="false">
      <c r="A584" s="371"/>
      <c r="B584" s="371"/>
      <c r="C584" s="371"/>
      <c r="D584" s="371"/>
      <c r="E584" s="371"/>
      <c r="F584" s="371"/>
    </row>
    <row r="585" customFormat="false" ht="11.25" hidden="false" customHeight="false" outlineLevel="0" collapsed="false">
      <c r="A585" s="371"/>
      <c r="B585" s="371"/>
      <c r="C585" s="371"/>
      <c r="D585" s="371"/>
      <c r="E585" s="371"/>
      <c r="F585" s="371"/>
    </row>
    <row r="586" customFormat="false" ht="11.25" hidden="false" customHeight="false" outlineLevel="0" collapsed="false">
      <c r="A586" s="371"/>
      <c r="B586" s="371"/>
      <c r="C586" s="371"/>
      <c r="D586" s="371"/>
      <c r="E586" s="371"/>
      <c r="F586" s="371"/>
    </row>
    <row r="587" customFormat="false" ht="11.25" hidden="false" customHeight="false" outlineLevel="0" collapsed="false">
      <c r="A587" s="371"/>
      <c r="B587" s="371"/>
      <c r="C587" s="371"/>
      <c r="D587" s="371"/>
      <c r="E587" s="371"/>
      <c r="F587" s="371"/>
    </row>
    <row r="588" customFormat="false" ht="11.25" hidden="false" customHeight="false" outlineLevel="0" collapsed="false">
      <c r="A588" s="371"/>
      <c r="B588" s="371"/>
      <c r="C588" s="371"/>
      <c r="D588" s="371"/>
      <c r="E588" s="371"/>
      <c r="F588" s="371"/>
    </row>
    <row r="589" customFormat="false" ht="11.25" hidden="false" customHeight="false" outlineLevel="0" collapsed="false">
      <c r="A589" s="371"/>
      <c r="B589" s="371"/>
      <c r="C589" s="371"/>
      <c r="D589" s="371"/>
      <c r="E589" s="371"/>
      <c r="F589" s="371"/>
    </row>
    <row r="590" customFormat="false" ht="11.25" hidden="false" customHeight="false" outlineLevel="0" collapsed="false">
      <c r="A590" s="371"/>
      <c r="B590" s="371"/>
      <c r="C590" s="371"/>
      <c r="D590" s="371"/>
      <c r="E590" s="371"/>
      <c r="F590" s="371"/>
    </row>
    <row r="591" customFormat="false" ht="11.25" hidden="false" customHeight="false" outlineLevel="0" collapsed="false">
      <c r="A591" s="371"/>
      <c r="B591" s="371"/>
      <c r="C591" s="371"/>
      <c r="D591" s="371"/>
      <c r="E591" s="371"/>
      <c r="F591" s="371"/>
    </row>
    <row r="592" customFormat="false" ht="11.25" hidden="false" customHeight="false" outlineLevel="0" collapsed="false">
      <c r="A592" s="371"/>
      <c r="B592" s="371"/>
      <c r="C592" s="371"/>
      <c r="D592" s="371"/>
      <c r="E592" s="371"/>
      <c r="F592" s="371"/>
    </row>
    <row r="593" customFormat="false" ht="11.25" hidden="false" customHeight="false" outlineLevel="0" collapsed="false">
      <c r="A593" s="371"/>
      <c r="B593" s="371"/>
      <c r="C593" s="371"/>
      <c r="D593" s="371"/>
      <c r="E593" s="371"/>
      <c r="F593" s="371"/>
    </row>
    <row r="594" customFormat="false" ht="11.25" hidden="false" customHeight="false" outlineLevel="0" collapsed="false">
      <c r="A594" s="371"/>
      <c r="B594" s="371"/>
      <c r="C594" s="371"/>
      <c r="D594" s="371"/>
      <c r="E594" s="371"/>
      <c r="F594" s="371"/>
    </row>
    <row r="595" customFormat="false" ht="11.25" hidden="false" customHeight="false" outlineLevel="0" collapsed="false">
      <c r="A595" s="371"/>
      <c r="B595" s="371"/>
      <c r="C595" s="371"/>
      <c r="D595" s="371"/>
      <c r="E595" s="371"/>
      <c r="F595" s="371"/>
    </row>
    <row r="596" customFormat="false" ht="11.25" hidden="false" customHeight="false" outlineLevel="0" collapsed="false">
      <c r="A596" s="371"/>
      <c r="B596" s="371"/>
      <c r="C596" s="371"/>
      <c r="D596" s="371"/>
      <c r="E596" s="371"/>
      <c r="F596" s="371"/>
    </row>
    <row r="597" customFormat="false" ht="11.25" hidden="false" customHeight="false" outlineLevel="0" collapsed="false">
      <c r="A597" s="371"/>
      <c r="B597" s="371"/>
      <c r="C597" s="371"/>
      <c r="D597" s="371"/>
      <c r="E597" s="371"/>
      <c r="F597" s="371"/>
    </row>
    <row r="598" customFormat="false" ht="11.25" hidden="false" customHeight="false" outlineLevel="0" collapsed="false">
      <c r="A598" s="371"/>
      <c r="B598" s="371"/>
      <c r="C598" s="371"/>
      <c r="D598" s="371"/>
      <c r="E598" s="371"/>
      <c r="F598" s="371"/>
    </row>
    <row r="599" customFormat="false" ht="11.25" hidden="false" customHeight="false" outlineLevel="0" collapsed="false">
      <c r="A599" s="371"/>
      <c r="B599" s="371"/>
      <c r="C599" s="371"/>
      <c r="D599" s="371"/>
      <c r="E599" s="371"/>
      <c r="F599" s="371"/>
    </row>
    <row r="600" customFormat="false" ht="11.25" hidden="false" customHeight="false" outlineLevel="0" collapsed="false">
      <c r="A600" s="371"/>
      <c r="B600" s="371"/>
      <c r="C600" s="371"/>
      <c r="D600" s="371"/>
      <c r="E600" s="371"/>
      <c r="F600" s="371"/>
    </row>
    <row r="601" customFormat="false" ht="11.25" hidden="false" customHeight="false" outlineLevel="0" collapsed="false">
      <c r="A601" s="371"/>
      <c r="B601" s="371"/>
      <c r="C601" s="371"/>
      <c r="D601" s="371"/>
      <c r="E601" s="371"/>
      <c r="F601" s="371"/>
    </row>
    <row r="602" customFormat="false" ht="11.25" hidden="false" customHeight="false" outlineLevel="0" collapsed="false">
      <c r="A602" s="371"/>
      <c r="B602" s="371"/>
      <c r="C602" s="371"/>
      <c r="D602" s="371"/>
      <c r="E602" s="371"/>
      <c r="F602" s="371"/>
    </row>
    <row r="603" customFormat="false" ht="11.25" hidden="false" customHeight="false" outlineLevel="0" collapsed="false">
      <c r="A603" s="371"/>
      <c r="B603" s="371"/>
      <c r="C603" s="371"/>
      <c r="D603" s="371"/>
      <c r="E603" s="371"/>
      <c r="F603" s="371"/>
    </row>
    <row r="604" customFormat="false" ht="11.25" hidden="false" customHeight="false" outlineLevel="0" collapsed="false">
      <c r="A604" s="371"/>
      <c r="B604" s="371"/>
      <c r="C604" s="371"/>
      <c r="D604" s="371"/>
      <c r="E604" s="371"/>
      <c r="F604" s="371"/>
    </row>
    <row r="605" customFormat="false" ht="11.25" hidden="false" customHeight="false" outlineLevel="0" collapsed="false">
      <c r="A605" s="371"/>
      <c r="B605" s="371"/>
      <c r="C605" s="371"/>
      <c r="D605" s="371"/>
      <c r="E605" s="371"/>
      <c r="F605" s="371"/>
    </row>
    <row r="606" customFormat="false" ht="11.25" hidden="false" customHeight="false" outlineLevel="0" collapsed="false">
      <c r="A606" s="371"/>
      <c r="B606" s="371"/>
      <c r="C606" s="371"/>
      <c r="D606" s="371"/>
      <c r="E606" s="371"/>
      <c r="F606" s="371"/>
    </row>
    <row r="607" customFormat="false" ht="11.25" hidden="false" customHeight="false" outlineLevel="0" collapsed="false">
      <c r="A607" s="371"/>
      <c r="B607" s="371"/>
      <c r="C607" s="371"/>
      <c r="D607" s="371"/>
      <c r="E607" s="371"/>
      <c r="F607" s="371"/>
    </row>
    <row r="608" customFormat="false" ht="11.25" hidden="false" customHeight="false" outlineLevel="0" collapsed="false">
      <c r="A608" s="371"/>
      <c r="B608" s="371"/>
      <c r="C608" s="371"/>
      <c r="D608" s="371"/>
      <c r="E608" s="371"/>
      <c r="F608" s="371"/>
    </row>
    <row r="609" customFormat="false" ht="11.25" hidden="false" customHeight="false" outlineLevel="0" collapsed="false">
      <c r="A609" s="371"/>
      <c r="B609" s="371"/>
      <c r="C609" s="371"/>
      <c r="D609" s="371"/>
      <c r="E609" s="371"/>
      <c r="F609" s="371"/>
    </row>
    <row r="610" customFormat="false" ht="11.25" hidden="false" customHeight="false" outlineLevel="0" collapsed="false">
      <c r="A610" s="371"/>
      <c r="B610" s="371"/>
      <c r="C610" s="371"/>
      <c r="D610" s="371"/>
      <c r="E610" s="371"/>
      <c r="F610" s="371"/>
    </row>
    <row r="611" customFormat="false" ht="11.25" hidden="false" customHeight="false" outlineLevel="0" collapsed="false">
      <c r="A611" s="371"/>
      <c r="B611" s="371"/>
      <c r="C611" s="371"/>
      <c r="D611" s="371"/>
      <c r="E611" s="371"/>
      <c r="F611" s="371"/>
    </row>
    <row r="612" customFormat="false" ht="11.25" hidden="false" customHeight="false" outlineLevel="0" collapsed="false">
      <c r="A612" s="371"/>
      <c r="B612" s="371"/>
      <c r="C612" s="371"/>
      <c r="D612" s="371"/>
      <c r="E612" s="371"/>
      <c r="F612" s="371"/>
    </row>
    <row r="613" customFormat="false" ht="11.25" hidden="false" customHeight="false" outlineLevel="0" collapsed="false">
      <c r="A613" s="371"/>
      <c r="B613" s="371"/>
      <c r="C613" s="371"/>
      <c r="D613" s="371"/>
      <c r="E613" s="371"/>
      <c r="F613" s="371"/>
    </row>
    <row r="614" customFormat="false" ht="11.25" hidden="false" customHeight="false" outlineLevel="0" collapsed="false">
      <c r="A614" s="371"/>
      <c r="B614" s="371"/>
      <c r="C614" s="371"/>
      <c r="D614" s="371"/>
      <c r="E614" s="371"/>
      <c r="F614" s="371"/>
    </row>
    <row r="615" customFormat="false" ht="11.25" hidden="false" customHeight="false" outlineLevel="0" collapsed="false">
      <c r="A615" s="371"/>
      <c r="B615" s="371"/>
      <c r="C615" s="371"/>
      <c r="D615" s="371"/>
      <c r="E615" s="371"/>
      <c r="F615" s="371"/>
    </row>
    <row r="616" customFormat="false" ht="11.25" hidden="false" customHeight="false" outlineLevel="0" collapsed="false">
      <c r="A616" s="371"/>
      <c r="B616" s="371"/>
      <c r="C616" s="371"/>
      <c r="D616" s="371"/>
      <c r="E616" s="371"/>
      <c r="F616" s="371"/>
    </row>
    <row r="617" customFormat="false" ht="11.25" hidden="false" customHeight="false" outlineLevel="0" collapsed="false">
      <c r="A617" s="371"/>
      <c r="B617" s="371"/>
      <c r="C617" s="371"/>
      <c r="D617" s="371"/>
      <c r="E617" s="371"/>
      <c r="F617" s="371"/>
    </row>
    <row r="618" customFormat="false" ht="11.25" hidden="false" customHeight="false" outlineLevel="0" collapsed="false">
      <c r="A618" s="371"/>
      <c r="B618" s="371"/>
      <c r="C618" s="371"/>
      <c r="D618" s="371"/>
      <c r="E618" s="371"/>
      <c r="F618" s="371"/>
    </row>
    <row r="619" customFormat="false" ht="11.25" hidden="false" customHeight="false" outlineLevel="0" collapsed="false">
      <c r="A619" s="371"/>
      <c r="B619" s="371"/>
      <c r="C619" s="371"/>
      <c r="D619" s="371"/>
      <c r="E619" s="371"/>
      <c r="F619" s="371"/>
    </row>
    <row r="620" customFormat="false" ht="11.25" hidden="false" customHeight="false" outlineLevel="0" collapsed="false">
      <c r="A620" s="371"/>
      <c r="B620" s="371"/>
      <c r="C620" s="371"/>
      <c r="D620" s="371"/>
      <c r="E620" s="371"/>
      <c r="F620" s="371"/>
    </row>
    <row r="621" customFormat="false" ht="11.25" hidden="false" customHeight="false" outlineLevel="0" collapsed="false">
      <c r="A621" s="371"/>
      <c r="B621" s="371"/>
      <c r="C621" s="371"/>
      <c r="D621" s="371"/>
      <c r="E621" s="371"/>
      <c r="F621" s="371"/>
    </row>
    <row r="622" customFormat="false" ht="11.25" hidden="false" customHeight="false" outlineLevel="0" collapsed="false">
      <c r="A622" s="371"/>
      <c r="B622" s="371"/>
      <c r="C622" s="371"/>
      <c r="D622" s="371"/>
      <c r="E622" s="371"/>
      <c r="F622" s="371"/>
    </row>
    <row r="623" customFormat="false" ht="11.25" hidden="false" customHeight="false" outlineLevel="0" collapsed="false">
      <c r="A623" s="371"/>
      <c r="B623" s="371"/>
      <c r="C623" s="371"/>
      <c r="D623" s="371"/>
      <c r="E623" s="371"/>
      <c r="F623" s="371"/>
    </row>
    <row r="624" customFormat="false" ht="11.25" hidden="false" customHeight="false" outlineLevel="0" collapsed="false">
      <c r="A624" s="371"/>
      <c r="B624" s="371"/>
      <c r="C624" s="371"/>
      <c r="D624" s="371"/>
      <c r="E624" s="371"/>
      <c r="F624" s="371"/>
    </row>
    <row r="625" customFormat="false" ht="11.25" hidden="false" customHeight="false" outlineLevel="0" collapsed="false">
      <c r="A625" s="371"/>
      <c r="B625" s="371"/>
      <c r="C625" s="371"/>
      <c r="D625" s="371"/>
      <c r="E625" s="371"/>
      <c r="F625" s="371"/>
    </row>
    <row r="626" customFormat="false" ht="11.25" hidden="false" customHeight="false" outlineLevel="0" collapsed="false">
      <c r="A626" s="371"/>
      <c r="B626" s="371"/>
      <c r="C626" s="371"/>
      <c r="D626" s="371"/>
      <c r="E626" s="371"/>
      <c r="F626" s="371"/>
    </row>
    <row r="627" customFormat="false" ht="11.25" hidden="false" customHeight="false" outlineLevel="0" collapsed="false">
      <c r="A627" s="371"/>
      <c r="B627" s="371"/>
      <c r="C627" s="371"/>
      <c r="D627" s="371"/>
      <c r="E627" s="371"/>
      <c r="F627" s="371"/>
    </row>
    <row r="628" customFormat="false" ht="11.25" hidden="false" customHeight="false" outlineLevel="0" collapsed="false">
      <c r="A628" s="371"/>
      <c r="B628" s="371"/>
      <c r="C628" s="371"/>
      <c r="D628" s="371"/>
      <c r="E628" s="371"/>
      <c r="F628" s="371"/>
    </row>
    <row r="629" customFormat="false" ht="11.25" hidden="false" customHeight="false" outlineLevel="0" collapsed="false">
      <c r="A629" s="371"/>
      <c r="B629" s="371"/>
      <c r="C629" s="371"/>
      <c r="D629" s="371"/>
      <c r="E629" s="371"/>
      <c r="F629" s="371"/>
    </row>
    <row r="630" customFormat="false" ht="11.25" hidden="false" customHeight="false" outlineLevel="0" collapsed="false">
      <c r="A630" s="371"/>
      <c r="B630" s="371"/>
      <c r="C630" s="371"/>
      <c r="D630" s="371"/>
      <c r="E630" s="371"/>
      <c r="F630" s="371"/>
    </row>
    <row r="631" customFormat="false" ht="11.25" hidden="false" customHeight="false" outlineLevel="0" collapsed="false">
      <c r="A631" s="371"/>
      <c r="B631" s="371"/>
      <c r="C631" s="371"/>
      <c r="D631" s="371"/>
      <c r="E631" s="371"/>
      <c r="F631" s="371"/>
    </row>
    <row r="632" customFormat="false" ht="11.25" hidden="false" customHeight="false" outlineLevel="0" collapsed="false">
      <c r="A632" s="371"/>
      <c r="B632" s="371"/>
      <c r="C632" s="371"/>
      <c r="D632" s="371"/>
      <c r="E632" s="371"/>
      <c r="F632" s="371"/>
    </row>
    <row r="633" customFormat="false" ht="11.25" hidden="false" customHeight="false" outlineLevel="0" collapsed="false">
      <c r="A633" s="371"/>
      <c r="B633" s="371"/>
      <c r="C633" s="371"/>
      <c r="D633" s="371"/>
      <c r="E633" s="371"/>
      <c r="F633" s="371"/>
    </row>
    <row r="634" customFormat="false" ht="11.25" hidden="false" customHeight="false" outlineLevel="0" collapsed="false">
      <c r="A634" s="371"/>
      <c r="B634" s="371"/>
      <c r="C634" s="371"/>
      <c r="D634" s="371"/>
      <c r="E634" s="371"/>
      <c r="F634" s="371"/>
    </row>
    <row r="635" customFormat="false" ht="11.25" hidden="false" customHeight="false" outlineLevel="0" collapsed="false">
      <c r="A635" s="371"/>
      <c r="B635" s="371"/>
      <c r="C635" s="371"/>
      <c r="D635" s="371"/>
      <c r="E635" s="371"/>
      <c r="F635" s="371"/>
    </row>
    <row r="636" customFormat="false" ht="11.25" hidden="false" customHeight="false" outlineLevel="0" collapsed="false">
      <c r="A636" s="371"/>
      <c r="B636" s="371"/>
      <c r="C636" s="371"/>
      <c r="D636" s="371"/>
      <c r="E636" s="371"/>
      <c r="F636" s="371"/>
    </row>
    <row r="637" customFormat="false" ht="11.25" hidden="false" customHeight="false" outlineLevel="0" collapsed="false">
      <c r="A637" s="371"/>
      <c r="B637" s="371"/>
      <c r="C637" s="371"/>
      <c r="D637" s="371"/>
      <c r="E637" s="371"/>
      <c r="F637" s="371"/>
    </row>
    <row r="638" customFormat="false" ht="11.25" hidden="false" customHeight="false" outlineLevel="0" collapsed="false">
      <c r="A638" s="371"/>
      <c r="B638" s="371"/>
      <c r="C638" s="371"/>
      <c r="D638" s="371"/>
      <c r="E638" s="371"/>
      <c r="F638" s="371"/>
    </row>
    <row r="639" customFormat="false" ht="11.25" hidden="false" customHeight="false" outlineLevel="0" collapsed="false">
      <c r="A639" s="371"/>
      <c r="B639" s="371"/>
      <c r="C639" s="371"/>
      <c r="D639" s="371"/>
      <c r="E639" s="371"/>
      <c r="F639" s="371"/>
    </row>
    <row r="640" customFormat="false" ht="11.25" hidden="false" customHeight="false" outlineLevel="0" collapsed="false">
      <c r="A640" s="371"/>
      <c r="B640" s="371"/>
      <c r="C640" s="371"/>
      <c r="D640" s="371"/>
      <c r="E640" s="371"/>
      <c r="F640" s="371"/>
    </row>
    <row r="641" customFormat="false" ht="11.25" hidden="false" customHeight="false" outlineLevel="0" collapsed="false">
      <c r="A641" s="371"/>
      <c r="B641" s="371"/>
      <c r="C641" s="371"/>
      <c r="D641" s="371"/>
      <c r="E641" s="371"/>
      <c r="F641" s="371"/>
    </row>
    <row r="642" customFormat="false" ht="11.25" hidden="false" customHeight="false" outlineLevel="0" collapsed="false">
      <c r="A642" s="371"/>
      <c r="B642" s="371"/>
      <c r="C642" s="371"/>
      <c r="D642" s="371"/>
      <c r="E642" s="371"/>
      <c r="F642" s="371"/>
    </row>
    <row r="643" customFormat="false" ht="11.25" hidden="false" customHeight="false" outlineLevel="0" collapsed="false">
      <c r="A643" s="371"/>
      <c r="B643" s="371"/>
      <c r="C643" s="371"/>
      <c r="D643" s="371"/>
      <c r="E643" s="371"/>
      <c r="F643" s="371"/>
    </row>
    <row r="644" customFormat="false" ht="11.25" hidden="false" customHeight="false" outlineLevel="0" collapsed="false">
      <c r="A644" s="371"/>
      <c r="B644" s="371"/>
      <c r="C644" s="371"/>
      <c r="D644" s="371"/>
      <c r="E644" s="371"/>
      <c r="F644" s="371"/>
    </row>
    <row r="645" customFormat="false" ht="11.25" hidden="false" customHeight="false" outlineLevel="0" collapsed="false">
      <c r="A645" s="371"/>
      <c r="B645" s="371"/>
      <c r="C645" s="371"/>
      <c r="D645" s="371"/>
      <c r="E645" s="371"/>
      <c r="F645" s="371"/>
    </row>
    <row r="646" customFormat="false" ht="11.25" hidden="false" customHeight="false" outlineLevel="0" collapsed="false">
      <c r="A646" s="371"/>
      <c r="B646" s="371"/>
      <c r="C646" s="371"/>
      <c r="D646" s="371"/>
      <c r="E646" s="371"/>
      <c r="F646" s="371"/>
    </row>
    <row r="647" customFormat="false" ht="11.25" hidden="false" customHeight="false" outlineLevel="0" collapsed="false">
      <c r="A647" s="371"/>
      <c r="B647" s="371"/>
      <c r="C647" s="371"/>
      <c r="D647" s="371"/>
      <c r="E647" s="371"/>
      <c r="F647" s="371"/>
    </row>
    <row r="648" customFormat="false" ht="11.25" hidden="false" customHeight="false" outlineLevel="0" collapsed="false">
      <c r="A648" s="371"/>
      <c r="B648" s="371"/>
      <c r="C648" s="371"/>
      <c r="D648" s="371"/>
      <c r="E648" s="371"/>
      <c r="F648" s="371"/>
    </row>
    <row r="649" customFormat="false" ht="11.25" hidden="false" customHeight="false" outlineLevel="0" collapsed="false">
      <c r="A649" s="371"/>
      <c r="B649" s="371"/>
      <c r="C649" s="371"/>
      <c r="D649" s="371"/>
      <c r="E649" s="371"/>
      <c r="F649" s="371"/>
    </row>
    <row r="650" customFormat="false" ht="11.25" hidden="false" customHeight="false" outlineLevel="0" collapsed="false">
      <c r="A650" s="371"/>
      <c r="B650" s="371"/>
      <c r="C650" s="371"/>
      <c r="D650" s="371"/>
      <c r="E650" s="371"/>
      <c r="F650" s="371"/>
    </row>
    <row r="651" customFormat="false" ht="11.25" hidden="false" customHeight="false" outlineLevel="0" collapsed="false">
      <c r="A651" s="371"/>
      <c r="B651" s="371"/>
      <c r="C651" s="371"/>
      <c r="D651" s="371"/>
      <c r="E651" s="371"/>
      <c r="F651" s="371"/>
    </row>
    <row r="652" customFormat="false" ht="11.25" hidden="false" customHeight="false" outlineLevel="0" collapsed="false">
      <c r="A652" s="371"/>
      <c r="B652" s="371"/>
      <c r="C652" s="371"/>
      <c r="D652" s="371"/>
      <c r="E652" s="371"/>
      <c r="F652" s="371"/>
    </row>
    <row r="653" customFormat="false" ht="11.25" hidden="false" customHeight="false" outlineLevel="0" collapsed="false">
      <c r="A653" s="371"/>
      <c r="B653" s="371"/>
      <c r="C653" s="371"/>
      <c r="D653" s="371"/>
      <c r="E653" s="371"/>
      <c r="F653" s="371"/>
    </row>
    <row r="654" customFormat="false" ht="11.25" hidden="false" customHeight="false" outlineLevel="0" collapsed="false">
      <c r="A654" s="371"/>
      <c r="B654" s="371"/>
      <c r="C654" s="371"/>
      <c r="D654" s="371"/>
      <c r="E654" s="371"/>
      <c r="F654" s="371"/>
    </row>
    <row r="655" customFormat="false" ht="11.25" hidden="false" customHeight="false" outlineLevel="0" collapsed="false">
      <c r="A655" s="371"/>
      <c r="B655" s="371"/>
      <c r="C655" s="371"/>
      <c r="D655" s="371"/>
      <c r="E655" s="371"/>
      <c r="F655" s="371"/>
    </row>
    <row r="656" customFormat="false" ht="11.25" hidden="false" customHeight="false" outlineLevel="0" collapsed="false">
      <c r="A656" s="371"/>
      <c r="B656" s="371"/>
      <c r="C656" s="371"/>
      <c r="D656" s="371"/>
      <c r="E656" s="371"/>
      <c r="F656" s="371"/>
    </row>
    <row r="657" customFormat="false" ht="11.25" hidden="false" customHeight="false" outlineLevel="0" collapsed="false">
      <c r="A657" s="371"/>
      <c r="B657" s="371"/>
      <c r="C657" s="371"/>
      <c r="D657" s="371"/>
      <c r="E657" s="371"/>
      <c r="F657" s="371"/>
    </row>
    <row r="658" customFormat="false" ht="11.25" hidden="false" customHeight="false" outlineLevel="0" collapsed="false">
      <c r="A658" s="371"/>
      <c r="B658" s="371"/>
      <c r="C658" s="371"/>
      <c r="D658" s="371"/>
      <c r="E658" s="371"/>
      <c r="F658" s="371"/>
    </row>
    <row r="659" customFormat="false" ht="11.25" hidden="false" customHeight="false" outlineLevel="0" collapsed="false">
      <c r="A659" s="371"/>
      <c r="B659" s="371"/>
      <c r="C659" s="371"/>
      <c r="D659" s="371"/>
      <c r="E659" s="371"/>
      <c r="F659" s="371"/>
    </row>
    <row r="660" customFormat="false" ht="11.25" hidden="false" customHeight="false" outlineLevel="0" collapsed="false">
      <c r="A660" s="371"/>
      <c r="B660" s="371"/>
      <c r="C660" s="371"/>
      <c r="D660" s="371"/>
      <c r="E660" s="371"/>
      <c r="F660" s="371"/>
    </row>
    <row r="661" customFormat="false" ht="11.25" hidden="false" customHeight="false" outlineLevel="0" collapsed="false">
      <c r="A661" s="371"/>
      <c r="B661" s="371"/>
      <c r="C661" s="371"/>
      <c r="D661" s="371"/>
      <c r="E661" s="371"/>
      <c r="F661" s="371"/>
    </row>
    <row r="662" customFormat="false" ht="11.25" hidden="false" customHeight="false" outlineLevel="0" collapsed="false">
      <c r="A662" s="371"/>
      <c r="B662" s="371"/>
      <c r="C662" s="371"/>
      <c r="D662" s="371"/>
      <c r="E662" s="371"/>
      <c r="F662" s="371"/>
    </row>
    <row r="663" customFormat="false" ht="11.25" hidden="false" customHeight="false" outlineLevel="0" collapsed="false">
      <c r="A663" s="371"/>
      <c r="B663" s="371"/>
      <c r="C663" s="371"/>
      <c r="D663" s="371"/>
      <c r="E663" s="371"/>
      <c r="F663" s="371"/>
    </row>
    <row r="664" customFormat="false" ht="11.25" hidden="false" customHeight="false" outlineLevel="0" collapsed="false">
      <c r="A664" s="371"/>
      <c r="B664" s="371"/>
      <c r="C664" s="371"/>
      <c r="D664" s="371"/>
      <c r="E664" s="371"/>
      <c r="F664" s="371"/>
    </row>
    <row r="665" customFormat="false" ht="11.25" hidden="false" customHeight="false" outlineLevel="0" collapsed="false">
      <c r="A665" s="371"/>
      <c r="B665" s="371"/>
      <c r="C665" s="371"/>
      <c r="D665" s="371"/>
      <c r="E665" s="371"/>
      <c r="F665" s="371"/>
    </row>
    <row r="666" customFormat="false" ht="11.25" hidden="false" customHeight="false" outlineLevel="0" collapsed="false">
      <c r="A666" s="371"/>
      <c r="B666" s="371"/>
      <c r="C666" s="371"/>
      <c r="D666" s="371"/>
      <c r="E666" s="371"/>
      <c r="F666" s="371"/>
    </row>
    <row r="667" customFormat="false" ht="11.25" hidden="false" customHeight="false" outlineLevel="0" collapsed="false">
      <c r="A667" s="371"/>
      <c r="B667" s="371"/>
      <c r="C667" s="371"/>
      <c r="D667" s="371"/>
      <c r="E667" s="371"/>
      <c r="F667" s="371"/>
    </row>
    <row r="668" customFormat="false" ht="11.25" hidden="false" customHeight="false" outlineLevel="0" collapsed="false">
      <c r="A668" s="371"/>
      <c r="B668" s="371"/>
      <c r="C668" s="371"/>
      <c r="D668" s="371"/>
      <c r="E668" s="371"/>
      <c r="F668" s="371"/>
    </row>
    <row r="669" customFormat="false" ht="11.25" hidden="false" customHeight="false" outlineLevel="0" collapsed="false">
      <c r="A669" s="371"/>
      <c r="B669" s="371"/>
      <c r="C669" s="371"/>
      <c r="D669" s="371"/>
      <c r="E669" s="371"/>
      <c r="F669" s="371"/>
    </row>
    <row r="670" customFormat="false" ht="11.25" hidden="false" customHeight="false" outlineLevel="0" collapsed="false">
      <c r="A670" s="371"/>
      <c r="B670" s="371"/>
      <c r="C670" s="371"/>
      <c r="D670" s="371"/>
      <c r="E670" s="371"/>
      <c r="F670" s="371"/>
    </row>
    <row r="671" customFormat="false" ht="11.25" hidden="false" customHeight="false" outlineLevel="0" collapsed="false">
      <c r="A671" s="371"/>
      <c r="B671" s="371"/>
      <c r="C671" s="371"/>
      <c r="D671" s="371"/>
      <c r="E671" s="371"/>
      <c r="F671" s="371"/>
    </row>
    <row r="672" customFormat="false" ht="11.25" hidden="false" customHeight="false" outlineLevel="0" collapsed="false">
      <c r="A672" s="371"/>
      <c r="B672" s="371"/>
      <c r="C672" s="371"/>
      <c r="D672" s="371"/>
      <c r="E672" s="371"/>
      <c r="F672" s="371"/>
    </row>
    <row r="673" customFormat="false" ht="11.25" hidden="false" customHeight="false" outlineLevel="0" collapsed="false">
      <c r="A673" s="371"/>
      <c r="B673" s="371"/>
      <c r="C673" s="371"/>
      <c r="D673" s="371"/>
      <c r="E673" s="371"/>
      <c r="F673" s="371"/>
    </row>
    <row r="674" customFormat="false" ht="11.25" hidden="false" customHeight="false" outlineLevel="0" collapsed="false">
      <c r="A674" s="371"/>
      <c r="B674" s="371"/>
      <c r="C674" s="371"/>
      <c r="D674" s="371"/>
      <c r="E674" s="371"/>
      <c r="F674" s="371"/>
    </row>
    <row r="675" customFormat="false" ht="11.25" hidden="false" customHeight="false" outlineLevel="0" collapsed="false">
      <c r="A675" s="371"/>
      <c r="B675" s="371"/>
      <c r="C675" s="371"/>
      <c r="D675" s="371"/>
      <c r="E675" s="371"/>
      <c r="F675" s="371"/>
    </row>
    <row r="676" customFormat="false" ht="11.25" hidden="false" customHeight="false" outlineLevel="0" collapsed="false">
      <c r="A676" s="371"/>
      <c r="B676" s="371"/>
      <c r="C676" s="371"/>
      <c r="D676" s="371"/>
      <c r="E676" s="371"/>
      <c r="F676" s="371"/>
    </row>
    <row r="677" customFormat="false" ht="11.25" hidden="false" customHeight="false" outlineLevel="0" collapsed="false">
      <c r="A677" s="371"/>
      <c r="B677" s="371"/>
      <c r="C677" s="371"/>
      <c r="D677" s="371"/>
      <c r="E677" s="371"/>
      <c r="F677" s="371"/>
    </row>
    <row r="678" customFormat="false" ht="11.25" hidden="false" customHeight="false" outlineLevel="0" collapsed="false">
      <c r="A678" s="371"/>
      <c r="B678" s="371"/>
      <c r="C678" s="371"/>
      <c r="D678" s="371"/>
      <c r="E678" s="371"/>
      <c r="F678" s="371"/>
    </row>
    <row r="679" customFormat="false" ht="11.25" hidden="false" customHeight="false" outlineLevel="0" collapsed="false">
      <c r="A679" s="371"/>
      <c r="B679" s="371"/>
      <c r="C679" s="371"/>
      <c r="D679" s="371"/>
      <c r="E679" s="371"/>
      <c r="F679" s="371"/>
    </row>
    <row r="680" customFormat="false" ht="11.25" hidden="false" customHeight="false" outlineLevel="0" collapsed="false">
      <c r="A680" s="371"/>
      <c r="B680" s="371"/>
      <c r="C680" s="371"/>
      <c r="D680" s="371"/>
      <c r="E680" s="371"/>
      <c r="F680" s="371"/>
    </row>
    <row r="681" customFormat="false" ht="11.25" hidden="false" customHeight="false" outlineLevel="0" collapsed="false">
      <c r="A681" s="371"/>
      <c r="B681" s="371"/>
      <c r="C681" s="371"/>
      <c r="D681" s="371"/>
      <c r="E681" s="371"/>
      <c r="F681" s="371"/>
    </row>
    <row r="682" customFormat="false" ht="11.25" hidden="false" customHeight="false" outlineLevel="0" collapsed="false">
      <c r="A682" s="371"/>
      <c r="B682" s="371"/>
      <c r="C682" s="371"/>
      <c r="D682" s="371"/>
      <c r="E682" s="371"/>
      <c r="F682" s="371"/>
    </row>
    <row r="683" customFormat="false" ht="11.25" hidden="false" customHeight="false" outlineLevel="0" collapsed="false">
      <c r="A683" s="371"/>
      <c r="B683" s="371"/>
      <c r="C683" s="371"/>
      <c r="D683" s="371"/>
      <c r="E683" s="371"/>
      <c r="F683" s="371"/>
    </row>
    <row r="684" customFormat="false" ht="11.25" hidden="false" customHeight="false" outlineLevel="0" collapsed="false">
      <c r="A684" s="371"/>
      <c r="B684" s="371"/>
      <c r="C684" s="371"/>
      <c r="D684" s="371"/>
      <c r="E684" s="371"/>
      <c r="F684" s="371"/>
    </row>
    <row r="685" customFormat="false" ht="11.25" hidden="false" customHeight="false" outlineLevel="0" collapsed="false">
      <c r="A685" s="371"/>
      <c r="B685" s="371"/>
      <c r="C685" s="371"/>
      <c r="D685" s="371"/>
      <c r="E685" s="371"/>
      <c r="F685" s="371"/>
    </row>
    <row r="686" customFormat="false" ht="11.25" hidden="false" customHeight="false" outlineLevel="0" collapsed="false">
      <c r="A686" s="371"/>
      <c r="B686" s="371"/>
      <c r="C686" s="371"/>
      <c r="D686" s="371"/>
      <c r="E686" s="371"/>
      <c r="F686" s="371"/>
    </row>
    <row r="687" customFormat="false" ht="11.25" hidden="false" customHeight="false" outlineLevel="0" collapsed="false">
      <c r="A687" s="371"/>
      <c r="B687" s="371"/>
      <c r="C687" s="371"/>
      <c r="D687" s="371"/>
      <c r="E687" s="371"/>
      <c r="F687" s="371"/>
    </row>
    <row r="688" customFormat="false" ht="11.25" hidden="false" customHeight="false" outlineLevel="0" collapsed="false">
      <c r="A688" s="371"/>
      <c r="B688" s="371"/>
      <c r="C688" s="371"/>
      <c r="D688" s="371"/>
      <c r="E688" s="371"/>
      <c r="F688" s="371"/>
    </row>
    <row r="689" customFormat="false" ht="11.25" hidden="false" customHeight="false" outlineLevel="0" collapsed="false">
      <c r="A689" s="371"/>
      <c r="B689" s="371"/>
      <c r="C689" s="371"/>
      <c r="D689" s="371"/>
      <c r="E689" s="371"/>
      <c r="F689" s="371"/>
    </row>
    <row r="690" customFormat="false" ht="11.25" hidden="false" customHeight="false" outlineLevel="0" collapsed="false">
      <c r="A690" s="371"/>
      <c r="B690" s="371"/>
      <c r="C690" s="371"/>
      <c r="D690" s="371"/>
      <c r="E690" s="371"/>
      <c r="F690" s="371"/>
    </row>
    <row r="691" customFormat="false" ht="11.25" hidden="false" customHeight="false" outlineLevel="0" collapsed="false">
      <c r="A691" s="371"/>
      <c r="B691" s="371"/>
      <c r="C691" s="371"/>
      <c r="D691" s="371"/>
      <c r="E691" s="371"/>
      <c r="F691" s="371"/>
    </row>
    <row r="692" customFormat="false" ht="11.25" hidden="false" customHeight="false" outlineLevel="0" collapsed="false">
      <c r="A692" s="371"/>
      <c r="B692" s="371"/>
      <c r="C692" s="371"/>
      <c r="D692" s="371"/>
      <c r="E692" s="371"/>
      <c r="F692" s="371"/>
    </row>
    <row r="693" customFormat="false" ht="11.25" hidden="false" customHeight="false" outlineLevel="0" collapsed="false">
      <c r="A693" s="371"/>
      <c r="B693" s="371"/>
      <c r="C693" s="371"/>
      <c r="D693" s="371"/>
      <c r="E693" s="371"/>
      <c r="F693" s="371"/>
    </row>
    <row r="694" customFormat="false" ht="11.25" hidden="false" customHeight="false" outlineLevel="0" collapsed="false">
      <c r="A694" s="371"/>
      <c r="B694" s="371"/>
      <c r="C694" s="371"/>
      <c r="D694" s="371"/>
      <c r="E694" s="371"/>
      <c r="F694" s="371"/>
    </row>
    <row r="695" customFormat="false" ht="11.25" hidden="false" customHeight="false" outlineLevel="0" collapsed="false">
      <c r="A695" s="371"/>
      <c r="B695" s="371"/>
      <c r="C695" s="371"/>
      <c r="D695" s="371"/>
      <c r="E695" s="371"/>
      <c r="F695" s="371"/>
    </row>
    <row r="696" customFormat="false" ht="11.25" hidden="false" customHeight="false" outlineLevel="0" collapsed="false">
      <c r="A696" s="371"/>
      <c r="B696" s="371"/>
      <c r="C696" s="371"/>
      <c r="D696" s="371"/>
      <c r="E696" s="371"/>
      <c r="F696" s="371"/>
    </row>
    <row r="697" customFormat="false" ht="11.25" hidden="false" customHeight="false" outlineLevel="0" collapsed="false">
      <c r="A697" s="371"/>
      <c r="B697" s="371"/>
      <c r="C697" s="371"/>
      <c r="D697" s="371"/>
      <c r="E697" s="371"/>
      <c r="F697" s="371"/>
    </row>
    <row r="698" customFormat="false" ht="11.25" hidden="false" customHeight="false" outlineLevel="0" collapsed="false">
      <c r="A698" s="371"/>
      <c r="B698" s="371"/>
      <c r="C698" s="371"/>
      <c r="D698" s="371"/>
      <c r="E698" s="371"/>
      <c r="F698" s="371"/>
    </row>
    <row r="699" customFormat="false" ht="11.25" hidden="false" customHeight="false" outlineLevel="0" collapsed="false">
      <c r="A699" s="371"/>
      <c r="B699" s="371"/>
      <c r="C699" s="371"/>
      <c r="D699" s="371"/>
      <c r="E699" s="371"/>
      <c r="F699" s="371"/>
    </row>
    <row r="700" customFormat="false" ht="11.25" hidden="false" customHeight="false" outlineLevel="0" collapsed="false">
      <c r="A700" s="371"/>
      <c r="B700" s="371"/>
      <c r="C700" s="371"/>
      <c r="D700" s="371"/>
      <c r="E700" s="371"/>
      <c r="F700" s="371"/>
    </row>
    <row r="701" customFormat="false" ht="11.25" hidden="false" customHeight="false" outlineLevel="0" collapsed="false">
      <c r="A701" s="371"/>
      <c r="B701" s="371"/>
      <c r="C701" s="371"/>
      <c r="D701" s="371"/>
      <c r="E701" s="371"/>
      <c r="F701" s="371"/>
    </row>
    <row r="702" customFormat="false" ht="11.25" hidden="false" customHeight="false" outlineLevel="0" collapsed="false">
      <c r="A702" s="371"/>
      <c r="B702" s="371"/>
      <c r="C702" s="371"/>
      <c r="D702" s="371"/>
      <c r="E702" s="371"/>
      <c r="F702" s="371"/>
    </row>
    <row r="703" customFormat="false" ht="11.25" hidden="false" customHeight="false" outlineLevel="0" collapsed="false">
      <c r="A703" s="371"/>
      <c r="B703" s="371"/>
      <c r="C703" s="371"/>
      <c r="D703" s="371"/>
      <c r="E703" s="371"/>
      <c r="F703" s="371"/>
    </row>
    <row r="704" customFormat="false" ht="11.25" hidden="false" customHeight="false" outlineLevel="0" collapsed="false">
      <c r="A704" s="371"/>
      <c r="B704" s="371"/>
      <c r="C704" s="371"/>
      <c r="D704" s="371"/>
      <c r="E704" s="371"/>
      <c r="F704" s="371"/>
    </row>
    <row r="705" customFormat="false" ht="11.25" hidden="false" customHeight="false" outlineLevel="0" collapsed="false">
      <c r="A705" s="371"/>
      <c r="B705" s="371"/>
      <c r="C705" s="371"/>
      <c r="D705" s="371"/>
      <c r="E705" s="371"/>
      <c r="F705" s="371"/>
    </row>
    <row r="706" customFormat="false" ht="11.25" hidden="false" customHeight="false" outlineLevel="0" collapsed="false">
      <c r="A706" s="371"/>
      <c r="B706" s="371"/>
      <c r="C706" s="371"/>
      <c r="D706" s="371"/>
      <c r="E706" s="371"/>
      <c r="F706" s="371"/>
    </row>
    <row r="707" customFormat="false" ht="11.25" hidden="false" customHeight="false" outlineLevel="0" collapsed="false">
      <c r="A707" s="371"/>
      <c r="B707" s="371"/>
      <c r="C707" s="371"/>
      <c r="D707" s="371"/>
      <c r="E707" s="371"/>
      <c r="F707" s="371"/>
    </row>
    <row r="708" customFormat="false" ht="11.25" hidden="false" customHeight="false" outlineLevel="0" collapsed="false">
      <c r="A708" s="371"/>
      <c r="B708" s="371"/>
      <c r="C708" s="371"/>
      <c r="D708" s="371"/>
      <c r="E708" s="371"/>
      <c r="F708" s="371"/>
    </row>
    <row r="709" customFormat="false" ht="11.25" hidden="false" customHeight="false" outlineLevel="0" collapsed="false">
      <c r="A709" s="371"/>
      <c r="B709" s="371"/>
      <c r="C709" s="371"/>
      <c r="D709" s="371"/>
      <c r="E709" s="371"/>
      <c r="F709" s="371"/>
    </row>
    <row r="710" customFormat="false" ht="11.25" hidden="false" customHeight="false" outlineLevel="0" collapsed="false">
      <c r="A710" s="371"/>
      <c r="B710" s="371"/>
      <c r="C710" s="371"/>
      <c r="D710" s="371"/>
      <c r="E710" s="371"/>
      <c r="F710" s="371"/>
    </row>
    <row r="711" customFormat="false" ht="11.25" hidden="false" customHeight="false" outlineLevel="0" collapsed="false">
      <c r="A711" s="371"/>
      <c r="B711" s="371"/>
      <c r="C711" s="371"/>
      <c r="D711" s="371"/>
      <c r="E711" s="371"/>
      <c r="F711" s="371"/>
    </row>
    <row r="712" customFormat="false" ht="11.25" hidden="false" customHeight="false" outlineLevel="0" collapsed="false">
      <c r="A712" s="371"/>
      <c r="B712" s="371"/>
      <c r="C712" s="371"/>
      <c r="D712" s="371"/>
      <c r="E712" s="371"/>
      <c r="F712" s="371"/>
    </row>
    <row r="713" customFormat="false" ht="11.25" hidden="false" customHeight="false" outlineLevel="0" collapsed="false">
      <c r="A713" s="371"/>
      <c r="B713" s="371"/>
      <c r="C713" s="371"/>
      <c r="D713" s="371"/>
      <c r="E713" s="371"/>
      <c r="F713" s="371"/>
    </row>
    <row r="714" customFormat="false" ht="11.25" hidden="false" customHeight="false" outlineLevel="0" collapsed="false">
      <c r="A714" s="371"/>
      <c r="B714" s="371"/>
      <c r="C714" s="371"/>
      <c r="D714" s="371"/>
      <c r="E714" s="371"/>
      <c r="F714" s="371"/>
    </row>
    <row r="715" customFormat="false" ht="11.25" hidden="false" customHeight="false" outlineLevel="0" collapsed="false">
      <c r="A715" s="371"/>
      <c r="B715" s="371"/>
      <c r="C715" s="371"/>
      <c r="D715" s="371"/>
      <c r="E715" s="371"/>
      <c r="F715" s="371"/>
    </row>
    <row r="716" customFormat="false" ht="11.25" hidden="false" customHeight="false" outlineLevel="0" collapsed="false">
      <c r="A716" s="371"/>
      <c r="B716" s="371"/>
      <c r="C716" s="371"/>
      <c r="D716" s="371"/>
      <c r="E716" s="371"/>
      <c r="F716" s="371"/>
    </row>
    <row r="717" customFormat="false" ht="11.25" hidden="false" customHeight="false" outlineLevel="0" collapsed="false">
      <c r="A717" s="371"/>
      <c r="B717" s="371"/>
      <c r="C717" s="371"/>
      <c r="D717" s="371"/>
      <c r="E717" s="371"/>
      <c r="F717" s="371"/>
    </row>
    <row r="718" customFormat="false" ht="11.25" hidden="false" customHeight="false" outlineLevel="0" collapsed="false">
      <c r="A718" s="371"/>
      <c r="B718" s="371"/>
      <c r="C718" s="371"/>
      <c r="D718" s="371"/>
      <c r="E718" s="371"/>
      <c r="F718" s="371"/>
    </row>
    <row r="719" customFormat="false" ht="11.25" hidden="false" customHeight="false" outlineLevel="0" collapsed="false">
      <c r="A719" s="371"/>
      <c r="B719" s="371"/>
      <c r="C719" s="371"/>
      <c r="D719" s="371"/>
      <c r="E719" s="371"/>
      <c r="F719" s="371"/>
    </row>
    <row r="720" customFormat="false" ht="11.25" hidden="false" customHeight="false" outlineLevel="0" collapsed="false">
      <c r="A720" s="371"/>
      <c r="B720" s="371"/>
      <c r="C720" s="371"/>
      <c r="D720" s="371"/>
      <c r="E720" s="371"/>
      <c r="F720" s="371"/>
    </row>
    <row r="721" customFormat="false" ht="11.25" hidden="false" customHeight="false" outlineLevel="0" collapsed="false">
      <c r="A721" s="371"/>
      <c r="B721" s="371"/>
      <c r="C721" s="371"/>
      <c r="D721" s="371"/>
      <c r="E721" s="371"/>
      <c r="F721" s="371"/>
    </row>
    <row r="722" customFormat="false" ht="11.25" hidden="false" customHeight="false" outlineLevel="0" collapsed="false">
      <c r="A722" s="371"/>
      <c r="B722" s="371"/>
      <c r="C722" s="371"/>
      <c r="D722" s="371"/>
      <c r="E722" s="371"/>
      <c r="F722" s="371"/>
    </row>
    <row r="723" customFormat="false" ht="11.25" hidden="false" customHeight="false" outlineLevel="0" collapsed="false">
      <c r="A723" s="371"/>
      <c r="B723" s="371"/>
      <c r="C723" s="371"/>
      <c r="D723" s="371"/>
      <c r="E723" s="371"/>
      <c r="F723" s="371"/>
    </row>
    <row r="724" customFormat="false" ht="11.25" hidden="false" customHeight="false" outlineLevel="0" collapsed="false">
      <c r="A724" s="371"/>
      <c r="B724" s="371"/>
      <c r="C724" s="371"/>
      <c r="D724" s="371"/>
      <c r="E724" s="371"/>
      <c r="F724" s="371"/>
    </row>
    <row r="725" customFormat="false" ht="11.25" hidden="false" customHeight="false" outlineLevel="0" collapsed="false">
      <c r="A725" s="371"/>
      <c r="B725" s="371"/>
      <c r="C725" s="371"/>
      <c r="D725" s="371"/>
      <c r="E725" s="371"/>
      <c r="F725" s="371"/>
    </row>
    <row r="726" customFormat="false" ht="11.25" hidden="false" customHeight="false" outlineLevel="0" collapsed="false">
      <c r="A726" s="371"/>
      <c r="B726" s="371"/>
      <c r="C726" s="371"/>
      <c r="D726" s="371"/>
      <c r="E726" s="371"/>
      <c r="F726" s="371"/>
    </row>
    <row r="727" customFormat="false" ht="11.25" hidden="false" customHeight="false" outlineLevel="0" collapsed="false">
      <c r="A727" s="371"/>
      <c r="B727" s="371"/>
      <c r="C727" s="371"/>
      <c r="D727" s="371"/>
      <c r="E727" s="371"/>
      <c r="F727" s="371"/>
    </row>
    <row r="728" customFormat="false" ht="11.25" hidden="false" customHeight="false" outlineLevel="0" collapsed="false">
      <c r="A728" s="371"/>
      <c r="B728" s="371"/>
      <c r="C728" s="371"/>
      <c r="D728" s="371"/>
      <c r="E728" s="371"/>
      <c r="F728" s="371"/>
    </row>
    <row r="729" customFormat="false" ht="11.25" hidden="false" customHeight="false" outlineLevel="0" collapsed="false">
      <c r="A729" s="371"/>
      <c r="B729" s="371"/>
      <c r="C729" s="371"/>
      <c r="D729" s="371"/>
      <c r="E729" s="371"/>
      <c r="F729" s="371"/>
    </row>
    <row r="730" customFormat="false" ht="11.25" hidden="false" customHeight="false" outlineLevel="0" collapsed="false">
      <c r="A730" s="371"/>
      <c r="B730" s="371"/>
      <c r="C730" s="371"/>
      <c r="D730" s="371"/>
      <c r="E730" s="371"/>
      <c r="F730" s="371"/>
    </row>
    <row r="731" customFormat="false" ht="11.25" hidden="false" customHeight="false" outlineLevel="0" collapsed="false">
      <c r="A731" s="371"/>
      <c r="B731" s="371"/>
      <c r="C731" s="371"/>
      <c r="D731" s="371"/>
      <c r="E731" s="371"/>
      <c r="F731" s="371"/>
    </row>
    <row r="732" customFormat="false" ht="11.25" hidden="false" customHeight="false" outlineLevel="0" collapsed="false">
      <c r="A732" s="371"/>
      <c r="B732" s="371"/>
      <c r="C732" s="371"/>
      <c r="D732" s="371"/>
      <c r="E732" s="371"/>
      <c r="F732" s="371"/>
    </row>
    <row r="733" customFormat="false" ht="11.25" hidden="false" customHeight="false" outlineLevel="0" collapsed="false">
      <c r="A733" s="371"/>
      <c r="B733" s="371"/>
      <c r="C733" s="371"/>
      <c r="D733" s="371"/>
      <c r="E733" s="371"/>
      <c r="F733" s="371"/>
    </row>
    <row r="734" customFormat="false" ht="11.25" hidden="false" customHeight="false" outlineLevel="0" collapsed="false">
      <c r="A734" s="371"/>
      <c r="B734" s="371"/>
      <c r="C734" s="371"/>
      <c r="D734" s="371"/>
      <c r="E734" s="371"/>
      <c r="F734" s="371"/>
    </row>
    <row r="735" customFormat="false" ht="11.25" hidden="false" customHeight="false" outlineLevel="0" collapsed="false">
      <c r="A735" s="371"/>
      <c r="B735" s="371"/>
      <c r="C735" s="371"/>
      <c r="D735" s="371"/>
      <c r="E735" s="371"/>
      <c r="F735" s="371"/>
    </row>
    <row r="736" customFormat="false" ht="11.25" hidden="false" customHeight="false" outlineLevel="0" collapsed="false">
      <c r="A736" s="371"/>
      <c r="B736" s="371"/>
      <c r="C736" s="371"/>
      <c r="D736" s="371"/>
      <c r="E736" s="371"/>
      <c r="F736" s="371"/>
    </row>
    <row r="737" customFormat="false" ht="11.25" hidden="false" customHeight="false" outlineLevel="0" collapsed="false">
      <c r="A737" s="371"/>
      <c r="B737" s="371"/>
      <c r="C737" s="371"/>
      <c r="D737" s="371"/>
      <c r="E737" s="371"/>
      <c r="F737" s="371"/>
    </row>
    <row r="738" customFormat="false" ht="11.25" hidden="false" customHeight="false" outlineLevel="0" collapsed="false">
      <c r="A738" s="371"/>
      <c r="B738" s="371"/>
      <c r="C738" s="371"/>
      <c r="D738" s="371"/>
      <c r="E738" s="371"/>
      <c r="F738" s="371"/>
    </row>
    <row r="739" customFormat="false" ht="11.25" hidden="false" customHeight="false" outlineLevel="0" collapsed="false">
      <c r="A739" s="371"/>
      <c r="B739" s="371"/>
      <c r="C739" s="371"/>
      <c r="D739" s="371"/>
      <c r="E739" s="371"/>
      <c r="F739" s="371"/>
    </row>
    <row r="740" customFormat="false" ht="11.25" hidden="false" customHeight="false" outlineLevel="0" collapsed="false">
      <c r="A740" s="371"/>
      <c r="B740" s="371"/>
      <c r="C740" s="371"/>
      <c r="D740" s="371"/>
      <c r="E740" s="371"/>
      <c r="F740" s="371"/>
    </row>
    <row r="741" customFormat="false" ht="11.25" hidden="false" customHeight="false" outlineLevel="0" collapsed="false">
      <c r="A741" s="371"/>
      <c r="B741" s="371"/>
      <c r="C741" s="371"/>
      <c r="D741" s="371"/>
      <c r="E741" s="371"/>
      <c r="F741" s="371"/>
    </row>
    <row r="742" customFormat="false" ht="11.25" hidden="false" customHeight="false" outlineLevel="0" collapsed="false">
      <c r="A742" s="371"/>
      <c r="B742" s="371"/>
      <c r="C742" s="371"/>
      <c r="D742" s="371"/>
      <c r="E742" s="371"/>
      <c r="F742" s="371"/>
    </row>
    <row r="743" customFormat="false" ht="11.25" hidden="false" customHeight="false" outlineLevel="0" collapsed="false">
      <c r="A743" s="371"/>
      <c r="B743" s="371"/>
      <c r="C743" s="371"/>
      <c r="D743" s="371"/>
      <c r="E743" s="371"/>
      <c r="F743" s="371"/>
    </row>
    <row r="744" customFormat="false" ht="11.25" hidden="false" customHeight="false" outlineLevel="0" collapsed="false">
      <c r="A744" s="371"/>
      <c r="B744" s="371"/>
      <c r="C744" s="371"/>
      <c r="D744" s="371"/>
      <c r="E744" s="371"/>
      <c r="F744" s="371"/>
    </row>
    <row r="745" customFormat="false" ht="11.25" hidden="false" customHeight="false" outlineLevel="0" collapsed="false">
      <c r="A745" s="371"/>
      <c r="B745" s="371"/>
      <c r="C745" s="371"/>
      <c r="D745" s="371"/>
      <c r="E745" s="371"/>
      <c r="F745" s="371"/>
    </row>
    <row r="746" customFormat="false" ht="11.25" hidden="false" customHeight="false" outlineLevel="0" collapsed="false">
      <c r="A746" s="371"/>
      <c r="B746" s="371"/>
      <c r="C746" s="371"/>
      <c r="D746" s="371"/>
      <c r="E746" s="371"/>
      <c r="F746" s="371"/>
    </row>
    <row r="747" customFormat="false" ht="11.25" hidden="false" customHeight="false" outlineLevel="0" collapsed="false">
      <c r="A747" s="371"/>
      <c r="B747" s="371"/>
      <c r="C747" s="371"/>
      <c r="D747" s="371"/>
      <c r="E747" s="371"/>
      <c r="F747" s="371"/>
    </row>
    <row r="748" customFormat="false" ht="11.25" hidden="false" customHeight="false" outlineLevel="0" collapsed="false">
      <c r="A748" s="371"/>
      <c r="B748" s="371"/>
      <c r="C748" s="371"/>
      <c r="D748" s="371"/>
      <c r="E748" s="371"/>
      <c r="F748" s="371"/>
    </row>
    <row r="749" customFormat="false" ht="11.25" hidden="false" customHeight="false" outlineLevel="0" collapsed="false">
      <c r="A749" s="371"/>
      <c r="B749" s="371"/>
      <c r="C749" s="371"/>
      <c r="D749" s="371"/>
      <c r="E749" s="371"/>
      <c r="F749" s="371"/>
    </row>
    <row r="750" customFormat="false" ht="11.25" hidden="false" customHeight="false" outlineLevel="0" collapsed="false">
      <c r="A750" s="371"/>
      <c r="B750" s="371"/>
      <c r="C750" s="371"/>
      <c r="D750" s="371"/>
      <c r="E750" s="371"/>
      <c r="F750" s="371"/>
    </row>
    <row r="751" customFormat="false" ht="11.25" hidden="false" customHeight="false" outlineLevel="0" collapsed="false">
      <c r="A751" s="371"/>
      <c r="B751" s="371"/>
      <c r="C751" s="371"/>
      <c r="D751" s="371"/>
      <c r="E751" s="371"/>
      <c r="F751" s="371"/>
    </row>
    <row r="752" customFormat="false" ht="11.25" hidden="false" customHeight="false" outlineLevel="0" collapsed="false">
      <c r="A752" s="371"/>
      <c r="B752" s="371"/>
      <c r="C752" s="371"/>
      <c r="D752" s="371"/>
      <c r="E752" s="371"/>
      <c r="F752" s="371"/>
    </row>
    <row r="753" customFormat="false" ht="11.25" hidden="false" customHeight="false" outlineLevel="0" collapsed="false">
      <c r="A753" s="371"/>
      <c r="B753" s="371"/>
      <c r="C753" s="371"/>
      <c r="D753" s="371"/>
      <c r="E753" s="371"/>
      <c r="F753" s="371"/>
    </row>
    <row r="754" customFormat="false" ht="11.25" hidden="false" customHeight="false" outlineLevel="0" collapsed="false">
      <c r="A754" s="371"/>
      <c r="B754" s="371"/>
      <c r="C754" s="371"/>
      <c r="D754" s="371"/>
      <c r="E754" s="371"/>
      <c r="F754" s="371"/>
    </row>
    <row r="755" customFormat="false" ht="11.25" hidden="false" customHeight="false" outlineLevel="0" collapsed="false">
      <c r="A755" s="371"/>
      <c r="B755" s="371"/>
      <c r="C755" s="371"/>
      <c r="D755" s="371"/>
      <c r="E755" s="371"/>
      <c r="F755" s="371"/>
    </row>
    <row r="756" customFormat="false" ht="11.25" hidden="false" customHeight="false" outlineLevel="0" collapsed="false">
      <c r="A756" s="371"/>
      <c r="B756" s="371"/>
      <c r="C756" s="371"/>
      <c r="D756" s="371"/>
      <c r="E756" s="371"/>
      <c r="F756" s="371"/>
    </row>
    <row r="757" customFormat="false" ht="11.25" hidden="false" customHeight="false" outlineLevel="0" collapsed="false">
      <c r="A757" s="371"/>
      <c r="B757" s="371"/>
      <c r="C757" s="371"/>
      <c r="D757" s="371"/>
      <c r="E757" s="371"/>
      <c r="F757" s="371"/>
    </row>
    <row r="758" customFormat="false" ht="11.25" hidden="false" customHeight="false" outlineLevel="0" collapsed="false">
      <c r="A758" s="371"/>
      <c r="B758" s="371"/>
      <c r="C758" s="371"/>
      <c r="D758" s="371"/>
      <c r="E758" s="371"/>
      <c r="F758" s="371"/>
    </row>
    <row r="759" customFormat="false" ht="11.25" hidden="false" customHeight="false" outlineLevel="0" collapsed="false">
      <c r="A759" s="371"/>
      <c r="B759" s="371"/>
      <c r="C759" s="371"/>
      <c r="D759" s="371"/>
      <c r="E759" s="371"/>
      <c r="F759" s="371"/>
    </row>
    <row r="760" customFormat="false" ht="11.25" hidden="false" customHeight="false" outlineLevel="0" collapsed="false">
      <c r="A760" s="371"/>
      <c r="B760" s="371"/>
      <c r="C760" s="371"/>
      <c r="D760" s="371"/>
      <c r="E760" s="371"/>
      <c r="F760" s="371"/>
    </row>
    <row r="761" customFormat="false" ht="11.25" hidden="false" customHeight="false" outlineLevel="0" collapsed="false">
      <c r="A761" s="371"/>
      <c r="B761" s="371"/>
      <c r="C761" s="371"/>
      <c r="D761" s="371"/>
      <c r="E761" s="371"/>
      <c r="F761" s="371"/>
    </row>
    <row r="762" customFormat="false" ht="11.25" hidden="false" customHeight="false" outlineLevel="0" collapsed="false">
      <c r="A762" s="371"/>
      <c r="B762" s="371"/>
      <c r="C762" s="371"/>
      <c r="D762" s="371"/>
      <c r="E762" s="371"/>
      <c r="F762" s="371"/>
    </row>
    <row r="763" customFormat="false" ht="11.25" hidden="false" customHeight="false" outlineLevel="0" collapsed="false">
      <c r="A763" s="371"/>
      <c r="B763" s="371"/>
      <c r="C763" s="371"/>
      <c r="D763" s="371"/>
      <c r="E763" s="371"/>
      <c r="F763" s="371"/>
    </row>
    <row r="764" customFormat="false" ht="11.25" hidden="false" customHeight="false" outlineLevel="0" collapsed="false">
      <c r="A764" s="371"/>
      <c r="B764" s="371"/>
      <c r="C764" s="371"/>
      <c r="D764" s="371"/>
      <c r="E764" s="371"/>
      <c r="F764" s="371"/>
    </row>
    <row r="765" customFormat="false" ht="11.25" hidden="false" customHeight="false" outlineLevel="0" collapsed="false">
      <c r="A765" s="371"/>
      <c r="B765" s="371"/>
      <c r="C765" s="371"/>
      <c r="D765" s="371"/>
      <c r="E765" s="371"/>
      <c r="F765" s="371"/>
    </row>
    <row r="766" customFormat="false" ht="11.25" hidden="false" customHeight="false" outlineLevel="0" collapsed="false">
      <c r="A766" s="371"/>
      <c r="B766" s="371"/>
      <c r="C766" s="371"/>
      <c r="D766" s="371"/>
      <c r="E766" s="371"/>
      <c r="F766" s="371"/>
    </row>
    <row r="767" customFormat="false" ht="11.25" hidden="false" customHeight="false" outlineLevel="0" collapsed="false">
      <c r="A767" s="371"/>
      <c r="B767" s="371"/>
      <c r="C767" s="371"/>
      <c r="D767" s="371"/>
      <c r="E767" s="371"/>
      <c r="F767" s="371"/>
    </row>
    <row r="768" customFormat="false" ht="11.25" hidden="false" customHeight="false" outlineLevel="0" collapsed="false">
      <c r="A768" s="371"/>
      <c r="B768" s="371"/>
      <c r="C768" s="371"/>
      <c r="D768" s="371"/>
      <c r="E768" s="371"/>
      <c r="F768" s="371"/>
    </row>
    <row r="769" customFormat="false" ht="11.25" hidden="false" customHeight="false" outlineLevel="0" collapsed="false">
      <c r="A769" s="371"/>
      <c r="B769" s="371"/>
      <c r="C769" s="371"/>
      <c r="D769" s="371"/>
      <c r="E769" s="371"/>
      <c r="F769" s="371"/>
    </row>
    <row r="770" customFormat="false" ht="11.25" hidden="false" customHeight="false" outlineLevel="0" collapsed="false">
      <c r="A770" s="371"/>
      <c r="B770" s="371"/>
      <c r="C770" s="371"/>
      <c r="D770" s="371"/>
      <c r="E770" s="371"/>
      <c r="F770" s="371"/>
    </row>
    <row r="771" customFormat="false" ht="11.25" hidden="false" customHeight="false" outlineLevel="0" collapsed="false">
      <c r="A771" s="371"/>
      <c r="B771" s="371"/>
      <c r="C771" s="371"/>
      <c r="D771" s="371"/>
      <c r="E771" s="371"/>
      <c r="F771" s="371"/>
    </row>
    <row r="772" customFormat="false" ht="11.25" hidden="false" customHeight="false" outlineLevel="0" collapsed="false">
      <c r="A772" s="371"/>
      <c r="B772" s="371"/>
      <c r="C772" s="371"/>
      <c r="D772" s="371"/>
      <c r="E772" s="371"/>
      <c r="F772" s="371"/>
    </row>
    <row r="773" customFormat="false" ht="11.25" hidden="false" customHeight="false" outlineLevel="0" collapsed="false">
      <c r="A773" s="371"/>
      <c r="B773" s="371"/>
      <c r="C773" s="371"/>
      <c r="D773" s="371"/>
      <c r="E773" s="371"/>
      <c r="F773" s="371"/>
    </row>
    <row r="774" customFormat="false" ht="11.25" hidden="false" customHeight="false" outlineLevel="0" collapsed="false">
      <c r="A774" s="371"/>
      <c r="B774" s="371"/>
      <c r="C774" s="371"/>
      <c r="D774" s="371"/>
      <c r="E774" s="371"/>
      <c r="F774" s="371"/>
    </row>
    <row r="775" customFormat="false" ht="11.25" hidden="false" customHeight="false" outlineLevel="0" collapsed="false">
      <c r="A775" s="371"/>
      <c r="B775" s="371"/>
      <c r="C775" s="371"/>
      <c r="D775" s="371"/>
      <c r="E775" s="371"/>
      <c r="F775" s="371"/>
    </row>
    <row r="776" customFormat="false" ht="11.25" hidden="false" customHeight="false" outlineLevel="0" collapsed="false">
      <c r="A776" s="371"/>
      <c r="B776" s="371"/>
      <c r="C776" s="371"/>
      <c r="D776" s="371"/>
      <c r="E776" s="371"/>
      <c r="F776" s="371"/>
    </row>
    <row r="777" customFormat="false" ht="11.25" hidden="false" customHeight="false" outlineLevel="0" collapsed="false">
      <c r="A777" s="371"/>
      <c r="B777" s="371"/>
      <c r="C777" s="371"/>
      <c r="D777" s="371"/>
      <c r="E777" s="371"/>
      <c r="F777" s="371"/>
    </row>
    <row r="778" customFormat="false" ht="11.25" hidden="false" customHeight="false" outlineLevel="0" collapsed="false">
      <c r="A778" s="371"/>
      <c r="B778" s="371"/>
      <c r="C778" s="371"/>
      <c r="D778" s="371"/>
      <c r="E778" s="371"/>
      <c r="F778" s="371"/>
    </row>
    <row r="779" customFormat="false" ht="11.25" hidden="false" customHeight="false" outlineLevel="0" collapsed="false">
      <c r="A779" s="371"/>
      <c r="B779" s="371"/>
      <c r="C779" s="371"/>
      <c r="D779" s="371"/>
      <c r="E779" s="371"/>
      <c r="F779" s="371"/>
    </row>
    <row r="780" customFormat="false" ht="11.25" hidden="false" customHeight="false" outlineLevel="0" collapsed="false">
      <c r="A780" s="371"/>
      <c r="B780" s="371"/>
      <c r="C780" s="371"/>
      <c r="D780" s="371"/>
      <c r="E780" s="371"/>
      <c r="F780" s="371"/>
    </row>
    <row r="781" customFormat="false" ht="11.25" hidden="false" customHeight="false" outlineLevel="0" collapsed="false">
      <c r="A781" s="371"/>
      <c r="B781" s="371"/>
      <c r="C781" s="371"/>
      <c r="D781" s="371"/>
      <c r="E781" s="371"/>
      <c r="F781" s="371"/>
    </row>
    <row r="782" customFormat="false" ht="11.25" hidden="false" customHeight="false" outlineLevel="0" collapsed="false">
      <c r="A782" s="371"/>
      <c r="B782" s="371"/>
      <c r="C782" s="371"/>
      <c r="D782" s="371"/>
      <c r="E782" s="371"/>
      <c r="F782" s="371"/>
    </row>
    <row r="783" customFormat="false" ht="11.25" hidden="false" customHeight="false" outlineLevel="0" collapsed="false">
      <c r="A783" s="371"/>
      <c r="B783" s="371"/>
      <c r="C783" s="371"/>
      <c r="D783" s="371"/>
      <c r="E783" s="371"/>
      <c r="F783" s="371"/>
    </row>
    <row r="784" customFormat="false" ht="11.25" hidden="false" customHeight="false" outlineLevel="0" collapsed="false">
      <c r="A784" s="371"/>
      <c r="B784" s="371"/>
      <c r="C784" s="371"/>
      <c r="D784" s="371"/>
      <c r="E784" s="371"/>
      <c r="F784" s="371"/>
    </row>
    <row r="785" customFormat="false" ht="11.25" hidden="false" customHeight="false" outlineLevel="0" collapsed="false">
      <c r="A785" s="371"/>
      <c r="B785" s="371"/>
      <c r="C785" s="371"/>
      <c r="D785" s="371"/>
      <c r="E785" s="371"/>
      <c r="F785" s="371"/>
    </row>
    <row r="786" customFormat="false" ht="11.25" hidden="false" customHeight="false" outlineLevel="0" collapsed="false">
      <c r="A786" s="371"/>
      <c r="B786" s="371"/>
      <c r="C786" s="371"/>
      <c r="D786" s="371"/>
      <c r="E786" s="371"/>
      <c r="F786" s="371"/>
    </row>
    <row r="787" customFormat="false" ht="11.25" hidden="false" customHeight="false" outlineLevel="0" collapsed="false">
      <c r="A787" s="371"/>
      <c r="B787" s="371"/>
      <c r="C787" s="371"/>
      <c r="D787" s="371"/>
      <c r="E787" s="371"/>
      <c r="F787" s="371"/>
    </row>
    <row r="788" customFormat="false" ht="11.25" hidden="false" customHeight="false" outlineLevel="0" collapsed="false">
      <c r="A788" s="371"/>
      <c r="B788" s="371"/>
      <c r="C788" s="371"/>
      <c r="D788" s="371"/>
      <c r="E788" s="371"/>
      <c r="F788" s="371"/>
    </row>
    <row r="789" customFormat="false" ht="11.25" hidden="false" customHeight="false" outlineLevel="0" collapsed="false">
      <c r="A789" s="371"/>
      <c r="B789" s="371"/>
      <c r="C789" s="371"/>
      <c r="D789" s="371"/>
      <c r="E789" s="371"/>
      <c r="F789" s="371"/>
    </row>
    <row r="790" customFormat="false" ht="11.25" hidden="false" customHeight="false" outlineLevel="0" collapsed="false">
      <c r="A790" s="371"/>
      <c r="B790" s="371"/>
      <c r="C790" s="371"/>
      <c r="D790" s="371"/>
      <c r="E790" s="371"/>
      <c r="F790" s="371"/>
    </row>
    <row r="791" customFormat="false" ht="11.25" hidden="false" customHeight="false" outlineLevel="0" collapsed="false">
      <c r="A791" s="371"/>
      <c r="B791" s="371"/>
      <c r="C791" s="371"/>
      <c r="D791" s="371"/>
      <c r="E791" s="371"/>
      <c r="F791" s="371"/>
    </row>
    <row r="792" customFormat="false" ht="11.25" hidden="false" customHeight="false" outlineLevel="0" collapsed="false">
      <c r="A792" s="371"/>
      <c r="B792" s="371"/>
      <c r="C792" s="371"/>
      <c r="D792" s="371"/>
      <c r="E792" s="371"/>
      <c r="F792" s="371"/>
    </row>
    <row r="793" customFormat="false" ht="11.25" hidden="false" customHeight="false" outlineLevel="0" collapsed="false">
      <c r="A793" s="371"/>
      <c r="B793" s="371"/>
      <c r="C793" s="371"/>
      <c r="D793" s="371"/>
      <c r="E793" s="371"/>
      <c r="F793" s="371"/>
    </row>
    <row r="794" customFormat="false" ht="11.25" hidden="false" customHeight="false" outlineLevel="0" collapsed="false">
      <c r="A794" s="371"/>
      <c r="B794" s="371"/>
      <c r="C794" s="371"/>
      <c r="D794" s="371"/>
      <c r="E794" s="371"/>
      <c r="F794" s="371"/>
    </row>
    <row r="795" customFormat="false" ht="11.25" hidden="false" customHeight="false" outlineLevel="0" collapsed="false">
      <c r="A795" s="371"/>
      <c r="B795" s="371"/>
      <c r="C795" s="371"/>
      <c r="D795" s="371"/>
      <c r="E795" s="371"/>
      <c r="F795" s="371"/>
    </row>
    <row r="796" customFormat="false" ht="11.25" hidden="false" customHeight="false" outlineLevel="0" collapsed="false">
      <c r="A796" s="371"/>
      <c r="B796" s="371"/>
      <c r="C796" s="371"/>
      <c r="D796" s="371"/>
      <c r="E796" s="371"/>
      <c r="F796" s="371"/>
    </row>
    <row r="797" customFormat="false" ht="11.25" hidden="false" customHeight="false" outlineLevel="0" collapsed="false">
      <c r="A797" s="371"/>
      <c r="B797" s="371"/>
      <c r="C797" s="371"/>
      <c r="D797" s="371"/>
      <c r="E797" s="371"/>
      <c r="F797" s="371"/>
    </row>
    <row r="798" customFormat="false" ht="11.25" hidden="false" customHeight="false" outlineLevel="0" collapsed="false">
      <c r="A798" s="371"/>
      <c r="B798" s="371"/>
      <c r="C798" s="371"/>
      <c r="D798" s="371"/>
      <c r="E798" s="371"/>
      <c r="F798" s="371"/>
    </row>
    <row r="799" customFormat="false" ht="11.25" hidden="false" customHeight="false" outlineLevel="0" collapsed="false">
      <c r="A799" s="371"/>
      <c r="B799" s="371"/>
      <c r="C799" s="371"/>
      <c r="D799" s="371"/>
      <c r="E799" s="371"/>
      <c r="F799" s="371"/>
    </row>
    <row r="800" customFormat="false" ht="11.25" hidden="false" customHeight="false" outlineLevel="0" collapsed="false">
      <c r="A800" s="371"/>
      <c r="B800" s="371"/>
      <c r="C800" s="371"/>
      <c r="D800" s="371"/>
      <c r="E800" s="371"/>
      <c r="F800" s="371"/>
    </row>
    <row r="801" customFormat="false" ht="11.25" hidden="false" customHeight="false" outlineLevel="0" collapsed="false">
      <c r="A801" s="371"/>
      <c r="B801" s="371"/>
      <c r="C801" s="371"/>
      <c r="D801" s="371"/>
      <c r="E801" s="371"/>
      <c r="F801" s="371"/>
    </row>
    <row r="802" customFormat="false" ht="11.25" hidden="false" customHeight="false" outlineLevel="0" collapsed="false">
      <c r="A802" s="371"/>
      <c r="B802" s="371"/>
      <c r="C802" s="371"/>
      <c r="D802" s="371"/>
      <c r="E802" s="371"/>
      <c r="F802" s="371"/>
    </row>
    <row r="803" customFormat="false" ht="11.25" hidden="false" customHeight="false" outlineLevel="0" collapsed="false">
      <c r="A803" s="371"/>
      <c r="B803" s="371"/>
      <c r="C803" s="371"/>
      <c r="D803" s="371"/>
      <c r="E803" s="371"/>
      <c r="F803" s="371"/>
    </row>
    <row r="804" customFormat="false" ht="11.25" hidden="false" customHeight="false" outlineLevel="0" collapsed="false">
      <c r="A804" s="371"/>
      <c r="B804" s="371"/>
      <c r="C804" s="371"/>
      <c r="D804" s="371"/>
      <c r="E804" s="371"/>
      <c r="F804" s="371"/>
    </row>
    <row r="805" customFormat="false" ht="11.25" hidden="false" customHeight="false" outlineLevel="0" collapsed="false">
      <c r="A805" s="371"/>
      <c r="B805" s="371"/>
      <c r="C805" s="371"/>
      <c r="D805" s="371"/>
      <c r="E805" s="371"/>
      <c r="F805" s="371"/>
    </row>
    <row r="806" customFormat="false" ht="11.25" hidden="false" customHeight="false" outlineLevel="0" collapsed="false">
      <c r="A806" s="371"/>
      <c r="B806" s="371"/>
      <c r="C806" s="371"/>
      <c r="D806" s="371"/>
      <c r="E806" s="371"/>
      <c r="F806" s="371"/>
    </row>
    <row r="807" customFormat="false" ht="11.25" hidden="false" customHeight="false" outlineLevel="0" collapsed="false">
      <c r="A807" s="371"/>
      <c r="B807" s="371"/>
      <c r="C807" s="371"/>
      <c r="D807" s="371"/>
      <c r="E807" s="371"/>
      <c r="F807" s="371"/>
    </row>
    <row r="808" customFormat="false" ht="11.25" hidden="false" customHeight="false" outlineLevel="0" collapsed="false">
      <c r="A808" s="371"/>
      <c r="B808" s="371"/>
      <c r="C808" s="371"/>
      <c r="D808" s="371"/>
      <c r="E808" s="371"/>
      <c r="F808" s="371"/>
    </row>
    <row r="809" customFormat="false" ht="11.25" hidden="false" customHeight="false" outlineLevel="0" collapsed="false">
      <c r="A809" s="371"/>
      <c r="B809" s="371"/>
      <c r="C809" s="371"/>
      <c r="D809" s="371"/>
      <c r="E809" s="371"/>
      <c r="F809" s="371"/>
    </row>
    <row r="810" customFormat="false" ht="11.25" hidden="false" customHeight="false" outlineLevel="0" collapsed="false">
      <c r="A810" s="371"/>
      <c r="B810" s="371"/>
      <c r="C810" s="371"/>
      <c r="D810" s="371"/>
      <c r="E810" s="371"/>
      <c r="F810" s="371"/>
    </row>
    <row r="811" customFormat="false" ht="11.25" hidden="false" customHeight="false" outlineLevel="0" collapsed="false">
      <c r="A811" s="371"/>
      <c r="B811" s="371"/>
      <c r="C811" s="371"/>
      <c r="D811" s="371"/>
      <c r="E811" s="371"/>
      <c r="F811" s="371"/>
    </row>
    <row r="812" customFormat="false" ht="11.25" hidden="false" customHeight="false" outlineLevel="0" collapsed="false">
      <c r="A812" s="371"/>
      <c r="B812" s="371"/>
      <c r="C812" s="371"/>
      <c r="D812" s="371"/>
      <c r="E812" s="371"/>
      <c r="F812" s="371"/>
    </row>
    <row r="813" customFormat="false" ht="11.25" hidden="false" customHeight="false" outlineLevel="0" collapsed="false">
      <c r="A813" s="371"/>
      <c r="B813" s="371"/>
      <c r="C813" s="371"/>
      <c r="D813" s="371"/>
      <c r="E813" s="371"/>
      <c r="F813" s="371"/>
    </row>
    <row r="814" customFormat="false" ht="11.25" hidden="false" customHeight="false" outlineLevel="0" collapsed="false">
      <c r="A814" s="371"/>
      <c r="B814" s="371"/>
      <c r="C814" s="371"/>
      <c r="D814" s="371"/>
      <c r="E814" s="371"/>
      <c r="F814" s="371"/>
    </row>
    <row r="815" customFormat="false" ht="11.25" hidden="false" customHeight="false" outlineLevel="0" collapsed="false">
      <c r="A815" s="371"/>
      <c r="B815" s="371"/>
      <c r="C815" s="371"/>
      <c r="D815" s="371"/>
      <c r="E815" s="371"/>
      <c r="F815" s="371"/>
    </row>
    <row r="816" customFormat="false" ht="11.25" hidden="false" customHeight="false" outlineLevel="0" collapsed="false">
      <c r="A816" s="371"/>
      <c r="B816" s="371"/>
      <c r="C816" s="371"/>
      <c r="D816" s="371"/>
      <c r="E816" s="371"/>
      <c r="F816" s="371"/>
    </row>
    <row r="817" customFormat="false" ht="11.25" hidden="false" customHeight="false" outlineLevel="0" collapsed="false">
      <c r="A817" s="371"/>
      <c r="B817" s="371"/>
      <c r="C817" s="371"/>
      <c r="D817" s="371"/>
      <c r="E817" s="371"/>
      <c r="F817" s="371"/>
    </row>
    <row r="818" customFormat="false" ht="11.25" hidden="false" customHeight="false" outlineLevel="0" collapsed="false">
      <c r="A818" s="371"/>
      <c r="B818" s="371"/>
      <c r="C818" s="371"/>
      <c r="D818" s="371"/>
      <c r="E818" s="371"/>
      <c r="F818" s="371"/>
    </row>
    <row r="819" customFormat="false" ht="11.25" hidden="false" customHeight="false" outlineLevel="0" collapsed="false">
      <c r="A819" s="371"/>
      <c r="B819" s="371"/>
      <c r="C819" s="371"/>
      <c r="D819" s="371"/>
      <c r="E819" s="371"/>
      <c r="F819" s="371"/>
    </row>
    <row r="820" customFormat="false" ht="11.25" hidden="false" customHeight="false" outlineLevel="0" collapsed="false">
      <c r="A820" s="371"/>
      <c r="B820" s="371"/>
      <c r="C820" s="371"/>
      <c r="D820" s="371"/>
      <c r="E820" s="371"/>
      <c r="F820" s="371"/>
    </row>
    <row r="821" customFormat="false" ht="11.25" hidden="false" customHeight="false" outlineLevel="0" collapsed="false">
      <c r="A821" s="371"/>
      <c r="B821" s="371"/>
      <c r="C821" s="371"/>
      <c r="D821" s="371"/>
      <c r="E821" s="371"/>
      <c r="F821" s="371"/>
    </row>
    <row r="822" customFormat="false" ht="11.25" hidden="false" customHeight="false" outlineLevel="0" collapsed="false">
      <c r="A822" s="371"/>
      <c r="B822" s="371"/>
      <c r="C822" s="371"/>
      <c r="D822" s="371"/>
      <c r="E822" s="371"/>
      <c r="F822" s="371"/>
    </row>
    <row r="823" customFormat="false" ht="11.25" hidden="false" customHeight="false" outlineLevel="0" collapsed="false">
      <c r="A823" s="371"/>
      <c r="B823" s="371"/>
      <c r="C823" s="371"/>
      <c r="D823" s="371"/>
      <c r="E823" s="371"/>
      <c r="F823" s="371"/>
    </row>
    <row r="824" customFormat="false" ht="11.25" hidden="false" customHeight="false" outlineLevel="0" collapsed="false">
      <c r="A824" s="371"/>
      <c r="B824" s="371"/>
      <c r="C824" s="371"/>
      <c r="D824" s="371"/>
      <c r="E824" s="371"/>
      <c r="F824" s="371"/>
    </row>
    <row r="825" customFormat="false" ht="11.25" hidden="false" customHeight="false" outlineLevel="0" collapsed="false">
      <c r="A825" s="371"/>
      <c r="B825" s="371"/>
      <c r="C825" s="371"/>
      <c r="D825" s="371"/>
      <c r="E825" s="371"/>
      <c r="F825" s="371"/>
    </row>
    <row r="826" customFormat="false" ht="11.25" hidden="false" customHeight="false" outlineLevel="0" collapsed="false">
      <c r="A826" s="371"/>
      <c r="B826" s="371"/>
      <c r="C826" s="371"/>
      <c r="D826" s="371"/>
      <c r="E826" s="371"/>
      <c r="F826" s="371"/>
    </row>
    <row r="827" customFormat="false" ht="11.25" hidden="false" customHeight="false" outlineLevel="0" collapsed="false">
      <c r="A827" s="371"/>
      <c r="B827" s="371"/>
      <c r="C827" s="371"/>
      <c r="D827" s="371"/>
      <c r="E827" s="371"/>
      <c r="F827" s="371"/>
    </row>
    <row r="828" customFormat="false" ht="11.25" hidden="false" customHeight="false" outlineLevel="0" collapsed="false">
      <c r="A828" s="371"/>
      <c r="B828" s="371"/>
      <c r="C828" s="371"/>
      <c r="D828" s="371"/>
      <c r="E828" s="371"/>
      <c r="F828" s="371"/>
    </row>
    <row r="829" customFormat="false" ht="11.25" hidden="false" customHeight="false" outlineLevel="0" collapsed="false">
      <c r="A829" s="371"/>
      <c r="B829" s="371"/>
      <c r="C829" s="371"/>
      <c r="D829" s="371"/>
      <c r="E829" s="371"/>
      <c r="F829" s="371"/>
    </row>
    <row r="830" customFormat="false" ht="11.25" hidden="false" customHeight="false" outlineLevel="0" collapsed="false">
      <c r="A830" s="371"/>
      <c r="B830" s="371"/>
      <c r="C830" s="371"/>
      <c r="D830" s="371"/>
      <c r="E830" s="371"/>
      <c r="F830" s="371"/>
    </row>
    <row r="831" customFormat="false" ht="11.25" hidden="false" customHeight="false" outlineLevel="0" collapsed="false">
      <c r="A831" s="371"/>
      <c r="B831" s="371"/>
      <c r="C831" s="371"/>
      <c r="D831" s="371"/>
      <c r="E831" s="371"/>
      <c r="F831" s="371"/>
    </row>
    <row r="832" customFormat="false" ht="11.25" hidden="false" customHeight="false" outlineLevel="0" collapsed="false">
      <c r="A832" s="371"/>
      <c r="B832" s="371"/>
      <c r="C832" s="371"/>
      <c r="D832" s="371"/>
      <c r="E832" s="371"/>
      <c r="F832" s="371"/>
    </row>
    <row r="833" customFormat="false" ht="11.25" hidden="false" customHeight="false" outlineLevel="0" collapsed="false">
      <c r="A833" s="371"/>
      <c r="B833" s="371"/>
      <c r="C833" s="371"/>
      <c r="D833" s="371"/>
      <c r="E833" s="371"/>
      <c r="F833" s="371"/>
    </row>
    <row r="834" customFormat="false" ht="11.25" hidden="false" customHeight="false" outlineLevel="0" collapsed="false">
      <c r="A834" s="371"/>
      <c r="B834" s="371"/>
      <c r="C834" s="371"/>
      <c r="D834" s="371"/>
      <c r="E834" s="371"/>
      <c r="F834" s="371"/>
    </row>
    <row r="835" customFormat="false" ht="11.25" hidden="false" customHeight="false" outlineLevel="0" collapsed="false">
      <c r="A835" s="371"/>
      <c r="B835" s="371"/>
      <c r="C835" s="371"/>
      <c r="D835" s="371"/>
      <c r="E835" s="371"/>
      <c r="F835" s="371"/>
    </row>
    <row r="836" customFormat="false" ht="11.25" hidden="false" customHeight="false" outlineLevel="0" collapsed="false">
      <c r="A836" s="371"/>
      <c r="B836" s="371"/>
      <c r="C836" s="371"/>
      <c r="D836" s="371"/>
      <c r="E836" s="371"/>
      <c r="F836" s="371"/>
    </row>
    <row r="837" customFormat="false" ht="11.25" hidden="false" customHeight="false" outlineLevel="0" collapsed="false">
      <c r="A837" s="371"/>
      <c r="B837" s="371"/>
      <c r="C837" s="371"/>
      <c r="D837" s="371"/>
      <c r="E837" s="371"/>
      <c r="F837" s="371"/>
    </row>
    <row r="838" customFormat="false" ht="11.25" hidden="false" customHeight="false" outlineLevel="0" collapsed="false">
      <c r="A838" s="371"/>
      <c r="B838" s="371"/>
      <c r="C838" s="371"/>
      <c r="D838" s="371"/>
      <c r="E838" s="371"/>
      <c r="F838" s="371"/>
    </row>
    <row r="839" customFormat="false" ht="11.25" hidden="false" customHeight="false" outlineLevel="0" collapsed="false">
      <c r="A839" s="371"/>
      <c r="B839" s="371"/>
      <c r="C839" s="371"/>
      <c r="D839" s="371"/>
      <c r="E839" s="371"/>
      <c r="F839" s="371"/>
    </row>
    <row r="840" customFormat="false" ht="11.25" hidden="false" customHeight="false" outlineLevel="0" collapsed="false">
      <c r="A840" s="371"/>
      <c r="B840" s="371"/>
      <c r="C840" s="371"/>
      <c r="D840" s="371"/>
      <c r="E840" s="371"/>
      <c r="F840" s="371"/>
    </row>
    <row r="841" customFormat="false" ht="11.25" hidden="false" customHeight="false" outlineLevel="0" collapsed="false">
      <c r="A841" s="371"/>
      <c r="B841" s="371"/>
      <c r="C841" s="371"/>
      <c r="D841" s="371"/>
      <c r="E841" s="371"/>
      <c r="F841" s="371"/>
    </row>
    <row r="842" customFormat="false" ht="11.25" hidden="false" customHeight="false" outlineLevel="0" collapsed="false">
      <c r="A842" s="371"/>
      <c r="B842" s="371"/>
      <c r="C842" s="371"/>
      <c r="D842" s="371"/>
      <c r="E842" s="371"/>
      <c r="F842" s="371"/>
    </row>
    <row r="843" customFormat="false" ht="11.25" hidden="false" customHeight="false" outlineLevel="0" collapsed="false">
      <c r="A843" s="371"/>
      <c r="B843" s="371"/>
      <c r="C843" s="371"/>
      <c r="D843" s="371"/>
      <c r="E843" s="371"/>
      <c r="F843" s="371"/>
    </row>
    <row r="844" customFormat="false" ht="11.25" hidden="false" customHeight="false" outlineLevel="0" collapsed="false">
      <c r="A844" s="371"/>
      <c r="B844" s="371"/>
      <c r="C844" s="371"/>
      <c r="D844" s="371"/>
      <c r="E844" s="371"/>
      <c r="F844" s="371"/>
    </row>
    <row r="845" customFormat="false" ht="11.25" hidden="false" customHeight="false" outlineLevel="0" collapsed="false">
      <c r="A845" s="371"/>
      <c r="B845" s="371"/>
      <c r="C845" s="371"/>
      <c r="D845" s="371"/>
      <c r="E845" s="371"/>
      <c r="F845" s="371"/>
    </row>
    <row r="846" customFormat="false" ht="11.25" hidden="false" customHeight="false" outlineLevel="0" collapsed="false">
      <c r="A846" s="371"/>
      <c r="B846" s="371"/>
      <c r="C846" s="371"/>
      <c r="D846" s="371"/>
      <c r="E846" s="371"/>
      <c r="F846" s="371"/>
    </row>
    <row r="847" customFormat="false" ht="11.25" hidden="false" customHeight="false" outlineLevel="0" collapsed="false">
      <c r="A847" s="371"/>
      <c r="B847" s="371"/>
      <c r="C847" s="371"/>
      <c r="D847" s="371"/>
      <c r="E847" s="371"/>
      <c r="F847" s="371"/>
    </row>
    <row r="848" customFormat="false" ht="11.25" hidden="false" customHeight="false" outlineLevel="0" collapsed="false">
      <c r="A848" s="371"/>
      <c r="B848" s="371"/>
      <c r="C848" s="371"/>
      <c r="D848" s="371"/>
      <c r="E848" s="371"/>
      <c r="F848" s="371"/>
    </row>
    <row r="849" customFormat="false" ht="11.25" hidden="false" customHeight="false" outlineLevel="0" collapsed="false">
      <c r="A849" s="371"/>
      <c r="B849" s="371"/>
      <c r="C849" s="371"/>
      <c r="D849" s="371"/>
      <c r="E849" s="371"/>
      <c r="F849" s="371"/>
    </row>
    <row r="850" customFormat="false" ht="11.25" hidden="false" customHeight="false" outlineLevel="0" collapsed="false">
      <c r="A850" s="371"/>
      <c r="B850" s="371"/>
      <c r="C850" s="371"/>
      <c r="D850" s="371"/>
      <c r="E850" s="371"/>
      <c r="F850" s="371"/>
    </row>
    <row r="851" customFormat="false" ht="11.25" hidden="false" customHeight="false" outlineLevel="0" collapsed="false">
      <c r="A851" s="371"/>
      <c r="B851" s="371"/>
      <c r="C851" s="371"/>
      <c r="D851" s="371"/>
      <c r="E851" s="371"/>
      <c r="F851" s="371"/>
    </row>
    <row r="852" customFormat="false" ht="11.25" hidden="false" customHeight="false" outlineLevel="0" collapsed="false">
      <c r="A852" s="371"/>
      <c r="B852" s="371"/>
      <c r="C852" s="371"/>
      <c r="D852" s="371"/>
      <c r="E852" s="371"/>
      <c r="F852" s="371"/>
    </row>
    <row r="853" customFormat="false" ht="11.25" hidden="false" customHeight="false" outlineLevel="0" collapsed="false">
      <c r="A853" s="371"/>
      <c r="B853" s="371"/>
      <c r="C853" s="371"/>
      <c r="D853" s="371"/>
      <c r="E853" s="371"/>
      <c r="F853" s="371"/>
    </row>
    <row r="854" customFormat="false" ht="11.25" hidden="false" customHeight="false" outlineLevel="0" collapsed="false">
      <c r="A854" s="371"/>
      <c r="B854" s="371"/>
      <c r="C854" s="371"/>
      <c r="D854" s="371"/>
      <c r="E854" s="371"/>
      <c r="F854" s="371"/>
    </row>
    <row r="855" customFormat="false" ht="11.25" hidden="false" customHeight="false" outlineLevel="0" collapsed="false">
      <c r="A855" s="371"/>
      <c r="B855" s="371"/>
      <c r="C855" s="371"/>
      <c r="D855" s="371"/>
      <c r="E855" s="371"/>
      <c r="F855" s="371"/>
    </row>
    <row r="856" customFormat="false" ht="11.25" hidden="false" customHeight="false" outlineLevel="0" collapsed="false">
      <c r="A856" s="371"/>
      <c r="B856" s="371"/>
      <c r="C856" s="371"/>
      <c r="D856" s="371"/>
      <c r="E856" s="371"/>
      <c r="F856" s="371"/>
    </row>
    <row r="857" customFormat="false" ht="11.25" hidden="false" customHeight="false" outlineLevel="0" collapsed="false">
      <c r="A857" s="371"/>
      <c r="B857" s="371"/>
      <c r="C857" s="371"/>
      <c r="D857" s="371"/>
      <c r="E857" s="371"/>
      <c r="F857" s="371"/>
    </row>
    <row r="858" customFormat="false" ht="11.25" hidden="false" customHeight="false" outlineLevel="0" collapsed="false">
      <c r="A858" s="371"/>
      <c r="B858" s="371"/>
      <c r="C858" s="371"/>
      <c r="D858" s="371"/>
      <c r="E858" s="371"/>
      <c r="F858" s="371"/>
    </row>
    <row r="859" customFormat="false" ht="11.25" hidden="false" customHeight="false" outlineLevel="0" collapsed="false">
      <c r="A859" s="371"/>
      <c r="B859" s="371"/>
      <c r="C859" s="371"/>
      <c r="D859" s="371"/>
      <c r="E859" s="371"/>
      <c r="F859" s="371"/>
    </row>
    <row r="860" customFormat="false" ht="11.25" hidden="false" customHeight="false" outlineLevel="0" collapsed="false">
      <c r="A860" s="371"/>
      <c r="B860" s="371"/>
      <c r="C860" s="371"/>
      <c r="D860" s="371"/>
      <c r="E860" s="371"/>
      <c r="F860" s="371"/>
    </row>
    <row r="861" customFormat="false" ht="11.25" hidden="false" customHeight="false" outlineLevel="0" collapsed="false">
      <c r="A861" s="371"/>
      <c r="B861" s="371"/>
      <c r="C861" s="371"/>
      <c r="D861" s="371"/>
      <c r="E861" s="371"/>
      <c r="F861" s="371"/>
    </row>
    <row r="862" customFormat="false" ht="11.25" hidden="false" customHeight="false" outlineLevel="0" collapsed="false">
      <c r="A862" s="371"/>
      <c r="B862" s="371"/>
      <c r="C862" s="371"/>
      <c r="D862" s="371"/>
      <c r="E862" s="371"/>
      <c r="F862" s="371"/>
    </row>
    <row r="863" customFormat="false" ht="11.25" hidden="false" customHeight="false" outlineLevel="0" collapsed="false">
      <c r="A863" s="371"/>
      <c r="B863" s="371"/>
      <c r="C863" s="371"/>
      <c r="D863" s="371"/>
      <c r="E863" s="371"/>
      <c r="F863" s="371"/>
    </row>
    <row r="864" customFormat="false" ht="11.25" hidden="false" customHeight="false" outlineLevel="0" collapsed="false">
      <c r="A864" s="371"/>
      <c r="B864" s="371"/>
      <c r="C864" s="371"/>
      <c r="D864" s="371"/>
      <c r="E864" s="371"/>
      <c r="F864" s="371"/>
    </row>
    <row r="865" customFormat="false" ht="11.25" hidden="false" customHeight="false" outlineLevel="0" collapsed="false">
      <c r="A865" s="371"/>
      <c r="B865" s="371"/>
      <c r="C865" s="371"/>
      <c r="D865" s="371"/>
      <c r="E865" s="371"/>
      <c r="F865" s="371"/>
    </row>
    <row r="866" customFormat="false" ht="11.25" hidden="false" customHeight="false" outlineLevel="0" collapsed="false">
      <c r="A866" s="371"/>
      <c r="B866" s="371"/>
      <c r="C866" s="371"/>
      <c r="D866" s="371"/>
      <c r="E866" s="371"/>
      <c r="F866" s="371"/>
    </row>
    <row r="867" customFormat="false" ht="11.25" hidden="false" customHeight="false" outlineLevel="0" collapsed="false">
      <c r="A867" s="371"/>
      <c r="B867" s="371"/>
      <c r="C867" s="371"/>
      <c r="D867" s="371"/>
      <c r="E867" s="371"/>
      <c r="F867" s="371"/>
    </row>
    <row r="868" customFormat="false" ht="11.25" hidden="false" customHeight="false" outlineLevel="0" collapsed="false">
      <c r="A868" s="371"/>
      <c r="B868" s="371"/>
      <c r="C868" s="371"/>
      <c r="D868" s="371"/>
      <c r="E868" s="371"/>
      <c r="F868" s="371"/>
    </row>
    <row r="869" customFormat="false" ht="11.25" hidden="false" customHeight="false" outlineLevel="0" collapsed="false">
      <c r="A869" s="371"/>
      <c r="B869" s="371"/>
      <c r="C869" s="371"/>
      <c r="D869" s="371"/>
      <c r="E869" s="371"/>
      <c r="F869" s="371"/>
    </row>
    <row r="870" customFormat="false" ht="11.25" hidden="false" customHeight="false" outlineLevel="0" collapsed="false">
      <c r="A870" s="371"/>
      <c r="B870" s="371"/>
      <c r="C870" s="371"/>
      <c r="D870" s="371"/>
      <c r="E870" s="371"/>
      <c r="F870" s="371"/>
    </row>
    <row r="871" customFormat="false" ht="11.25" hidden="false" customHeight="false" outlineLevel="0" collapsed="false">
      <c r="A871" s="371"/>
      <c r="B871" s="371"/>
      <c r="C871" s="371"/>
      <c r="D871" s="371"/>
      <c r="E871" s="371"/>
      <c r="F871" s="371"/>
    </row>
    <row r="872" customFormat="false" ht="11.25" hidden="false" customHeight="false" outlineLevel="0" collapsed="false">
      <c r="A872" s="371"/>
      <c r="B872" s="371"/>
      <c r="C872" s="371"/>
      <c r="D872" s="371"/>
      <c r="E872" s="371"/>
      <c r="F872" s="371"/>
    </row>
    <row r="873" customFormat="false" ht="11.25" hidden="false" customHeight="false" outlineLevel="0" collapsed="false">
      <c r="A873" s="371"/>
      <c r="B873" s="371"/>
      <c r="C873" s="371"/>
      <c r="D873" s="371"/>
      <c r="E873" s="371"/>
      <c r="F873" s="371"/>
    </row>
    <row r="874" customFormat="false" ht="11.25" hidden="false" customHeight="false" outlineLevel="0" collapsed="false">
      <c r="A874" s="371"/>
      <c r="B874" s="371"/>
      <c r="C874" s="371"/>
      <c r="D874" s="371"/>
      <c r="E874" s="371"/>
      <c r="F874" s="371"/>
    </row>
    <row r="875" customFormat="false" ht="11.25" hidden="false" customHeight="false" outlineLevel="0" collapsed="false">
      <c r="A875" s="371"/>
      <c r="B875" s="371"/>
      <c r="C875" s="371"/>
      <c r="D875" s="371"/>
      <c r="E875" s="371"/>
      <c r="F875" s="371"/>
    </row>
    <row r="876" customFormat="false" ht="11.25" hidden="false" customHeight="false" outlineLevel="0" collapsed="false">
      <c r="A876" s="371"/>
      <c r="B876" s="371"/>
      <c r="C876" s="371"/>
      <c r="D876" s="371"/>
      <c r="E876" s="371"/>
      <c r="F876" s="371"/>
    </row>
    <row r="877" customFormat="false" ht="11.25" hidden="false" customHeight="false" outlineLevel="0" collapsed="false">
      <c r="A877" s="371"/>
      <c r="B877" s="371"/>
      <c r="C877" s="371"/>
      <c r="D877" s="371"/>
      <c r="E877" s="371"/>
      <c r="F877" s="371"/>
    </row>
    <row r="878" customFormat="false" ht="11.25" hidden="false" customHeight="false" outlineLevel="0" collapsed="false">
      <c r="A878" s="371"/>
      <c r="B878" s="371"/>
      <c r="C878" s="371"/>
      <c r="D878" s="371"/>
      <c r="E878" s="371"/>
      <c r="F878" s="371"/>
    </row>
    <row r="879" customFormat="false" ht="11.25" hidden="false" customHeight="false" outlineLevel="0" collapsed="false">
      <c r="A879" s="371"/>
      <c r="B879" s="371"/>
      <c r="C879" s="371"/>
      <c r="D879" s="371"/>
      <c r="E879" s="371"/>
      <c r="F879" s="371"/>
    </row>
    <row r="880" customFormat="false" ht="11.25" hidden="false" customHeight="false" outlineLevel="0" collapsed="false">
      <c r="A880" s="371"/>
      <c r="B880" s="371"/>
      <c r="C880" s="371"/>
      <c r="D880" s="371"/>
      <c r="E880" s="371"/>
      <c r="F880" s="371"/>
    </row>
    <row r="881" customFormat="false" ht="11.25" hidden="false" customHeight="false" outlineLevel="0" collapsed="false">
      <c r="A881" s="371"/>
      <c r="B881" s="371"/>
      <c r="C881" s="371"/>
      <c r="D881" s="371"/>
      <c r="E881" s="371"/>
      <c r="F881" s="371"/>
    </row>
    <row r="882" customFormat="false" ht="11.25" hidden="false" customHeight="false" outlineLevel="0" collapsed="false">
      <c r="A882" s="371"/>
      <c r="B882" s="371"/>
      <c r="C882" s="371"/>
      <c r="D882" s="371"/>
      <c r="E882" s="371"/>
      <c r="F882" s="371"/>
    </row>
    <row r="883" customFormat="false" ht="11.25" hidden="false" customHeight="false" outlineLevel="0" collapsed="false">
      <c r="A883" s="371"/>
      <c r="B883" s="371"/>
      <c r="C883" s="371"/>
      <c r="D883" s="371"/>
      <c r="E883" s="371"/>
      <c r="F883" s="371"/>
    </row>
    <row r="884" customFormat="false" ht="11.25" hidden="false" customHeight="false" outlineLevel="0" collapsed="false">
      <c r="A884" s="371"/>
      <c r="B884" s="371"/>
      <c r="C884" s="371"/>
      <c r="D884" s="371"/>
      <c r="E884" s="371"/>
      <c r="F884" s="371"/>
    </row>
    <row r="885" customFormat="false" ht="11.25" hidden="false" customHeight="false" outlineLevel="0" collapsed="false">
      <c r="A885" s="371"/>
      <c r="B885" s="371"/>
      <c r="C885" s="371"/>
      <c r="D885" s="371"/>
      <c r="E885" s="371"/>
      <c r="F885" s="371"/>
    </row>
    <row r="886" customFormat="false" ht="11.25" hidden="false" customHeight="false" outlineLevel="0" collapsed="false">
      <c r="A886" s="371"/>
      <c r="B886" s="371"/>
      <c r="C886" s="371"/>
      <c r="D886" s="371"/>
      <c r="E886" s="371"/>
      <c r="F886" s="371"/>
    </row>
    <row r="887" customFormat="false" ht="11.25" hidden="false" customHeight="false" outlineLevel="0" collapsed="false">
      <c r="A887" s="371"/>
      <c r="B887" s="371"/>
      <c r="C887" s="371"/>
      <c r="D887" s="371"/>
      <c r="E887" s="371"/>
      <c r="F887" s="371"/>
    </row>
    <row r="888" customFormat="false" ht="11.25" hidden="false" customHeight="false" outlineLevel="0" collapsed="false">
      <c r="A888" s="371"/>
      <c r="B888" s="371"/>
      <c r="C888" s="371"/>
      <c r="D888" s="371"/>
      <c r="E888" s="371"/>
      <c r="F888" s="371"/>
    </row>
    <row r="889" customFormat="false" ht="11.25" hidden="false" customHeight="false" outlineLevel="0" collapsed="false">
      <c r="A889" s="371"/>
      <c r="B889" s="371"/>
      <c r="C889" s="371"/>
      <c r="D889" s="371"/>
      <c r="E889" s="371"/>
      <c r="F889" s="371"/>
    </row>
    <row r="890" customFormat="false" ht="11.25" hidden="false" customHeight="false" outlineLevel="0" collapsed="false">
      <c r="A890" s="371"/>
      <c r="B890" s="371"/>
      <c r="C890" s="371"/>
      <c r="D890" s="371"/>
      <c r="E890" s="371"/>
      <c r="F890" s="371"/>
    </row>
    <row r="891" customFormat="false" ht="11.25" hidden="false" customHeight="false" outlineLevel="0" collapsed="false">
      <c r="A891" s="371"/>
      <c r="B891" s="371"/>
      <c r="C891" s="371"/>
      <c r="D891" s="371"/>
      <c r="E891" s="371"/>
      <c r="F891" s="371"/>
    </row>
    <row r="892" customFormat="false" ht="11.25" hidden="false" customHeight="false" outlineLevel="0" collapsed="false">
      <c r="A892" s="371"/>
      <c r="B892" s="371"/>
      <c r="C892" s="371"/>
      <c r="D892" s="371"/>
      <c r="E892" s="371"/>
      <c r="F892" s="371"/>
    </row>
    <row r="893" customFormat="false" ht="11.25" hidden="false" customHeight="false" outlineLevel="0" collapsed="false">
      <c r="A893" s="371"/>
      <c r="B893" s="371"/>
      <c r="C893" s="371"/>
      <c r="D893" s="371"/>
      <c r="E893" s="371"/>
      <c r="F893" s="371"/>
    </row>
    <row r="894" customFormat="false" ht="11.25" hidden="false" customHeight="false" outlineLevel="0" collapsed="false">
      <c r="A894" s="371"/>
      <c r="B894" s="371"/>
      <c r="C894" s="371"/>
      <c r="D894" s="371"/>
      <c r="E894" s="371"/>
      <c r="F894" s="371"/>
    </row>
    <row r="895" customFormat="false" ht="11.25" hidden="false" customHeight="false" outlineLevel="0" collapsed="false">
      <c r="A895" s="371"/>
      <c r="B895" s="371"/>
      <c r="C895" s="371"/>
      <c r="D895" s="371"/>
      <c r="E895" s="371"/>
      <c r="F895" s="371"/>
    </row>
    <row r="896" customFormat="false" ht="11.25" hidden="false" customHeight="false" outlineLevel="0" collapsed="false">
      <c r="A896" s="371"/>
      <c r="B896" s="371"/>
      <c r="C896" s="371"/>
      <c r="D896" s="371"/>
      <c r="E896" s="371"/>
      <c r="F896" s="371"/>
    </row>
    <row r="897" customFormat="false" ht="11.25" hidden="false" customHeight="false" outlineLevel="0" collapsed="false">
      <c r="A897" s="371"/>
      <c r="B897" s="371"/>
      <c r="C897" s="371"/>
      <c r="D897" s="371"/>
      <c r="E897" s="371"/>
      <c r="F897" s="371"/>
    </row>
    <row r="898" customFormat="false" ht="11.25" hidden="false" customHeight="false" outlineLevel="0" collapsed="false">
      <c r="A898" s="371"/>
      <c r="B898" s="371"/>
      <c r="C898" s="371"/>
      <c r="D898" s="371"/>
      <c r="E898" s="371"/>
      <c r="F898" s="371"/>
    </row>
    <row r="899" customFormat="false" ht="11.25" hidden="false" customHeight="false" outlineLevel="0" collapsed="false">
      <c r="A899" s="371"/>
      <c r="B899" s="371"/>
      <c r="C899" s="371"/>
      <c r="D899" s="371"/>
      <c r="E899" s="371"/>
      <c r="F899" s="371"/>
    </row>
    <row r="900" customFormat="false" ht="11.25" hidden="false" customHeight="false" outlineLevel="0" collapsed="false">
      <c r="A900" s="371"/>
      <c r="B900" s="371"/>
      <c r="C900" s="371"/>
      <c r="D900" s="371"/>
      <c r="E900" s="371"/>
      <c r="F900" s="371"/>
    </row>
    <row r="901" customFormat="false" ht="11.25" hidden="false" customHeight="false" outlineLevel="0" collapsed="false">
      <c r="A901" s="371"/>
      <c r="B901" s="371"/>
      <c r="C901" s="371"/>
      <c r="D901" s="371"/>
      <c r="E901" s="371"/>
      <c r="F901" s="371"/>
    </row>
    <row r="902" customFormat="false" ht="11.25" hidden="false" customHeight="false" outlineLevel="0" collapsed="false">
      <c r="A902" s="371"/>
      <c r="B902" s="371"/>
      <c r="C902" s="371"/>
      <c r="D902" s="371"/>
      <c r="E902" s="371"/>
      <c r="F902" s="371"/>
    </row>
    <row r="903" customFormat="false" ht="11.25" hidden="false" customHeight="false" outlineLevel="0" collapsed="false">
      <c r="A903" s="371"/>
      <c r="B903" s="371"/>
      <c r="C903" s="371"/>
      <c r="D903" s="371"/>
      <c r="E903" s="371"/>
      <c r="F903" s="371"/>
    </row>
    <row r="904" customFormat="false" ht="11.25" hidden="false" customHeight="false" outlineLevel="0" collapsed="false">
      <c r="A904" s="371"/>
      <c r="B904" s="371"/>
      <c r="C904" s="371"/>
      <c r="D904" s="371"/>
      <c r="E904" s="371"/>
      <c r="F904" s="371"/>
    </row>
    <row r="905" customFormat="false" ht="11.25" hidden="false" customHeight="false" outlineLevel="0" collapsed="false">
      <c r="A905" s="371"/>
      <c r="B905" s="371"/>
      <c r="C905" s="371"/>
      <c r="D905" s="371"/>
      <c r="E905" s="371"/>
      <c r="F905" s="371"/>
    </row>
    <row r="906" customFormat="false" ht="11.25" hidden="false" customHeight="false" outlineLevel="0" collapsed="false">
      <c r="A906" s="371"/>
      <c r="B906" s="371"/>
      <c r="C906" s="371"/>
      <c r="D906" s="371"/>
      <c r="E906" s="371"/>
      <c r="F906" s="371"/>
    </row>
    <row r="907" customFormat="false" ht="11.25" hidden="false" customHeight="false" outlineLevel="0" collapsed="false">
      <c r="A907" s="371"/>
      <c r="B907" s="371"/>
      <c r="C907" s="371"/>
      <c r="D907" s="371"/>
      <c r="E907" s="371"/>
      <c r="F907" s="371"/>
    </row>
    <row r="908" customFormat="false" ht="11.25" hidden="false" customHeight="false" outlineLevel="0" collapsed="false">
      <c r="A908" s="371"/>
      <c r="B908" s="371"/>
      <c r="C908" s="371"/>
      <c r="D908" s="371"/>
      <c r="E908" s="371"/>
      <c r="F908" s="371"/>
    </row>
    <row r="909" customFormat="false" ht="11.25" hidden="false" customHeight="false" outlineLevel="0" collapsed="false">
      <c r="A909" s="371"/>
      <c r="B909" s="371"/>
      <c r="C909" s="371"/>
      <c r="D909" s="371"/>
      <c r="E909" s="371"/>
      <c r="F909" s="371"/>
    </row>
    <row r="910" customFormat="false" ht="11.25" hidden="false" customHeight="false" outlineLevel="0" collapsed="false">
      <c r="A910" s="371"/>
      <c r="B910" s="371"/>
      <c r="C910" s="371"/>
      <c r="D910" s="371"/>
      <c r="E910" s="371"/>
      <c r="F910" s="371"/>
    </row>
    <row r="911" customFormat="false" ht="11.25" hidden="false" customHeight="false" outlineLevel="0" collapsed="false">
      <c r="A911" s="371"/>
      <c r="B911" s="371"/>
      <c r="C911" s="371"/>
      <c r="D911" s="371"/>
      <c r="E911" s="371"/>
      <c r="F911" s="371"/>
    </row>
    <row r="912" customFormat="false" ht="11.25" hidden="false" customHeight="false" outlineLevel="0" collapsed="false">
      <c r="A912" s="371"/>
      <c r="B912" s="371"/>
      <c r="C912" s="371"/>
      <c r="D912" s="371"/>
      <c r="E912" s="371"/>
      <c r="F912" s="371"/>
    </row>
    <row r="913" customFormat="false" ht="11.25" hidden="false" customHeight="false" outlineLevel="0" collapsed="false">
      <c r="A913" s="371"/>
      <c r="B913" s="371"/>
      <c r="C913" s="371"/>
      <c r="D913" s="371"/>
      <c r="E913" s="371"/>
      <c r="F913" s="371"/>
    </row>
    <row r="914" customFormat="false" ht="11.25" hidden="false" customHeight="false" outlineLevel="0" collapsed="false">
      <c r="A914" s="371"/>
      <c r="B914" s="371"/>
      <c r="C914" s="371"/>
      <c r="D914" s="371"/>
      <c r="E914" s="371"/>
      <c r="F914" s="371"/>
    </row>
    <row r="915" customFormat="false" ht="11.25" hidden="false" customHeight="false" outlineLevel="0" collapsed="false">
      <c r="A915" s="371"/>
      <c r="B915" s="371"/>
      <c r="C915" s="371"/>
      <c r="D915" s="371"/>
      <c r="E915" s="371"/>
      <c r="F915" s="371"/>
    </row>
    <row r="916" customFormat="false" ht="11.25" hidden="false" customHeight="false" outlineLevel="0" collapsed="false">
      <c r="A916" s="371"/>
      <c r="B916" s="371"/>
      <c r="C916" s="371"/>
      <c r="D916" s="371"/>
      <c r="E916" s="371"/>
      <c r="F916" s="371"/>
    </row>
    <row r="917" customFormat="false" ht="11.25" hidden="false" customHeight="false" outlineLevel="0" collapsed="false">
      <c r="A917" s="371"/>
      <c r="B917" s="371"/>
      <c r="C917" s="371"/>
      <c r="D917" s="371"/>
      <c r="E917" s="371"/>
      <c r="F917" s="371"/>
    </row>
    <row r="918" customFormat="false" ht="11.25" hidden="false" customHeight="false" outlineLevel="0" collapsed="false">
      <c r="A918" s="371"/>
      <c r="B918" s="371"/>
      <c r="C918" s="371"/>
      <c r="D918" s="371"/>
      <c r="E918" s="371"/>
      <c r="F918" s="371"/>
    </row>
    <row r="919" customFormat="false" ht="11.25" hidden="false" customHeight="false" outlineLevel="0" collapsed="false">
      <c r="A919" s="371"/>
      <c r="B919" s="371"/>
      <c r="C919" s="371"/>
      <c r="D919" s="371"/>
      <c r="E919" s="371"/>
      <c r="F919" s="371"/>
    </row>
    <row r="920" customFormat="false" ht="11.25" hidden="false" customHeight="false" outlineLevel="0" collapsed="false">
      <c r="A920" s="371"/>
      <c r="B920" s="371"/>
      <c r="C920" s="371"/>
      <c r="D920" s="371"/>
      <c r="E920" s="371"/>
      <c r="F920" s="371"/>
    </row>
    <row r="921" customFormat="false" ht="11.25" hidden="false" customHeight="false" outlineLevel="0" collapsed="false">
      <c r="A921" s="371"/>
      <c r="B921" s="371"/>
      <c r="C921" s="371"/>
      <c r="D921" s="371"/>
      <c r="E921" s="371"/>
      <c r="F921" s="371"/>
    </row>
    <row r="922" customFormat="false" ht="11.25" hidden="false" customHeight="false" outlineLevel="0" collapsed="false">
      <c r="A922" s="371"/>
      <c r="B922" s="371"/>
      <c r="C922" s="371"/>
      <c r="D922" s="371"/>
      <c r="E922" s="371"/>
      <c r="F922" s="371"/>
    </row>
    <row r="923" customFormat="false" ht="11.25" hidden="false" customHeight="false" outlineLevel="0" collapsed="false">
      <c r="A923" s="371"/>
      <c r="B923" s="371"/>
      <c r="C923" s="371"/>
      <c r="D923" s="371"/>
      <c r="E923" s="371"/>
      <c r="F923" s="371"/>
    </row>
    <row r="924" customFormat="false" ht="11.25" hidden="false" customHeight="false" outlineLevel="0" collapsed="false">
      <c r="A924" s="371"/>
      <c r="B924" s="371"/>
      <c r="C924" s="371"/>
      <c r="D924" s="371"/>
      <c r="E924" s="371"/>
      <c r="F924" s="371"/>
    </row>
    <row r="925" customFormat="false" ht="11.25" hidden="false" customHeight="false" outlineLevel="0" collapsed="false">
      <c r="A925" s="371"/>
      <c r="B925" s="371"/>
      <c r="C925" s="371"/>
      <c r="D925" s="371"/>
      <c r="E925" s="371"/>
      <c r="F925" s="371"/>
    </row>
    <row r="926" customFormat="false" ht="11.25" hidden="false" customHeight="false" outlineLevel="0" collapsed="false">
      <c r="A926" s="371"/>
      <c r="B926" s="371"/>
      <c r="C926" s="371"/>
      <c r="D926" s="371"/>
      <c r="E926" s="371"/>
      <c r="F926" s="371"/>
    </row>
    <row r="927" customFormat="false" ht="11.25" hidden="false" customHeight="false" outlineLevel="0" collapsed="false">
      <c r="A927" s="371"/>
      <c r="B927" s="371"/>
      <c r="C927" s="371"/>
      <c r="D927" s="371"/>
      <c r="E927" s="371"/>
      <c r="F927" s="371"/>
    </row>
    <row r="928" customFormat="false" ht="11.25" hidden="false" customHeight="false" outlineLevel="0" collapsed="false">
      <c r="A928" s="371"/>
      <c r="B928" s="371"/>
      <c r="C928" s="371"/>
      <c r="D928" s="371"/>
      <c r="E928" s="371"/>
      <c r="F928" s="371"/>
    </row>
    <row r="929" customFormat="false" ht="11.25" hidden="false" customHeight="false" outlineLevel="0" collapsed="false">
      <c r="A929" s="371"/>
      <c r="B929" s="371"/>
      <c r="C929" s="371"/>
      <c r="D929" s="371"/>
      <c r="E929" s="371"/>
      <c r="F929" s="371"/>
    </row>
    <row r="930" customFormat="false" ht="11.25" hidden="false" customHeight="false" outlineLevel="0" collapsed="false">
      <c r="A930" s="371"/>
      <c r="B930" s="371"/>
      <c r="C930" s="371"/>
      <c r="D930" s="371"/>
      <c r="E930" s="371"/>
      <c r="F930" s="371"/>
    </row>
    <row r="931" customFormat="false" ht="11.25" hidden="false" customHeight="false" outlineLevel="0" collapsed="false">
      <c r="A931" s="371"/>
      <c r="B931" s="371"/>
      <c r="C931" s="371"/>
      <c r="D931" s="371"/>
      <c r="E931" s="371"/>
      <c r="F931" s="371"/>
    </row>
    <row r="932" customFormat="false" ht="11.25" hidden="false" customHeight="false" outlineLevel="0" collapsed="false">
      <c r="A932" s="371"/>
      <c r="B932" s="371"/>
      <c r="C932" s="371"/>
      <c r="D932" s="371"/>
      <c r="E932" s="371"/>
      <c r="F932" s="371"/>
    </row>
    <row r="933" customFormat="false" ht="11.25" hidden="false" customHeight="false" outlineLevel="0" collapsed="false">
      <c r="A933" s="371"/>
      <c r="B933" s="371"/>
      <c r="C933" s="371"/>
      <c r="D933" s="371"/>
      <c r="E933" s="371"/>
      <c r="F933" s="371"/>
    </row>
    <row r="934" customFormat="false" ht="11.25" hidden="false" customHeight="false" outlineLevel="0" collapsed="false">
      <c r="A934" s="371"/>
      <c r="B934" s="371"/>
      <c r="C934" s="371"/>
      <c r="D934" s="371"/>
      <c r="E934" s="371"/>
      <c r="F934" s="371"/>
    </row>
    <row r="935" customFormat="false" ht="11.25" hidden="false" customHeight="false" outlineLevel="0" collapsed="false">
      <c r="A935" s="371"/>
      <c r="B935" s="371"/>
      <c r="C935" s="371"/>
      <c r="D935" s="371"/>
      <c r="E935" s="371"/>
      <c r="F935" s="371"/>
    </row>
    <row r="936" customFormat="false" ht="11.25" hidden="false" customHeight="false" outlineLevel="0" collapsed="false">
      <c r="A936" s="371"/>
      <c r="B936" s="371"/>
      <c r="C936" s="371"/>
      <c r="D936" s="371"/>
      <c r="E936" s="371"/>
      <c r="F936" s="371"/>
    </row>
    <row r="937" customFormat="false" ht="11.25" hidden="false" customHeight="false" outlineLevel="0" collapsed="false">
      <c r="A937" s="371"/>
      <c r="B937" s="371"/>
      <c r="C937" s="371"/>
      <c r="D937" s="371"/>
      <c r="E937" s="371"/>
      <c r="F937" s="371"/>
    </row>
    <row r="938" customFormat="false" ht="11.25" hidden="false" customHeight="false" outlineLevel="0" collapsed="false">
      <c r="A938" s="371"/>
      <c r="B938" s="371"/>
      <c r="C938" s="371"/>
      <c r="D938" s="371"/>
      <c r="E938" s="371"/>
      <c r="F938" s="371"/>
    </row>
    <row r="939" customFormat="false" ht="11.25" hidden="false" customHeight="false" outlineLevel="0" collapsed="false">
      <c r="A939" s="371"/>
      <c r="B939" s="371"/>
      <c r="C939" s="371"/>
      <c r="D939" s="371"/>
      <c r="E939" s="371"/>
      <c r="F939" s="371"/>
    </row>
    <row r="940" customFormat="false" ht="11.25" hidden="false" customHeight="false" outlineLevel="0" collapsed="false">
      <c r="A940" s="371"/>
      <c r="B940" s="371"/>
      <c r="C940" s="371"/>
      <c r="D940" s="371"/>
      <c r="E940" s="371"/>
      <c r="F940" s="371"/>
    </row>
    <row r="941" customFormat="false" ht="11.25" hidden="false" customHeight="false" outlineLevel="0" collapsed="false">
      <c r="A941" s="371"/>
      <c r="B941" s="371"/>
      <c r="C941" s="371"/>
      <c r="D941" s="371"/>
      <c r="E941" s="371"/>
      <c r="F941" s="371"/>
    </row>
    <row r="942" customFormat="false" ht="11.25" hidden="false" customHeight="false" outlineLevel="0" collapsed="false">
      <c r="A942" s="371"/>
      <c r="B942" s="371"/>
      <c r="C942" s="371"/>
      <c r="D942" s="371"/>
      <c r="E942" s="371"/>
      <c r="F942" s="371"/>
    </row>
    <row r="943" customFormat="false" ht="11.25" hidden="false" customHeight="false" outlineLevel="0" collapsed="false">
      <c r="A943" s="371"/>
      <c r="B943" s="371"/>
      <c r="C943" s="371"/>
      <c r="D943" s="371"/>
      <c r="E943" s="371"/>
      <c r="F943" s="371"/>
    </row>
    <row r="944" customFormat="false" ht="11.25" hidden="false" customHeight="false" outlineLevel="0" collapsed="false">
      <c r="A944" s="371"/>
      <c r="B944" s="371"/>
      <c r="C944" s="371"/>
      <c r="D944" s="371"/>
      <c r="E944" s="371"/>
      <c r="F944" s="371"/>
    </row>
    <row r="945" customFormat="false" ht="11.25" hidden="false" customHeight="false" outlineLevel="0" collapsed="false">
      <c r="A945" s="371"/>
      <c r="B945" s="371"/>
      <c r="C945" s="371"/>
      <c r="D945" s="371"/>
      <c r="E945" s="371"/>
      <c r="F945" s="371"/>
    </row>
    <row r="946" customFormat="false" ht="11.25" hidden="false" customHeight="false" outlineLevel="0" collapsed="false">
      <c r="A946" s="371"/>
      <c r="B946" s="371"/>
      <c r="C946" s="371"/>
      <c r="D946" s="371"/>
      <c r="E946" s="371"/>
      <c r="F946" s="371"/>
    </row>
    <row r="947" customFormat="false" ht="11.25" hidden="false" customHeight="false" outlineLevel="0" collapsed="false">
      <c r="A947" s="371"/>
      <c r="B947" s="371"/>
      <c r="C947" s="371"/>
      <c r="D947" s="371"/>
      <c r="E947" s="371"/>
      <c r="F947" s="371"/>
    </row>
    <row r="948" customFormat="false" ht="11.25" hidden="false" customHeight="false" outlineLevel="0" collapsed="false">
      <c r="A948" s="371"/>
      <c r="B948" s="371"/>
      <c r="C948" s="371"/>
      <c r="D948" s="371"/>
      <c r="E948" s="371"/>
      <c r="F948" s="371"/>
    </row>
    <row r="949" customFormat="false" ht="11.25" hidden="false" customHeight="false" outlineLevel="0" collapsed="false">
      <c r="A949" s="371"/>
      <c r="B949" s="371"/>
      <c r="C949" s="371"/>
      <c r="D949" s="371"/>
      <c r="E949" s="371"/>
      <c r="F949" s="371"/>
    </row>
    <row r="950" customFormat="false" ht="11.25" hidden="false" customHeight="false" outlineLevel="0" collapsed="false">
      <c r="A950" s="371"/>
      <c r="B950" s="371"/>
      <c r="C950" s="371"/>
      <c r="D950" s="371"/>
      <c r="E950" s="371"/>
      <c r="F950" s="371"/>
    </row>
    <row r="951" customFormat="false" ht="11.25" hidden="false" customHeight="false" outlineLevel="0" collapsed="false">
      <c r="A951" s="371"/>
      <c r="B951" s="371"/>
      <c r="C951" s="371"/>
      <c r="D951" s="371"/>
      <c r="E951" s="371"/>
      <c r="F951" s="371"/>
    </row>
    <row r="952" customFormat="false" ht="11.25" hidden="false" customHeight="false" outlineLevel="0" collapsed="false">
      <c r="A952" s="371"/>
      <c r="B952" s="371"/>
      <c r="C952" s="371"/>
      <c r="D952" s="371"/>
      <c r="E952" s="371"/>
      <c r="F952" s="371"/>
    </row>
    <row r="953" customFormat="false" ht="11.25" hidden="false" customHeight="false" outlineLevel="0" collapsed="false">
      <c r="A953" s="371"/>
      <c r="B953" s="371"/>
      <c r="C953" s="371"/>
      <c r="D953" s="371"/>
      <c r="E953" s="371"/>
      <c r="F953" s="371"/>
    </row>
    <row r="954" customFormat="false" ht="11.25" hidden="false" customHeight="false" outlineLevel="0" collapsed="false">
      <c r="A954" s="371"/>
      <c r="B954" s="371"/>
      <c r="C954" s="371"/>
      <c r="D954" s="371"/>
      <c r="E954" s="371"/>
      <c r="F954" s="371"/>
    </row>
    <row r="955" customFormat="false" ht="11.25" hidden="false" customHeight="false" outlineLevel="0" collapsed="false">
      <c r="A955" s="371"/>
      <c r="B955" s="371"/>
      <c r="C955" s="371"/>
      <c r="D955" s="371"/>
      <c r="E955" s="371"/>
      <c r="F955" s="371"/>
    </row>
    <row r="956" customFormat="false" ht="11.25" hidden="false" customHeight="false" outlineLevel="0" collapsed="false">
      <c r="A956" s="371"/>
      <c r="B956" s="371"/>
      <c r="C956" s="371"/>
      <c r="D956" s="371"/>
      <c r="E956" s="371"/>
      <c r="F956" s="371"/>
    </row>
    <row r="957" customFormat="false" ht="11.25" hidden="false" customHeight="false" outlineLevel="0" collapsed="false">
      <c r="A957" s="371"/>
      <c r="B957" s="371"/>
      <c r="C957" s="371"/>
      <c r="D957" s="371"/>
      <c r="E957" s="371"/>
      <c r="F957" s="371"/>
    </row>
    <row r="958" customFormat="false" ht="11.25" hidden="false" customHeight="false" outlineLevel="0" collapsed="false">
      <c r="A958" s="371"/>
      <c r="B958" s="371"/>
      <c r="C958" s="371"/>
      <c r="D958" s="371"/>
      <c r="E958" s="371"/>
      <c r="F958" s="371"/>
    </row>
    <row r="959" customFormat="false" ht="11.25" hidden="false" customHeight="false" outlineLevel="0" collapsed="false">
      <c r="A959" s="371"/>
      <c r="B959" s="371"/>
      <c r="C959" s="371"/>
      <c r="D959" s="371"/>
      <c r="E959" s="371"/>
      <c r="F959" s="371"/>
    </row>
    <row r="960" customFormat="false" ht="11.25" hidden="false" customHeight="false" outlineLevel="0" collapsed="false">
      <c r="A960" s="371"/>
      <c r="B960" s="371"/>
      <c r="C960" s="371"/>
      <c r="D960" s="371"/>
      <c r="E960" s="371"/>
      <c r="F960" s="371"/>
    </row>
    <row r="961" customFormat="false" ht="11.25" hidden="false" customHeight="false" outlineLevel="0" collapsed="false">
      <c r="A961" s="371"/>
      <c r="B961" s="371"/>
      <c r="C961" s="371"/>
      <c r="D961" s="371"/>
      <c r="E961" s="371"/>
      <c r="F961" s="371"/>
    </row>
    <row r="962" customFormat="false" ht="11.25" hidden="false" customHeight="false" outlineLevel="0" collapsed="false">
      <c r="A962" s="371"/>
      <c r="B962" s="371"/>
      <c r="C962" s="371"/>
      <c r="D962" s="371"/>
      <c r="E962" s="371"/>
      <c r="F962" s="371"/>
    </row>
    <row r="963" customFormat="false" ht="11.25" hidden="false" customHeight="false" outlineLevel="0" collapsed="false">
      <c r="A963" s="371"/>
      <c r="B963" s="371"/>
      <c r="C963" s="371"/>
      <c r="D963" s="371"/>
      <c r="E963" s="371"/>
      <c r="F963" s="371"/>
    </row>
    <row r="964" customFormat="false" ht="11.25" hidden="false" customHeight="false" outlineLevel="0" collapsed="false">
      <c r="A964" s="371"/>
      <c r="B964" s="371"/>
      <c r="C964" s="371"/>
      <c r="D964" s="371"/>
      <c r="E964" s="371"/>
      <c r="F964" s="371"/>
    </row>
    <row r="965" customFormat="false" ht="11.25" hidden="false" customHeight="false" outlineLevel="0" collapsed="false">
      <c r="A965" s="371"/>
      <c r="B965" s="371"/>
      <c r="C965" s="371"/>
      <c r="D965" s="371"/>
      <c r="E965" s="371"/>
      <c r="F965" s="371"/>
    </row>
    <row r="966" customFormat="false" ht="11.25" hidden="false" customHeight="false" outlineLevel="0" collapsed="false">
      <c r="A966" s="371"/>
      <c r="B966" s="371"/>
      <c r="C966" s="371"/>
      <c r="D966" s="371"/>
      <c r="E966" s="371"/>
      <c r="F966" s="371"/>
    </row>
    <row r="967" customFormat="false" ht="11.25" hidden="false" customHeight="false" outlineLevel="0" collapsed="false">
      <c r="A967" s="371"/>
      <c r="B967" s="371"/>
      <c r="C967" s="371"/>
      <c r="D967" s="371"/>
      <c r="E967" s="371"/>
      <c r="F967" s="371"/>
    </row>
    <row r="968" customFormat="false" ht="11.25" hidden="false" customHeight="false" outlineLevel="0" collapsed="false">
      <c r="A968" s="371"/>
      <c r="B968" s="371"/>
      <c r="C968" s="371"/>
      <c r="D968" s="371"/>
      <c r="E968" s="371"/>
      <c r="F968" s="371"/>
    </row>
    <row r="969" customFormat="false" ht="11.25" hidden="false" customHeight="false" outlineLevel="0" collapsed="false">
      <c r="A969" s="371"/>
      <c r="B969" s="371"/>
      <c r="C969" s="371"/>
      <c r="D969" s="371"/>
      <c r="E969" s="371"/>
      <c r="F969" s="371"/>
    </row>
    <row r="970" customFormat="false" ht="11.25" hidden="false" customHeight="false" outlineLevel="0" collapsed="false">
      <c r="A970" s="371"/>
      <c r="B970" s="371"/>
      <c r="C970" s="371"/>
      <c r="D970" s="371"/>
      <c r="E970" s="371"/>
      <c r="F970" s="371"/>
    </row>
    <row r="971" customFormat="false" ht="11.25" hidden="false" customHeight="false" outlineLevel="0" collapsed="false">
      <c r="A971" s="371"/>
      <c r="B971" s="371"/>
      <c r="C971" s="371"/>
      <c r="D971" s="371"/>
      <c r="E971" s="371"/>
      <c r="F971" s="371"/>
    </row>
    <row r="972" customFormat="false" ht="11.25" hidden="false" customHeight="false" outlineLevel="0" collapsed="false">
      <c r="A972" s="371"/>
      <c r="B972" s="371"/>
      <c r="C972" s="371"/>
      <c r="D972" s="371"/>
      <c r="E972" s="371"/>
      <c r="F972" s="371"/>
    </row>
    <row r="973" customFormat="false" ht="11.25" hidden="false" customHeight="false" outlineLevel="0" collapsed="false">
      <c r="A973" s="371"/>
      <c r="B973" s="371"/>
      <c r="C973" s="371"/>
      <c r="D973" s="371"/>
      <c r="E973" s="371"/>
      <c r="F973" s="371"/>
    </row>
    <row r="974" customFormat="false" ht="11.25" hidden="false" customHeight="false" outlineLevel="0" collapsed="false">
      <c r="A974" s="371"/>
      <c r="B974" s="371"/>
      <c r="C974" s="371"/>
      <c r="D974" s="371"/>
      <c r="E974" s="371"/>
      <c r="F974" s="371"/>
    </row>
    <row r="975" customFormat="false" ht="11.25" hidden="false" customHeight="false" outlineLevel="0" collapsed="false">
      <c r="A975" s="371"/>
      <c r="B975" s="371"/>
      <c r="C975" s="371"/>
      <c r="D975" s="371"/>
      <c r="E975" s="371"/>
      <c r="F975" s="371"/>
    </row>
    <row r="976" customFormat="false" ht="11.25" hidden="false" customHeight="false" outlineLevel="0" collapsed="false">
      <c r="A976" s="371"/>
      <c r="B976" s="371"/>
      <c r="C976" s="371"/>
      <c r="D976" s="371"/>
      <c r="E976" s="371"/>
      <c r="F976" s="371"/>
    </row>
    <row r="977" customFormat="false" ht="11.25" hidden="false" customHeight="false" outlineLevel="0" collapsed="false">
      <c r="A977" s="371"/>
      <c r="B977" s="371"/>
      <c r="C977" s="371"/>
      <c r="D977" s="371"/>
      <c r="E977" s="371"/>
      <c r="F977" s="371"/>
    </row>
    <row r="978" customFormat="false" ht="11.25" hidden="false" customHeight="false" outlineLevel="0" collapsed="false">
      <c r="A978" s="371"/>
      <c r="B978" s="371"/>
      <c r="C978" s="371"/>
      <c r="D978" s="371"/>
      <c r="E978" s="371"/>
      <c r="F978" s="371"/>
    </row>
    <row r="979" customFormat="false" ht="11.25" hidden="false" customHeight="false" outlineLevel="0" collapsed="false">
      <c r="A979" s="371"/>
      <c r="B979" s="371"/>
      <c r="C979" s="371"/>
      <c r="D979" s="371"/>
      <c r="E979" s="371"/>
      <c r="F979" s="371"/>
    </row>
    <row r="980" customFormat="false" ht="11.25" hidden="false" customHeight="false" outlineLevel="0" collapsed="false">
      <c r="A980" s="371"/>
      <c r="B980" s="371"/>
      <c r="C980" s="371"/>
      <c r="D980" s="371"/>
      <c r="E980" s="371"/>
      <c r="F980" s="371"/>
    </row>
    <row r="981" customFormat="false" ht="11.25" hidden="false" customHeight="false" outlineLevel="0" collapsed="false">
      <c r="A981" s="371"/>
      <c r="B981" s="371"/>
      <c r="C981" s="371"/>
      <c r="D981" s="371"/>
      <c r="E981" s="371"/>
      <c r="F981" s="371"/>
    </row>
    <row r="982" customFormat="false" ht="11.25" hidden="false" customHeight="false" outlineLevel="0" collapsed="false">
      <c r="A982" s="371"/>
      <c r="B982" s="371"/>
      <c r="C982" s="371"/>
      <c r="D982" s="371"/>
      <c r="E982" s="371"/>
      <c r="F982" s="371"/>
    </row>
    <row r="983" customFormat="false" ht="11.25" hidden="false" customHeight="false" outlineLevel="0" collapsed="false">
      <c r="A983" s="371"/>
      <c r="B983" s="371"/>
      <c r="C983" s="371"/>
      <c r="D983" s="371"/>
      <c r="E983" s="371"/>
      <c r="F983" s="371"/>
    </row>
    <row r="984" customFormat="false" ht="11.25" hidden="false" customHeight="false" outlineLevel="0" collapsed="false">
      <c r="A984" s="371"/>
      <c r="B984" s="371"/>
      <c r="C984" s="371"/>
      <c r="D984" s="371"/>
      <c r="E984" s="371"/>
      <c r="F984" s="371"/>
    </row>
    <row r="985" customFormat="false" ht="11.25" hidden="false" customHeight="false" outlineLevel="0" collapsed="false">
      <c r="A985" s="371"/>
      <c r="B985" s="371"/>
      <c r="C985" s="371"/>
      <c r="D985" s="371"/>
      <c r="E985" s="371"/>
      <c r="F985" s="371"/>
    </row>
    <row r="986" customFormat="false" ht="11.25" hidden="false" customHeight="false" outlineLevel="0" collapsed="false">
      <c r="A986" s="371"/>
      <c r="B986" s="371"/>
      <c r="C986" s="371"/>
      <c r="D986" s="371"/>
      <c r="E986" s="371"/>
      <c r="F986" s="371"/>
    </row>
    <row r="987" customFormat="false" ht="11.25" hidden="false" customHeight="false" outlineLevel="0" collapsed="false">
      <c r="A987" s="371"/>
      <c r="B987" s="371"/>
      <c r="C987" s="371"/>
      <c r="D987" s="371"/>
      <c r="E987" s="371"/>
      <c r="F987" s="371"/>
    </row>
    <row r="988" customFormat="false" ht="11.25" hidden="false" customHeight="false" outlineLevel="0" collapsed="false">
      <c r="A988" s="371"/>
      <c r="B988" s="371"/>
      <c r="C988" s="371"/>
      <c r="D988" s="371"/>
      <c r="E988" s="371"/>
      <c r="F988" s="371"/>
    </row>
    <row r="989" customFormat="false" ht="11.25" hidden="false" customHeight="false" outlineLevel="0" collapsed="false">
      <c r="A989" s="371"/>
      <c r="B989" s="371"/>
      <c r="C989" s="371"/>
      <c r="D989" s="371"/>
      <c r="E989" s="371"/>
      <c r="F989" s="371"/>
    </row>
    <row r="990" customFormat="false" ht="11.25" hidden="false" customHeight="false" outlineLevel="0" collapsed="false">
      <c r="A990" s="371"/>
      <c r="B990" s="371"/>
      <c r="C990" s="371"/>
      <c r="D990" s="371"/>
      <c r="E990" s="371"/>
      <c r="F990" s="371"/>
    </row>
    <row r="991" customFormat="false" ht="11.25" hidden="false" customHeight="false" outlineLevel="0" collapsed="false">
      <c r="A991" s="371"/>
      <c r="B991" s="371"/>
      <c r="C991" s="371"/>
      <c r="D991" s="371"/>
      <c r="E991" s="371"/>
      <c r="F991" s="371"/>
    </row>
    <row r="992" customFormat="false" ht="11.25" hidden="false" customHeight="false" outlineLevel="0" collapsed="false">
      <c r="A992" s="371"/>
      <c r="B992" s="371"/>
      <c r="C992" s="371"/>
      <c r="D992" s="371"/>
      <c r="E992" s="371"/>
      <c r="F992" s="371"/>
    </row>
    <row r="993" customFormat="false" ht="11.25" hidden="false" customHeight="false" outlineLevel="0" collapsed="false">
      <c r="A993" s="371"/>
      <c r="B993" s="371"/>
      <c r="C993" s="371"/>
      <c r="D993" s="371"/>
      <c r="E993" s="371"/>
      <c r="F993" s="371"/>
    </row>
    <row r="994" customFormat="false" ht="11.25" hidden="false" customHeight="false" outlineLevel="0" collapsed="false">
      <c r="A994" s="371"/>
      <c r="B994" s="371"/>
      <c r="C994" s="371"/>
      <c r="D994" s="371"/>
      <c r="E994" s="371"/>
      <c r="F994" s="371"/>
    </row>
    <row r="995" customFormat="false" ht="11.25" hidden="false" customHeight="false" outlineLevel="0" collapsed="false">
      <c r="A995" s="371"/>
      <c r="B995" s="371"/>
      <c r="C995" s="371"/>
      <c r="D995" s="371"/>
      <c r="E995" s="371"/>
      <c r="F995" s="371"/>
    </row>
    <row r="996" customFormat="false" ht="11.25" hidden="false" customHeight="false" outlineLevel="0" collapsed="false">
      <c r="A996" s="371"/>
      <c r="B996" s="371"/>
      <c r="C996" s="371"/>
      <c r="D996" s="371"/>
      <c r="E996" s="371"/>
      <c r="F996" s="371"/>
    </row>
    <row r="997" customFormat="false" ht="11.25" hidden="false" customHeight="false" outlineLevel="0" collapsed="false">
      <c r="A997" s="371"/>
      <c r="B997" s="371"/>
      <c r="C997" s="371"/>
      <c r="D997" s="371"/>
      <c r="E997" s="371"/>
      <c r="F997" s="371"/>
    </row>
    <row r="998" customFormat="false" ht="11.25" hidden="false" customHeight="false" outlineLevel="0" collapsed="false">
      <c r="A998" s="371"/>
      <c r="B998" s="371"/>
      <c r="C998" s="371"/>
      <c r="D998" s="371"/>
      <c r="E998" s="371"/>
      <c r="F998" s="371"/>
    </row>
    <row r="999" customFormat="false" ht="11.25" hidden="false" customHeight="false" outlineLevel="0" collapsed="false">
      <c r="A999" s="371"/>
      <c r="B999" s="371"/>
      <c r="C999" s="371"/>
      <c r="D999" s="371"/>
      <c r="E999" s="371"/>
      <c r="F999" s="371"/>
    </row>
    <row r="1000" customFormat="false" ht="11.25" hidden="false" customHeight="false" outlineLevel="0" collapsed="false">
      <c r="A1000" s="371"/>
      <c r="B1000" s="371"/>
      <c r="C1000" s="371"/>
      <c r="D1000" s="371"/>
      <c r="E1000" s="371"/>
      <c r="F1000" s="371"/>
    </row>
    <row r="1001" customFormat="false" ht="11.25" hidden="false" customHeight="false" outlineLevel="0" collapsed="false">
      <c r="A1001" s="371"/>
      <c r="B1001" s="371"/>
      <c r="C1001" s="371"/>
      <c r="D1001" s="371"/>
      <c r="E1001" s="371"/>
      <c r="F1001" s="371"/>
    </row>
    <row r="1002" customFormat="false" ht="11.25" hidden="false" customHeight="false" outlineLevel="0" collapsed="false">
      <c r="A1002" s="371"/>
      <c r="B1002" s="371"/>
      <c r="C1002" s="371"/>
      <c r="D1002" s="371"/>
      <c r="E1002" s="371"/>
      <c r="F1002" s="371"/>
    </row>
    <row r="1003" customFormat="false" ht="11.25" hidden="false" customHeight="false" outlineLevel="0" collapsed="false">
      <c r="A1003" s="371"/>
      <c r="B1003" s="371"/>
      <c r="C1003" s="371"/>
      <c r="D1003" s="371"/>
      <c r="E1003" s="371"/>
      <c r="F1003" s="371"/>
    </row>
    <row r="1004" customFormat="false" ht="11.25" hidden="false" customHeight="false" outlineLevel="0" collapsed="false">
      <c r="A1004" s="371"/>
      <c r="B1004" s="371"/>
      <c r="C1004" s="371"/>
      <c r="D1004" s="371"/>
      <c r="E1004" s="371"/>
      <c r="F1004" s="371"/>
    </row>
    <row r="1005" customFormat="false" ht="11.25" hidden="false" customHeight="false" outlineLevel="0" collapsed="false">
      <c r="A1005" s="371"/>
      <c r="B1005" s="371"/>
      <c r="C1005" s="371"/>
      <c r="D1005" s="371"/>
      <c r="E1005" s="371"/>
      <c r="F1005" s="371"/>
    </row>
    <row r="1006" customFormat="false" ht="11.25" hidden="false" customHeight="false" outlineLevel="0" collapsed="false">
      <c r="A1006" s="371"/>
      <c r="B1006" s="371"/>
      <c r="C1006" s="371"/>
      <c r="D1006" s="371"/>
      <c r="E1006" s="371"/>
      <c r="F1006" s="371"/>
    </row>
    <row r="1007" customFormat="false" ht="11.25" hidden="false" customHeight="false" outlineLevel="0" collapsed="false">
      <c r="A1007" s="371"/>
      <c r="B1007" s="371"/>
      <c r="C1007" s="371"/>
      <c r="D1007" s="371"/>
      <c r="E1007" s="371"/>
      <c r="F1007" s="371"/>
    </row>
    <row r="1008" customFormat="false" ht="11.25" hidden="false" customHeight="false" outlineLevel="0" collapsed="false">
      <c r="A1008" s="371"/>
      <c r="B1008" s="371"/>
      <c r="C1008" s="371"/>
      <c r="D1008" s="371"/>
      <c r="E1008" s="371"/>
      <c r="F1008" s="371"/>
    </row>
    <row r="1009" customFormat="false" ht="11.25" hidden="false" customHeight="false" outlineLevel="0" collapsed="false">
      <c r="A1009" s="371"/>
      <c r="B1009" s="371"/>
      <c r="C1009" s="371"/>
      <c r="D1009" s="371"/>
      <c r="E1009" s="371"/>
      <c r="F1009" s="371"/>
    </row>
    <row r="1010" customFormat="false" ht="11.25" hidden="false" customHeight="false" outlineLevel="0" collapsed="false">
      <c r="A1010" s="371"/>
      <c r="B1010" s="371"/>
      <c r="C1010" s="371"/>
      <c r="D1010" s="371"/>
      <c r="E1010" s="371"/>
      <c r="F1010" s="371"/>
    </row>
    <row r="1011" customFormat="false" ht="11.25" hidden="false" customHeight="false" outlineLevel="0" collapsed="false">
      <c r="A1011" s="371"/>
      <c r="B1011" s="371"/>
      <c r="C1011" s="371"/>
      <c r="D1011" s="371"/>
      <c r="E1011" s="371"/>
      <c r="F1011" s="371"/>
    </row>
    <row r="1012" customFormat="false" ht="11.25" hidden="false" customHeight="false" outlineLevel="0" collapsed="false">
      <c r="A1012" s="371"/>
      <c r="B1012" s="371"/>
      <c r="C1012" s="371"/>
      <c r="D1012" s="371"/>
      <c r="E1012" s="371"/>
      <c r="F1012" s="371"/>
    </row>
    <row r="1013" customFormat="false" ht="11.25" hidden="false" customHeight="false" outlineLevel="0" collapsed="false">
      <c r="A1013" s="371"/>
      <c r="B1013" s="371"/>
      <c r="C1013" s="371"/>
      <c r="D1013" s="371"/>
      <c r="E1013" s="371"/>
      <c r="F1013" s="371"/>
    </row>
    <row r="1014" customFormat="false" ht="11.25" hidden="false" customHeight="false" outlineLevel="0" collapsed="false">
      <c r="A1014" s="371"/>
      <c r="B1014" s="371"/>
      <c r="C1014" s="371"/>
      <c r="D1014" s="371"/>
      <c r="E1014" s="371"/>
      <c r="F1014" s="371"/>
    </row>
    <row r="1015" customFormat="false" ht="11.25" hidden="false" customHeight="false" outlineLevel="0" collapsed="false">
      <c r="A1015" s="371"/>
      <c r="B1015" s="371"/>
      <c r="C1015" s="371"/>
      <c r="D1015" s="371"/>
      <c r="E1015" s="371"/>
      <c r="F1015" s="371"/>
    </row>
    <row r="1016" customFormat="false" ht="11.25" hidden="false" customHeight="false" outlineLevel="0" collapsed="false">
      <c r="A1016" s="371"/>
      <c r="B1016" s="371"/>
      <c r="C1016" s="371"/>
      <c r="D1016" s="371"/>
      <c r="E1016" s="371"/>
      <c r="F1016" s="371"/>
    </row>
    <row r="1017" customFormat="false" ht="11.25" hidden="false" customHeight="false" outlineLevel="0" collapsed="false">
      <c r="A1017" s="371"/>
      <c r="B1017" s="371"/>
      <c r="C1017" s="371"/>
      <c r="D1017" s="371"/>
      <c r="E1017" s="371"/>
      <c r="F1017" s="371"/>
    </row>
    <row r="1018" customFormat="false" ht="11.25" hidden="false" customHeight="false" outlineLevel="0" collapsed="false">
      <c r="A1018" s="371"/>
      <c r="B1018" s="371"/>
      <c r="C1018" s="371"/>
      <c r="D1018" s="371"/>
      <c r="E1018" s="371"/>
      <c r="F1018" s="371"/>
    </row>
    <row r="1019" customFormat="false" ht="11.25" hidden="false" customHeight="false" outlineLevel="0" collapsed="false">
      <c r="A1019" s="371"/>
      <c r="B1019" s="371"/>
      <c r="C1019" s="371"/>
      <c r="D1019" s="371"/>
      <c r="E1019" s="371"/>
      <c r="F1019" s="371"/>
    </row>
    <row r="1020" customFormat="false" ht="11.25" hidden="false" customHeight="false" outlineLevel="0" collapsed="false">
      <c r="A1020" s="371"/>
      <c r="B1020" s="371"/>
      <c r="C1020" s="371"/>
      <c r="D1020" s="371"/>
      <c r="E1020" s="371"/>
      <c r="F1020" s="371"/>
    </row>
    <row r="1021" customFormat="false" ht="11.25" hidden="false" customHeight="false" outlineLevel="0" collapsed="false">
      <c r="A1021" s="371"/>
      <c r="B1021" s="371"/>
      <c r="C1021" s="371"/>
      <c r="D1021" s="371"/>
      <c r="E1021" s="371"/>
      <c r="F1021" s="371"/>
    </row>
    <row r="1022" customFormat="false" ht="11.25" hidden="false" customHeight="false" outlineLevel="0" collapsed="false">
      <c r="A1022" s="371"/>
      <c r="B1022" s="371"/>
      <c r="C1022" s="371"/>
      <c r="D1022" s="371"/>
      <c r="E1022" s="371"/>
      <c r="F1022" s="371"/>
    </row>
    <row r="1023" customFormat="false" ht="11.25" hidden="false" customHeight="false" outlineLevel="0" collapsed="false">
      <c r="A1023" s="371"/>
      <c r="B1023" s="371"/>
      <c r="C1023" s="371"/>
      <c r="D1023" s="371"/>
      <c r="E1023" s="371"/>
      <c r="F1023" s="371"/>
    </row>
    <row r="1024" customFormat="false" ht="11.25" hidden="false" customHeight="false" outlineLevel="0" collapsed="false">
      <c r="A1024" s="371"/>
      <c r="B1024" s="371"/>
      <c r="C1024" s="371"/>
      <c r="D1024" s="371"/>
      <c r="E1024" s="371"/>
      <c r="F1024" s="371"/>
    </row>
    <row r="1025" customFormat="false" ht="11.25" hidden="false" customHeight="false" outlineLevel="0" collapsed="false">
      <c r="A1025" s="371"/>
      <c r="B1025" s="371"/>
      <c r="C1025" s="371"/>
      <c r="D1025" s="371"/>
      <c r="E1025" s="371"/>
      <c r="F1025" s="371"/>
    </row>
    <row r="1026" customFormat="false" ht="11.25" hidden="false" customHeight="false" outlineLevel="0" collapsed="false">
      <c r="A1026" s="371"/>
      <c r="B1026" s="371"/>
      <c r="C1026" s="371"/>
      <c r="D1026" s="371"/>
      <c r="E1026" s="371"/>
      <c r="F1026" s="371"/>
    </row>
    <row r="1027" customFormat="false" ht="11.25" hidden="false" customHeight="false" outlineLevel="0" collapsed="false">
      <c r="A1027" s="371"/>
      <c r="B1027" s="371"/>
      <c r="C1027" s="371"/>
      <c r="D1027" s="371"/>
      <c r="E1027" s="371"/>
      <c r="F1027" s="371"/>
    </row>
    <row r="1028" customFormat="false" ht="11.25" hidden="false" customHeight="false" outlineLevel="0" collapsed="false">
      <c r="A1028" s="371"/>
      <c r="B1028" s="371"/>
      <c r="C1028" s="371"/>
      <c r="D1028" s="371"/>
      <c r="E1028" s="371"/>
      <c r="F1028" s="371"/>
    </row>
    <row r="1029" customFormat="false" ht="11.25" hidden="false" customHeight="false" outlineLevel="0" collapsed="false">
      <c r="A1029" s="371"/>
      <c r="B1029" s="371"/>
      <c r="C1029" s="371"/>
      <c r="D1029" s="371"/>
      <c r="E1029" s="371"/>
      <c r="F1029" s="371"/>
    </row>
    <row r="1030" customFormat="false" ht="11.25" hidden="false" customHeight="false" outlineLevel="0" collapsed="false">
      <c r="A1030" s="371"/>
      <c r="B1030" s="371"/>
      <c r="C1030" s="371"/>
      <c r="D1030" s="371"/>
      <c r="E1030" s="371"/>
      <c r="F1030" s="371"/>
    </row>
    <row r="1031" customFormat="false" ht="11.25" hidden="false" customHeight="false" outlineLevel="0" collapsed="false">
      <c r="A1031" s="371"/>
      <c r="B1031" s="371"/>
      <c r="C1031" s="371"/>
      <c r="D1031" s="371"/>
      <c r="E1031" s="371"/>
      <c r="F1031" s="371"/>
    </row>
    <row r="1032" customFormat="false" ht="11.25" hidden="false" customHeight="false" outlineLevel="0" collapsed="false">
      <c r="A1032" s="371"/>
      <c r="B1032" s="371"/>
      <c r="C1032" s="371"/>
      <c r="D1032" s="371"/>
      <c r="E1032" s="371"/>
      <c r="F1032" s="371"/>
    </row>
    <row r="1033" customFormat="false" ht="11.25" hidden="false" customHeight="false" outlineLevel="0" collapsed="false">
      <c r="A1033" s="371"/>
      <c r="B1033" s="371"/>
      <c r="C1033" s="371"/>
      <c r="D1033" s="371"/>
      <c r="E1033" s="371"/>
      <c r="F1033" s="371"/>
    </row>
    <row r="1034" customFormat="false" ht="11.25" hidden="false" customHeight="false" outlineLevel="0" collapsed="false">
      <c r="A1034" s="371"/>
      <c r="B1034" s="371"/>
      <c r="C1034" s="371"/>
      <c r="D1034" s="371"/>
      <c r="E1034" s="371"/>
      <c r="F1034" s="371"/>
    </row>
    <row r="1035" customFormat="false" ht="11.25" hidden="false" customHeight="false" outlineLevel="0" collapsed="false">
      <c r="A1035" s="371"/>
      <c r="B1035" s="371"/>
      <c r="C1035" s="371"/>
      <c r="D1035" s="371"/>
      <c r="E1035" s="371"/>
      <c r="F1035" s="371"/>
    </row>
    <row r="1036" customFormat="false" ht="11.25" hidden="false" customHeight="false" outlineLevel="0" collapsed="false">
      <c r="A1036" s="371"/>
      <c r="B1036" s="371"/>
      <c r="C1036" s="371"/>
      <c r="D1036" s="371"/>
      <c r="E1036" s="371"/>
      <c r="F1036" s="371"/>
    </row>
    <row r="1037" customFormat="false" ht="11.25" hidden="false" customHeight="false" outlineLevel="0" collapsed="false">
      <c r="A1037" s="371"/>
      <c r="B1037" s="371"/>
      <c r="C1037" s="371"/>
      <c r="D1037" s="371"/>
      <c r="E1037" s="371"/>
      <c r="F1037" s="371"/>
    </row>
    <row r="1038" customFormat="false" ht="11.25" hidden="false" customHeight="false" outlineLevel="0" collapsed="false">
      <c r="A1038" s="371"/>
      <c r="B1038" s="371"/>
      <c r="C1038" s="371"/>
      <c r="D1038" s="371"/>
      <c r="E1038" s="371"/>
      <c r="F1038" s="371"/>
    </row>
    <row r="1039" customFormat="false" ht="11.25" hidden="false" customHeight="false" outlineLevel="0" collapsed="false">
      <c r="A1039" s="371"/>
      <c r="B1039" s="371"/>
      <c r="C1039" s="371"/>
      <c r="D1039" s="371"/>
      <c r="E1039" s="371"/>
      <c r="F1039" s="371"/>
    </row>
    <row r="1040" customFormat="false" ht="11.25" hidden="false" customHeight="false" outlineLevel="0" collapsed="false">
      <c r="A1040" s="371"/>
      <c r="B1040" s="371"/>
      <c r="C1040" s="371"/>
      <c r="D1040" s="371"/>
      <c r="E1040" s="371"/>
      <c r="F1040" s="371"/>
    </row>
    <row r="1041" customFormat="false" ht="11.25" hidden="false" customHeight="false" outlineLevel="0" collapsed="false">
      <c r="A1041" s="371"/>
      <c r="B1041" s="371"/>
      <c r="C1041" s="371"/>
      <c r="D1041" s="371"/>
      <c r="E1041" s="371"/>
      <c r="F1041" s="371"/>
    </row>
    <row r="1042" customFormat="false" ht="11.25" hidden="false" customHeight="false" outlineLevel="0" collapsed="false">
      <c r="A1042" s="371"/>
      <c r="B1042" s="371"/>
      <c r="C1042" s="371"/>
      <c r="D1042" s="371"/>
      <c r="E1042" s="371"/>
      <c r="F1042" s="371"/>
    </row>
    <row r="1043" customFormat="false" ht="11.25" hidden="false" customHeight="false" outlineLevel="0" collapsed="false">
      <c r="A1043" s="371"/>
      <c r="B1043" s="371"/>
      <c r="C1043" s="371"/>
      <c r="D1043" s="371"/>
      <c r="E1043" s="371"/>
      <c r="F1043" s="371"/>
    </row>
    <row r="1044" customFormat="false" ht="11.25" hidden="false" customHeight="false" outlineLevel="0" collapsed="false">
      <c r="A1044" s="371"/>
      <c r="B1044" s="371"/>
      <c r="C1044" s="371"/>
      <c r="D1044" s="371"/>
      <c r="E1044" s="371"/>
      <c r="F1044" s="371"/>
    </row>
    <row r="1045" customFormat="false" ht="11.25" hidden="false" customHeight="false" outlineLevel="0" collapsed="false">
      <c r="A1045" s="371"/>
      <c r="B1045" s="371"/>
      <c r="C1045" s="371"/>
      <c r="D1045" s="371"/>
      <c r="E1045" s="371"/>
      <c r="F1045" s="371"/>
    </row>
    <row r="1046" customFormat="false" ht="11.25" hidden="false" customHeight="false" outlineLevel="0" collapsed="false">
      <c r="A1046" s="371"/>
      <c r="B1046" s="371"/>
      <c r="C1046" s="371"/>
      <c r="D1046" s="371"/>
      <c r="E1046" s="371"/>
      <c r="F1046" s="371"/>
    </row>
    <row r="1047" customFormat="false" ht="11.25" hidden="false" customHeight="false" outlineLevel="0" collapsed="false">
      <c r="A1047" s="371"/>
      <c r="B1047" s="371"/>
      <c r="C1047" s="371"/>
      <c r="D1047" s="371"/>
      <c r="E1047" s="371"/>
      <c r="F1047" s="371"/>
    </row>
    <row r="1048" customFormat="false" ht="11.25" hidden="false" customHeight="false" outlineLevel="0" collapsed="false">
      <c r="A1048" s="371"/>
      <c r="B1048" s="371"/>
      <c r="C1048" s="371"/>
      <c r="D1048" s="371"/>
      <c r="E1048" s="371"/>
      <c r="F1048" s="371"/>
    </row>
    <row r="1049" customFormat="false" ht="11.25" hidden="false" customHeight="false" outlineLevel="0" collapsed="false">
      <c r="A1049" s="371"/>
      <c r="B1049" s="371"/>
      <c r="C1049" s="371"/>
      <c r="D1049" s="371"/>
      <c r="E1049" s="371"/>
      <c r="F1049" s="371"/>
    </row>
    <row r="1050" customFormat="false" ht="11.25" hidden="false" customHeight="false" outlineLevel="0" collapsed="false">
      <c r="A1050" s="371"/>
      <c r="B1050" s="371"/>
      <c r="C1050" s="371"/>
      <c r="D1050" s="371"/>
      <c r="E1050" s="371"/>
      <c r="F1050" s="371"/>
    </row>
    <row r="1051" customFormat="false" ht="11.25" hidden="false" customHeight="false" outlineLevel="0" collapsed="false">
      <c r="A1051" s="371"/>
      <c r="B1051" s="371"/>
      <c r="C1051" s="371"/>
      <c r="D1051" s="371"/>
      <c r="E1051" s="371"/>
      <c r="F1051" s="371"/>
    </row>
    <row r="1052" customFormat="false" ht="11.25" hidden="false" customHeight="false" outlineLevel="0" collapsed="false">
      <c r="A1052" s="371"/>
      <c r="B1052" s="371"/>
      <c r="C1052" s="371"/>
      <c r="D1052" s="371"/>
      <c r="E1052" s="371"/>
      <c r="F1052" s="371"/>
    </row>
    <row r="1053" customFormat="false" ht="11.25" hidden="false" customHeight="false" outlineLevel="0" collapsed="false">
      <c r="A1053" s="371"/>
      <c r="B1053" s="371"/>
      <c r="C1053" s="371"/>
      <c r="D1053" s="371"/>
      <c r="E1053" s="371"/>
      <c r="F1053" s="371"/>
    </row>
    <row r="1054" customFormat="false" ht="11.25" hidden="false" customHeight="false" outlineLevel="0" collapsed="false">
      <c r="A1054" s="371"/>
      <c r="B1054" s="371"/>
      <c r="C1054" s="371"/>
      <c r="D1054" s="371"/>
      <c r="E1054" s="371"/>
      <c r="F1054" s="371"/>
    </row>
    <row r="1055" customFormat="false" ht="11.25" hidden="false" customHeight="false" outlineLevel="0" collapsed="false">
      <c r="A1055" s="371"/>
      <c r="B1055" s="371"/>
      <c r="C1055" s="371"/>
      <c r="D1055" s="371"/>
      <c r="E1055" s="371"/>
      <c r="F1055" s="371"/>
    </row>
    <row r="1056" customFormat="false" ht="11.25" hidden="false" customHeight="false" outlineLevel="0" collapsed="false">
      <c r="A1056" s="371"/>
      <c r="B1056" s="371"/>
      <c r="C1056" s="371"/>
      <c r="D1056" s="371"/>
      <c r="E1056" s="371"/>
      <c r="F1056" s="371"/>
    </row>
    <row r="1057" customFormat="false" ht="11.25" hidden="false" customHeight="false" outlineLevel="0" collapsed="false">
      <c r="A1057" s="371"/>
      <c r="B1057" s="371"/>
      <c r="C1057" s="371"/>
      <c r="D1057" s="371"/>
      <c r="E1057" s="371"/>
      <c r="F1057" s="371"/>
    </row>
    <row r="1058" customFormat="false" ht="11.25" hidden="false" customHeight="false" outlineLevel="0" collapsed="false">
      <c r="A1058" s="371"/>
      <c r="B1058" s="371"/>
      <c r="C1058" s="371"/>
      <c r="D1058" s="371"/>
      <c r="E1058" s="371"/>
      <c r="F1058" s="371"/>
    </row>
    <row r="1059" customFormat="false" ht="11.25" hidden="false" customHeight="false" outlineLevel="0" collapsed="false">
      <c r="A1059" s="371"/>
      <c r="B1059" s="371"/>
      <c r="C1059" s="371"/>
      <c r="D1059" s="371"/>
      <c r="E1059" s="371"/>
      <c r="F1059" s="371"/>
    </row>
    <row r="1060" customFormat="false" ht="11.25" hidden="false" customHeight="false" outlineLevel="0" collapsed="false">
      <c r="A1060" s="371"/>
      <c r="B1060" s="371"/>
      <c r="C1060" s="371"/>
      <c r="D1060" s="371"/>
      <c r="E1060" s="371"/>
      <c r="F1060" s="371"/>
    </row>
    <row r="1061" customFormat="false" ht="11.25" hidden="false" customHeight="false" outlineLevel="0" collapsed="false">
      <c r="A1061" s="371"/>
      <c r="B1061" s="371"/>
      <c r="C1061" s="371"/>
      <c r="D1061" s="371"/>
      <c r="E1061" s="371"/>
      <c r="F1061" s="371"/>
    </row>
    <row r="1062" customFormat="false" ht="11.25" hidden="false" customHeight="false" outlineLevel="0" collapsed="false">
      <c r="A1062" s="371"/>
      <c r="B1062" s="371"/>
      <c r="C1062" s="371"/>
      <c r="D1062" s="371"/>
      <c r="E1062" s="371"/>
      <c r="F1062" s="371"/>
    </row>
    <row r="1063" customFormat="false" ht="11.25" hidden="false" customHeight="false" outlineLevel="0" collapsed="false">
      <c r="A1063" s="371"/>
      <c r="B1063" s="371"/>
      <c r="C1063" s="371"/>
      <c r="D1063" s="371"/>
      <c r="E1063" s="371"/>
      <c r="F1063" s="371"/>
    </row>
    <row r="1064" customFormat="false" ht="11.25" hidden="false" customHeight="false" outlineLevel="0" collapsed="false">
      <c r="A1064" s="371"/>
      <c r="B1064" s="371"/>
      <c r="C1064" s="371"/>
      <c r="D1064" s="371"/>
      <c r="E1064" s="371"/>
      <c r="F1064" s="371"/>
    </row>
    <row r="1065" customFormat="false" ht="11.25" hidden="false" customHeight="false" outlineLevel="0" collapsed="false">
      <c r="A1065" s="371"/>
      <c r="B1065" s="371"/>
      <c r="C1065" s="371"/>
      <c r="D1065" s="371"/>
      <c r="E1065" s="371"/>
      <c r="F1065" s="371"/>
    </row>
    <row r="1066" customFormat="false" ht="11.25" hidden="false" customHeight="false" outlineLevel="0" collapsed="false">
      <c r="A1066" s="371"/>
      <c r="B1066" s="371"/>
      <c r="C1066" s="371"/>
      <c r="D1066" s="371"/>
      <c r="E1066" s="371"/>
      <c r="F1066" s="371"/>
    </row>
    <row r="1067" customFormat="false" ht="11.25" hidden="false" customHeight="false" outlineLevel="0" collapsed="false">
      <c r="A1067" s="371"/>
      <c r="B1067" s="371"/>
      <c r="C1067" s="371"/>
      <c r="D1067" s="371"/>
      <c r="E1067" s="371"/>
      <c r="F1067" s="371"/>
    </row>
    <row r="1068" customFormat="false" ht="11.25" hidden="false" customHeight="false" outlineLevel="0" collapsed="false">
      <c r="A1068" s="371"/>
      <c r="B1068" s="371"/>
      <c r="C1068" s="371"/>
      <c r="D1068" s="371"/>
      <c r="E1068" s="371"/>
      <c r="F1068" s="371"/>
    </row>
    <row r="1069" customFormat="false" ht="11.25" hidden="false" customHeight="false" outlineLevel="0" collapsed="false">
      <c r="A1069" s="371"/>
      <c r="B1069" s="371"/>
      <c r="C1069" s="371"/>
      <c r="D1069" s="371"/>
      <c r="E1069" s="371"/>
      <c r="F1069" s="371"/>
    </row>
    <row r="1070" customFormat="false" ht="11.25" hidden="false" customHeight="false" outlineLevel="0" collapsed="false">
      <c r="A1070" s="371"/>
      <c r="B1070" s="371"/>
      <c r="C1070" s="371"/>
      <c r="D1070" s="371"/>
      <c r="E1070" s="371"/>
      <c r="F1070" s="371"/>
    </row>
    <row r="1071" customFormat="false" ht="11.25" hidden="false" customHeight="false" outlineLevel="0" collapsed="false">
      <c r="A1071" s="371"/>
      <c r="B1071" s="371"/>
      <c r="C1071" s="371"/>
      <c r="D1071" s="371"/>
      <c r="E1071" s="371"/>
      <c r="F1071" s="371"/>
    </row>
    <row r="1072" customFormat="false" ht="11.25" hidden="false" customHeight="false" outlineLevel="0" collapsed="false">
      <c r="A1072" s="371"/>
      <c r="B1072" s="371"/>
      <c r="C1072" s="371"/>
      <c r="D1072" s="371"/>
      <c r="E1072" s="371"/>
      <c r="F1072" s="371"/>
    </row>
    <row r="1073" customFormat="false" ht="11.25" hidden="false" customHeight="false" outlineLevel="0" collapsed="false">
      <c r="A1073" s="371"/>
      <c r="B1073" s="371"/>
      <c r="C1073" s="371"/>
      <c r="D1073" s="371"/>
      <c r="E1073" s="371"/>
      <c r="F1073" s="371"/>
    </row>
    <row r="1074" customFormat="false" ht="11.25" hidden="false" customHeight="false" outlineLevel="0" collapsed="false">
      <c r="A1074" s="371"/>
      <c r="B1074" s="371"/>
      <c r="C1074" s="371"/>
      <c r="D1074" s="371"/>
      <c r="E1074" s="371"/>
      <c r="F1074" s="371"/>
    </row>
    <row r="1075" customFormat="false" ht="11.25" hidden="false" customHeight="false" outlineLevel="0" collapsed="false">
      <c r="A1075" s="371"/>
      <c r="B1075" s="371"/>
      <c r="C1075" s="371"/>
      <c r="D1075" s="371"/>
      <c r="E1075" s="371"/>
      <c r="F1075" s="371"/>
    </row>
    <row r="1076" customFormat="false" ht="11.25" hidden="false" customHeight="false" outlineLevel="0" collapsed="false">
      <c r="A1076" s="371"/>
      <c r="B1076" s="371"/>
      <c r="C1076" s="371"/>
      <c r="D1076" s="371"/>
      <c r="E1076" s="371"/>
      <c r="F1076" s="371"/>
    </row>
    <row r="1077" customFormat="false" ht="11.25" hidden="false" customHeight="false" outlineLevel="0" collapsed="false">
      <c r="A1077" s="371"/>
      <c r="B1077" s="371"/>
      <c r="C1077" s="371"/>
      <c r="D1077" s="371"/>
      <c r="E1077" s="371"/>
      <c r="F1077" s="371"/>
    </row>
    <row r="1078" customFormat="false" ht="11.25" hidden="false" customHeight="false" outlineLevel="0" collapsed="false">
      <c r="A1078" s="371"/>
      <c r="B1078" s="371"/>
      <c r="C1078" s="371"/>
      <c r="D1078" s="371"/>
      <c r="E1078" s="371"/>
      <c r="F1078" s="371"/>
    </row>
    <row r="1079" customFormat="false" ht="11.25" hidden="false" customHeight="false" outlineLevel="0" collapsed="false">
      <c r="A1079" s="371"/>
      <c r="B1079" s="371"/>
      <c r="C1079" s="371"/>
      <c r="D1079" s="371"/>
      <c r="E1079" s="371"/>
      <c r="F1079" s="371"/>
    </row>
    <row r="1080" customFormat="false" ht="11.25" hidden="false" customHeight="false" outlineLevel="0" collapsed="false">
      <c r="A1080" s="371"/>
      <c r="B1080" s="371"/>
      <c r="C1080" s="371"/>
      <c r="D1080" s="371"/>
      <c r="E1080" s="371"/>
      <c r="F1080" s="371"/>
    </row>
    <row r="1081" customFormat="false" ht="11.25" hidden="false" customHeight="false" outlineLevel="0" collapsed="false">
      <c r="A1081" s="371"/>
      <c r="B1081" s="371"/>
      <c r="C1081" s="371"/>
      <c r="D1081" s="371"/>
      <c r="E1081" s="371"/>
      <c r="F1081" s="371"/>
    </row>
    <row r="1082" customFormat="false" ht="11.25" hidden="false" customHeight="false" outlineLevel="0" collapsed="false">
      <c r="A1082" s="371"/>
      <c r="B1082" s="371"/>
      <c r="C1082" s="371"/>
      <c r="D1082" s="371"/>
      <c r="E1082" s="371"/>
      <c r="F1082" s="371"/>
    </row>
    <row r="1083" customFormat="false" ht="11.25" hidden="false" customHeight="false" outlineLevel="0" collapsed="false">
      <c r="A1083" s="371"/>
      <c r="B1083" s="371"/>
      <c r="C1083" s="371"/>
      <c r="D1083" s="371"/>
      <c r="E1083" s="371"/>
      <c r="F1083" s="371"/>
    </row>
    <row r="1084" customFormat="false" ht="11.25" hidden="false" customHeight="false" outlineLevel="0" collapsed="false">
      <c r="A1084" s="371"/>
      <c r="B1084" s="371"/>
      <c r="C1084" s="371"/>
      <c r="D1084" s="371"/>
      <c r="E1084" s="371"/>
      <c r="F1084" s="371"/>
    </row>
    <row r="1085" customFormat="false" ht="11.25" hidden="false" customHeight="false" outlineLevel="0" collapsed="false">
      <c r="A1085" s="371"/>
      <c r="B1085" s="371"/>
      <c r="C1085" s="371"/>
      <c r="D1085" s="371"/>
      <c r="E1085" s="371"/>
      <c r="F1085" s="371"/>
    </row>
    <row r="1086" customFormat="false" ht="11.25" hidden="false" customHeight="false" outlineLevel="0" collapsed="false">
      <c r="A1086" s="371"/>
      <c r="B1086" s="371"/>
      <c r="C1086" s="371"/>
      <c r="D1086" s="371"/>
      <c r="E1086" s="371"/>
      <c r="F1086" s="371"/>
    </row>
    <row r="1087" customFormat="false" ht="11.25" hidden="false" customHeight="false" outlineLevel="0" collapsed="false">
      <c r="A1087" s="371"/>
      <c r="B1087" s="371"/>
      <c r="C1087" s="371"/>
      <c r="D1087" s="371"/>
      <c r="E1087" s="371"/>
      <c r="F1087" s="371"/>
    </row>
    <row r="1088" customFormat="false" ht="11.25" hidden="false" customHeight="false" outlineLevel="0" collapsed="false">
      <c r="A1088" s="371"/>
      <c r="B1088" s="371"/>
      <c r="C1088" s="371"/>
      <c r="D1088" s="371"/>
      <c r="E1088" s="371"/>
      <c r="F1088" s="371"/>
    </row>
    <row r="1089" customFormat="false" ht="11.25" hidden="false" customHeight="false" outlineLevel="0" collapsed="false">
      <c r="A1089" s="371"/>
      <c r="B1089" s="371"/>
      <c r="C1089" s="371"/>
      <c r="D1089" s="371"/>
      <c r="E1089" s="371"/>
      <c r="F1089" s="371"/>
    </row>
    <row r="1090" customFormat="false" ht="11.25" hidden="false" customHeight="false" outlineLevel="0" collapsed="false">
      <c r="A1090" s="371"/>
      <c r="B1090" s="371"/>
      <c r="C1090" s="371"/>
      <c r="D1090" s="371"/>
      <c r="E1090" s="371"/>
      <c r="F1090" s="371"/>
    </row>
    <row r="1091" customFormat="false" ht="11.25" hidden="false" customHeight="false" outlineLevel="0" collapsed="false">
      <c r="A1091" s="371"/>
      <c r="B1091" s="371"/>
      <c r="C1091" s="371"/>
      <c r="D1091" s="371"/>
      <c r="E1091" s="371"/>
      <c r="F1091" s="371"/>
    </row>
    <row r="1092" customFormat="false" ht="11.25" hidden="false" customHeight="false" outlineLevel="0" collapsed="false">
      <c r="A1092" s="371"/>
      <c r="B1092" s="371"/>
      <c r="C1092" s="371"/>
      <c r="D1092" s="371"/>
      <c r="E1092" s="371"/>
      <c r="F1092" s="371"/>
    </row>
    <row r="1093" customFormat="false" ht="11.25" hidden="false" customHeight="false" outlineLevel="0" collapsed="false">
      <c r="A1093" s="371"/>
      <c r="B1093" s="371"/>
      <c r="C1093" s="371"/>
      <c r="D1093" s="371"/>
      <c r="E1093" s="371"/>
      <c r="F1093" s="371"/>
    </row>
    <row r="1094" customFormat="false" ht="11.25" hidden="false" customHeight="false" outlineLevel="0" collapsed="false">
      <c r="A1094" s="371"/>
      <c r="B1094" s="371"/>
      <c r="C1094" s="371"/>
      <c r="D1094" s="371"/>
      <c r="E1094" s="371"/>
      <c r="F1094" s="371"/>
    </row>
    <row r="1095" customFormat="false" ht="11.25" hidden="false" customHeight="false" outlineLevel="0" collapsed="false">
      <c r="A1095" s="371"/>
      <c r="B1095" s="371"/>
      <c r="C1095" s="371"/>
      <c r="D1095" s="371"/>
      <c r="E1095" s="371"/>
      <c r="F1095" s="371"/>
    </row>
    <row r="1096" customFormat="false" ht="11.25" hidden="false" customHeight="false" outlineLevel="0" collapsed="false">
      <c r="A1096" s="371"/>
      <c r="B1096" s="371"/>
      <c r="C1096" s="371"/>
      <c r="D1096" s="371"/>
      <c r="E1096" s="371"/>
      <c r="F1096" s="371"/>
    </row>
    <row r="1097" customFormat="false" ht="11.25" hidden="false" customHeight="false" outlineLevel="0" collapsed="false">
      <c r="A1097" s="371"/>
      <c r="B1097" s="371"/>
      <c r="C1097" s="371"/>
      <c r="D1097" s="371"/>
      <c r="E1097" s="371"/>
      <c r="F1097" s="371"/>
    </row>
    <row r="1098" customFormat="false" ht="11.25" hidden="false" customHeight="false" outlineLevel="0" collapsed="false">
      <c r="A1098" s="371"/>
      <c r="B1098" s="371"/>
      <c r="C1098" s="371"/>
      <c r="D1098" s="371"/>
      <c r="E1098" s="371"/>
      <c r="F1098" s="371"/>
    </row>
    <row r="1099" customFormat="false" ht="11.25" hidden="false" customHeight="false" outlineLevel="0" collapsed="false">
      <c r="A1099" s="371"/>
      <c r="B1099" s="371"/>
      <c r="C1099" s="371"/>
      <c r="D1099" s="371"/>
      <c r="E1099" s="371"/>
      <c r="F1099" s="371"/>
    </row>
    <row r="1100" customFormat="false" ht="11.25" hidden="false" customHeight="false" outlineLevel="0" collapsed="false">
      <c r="A1100" s="371"/>
      <c r="B1100" s="371"/>
      <c r="C1100" s="371"/>
      <c r="D1100" s="371"/>
      <c r="E1100" s="371"/>
      <c r="F1100" s="371"/>
    </row>
    <row r="1101" customFormat="false" ht="11.25" hidden="false" customHeight="false" outlineLevel="0" collapsed="false">
      <c r="A1101" s="371"/>
      <c r="B1101" s="371"/>
      <c r="C1101" s="371"/>
      <c r="D1101" s="371"/>
      <c r="E1101" s="371"/>
      <c r="F1101" s="371"/>
    </row>
    <row r="1102" customFormat="false" ht="11.25" hidden="false" customHeight="false" outlineLevel="0" collapsed="false">
      <c r="A1102" s="371"/>
      <c r="B1102" s="371"/>
      <c r="C1102" s="371"/>
      <c r="D1102" s="371"/>
      <c r="E1102" s="371"/>
      <c r="F1102" s="371"/>
    </row>
    <row r="1103" customFormat="false" ht="11.25" hidden="false" customHeight="false" outlineLevel="0" collapsed="false">
      <c r="A1103" s="371"/>
      <c r="B1103" s="371"/>
      <c r="C1103" s="371"/>
      <c r="D1103" s="371"/>
      <c r="E1103" s="371"/>
      <c r="F1103" s="371"/>
    </row>
    <row r="1104" customFormat="false" ht="11.25" hidden="false" customHeight="false" outlineLevel="0" collapsed="false">
      <c r="A1104" s="371"/>
      <c r="B1104" s="371"/>
      <c r="C1104" s="371"/>
      <c r="D1104" s="371"/>
      <c r="E1104" s="371"/>
      <c r="F1104" s="371"/>
    </row>
    <row r="1105" customFormat="false" ht="11.25" hidden="false" customHeight="false" outlineLevel="0" collapsed="false">
      <c r="A1105" s="371"/>
      <c r="B1105" s="371"/>
      <c r="C1105" s="371"/>
      <c r="D1105" s="371"/>
      <c r="E1105" s="371"/>
      <c r="F1105" s="371"/>
    </row>
    <row r="1106" customFormat="false" ht="11.25" hidden="false" customHeight="false" outlineLevel="0" collapsed="false">
      <c r="A1106" s="371"/>
      <c r="B1106" s="371"/>
      <c r="C1106" s="371"/>
      <c r="D1106" s="371"/>
      <c r="E1106" s="371"/>
      <c r="F1106" s="371"/>
    </row>
    <row r="1107" customFormat="false" ht="11.25" hidden="false" customHeight="false" outlineLevel="0" collapsed="false">
      <c r="A1107" s="371"/>
      <c r="B1107" s="371"/>
      <c r="C1107" s="371"/>
      <c r="D1107" s="371"/>
      <c r="E1107" s="371"/>
      <c r="F1107" s="371"/>
    </row>
    <row r="1108" customFormat="false" ht="11.25" hidden="false" customHeight="false" outlineLevel="0" collapsed="false">
      <c r="A1108" s="371"/>
      <c r="B1108" s="371"/>
      <c r="C1108" s="371"/>
      <c r="D1108" s="371"/>
      <c r="E1108" s="371"/>
      <c r="F1108" s="371"/>
    </row>
    <row r="1109" customFormat="false" ht="11.25" hidden="false" customHeight="false" outlineLevel="0" collapsed="false">
      <c r="A1109" s="371"/>
      <c r="B1109" s="371"/>
      <c r="C1109" s="371"/>
      <c r="D1109" s="371"/>
      <c r="E1109" s="371"/>
      <c r="F1109" s="371"/>
    </row>
    <row r="1110" customFormat="false" ht="11.25" hidden="false" customHeight="false" outlineLevel="0" collapsed="false">
      <c r="A1110" s="371"/>
      <c r="B1110" s="371"/>
      <c r="C1110" s="371"/>
      <c r="D1110" s="371"/>
      <c r="E1110" s="371"/>
      <c r="F1110" s="371"/>
    </row>
    <row r="1111" customFormat="false" ht="11.25" hidden="false" customHeight="false" outlineLevel="0" collapsed="false">
      <c r="A1111" s="371"/>
      <c r="B1111" s="371"/>
      <c r="C1111" s="371"/>
      <c r="D1111" s="371"/>
      <c r="E1111" s="371"/>
      <c r="F1111" s="371"/>
    </row>
    <row r="1112" customFormat="false" ht="11.25" hidden="false" customHeight="false" outlineLevel="0" collapsed="false">
      <c r="A1112" s="371"/>
      <c r="B1112" s="371"/>
      <c r="C1112" s="371"/>
      <c r="D1112" s="371"/>
      <c r="E1112" s="371"/>
      <c r="F1112" s="371"/>
    </row>
    <row r="1113" customFormat="false" ht="11.25" hidden="false" customHeight="false" outlineLevel="0" collapsed="false">
      <c r="A1113" s="371"/>
      <c r="B1113" s="371"/>
      <c r="C1113" s="371"/>
      <c r="D1113" s="371"/>
      <c r="E1113" s="371"/>
      <c r="F1113" s="371"/>
    </row>
    <row r="1114" customFormat="false" ht="11.25" hidden="false" customHeight="false" outlineLevel="0" collapsed="false">
      <c r="A1114" s="371"/>
      <c r="B1114" s="371"/>
      <c r="C1114" s="371"/>
      <c r="D1114" s="371"/>
      <c r="E1114" s="371"/>
      <c r="F1114" s="371"/>
    </row>
    <row r="1115" customFormat="false" ht="11.25" hidden="false" customHeight="false" outlineLevel="0" collapsed="false">
      <c r="A1115" s="371"/>
      <c r="B1115" s="371"/>
      <c r="C1115" s="371"/>
      <c r="D1115" s="371"/>
      <c r="E1115" s="371"/>
      <c r="F1115" s="371"/>
    </row>
    <row r="1116" customFormat="false" ht="11.25" hidden="false" customHeight="false" outlineLevel="0" collapsed="false">
      <c r="A1116" s="371"/>
      <c r="B1116" s="371"/>
      <c r="C1116" s="371"/>
      <c r="D1116" s="371"/>
      <c r="E1116" s="371"/>
      <c r="F1116" s="371"/>
    </row>
    <row r="1117" customFormat="false" ht="11.25" hidden="false" customHeight="false" outlineLevel="0" collapsed="false">
      <c r="A1117" s="371"/>
      <c r="B1117" s="371"/>
      <c r="C1117" s="371"/>
      <c r="D1117" s="371"/>
      <c r="E1117" s="371"/>
      <c r="F1117" s="371"/>
    </row>
    <row r="1118" customFormat="false" ht="11.25" hidden="false" customHeight="false" outlineLevel="0" collapsed="false">
      <c r="A1118" s="371"/>
      <c r="B1118" s="371"/>
      <c r="C1118" s="371"/>
      <c r="D1118" s="371"/>
      <c r="E1118" s="371"/>
      <c r="F1118" s="371"/>
    </row>
    <row r="1119" customFormat="false" ht="11.25" hidden="false" customHeight="false" outlineLevel="0" collapsed="false">
      <c r="A1119" s="371"/>
      <c r="B1119" s="371"/>
      <c r="C1119" s="371"/>
      <c r="D1119" s="371"/>
      <c r="E1119" s="371"/>
      <c r="F1119" s="371"/>
    </row>
    <row r="1120" customFormat="false" ht="11.25" hidden="false" customHeight="false" outlineLevel="0" collapsed="false">
      <c r="A1120" s="371"/>
      <c r="B1120" s="371"/>
      <c r="C1120" s="371"/>
      <c r="D1120" s="371"/>
      <c r="E1120" s="371"/>
      <c r="F1120" s="371"/>
    </row>
    <row r="1121" customFormat="false" ht="11.25" hidden="false" customHeight="false" outlineLevel="0" collapsed="false">
      <c r="A1121" s="371"/>
      <c r="B1121" s="371"/>
      <c r="C1121" s="371"/>
      <c r="D1121" s="371"/>
      <c r="E1121" s="371"/>
      <c r="F1121" s="371"/>
    </row>
    <row r="1122" customFormat="false" ht="11.25" hidden="false" customHeight="false" outlineLevel="0" collapsed="false">
      <c r="A1122" s="371"/>
      <c r="B1122" s="371"/>
      <c r="C1122" s="371"/>
      <c r="D1122" s="371"/>
      <c r="E1122" s="371"/>
      <c r="F1122" s="371"/>
    </row>
    <row r="1123" customFormat="false" ht="11.25" hidden="false" customHeight="false" outlineLevel="0" collapsed="false">
      <c r="A1123" s="371"/>
      <c r="B1123" s="371"/>
      <c r="C1123" s="371"/>
      <c r="D1123" s="371"/>
      <c r="E1123" s="371"/>
      <c r="F1123" s="371"/>
    </row>
    <row r="1124" customFormat="false" ht="11.25" hidden="false" customHeight="false" outlineLevel="0" collapsed="false">
      <c r="A1124" s="371"/>
      <c r="B1124" s="371"/>
      <c r="C1124" s="371"/>
      <c r="D1124" s="371"/>
      <c r="E1124" s="371"/>
      <c r="F1124" s="371"/>
    </row>
    <row r="1125" customFormat="false" ht="11.25" hidden="false" customHeight="false" outlineLevel="0" collapsed="false">
      <c r="A1125" s="371"/>
      <c r="B1125" s="371"/>
      <c r="C1125" s="371"/>
      <c r="D1125" s="371"/>
      <c r="E1125" s="371"/>
      <c r="F1125" s="371"/>
    </row>
    <row r="1126" customFormat="false" ht="11.25" hidden="false" customHeight="false" outlineLevel="0" collapsed="false">
      <c r="A1126" s="371"/>
      <c r="B1126" s="371"/>
      <c r="C1126" s="371"/>
      <c r="D1126" s="371"/>
      <c r="E1126" s="371"/>
      <c r="F1126" s="371"/>
    </row>
    <row r="1127" customFormat="false" ht="11.25" hidden="false" customHeight="false" outlineLevel="0" collapsed="false">
      <c r="A1127" s="371"/>
      <c r="B1127" s="371"/>
      <c r="C1127" s="371"/>
      <c r="D1127" s="371"/>
      <c r="E1127" s="371"/>
      <c r="F1127" s="371"/>
    </row>
    <row r="1128" customFormat="false" ht="11.25" hidden="false" customHeight="false" outlineLevel="0" collapsed="false">
      <c r="A1128" s="371"/>
      <c r="B1128" s="371"/>
      <c r="C1128" s="371"/>
      <c r="D1128" s="371"/>
      <c r="E1128" s="371"/>
      <c r="F1128" s="371"/>
    </row>
    <row r="1129" customFormat="false" ht="11.25" hidden="false" customHeight="false" outlineLevel="0" collapsed="false">
      <c r="A1129" s="371"/>
      <c r="B1129" s="371"/>
      <c r="C1129" s="371"/>
      <c r="D1129" s="371"/>
      <c r="E1129" s="371"/>
      <c r="F1129" s="371"/>
    </row>
    <row r="1130" customFormat="false" ht="11.25" hidden="false" customHeight="false" outlineLevel="0" collapsed="false">
      <c r="A1130" s="371"/>
      <c r="B1130" s="371"/>
      <c r="C1130" s="371"/>
      <c r="D1130" s="371"/>
      <c r="E1130" s="371"/>
      <c r="F1130" s="371"/>
    </row>
    <row r="1131" customFormat="false" ht="11.25" hidden="false" customHeight="false" outlineLevel="0" collapsed="false">
      <c r="A1131" s="371"/>
      <c r="B1131" s="371"/>
      <c r="C1131" s="371"/>
      <c r="D1131" s="371"/>
      <c r="E1131" s="371"/>
      <c r="F1131" s="371"/>
    </row>
    <row r="1132" customFormat="false" ht="11.25" hidden="false" customHeight="false" outlineLevel="0" collapsed="false">
      <c r="A1132" s="371"/>
      <c r="B1132" s="371"/>
      <c r="C1132" s="371"/>
      <c r="D1132" s="371"/>
      <c r="E1132" s="371"/>
      <c r="F1132" s="371"/>
    </row>
    <row r="1133" customFormat="false" ht="11.25" hidden="false" customHeight="false" outlineLevel="0" collapsed="false">
      <c r="A1133" s="371"/>
      <c r="B1133" s="371"/>
      <c r="C1133" s="371"/>
      <c r="D1133" s="371"/>
      <c r="E1133" s="371"/>
      <c r="F1133" s="371"/>
    </row>
    <row r="1134" customFormat="false" ht="11.25" hidden="false" customHeight="false" outlineLevel="0" collapsed="false">
      <c r="A1134" s="371"/>
      <c r="B1134" s="371"/>
      <c r="C1134" s="371"/>
      <c r="D1134" s="371"/>
      <c r="E1134" s="371"/>
      <c r="F1134" s="371"/>
    </row>
    <row r="1135" customFormat="false" ht="11.25" hidden="false" customHeight="false" outlineLevel="0" collapsed="false">
      <c r="A1135" s="371"/>
      <c r="B1135" s="371"/>
      <c r="C1135" s="371"/>
      <c r="D1135" s="371"/>
      <c r="E1135" s="371"/>
      <c r="F1135" s="371"/>
    </row>
    <row r="1136" customFormat="false" ht="11.25" hidden="false" customHeight="false" outlineLevel="0" collapsed="false">
      <c r="A1136" s="371"/>
      <c r="B1136" s="371"/>
      <c r="C1136" s="371"/>
      <c r="D1136" s="371"/>
      <c r="E1136" s="371"/>
      <c r="F1136" s="371"/>
    </row>
    <row r="1137" customFormat="false" ht="11.25" hidden="false" customHeight="false" outlineLevel="0" collapsed="false">
      <c r="A1137" s="371"/>
      <c r="B1137" s="371"/>
      <c r="C1137" s="371"/>
      <c r="D1137" s="371"/>
      <c r="E1137" s="371"/>
      <c r="F1137" s="371"/>
    </row>
    <row r="1138" customFormat="false" ht="11.25" hidden="false" customHeight="false" outlineLevel="0" collapsed="false">
      <c r="A1138" s="371"/>
      <c r="B1138" s="371"/>
      <c r="C1138" s="371"/>
      <c r="D1138" s="371"/>
      <c r="E1138" s="371"/>
      <c r="F1138" s="371"/>
    </row>
    <row r="1139" customFormat="false" ht="11.25" hidden="false" customHeight="false" outlineLevel="0" collapsed="false">
      <c r="A1139" s="371"/>
      <c r="B1139" s="371"/>
      <c r="C1139" s="371"/>
      <c r="D1139" s="371"/>
      <c r="E1139" s="371"/>
      <c r="F1139" s="371"/>
    </row>
    <row r="1140" customFormat="false" ht="11.25" hidden="false" customHeight="false" outlineLevel="0" collapsed="false">
      <c r="A1140" s="371"/>
      <c r="B1140" s="371"/>
      <c r="C1140" s="371"/>
      <c r="D1140" s="371"/>
      <c r="E1140" s="371"/>
      <c r="F1140" s="371"/>
    </row>
    <row r="1141" customFormat="false" ht="11.25" hidden="false" customHeight="false" outlineLevel="0" collapsed="false">
      <c r="A1141" s="371"/>
      <c r="B1141" s="371"/>
      <c r="C1141" s="371"/>
      <c r="D1141" s="371"/>
      <c r="E1141" s="371"/>
      <c r="F1141" s="371"/>
    </row>
    <row r="1142" customFormat="false" ht="11.25" hidden="false" customHeight="false" outlineLevel="0" collapsed="false">
      <c r="A1142" s="371"/>
      <c r="B1142" s="371"/>
      <c r="C1142" s="371"/>
      <c r="D1142" s="371"/>
      <c r="E1142" s="371"/>
      <c r="F1142" s="371"/>
    </row>
    <row r="1143" customFormat="false" ht="11.25" hidden="false" customHeight="false" outlineLevel="0" collapsed="false">
      <c r="A1143" s="371"/>
      <c r="B1143" s="371"/>
      <c r="C1143" s="371"/>
      <c r="D1143" s="371"/>
      <c r="E1143" s="371"/>
      <c r="F1143" s="371"/>
    </row>
    <row r="1144" customFormat="false" ht="11.25" hidden="false" customHeight="false" outlineLevel="0" collapsed="false">
      <c r="A1144" s="371"/>
      <c r="B1144" s="371"/>
      <c r="C1144" s="371"/>
      <c r="D1144" s="371"/>
      <c r="E1144" s="371"/>
      <c r="F1144" s="371"/>
    </row>
    <row r="1145" customFormat="false" ht="11.25" hidden="false" customHeight="false" outlineLevel="0" collapsed="false">
      <c r="A1145" s="371"/>
      <c r="B1145" s="371"/>
      <c r="C1145" s="371"/>
      <c r="D1145" s="371"/>
      <c r="E1145" s="371"/>
      <c r="F1145" s="371"/>
    </row>
    <row r="1146" customFormat="false" ht="11.25" hidden="false" customHeight="false" outlineLevel="0" collapsed="false">
      <c r="A1146" s="371"/>
      <c r="B1146" s="371"/>
      <c r="C1146" s="371"/>
      <c r="D1146" s="371"/>
      <c r="E1146" s="371"/>
      <c r="F1146" s="371"/>
    </row>
    <row r="1147" customFormat="false" ht="11.25" hidden="false" customHeight="false" outlineLevel="0" collapsed="false">
      <c r="A1147" s="371"/>
      <c r="B1147" s="371"/>
      <c r="C1147" s="371"/>
      <c r="D1147" s="371"/>
      <c r="E1147" s="371"/>
      <c r="F1147" s="371"/>
    </row>
    <row r="1148" customFormat="false" ht="11.25" hidden="false" customHeight="false" outlineLevel="0" collapsed="false">
      <c r="A1148" s="371"/>
      <c r="B1148" s="371"/>
      <c r="C1148" s="371"/>
      <c r="D1148" s="371"/>
      <c r="E1148" s="371"/>
      <c r="F1148" s="371"/>
    </row>
    <row r="1149" customFormat="false" ht="11.25" hidden="false" customHeight="false" outlineLevel="0" collapsed="false">
      <c r="A1149" s="371"/>
      <c r="B1149" s="371"/>
      <c r="C1149" s="371"/>
      <c r="D1149" s="371"/>
      <c r="E1149" s="371"/>
      <c r="F1149" s="371"/>
    </row>
    <row r="1150" customFormat="false" ht="11.25" hidden="false" customHeight="false" outlineLevel="0" collapsed="false">
      <c r="A1150" s="371"/>
      <c r="B1150" s="371"/>
      <c r="C1150" s="371"/>
      <c r="D1150" s="371"/>
      <c r="E1150" s="371"/>
      <c r="F1150" s="371"/>
    </row>
    <row r="1151" customFormat="false" ht="11.25" hidden="false" customHeight="false" outlineLevel="0" collapsed="false">
      <c r="A1151" s="371"/>
      <c r="B1151" s="371"/>
      <c r="C1151" s="371"/>
      <c r="D1151" s="371"/>
      <c r="E1151" s="371"/>
      <c r="F1151" s="371"/>
    </row>
    <row r="1152" customFormat="false" ht="11.25" hidden="false" customHeight="false" outlineLevel="0" collapsed="false">
      <c r="A1152" s="371"/>
      <c r="B1152" s="371"/>
      <c r="C1152" s="371"/>
      <c r="D1152" s="371"/>
      <c r="E1152" s="371"/>
      <c r="F1152" s="371"/>
    </row>
    <row r="1153" customFormat="false" ht="11.25" hidden="false" customHeight="false" outlineLevel="0" collapsed="false">
      <c r="A1153" s="371"/>
      <c r="B1153" s="371"/>
      <c r="C1153" s="371"/>
      <c r="D1153" s="371"/>
      <c r="E1153" s="371"/>
      <c r="F1153" s="371"/>
    </row>
    <row r="1154" customFormat="false" ht="11.25" hidden="false" customHeight="false" outlineLevel="0" collapsed="false">
      <c r="A1154" s="371"/>
      <c r="B1154" s="371"/>
      <c r="C1154" s="371"/>
      <c r="D1154" s="371"/>
      <c r="E1154" s="371"/>
      <c r="F1154" s="371"/>
    </row>
    <row r="1155" customFormat="false" ht="11.25" hidden="false" customHeight="false" outlineLevel="0" collapsed="false">
      <c r="A1155" s="371"/>
      <c r="B1155" s="371"/>
      <c r="C1155" s="371"/>
      <c r="D1155" s="371"/>
      <c r="E1155" s="371"/>
      <c r="F1155" s="371"/>
    </row>
    <row r="1156" customFormat="false" ht="11.25" hidden="false" customHeight="false" outlineLevel="0" collapsed="false">
      <c r="A1156" s="371"/>
      <c r="B1156" s="371"/>
      <c r="C1156" s="371"/>
      <c r="D1156" s="371"/>
      <c r="E1156" s="371"/>
      <c r="F1156" s="371"/>
    </row>
    <row r="1157" customFormat="false" ht="11.25" hidden="false" customHeight="false" outlineLevel="0" collapsed="false">
      <c r="A1157" s="371"/>
      <c r="B1157" s="371"/>
      <c r="C1157" s="371"/>
      <c r="D1157" s="371"/>
      <c r="E1157" s="371"/>
      <c r="F1157" s="371"/>
    </row>
    <row r="1158" customFormat="false" ht="11.25" hidden="false" customHeight="false" outlineLevel="0" collapsed="false">
      <c r="A1158" s="371"/>
      <c r="B1158" s="371"/>
      <c r="C1158" s="371"/>
      <c r="D1158" s="371"/>
      <c r="E1158" s="371"/>
      <c r="F1158" s="371"/>
    </row>
    <row r="1159" customFormat="false" ht="11.25" hidden="false" customHeight="false" outlineLevel="0" collapsed="false">
      <c r="A1159" s="371"/>
      <c r="B1159" s="371"/>
      <c r="C1159" s="371"/>
      <c r="D1159" s="371"/>
      <c r="E1159" s="371"/>
      <c r="F1159" s="371"/>
    </row>
    <row r="1160" customFormat="false" ht="11.25" hidden="false" customHeight="false" outlineLevel="0" collapsed="false">
      <c r="A1160" s="371"/>
      <c r="B1160" s="371"/>
      <c r="C1160" s="371"/>
      <c r="D1160" s="371"/>
      <c r="E1160" s="371"/>
      <c r="F1160" s="371"/>
    </row>
    <row r="1161" customFormat="false" ht="11.25" hidden="false" customHeight="false" outlineLevel="0" collapsed="false">
      <c r="A1161" s="371"/>
      <c r="B1161" s="371"/>
      <c r="C1161" s="371"/>
      <c r="D1161" s="371"/>
      <c r="E1161" s="371"/>
      <c r="F1161" s="371"/>
    </row>
    <row r="1162" customFormat="false" ht="11.25" hidden="false" customHeight="false" outlineLevel="0" collapsed="false">
      <c r="A1162" s="371"/>
      <c r="B1162" s="371"/>
      <c r="C1162" s="371"/>
      <c r="D1162" s="371"/>
      <c r="E1162" s="371"/>
      <c r="F1162" s="371"/>
    </row>
    <row r="1163" customFormat="false" ht="11.25" hidden="false" customHeight="false" outlineLevel="0" collapsed="false">
      <c r="A1163" s="371"/>
      <c r="B1163" s="371"/>
      <c r="C1163" s="371"/>
      <c r="D1163" s="371"/>
      <c r="E1163" s="371"/>
      <c r="F1163" s="371"/>
    </row>
    <row r="1164" customFormat="false" ht="11.25" hidden="false" customHeight="false" outlineLevel="0" collapsed="false">
      <c r="A1164" s="371"/>
      <c r="B1164" s="371"/>
      <c r="C1164" s="371"/>
      <c r="D1164" s="371"/>
      <c r="E1164" s="371"/>
      <c r="F1164" s="371"/>
    </row>
    <row r="1165" customFormat="false" ht="11.25" hidden="false" customHeight="false" outlineLevel="0" collapsed="false">
      <c r="A1165" s="371"/>
      <c r="B1165" s="371"/>
      <c r="C1165" s="371"/>
      <c r="D1165" s="371"/>
      <c r="E1165" s="371"/>
      <c r="F1165" s="371"/>
    </row>
    <row r="1166" customFormat="false" ht="11.25" hidden="false" customHeight="false" outlineLevel="0" collapsed="false">
      <c r="A1166" s="371"/>
      <c r="B1166" s="371"/>
      <c r="C1166" s="371"/>
      <c r="D1166" s="371"/>
      <c r="E1166" s="371"/>
      <c r="F1166" s="371"/>
    </row>
    <row r="1167" customFormat="false" ht="11.25" hidden="false" customHeight="false" outlineLevel="0" collapsed="false">
      <c r="A1167" s="371"/>
      <c r="B1167" s="371"/>
      <c r="C1167" s="371"/>
      <c r="D1167" s="371"/>
      <c r="E1167" s="371"/>
      <c r="F1167" s="371"/>
    </row>
    <row r="1168" customFormat="false" ht="11.25" hidden="false" customHeight="false" outlineLevel="0" collapsed="false">
      <c r="A1168" s="371"/>
      <c r="B1168" s="371"/>
      <c r="C1168" s="371"/>
      <c r="D1168" s="371"/>
      <c r="E1168" s="371"/>
      <c r="F1168" s="371"/>
    </row>
    <row r="1169" customFormat="false" ht="11.25" hidden="false" customHeight="false" outlineLevel="0" collapsed="false">
      <c r="A1169" s="371"/>
      <c r="B1169" s="371"/>
      <c r="C1169" s="371"/>
      <c r="D1169" s="371"/>
      <c r="E1169" s="371"/>
      <c r="F1169" s="371"/>
    </row>
    <row r="1170" customFormat="false" ht="11.25" hidden="false" customHeight="false" outlineLevel="0" collapsed="false">
      <c r="A1170" s="371"/>
      <c r="B1170" s="371"/>
      <c r="C1170" s="371"/>
      <c r="D1170" s="371"/>
      <c r="E1170" s="371"/>
      <c r="F1170" s="371"/>
    </row>
    <row r="1171" customFormat="false" ht="11.25" hidden="false" customHeight="false" outlineLevel="0" collapsed="false">
      <c r="A1171" s="371"/>
      <c r="B1171" s="371"/>
      <c r="C1171" s="371"/>
      <c r="D1171" s="371"/>
      <c r="E1171" s="371"/>
      <c r="F1171" s="371"/>
    </row>
    <row r="1172" customFormat="false" ht="11.25" hidden="false" customHeight="false" outlineLevel="0" collapsed="false">
      <c r="A1172" s="371"/>
      <c r="B1172" s="371"/>
      <c r="C1172" s="371"/>
      <c r="D1172" s="371"/>
      <c r="E1172" s="371"/>
      <c r="F1172" s="371"/>
    </row>
    <row r="1173" customFormat="false" ht="11.25" hidden="false" customHeight="false" outlineLevel="0" collapsed="false">
      <c r="A1173" s="371"/>
      <c r="B1173" s="371"/>
      <c r="C1173" s="371"/>
      <c r="D1173" s="371"/>
      <c r="E1173" s="371"/>
      <c r="F1173" s="371"/>
    </row>
    <row r="1174" customFormat="false" ht="11.25" hidden="false" customHeight="false" outlineLevel="0" collapsed="false">
      <c r="A1174" s="371"/>
      <c r="B1174" s="371"/>
      <c r="C1174" s="371"/>
      <c r="D1174" s="371"/>
      <c r="E1174" s="371"/>
      <c r="F1174" s="371"/>
    </row>
    <row r="1175" customFormat="false" ht="11.25" hidden="false" customHeight="false" outlineLevel="0" collapsed="false">
      <c r="A1175" s="371"/>
      <c r="B1175" s="371"/>
      <c r="C1175" s="371"/>
      <c r="D1175" s="371"/>
      <c r="E1175" s="371"/>
      <c r="F1175" s="371"/>
    </row>
    <row r="1176" customFormat="false" ht="11.25" hidden="false" customHeight="false" outlineLevel="0" collapsed="false">
      <c r="A1176" s="371"/>
      <c r="B1176" s="371"/>
      <c r="C1176" s="371"/>
      <c r="D1176" s="371"/>
      <c r="E1176" s="371"/>
      <c r="F1176" s="371"/>
    </row>
    <row r="1177" customFormat="false" ht="11.25" hidden="false" customHeight="false" outlineLevel="0" collapsed="false">
      <c r="A1177" s="371"/>
      <c r="B1177" s="371"/>
      <c r="C1177" s="371"/>
      <c r="D1177" s="371"/>
      <c r="E1177" s="371"/>
      <c r="F1177" s="371"/>
    </row>
    <row r="1178" customFormat="false" ht="11.25" hidden="false" customHeight="false" outlineLevel="0" collapsed="false">
      <c r="A1178" s="371"/>
      <c r="B1178" s="371"/>
      <c r="C1178" s="371"/>
      <c r="D1178" s="371"/>
      <c r="E1178" s="371"/>
      <c r="F1178" s="371"/>
    </row>
    <row r="1179" customFormat="false" ht="11.25" hidden="false" customHeight="false" outlineLevel="0" collapsed="false">
      <c r="A1179" s="371"/>
      <c r="B1179" s="371"/>
      <c r="C1179" s="371"/>
      <c r="D1179" s="371"/>
      <c r="E1179" s="371"/>
      <c r="F1179" s="371"/>
    </row>
    <row r="1180" customFormat="false" ht="11.25" hidden="false" customHeight="false" outlineLevel="0" collapsed="false">
      <c r="A1180" s="371"/>
      <c r="B1180" s="371"/>
      <c r="C1180" s="371"/>
      <c r="D1180" s="371"/>
      <c r="E1180" s="371"/>
      <c r="F1180" s="371"/>
    </row>
    <row r="1181" customFormat="false" ht="11.25" hidden="false" customHeight="false" outlineLevel="0" collapsed="false">
      <c r="A1181" s="371"/>
      <c r="B1181" s="371"/>
      <c r="C1181" s="371"/>
      <c r="D1181" s="371"/>
      <c r="E1181" s="371"/>
      <c r="F1181" s="371"/>
    </row>
    <row r="1182" customFormat="false" ht="11.25" hidden="false" customHeight="false" outlineLevel="0" collapsed="false">
      <c r="A1182" s="371"/>
      <c r="B1182" s="371"/>
      <c r="C1182" s="371"/>
      <c r="D1182" s="371"/>
      <c r="E1182" s="371"/>
      <c r="F1182" s="371"/>
    </row>
    <row r="1183" customFormat="false" ht="11.25" hidden="false" customHeight="false" outlineLevel="0" collapsed="false">
      <c r="A1183" s="371"/>
      <c r="B1183" s="371"/>
      <c r="C1183" s="371"/>
      <c r="D1183" s="371"/>
      <c r="E1183" s="371"/>
      <c r="F1183" s="371"/>
    </row>
    <row r="1184" customFormat="false" ht="11.25" hidden="false" customHeight="false" outlineLevel="0" collapsed="false">
      <c r="A1184" s="371"/>
      <c r="B1184" s="371"/>
      <c r="C1184" s="371"/>
      <c r="D1184" s="371"/>
      <c r="E1184" s="371"/>
      <c r="F1184" s="371"/>
    </row>
    <row r="1185" customFormat="false" ht="11.25" hidden="false" customHeight="false" outlineLevel="0" collapsed="false">
      <c r="A1185" s="371"/>
      <c r="B1185" s="371"/>
      <c r="C1185" s="371"/>
      <c r="D1185" s="371"/>
      <c r="E1185" s="371"/>
      <c r="F1185" s="371"/>
    </row>
    <row r="1186" customFormat="false" ht="11.25" hidden="false" customHeight="false" outlineLevel="0" collapsed="false">
      <c r="A1186" s="371"/>
      <c r="B1186" s="371"/>
      <c r="C1186" s="371"/>
      <c r="D1186" s="371"/>
      <c r="E1186" s="371"/>
      <c r="F1186" s="371"/>
    </row>
    <row r="1187" customFormat="false" ht="11.25" hidden="false" customHeight="false" outlineLevel="0" collapsed="false">
      <c r="A1187" s="371"/>
      <c r="B1187" s="371"/>
      <c r="C1187" s="371"/>
      <c r="D1187" s="371"/>
      <c r="E1187" s="371"/>
      <c r="F1187" s="371"/>
    </row>
    <row r="1188" customFormat="false" ht="11.25" hidden="false" customHeight="false" outlineLevel="0" collapsed="false">
      <c r="A1188" s="371"/>
      <c r="B1188" s="371"/>
      <c r="C1188" s="371"/>
      <c r="D1188" s="371"/>
      <c r="E1188" s="371"/>
      <c r="F1188" s="371"/>
    </row>
    <row r="1189" customFormat="false" ht="11.25" hidden="false" customHeight="false" outlineLevel="0" collapsed="false">
      <c r="A1189" s="371"/>
      <c r="B1189" s="371"/>
      <c r="C1189" s="371"/>
      <c r="D1189" s="371"/>
      <c r="E1189" s="371"/>
      <c r="F1189" s="371"/>
    </row>
    <row r="1190" customFormat="false" ht="11.25" hidden="false" customHeight="false" outlineLevel="0" collapsed="false">
      <c r="A1190" s="371"/>
      <c r="B1190" s="371"/>
      <c r="C1190" s="371"/>
      <c r="D1190" s="371"/>
      <c r="E1190" s="371"/>
      <c r="F1190" s="371"/>
    </row>
    <row r="1191" customFormat="false" ht="11.25" hidden="false" customHeight="false" outlineLevel="0" collapsed="false">
      <c r="A1191" s="371"/>
      <c r="B1191" s="371"/>
      <c r="C1191" s="371"/>
      <c r="D1191" s="371"/>
      <c r="E1191" s="371"/>
      <c r="F1191" s="371"/>
    </row>
    <row r="1192" customFormat="false" ht="11.25" hidden="false" customHeight="false" outlineLevel="0" collapsed="false">
      <c r="A1192" s="371"/>
      <c r="B1192" s="371"/>
      <c r="C1192" s="371"/>
      <c r="D1192" s="371"/>
      <c r="E1192" s="371"/>
      <c r="F1192" s="371"/>
    </row>
    <row r="1193" customFormat="false" ht="11.25" hidden="false" customHeight="false" outlineLevel="0" collapsed="false">
      <c r="A1193" s="371"/>
      <c r="B1193" s="371"/>
      <c r="C1193" s="371"/>
      <c r="D1193" s="371"/>
      <c r="E1193" s="371"/>
      <c r="F1193" s="371"/>
    </row>
    <row r="1194" customFormat="false" ht="11.25" hidden="false" customHeight="false" outlineLevel="0" collapsed="false">
      <c r="A1194" s="371"/>
      <c r="B1194" s="371"/>
      <c r="C1194" s="371"/>
      <c r="D1194" s="371"/>
      <c r="E1194" s="371"/>
      <c r="F1194" s="371"/>
    </row>
    <row r="1195" customFormat="false" ht="11.25" hidden="false" customHeight="false" outlineLevel="0" collapsed="false">
      <c r="A1195" s="371"/>
      <c r="B1195" s="371"/>
      <c r="C1195" s="371"/>
      <c r="D1195" s="371"/>
      <c r="E1195" s="371"/>
      <c r="F1195" s="371"/>
    </row>
    <row r="1196" customFormat="false" ht="11.25" hidden="false" customHeight="false" outlineLevel="0" collapsed="false">
      <c r="A1196" s="371"/>
      <c r="B1196" s="371"/>
      <c r="C1196" s="371"/>
      <c r="D1196" s="371"/>
      <c r="E1196" s="371"/>
      <c r="F1196" s="371"/>
    </row>
    <row r="1197" customFormat="false" ht="11.25" hidden="false" customHeight="false" outlineLevel="0" collapsed="false">
      <c r="A1197" s="371"/>
      <c r="B1197" s="371"/>
      <c r="C1197" s="371"/>
      <c r="D1197" s="371"/>
      <c r="E1197" s="371"/>
      <c r="F1197" s="371"/>
    </row>
    <row r="1198" customFormat="false" ht="11.25" hidden="false" customHeight="false" outlineLevel="0" collapsed="false">
      <c r="A1198" s="371"/>
      <c r="B1198" s="371"/>
      <c r="C1198" s="371"/>
      <c r="D1198" s="371"/>
      <c r="E1198" s="371"/>
      <c r="F1198" s="371"/>
    </row>
    <row r="1199" customFormat="false" ht="11.25" hidden="false" customHeight="false" outlineLevel="0" collapsed="false">
      <c r="A1199" s="371"/>
      <c r="B1199" s="371"/>
      <c r="C1199" s="371"/>
      <c r="D1199" s="371"/>
      <c r="E1199" s="371"/>
      <c r="F1199" s="371"/>
    </row>
    <row r="1200" customFormat="false" ht="11.25" hidden="false" customHeight="false" outlineLevel="0" collapsed="false">
      <c r="A1200" s="371"/>
      <c r="B1200" s="371"/>
      <c r="C1200" s="371"/>
      <c r="D1200" s="371"/>
      <c r="E1200" s="371"/>
      <c r="F1200" s="371"/>
    </row>
    <row r="1201" customFormat="false" ht="11.25" hidden="false" customHeight="false" outlineLevel="0" collapsed="false">
      <c r="A1201" s="371"/>
      <c r="B1201" s="371"/>
      <c r="C1201" s="371"/>
      <c r="D1201" s="371"/>
      <c r="E1201" s="371"/>
      <c r="F1201" s="371"/>
    </row>
    <row r="1202" customFormat="false" ht="11.25" hidden="false" customHeight="false" outlineLevel="0" collapsed="false">
      <c r="A1202" s="371"/>
      <c r="B1202" s="371"/>
      <c r="C1202" s="371"/>
      <c r="D1202" s="371"/>
      <c r="E1202" s="371"/>
      <c r="F1202" s="371"/>
    </row>
    <row r="1203" customFormat="false" ht="11.25" hidden="false" customHeight="false" outlineLevel="0" collapsed="false">
      <c r="A1203" s="371"/>
      <c r="B1203" s="371"/>
      <c r="C1203" s="371"/>
      <c r="D1203" s="371"/>
      <c r="E1203" s="371"/>
      <c r="F1203" s="371"/>
    </row>
    <row r="1204" customFormat="false" ht="11.25" hidden="false" customHeight="false" outlineLevel="0" collapsed="false">
      <c r="A1204" s="371"/>
      <c r="B1204" s="371"/>
      <c r="C1204" s="371"/>
      <c r="D1204" s="371"/>
      <c r="E1204" s="371"/>
      <c r="F1204" s="371"/>
    </row>
    <row r="1205" customFormat="false" ht="11.25" hidden="false" customHeight="false" outlineLevel="0" collapsed="false">
      <c r="A1205" s="371"/>
      <c r="B1205" s="371"/>
      <c r="C1205" s="371"/>
      <c r="D1205" s="371"/>
      <c r="E1205" s="371"/>
      <c r="F1205" s="371"/>
    </row>
    <row r="1206" customFormat="false" ht="11.25" hidden="false" customHeight="false" outlineLevel="0" collapsed="false">
      <c r="A1206" s="371"/>
      <c r="B1206" s="371"/>
      <c r="C1206" s="371"/>
      <c r="D1206" s="371"/>
      <c r="E1206" s="371"/>
      <c r="F1206" s="371"/>
    </row>
    <row r="1207" customFormat="false" ht="11.25" hidden="false" customHeight="false" outlineLevel="0" collapsed="false">
      <c r="A1207" s="371"/>
      <c r="B1207" s="371"/>
      <c r="C1207" s="371"/>
      <c r="D1207" s="371"/>
      <c r="E1207" s="371"/>
      <c r="F1207" s="371"/>
    </row>
    <row r="1208" customFormat="false" ht="11.25" hidden="false" customHeight="false" outlineLevel="0" collapsed="false">
      <c r="A1208" s="371"/>
      <c r="B1208" s="371"/>
      <c r="C1208" s="371"/>
      <c r="D1208" s="371"/>
      <c r="E1208" s="371"/>
      <c r="F1208" s="371"/>
    </row>
    <row r="1209" customFormat="false" ht="11.25" hidden="false" customHeight="false" outlineLevel="0" collapsed="false">
      <c r="A1209" s="371"/>
      <c r="B1209" s="371"/>
      <c r="C1209" s="371"/>
      <c r="D1209" s="371"/>
      <c r="E1209" s="371"/>
      <c r="F1209" s="371"/>
    </row>
    <row r="1210" customFormat="false" ht="11.25" hidden="false" customHeight="false" outlineLevel="0" collapsed="false">
      <c r="A1210" s="371"/>
      <c r="B1210" s="371"/>
      <c r="C1210" s="371"/>
      <c r="D1210" s="371"/>
      <c r="E1210" s="371"/>
      <c r="F1210" s="371"/>
    </row>
    <row r="1211" customFormat="false" ht="11.25" hidden="false" customHeight="false" outlineLevel="0" collapsed="false">
      <c r="A1211" s="371"/>
      <c r="B1211" s="371"/>
      <c r="C1211" s="371"/>
      <c r="D1211" s="371"/>
      <c r="E1211" s="371"/>
      <c r="F1211" s="371"/>
    </row>
    <row r="1212" customFormat="false" ht="11.25" hidden="false" customHeight="false" outlineLevel="0" collapsed="false">
      <c r="A1212" s="371"/>
      <c r="B1212" s="371"/>
      <c r="C1212" s="371"/>
      <c r="D1212" s="371"/>
      <c r="E1212" s="371"/>
      <c r="F1212" s="371"/>
    </row>
    <row r="1213" customFormat="false" ht="11.25" hidden="false" customHeight="false" outlineLevel="0" collapsed="false">
      <c r="A1213" s="371"/>
      <c r="B1213" s="371"/>
      <c r="C1213" s="371"/>
      <c r="D1213" s="371"/>
      <c r="E1213" s="371"/>
      <c r="F1213" s="371"/>
    </row>
    <row r="1214" customFormat="false" ht="11.25" hidden="false" customHeight="false" outlineLevel="0" collapsed="false">
      <c r="A1214" s="371"/>
      <c r="B1214" s="371"/>
      <c r="C1214" s="371"/>
      <c r="D1214" s="371"/>
      <c r="E1214" s="371"/>
      <c r="F1214" s="371"/>
    </row>
    <row r="1215" customFormat="false" ht="11.25" hidden="false" customHeight="false" outlineLevel="0" collapsed="false">
      <c r="A1215" s="371"/>
      <c r="B1215" s="371"/>
      <c r="C1215" s="371"/>
      <c r="D1215" s="371"/>
      <c r="E1215" s="371"/>
      <c r="F1215" s="371"/>
    </row>
    <row r="1216" customFormat="false" ht="11.25" hidden="false" customHeight="false" outlineLevel="0" collapsed="false">
      <c r="A1216" s="371"/>
      <c r="B1216" s="371"/>
      <c r="C1216" s="371"/>
      <c r="D1216" s="371"/>
      <c r="E1216" s="371"/>
      <c r="F1216" s="371"/>
    </row>
    <row r="1217" customFormat="false" ht="11.25" hidden="false" customHeight="false" outlineLevel="0" collapsed="false">
      <c r="A1217" s="371"/>
      <c r="B1217" s="371"/>
      <c r="C1217" s="371"/>
      <c r="D1217" s="371"/>
      <c r="E1217" s="371"/>
      <c r="F1217" s="371"/>
    </row>
    <row r="1218" customFormat="false" ht="11.25" hidden="false" customHeight="false" outlineLevel="0" collapsed="false">
      <c r="A1218" s="371"/>
      <c r="B1218" s="371"/>
      <c r="C1218" s="371"/>
      <c r="D1218" s="371"/>
      <c r="E1218" s="371"/>
      <c r="F1218" s="371"/>
    </row>
    <row r="1219" customFormat="false" ht="11.25" hidden="false" customHeight="false" outlineLevel="0" collapsed="false">
      <c r="A1219" s="371"/>
      <c r="B1219" s="371"/>
      <c r="C1219" s="371"/>
      <c r="D1219" s="371"/>
      <c r="E1219" s="371"/>
      <c r="F1219" s="371"/>
    </row>
    <row r="1220" customFormat="false" ht="11.25" hidden="false" customHeight="false" outlineLevel="0" collapsed="false">
      <c r="A1220" s="371"/>
      <c r="B1220" s="371"/>
      <c r="C1220" s="371"/>
      <c r="D1220" s="371"/>
      <c r="E1220" s="371"/>
      <c r="F1220" s="371"/>
    </row>
    <row r="1221" customFormat="false" ht="11.25" hidden="false" customHeight="false" outlineLevel="0" collapsed="false">
      <c r="A1221" s="371"/>
      <c r="B1221" s="371"/>
      <c r="C1221" s="371"/>
      <c r="D1221" s="371"/>
      <c r="E1221" s="371"/>
      <c r="F1221" s="371"/>
    </row>
    <row r="1222" customFormat="false" ht="11.25" hidden="false" customHeight="false" outlineLevel="0" collapsed="false">
      <c r="A1222" s="371"/>
      <c r="B1222" s="371"/>
      <c r="C1222" s="371"/>
      <c r="D1222" s="371"/>
      <c r="E1222" s="371"/>
      <c r="F1222" s="371"/>
    </row>
    <row r="1223" customFormat="false" ht="11.25" hidden="false" customHeight="false" outlineLevel="0" collapsed="false">
      <c r="A1223" s="371"/>
      <c r="B1223" s="371"/>
      <c r="C1223" s="371"/>
      <c r="D1223" s="371"/>
      <c r="E1223" s="371"/>
      <c r="F1223" s="371"/>
    </row>
    <row r="1224" customFormat="false" ht="11.25" hidden="false" customHeight="false" outlineLevel="0" collapsed="false">
      <c r="A1224" s="371"/>
      <c r="B1224" s="371"/>
      <c r="C1224" s="371"/>
      <c r="D1224" s="371"/>
      <c r="E1224" s="371"/>
      <c r="F1224" s="371"/>
    </row>
    <row r="1225" customFormat="false" ht="11.25" hidden="false" customHeight="false" outlineLevel="0" collapsed="false">
      <c r="A1225" s="371"/>
      <c r="B1225" s="371"/>
      <c r="C1225" s="371"/>
      <c r="D1225" s="371"/>
      <c r="E1225" s="371"/>
      <c r="F1225" s="371"/>
    </row>
    <row r="1226" customFormat="false" ht="11.25" hidden="false" customHeight="false" outlineLevel="0" collapsed="false">
      <c r="A1226" s="371"/>
      <c r="B1226" s="371"/>
      <c r="C1226" s="371"/>
      <c r="D1226" s="371"/>
      <c r="E1226" s="371"/>
      <c r="F1226" s="371"/>
    </row>
    <row r="1227" customFormat="false" ht="11.25" hidden="false" customHeight="false" outlineLevel="0" collapsed="false">
      <c r="A1227" s="371"/>
      <c r="B1227" s="371"/>
      <c r="C1227" s="371"/>
      <c r="D1227" s="371"/>
      <c r="E1227" s="371"/>
      <c r="F1227" s="371"/>
    </row>
    <row r="1228" customFormat="false" ht="11.25" hidden="false" customHeight="false" outlineLevel="0" collapsed="false">
      <c r="A1228" s="371"/>
      <c r="B1228" s="371"/>
      <c r="C1228" s="371"/>
      <c r="D1228" s="371"/>
      <c r="E1228" s="371"/>
      <c r="F1228" s="371"/>
    </row>
    <row r="1229" customFormat="false" ht="11.25" hidden="false" customHeight="false" outlineLevel="0" collapsed="false">
      <c r="A1229" s="371"/>
      <c r="B1229" s="371"/>
      <c r="C1229" s="371"/>
      <c r="D1229" s="371"/>
      <c r="E1229" s="371"/>
      <c r="F1229" s="371"/>
    </row>
    <row r="1230" customFormat="false" ht="11.25" hidden="false" customHeight="false" outlineLevel="0" collapsed="false">
      <c r="A1230" s="371"/>
      <c r="B1230" s="371"/>
      <c r="C1230" s="371"/>
      <c r="D1230" s="371"/>
      <c r="E1230" s="371"/>
      <c r="F1230" s="371"/>
    </row>
    <row r="1231" customFormat="false" ht="11.25" hidden="false" customHeight="false" outlineLevel="0" collapsed="false">
      <c r="A1231" s="371"/>
      <c r="B1231" s="371"/>
      <c r="C1231" s="371"/>
      <c r="D1231" s="371"/>
      <c r="E1231" s="371"/>
      <c r="F1231" s="371"/>
    </row>
    <row r="1232" customFormat="false" ht="11.25" hidden="false" customHeight="false" outlineLevel="0" collapsed="false">
      <c r="A1232" s="371"/>
      <c r="B1232" s="371"/>
      <c r="C1232" s="371"/>
      <c r="D1232" s="371"/>
      <c r="E1232" s="371"/>
      <c r="F1232" s="371"/>
    </row>
    <row r="1233" customFormat="false" ht="11.25" hidden="false" customHeight="false" outlineLevel="0" collapsed="false">
      <c r="A1233" s="371"/>
      <c r="B1233" s="371"/>
      <c r="C1233" s="371"/>
      <c r="D1233" s="371"/>
      <c r="E1233" s="371"/>
      <c r="F1233" s="371"/>
    </row>
    <row r="1234" customFormat="false" ht="11.25" hidden="false" customHeight="false" outlineLevel="0" collapsed="false">
      <c r="A1234" s="371"/>
      <c r="B1234" s="371"/>
      <c r="C1234" s="371"/>
      <c r="D1234" s="371"/>
      <c r="E1234" s="371"/>
      <c r="F1234" s="371"/>
    </row>
    <row r="1235" customFormat="false" ht="11.25" hidden="false" customHeight="false" outlineLevel="0" collapsed="false">
      <c r="A1235" s="371"/>
      <c r="B1235" s="371"/>
      <c r="C1235" s="371"/>
      <c r="D1235" s="371"/>
      <c r="E1235" s="371"/>
      <c r="F1235" s="371"/>
    </row>
    <row r="1236" customFormat="false" ht="11.25" hidden="false" customHeight="false" outlineLevel="0" collapsed="false">
      <c r="A1236" s="371"/>
      <c r="B1236" s="371"/>
      <c r="C1236" s="371"/>
      <c r="D1236" s="371"/>
      <c r="E1236" s="371"/>
      <c r="F1236" s="371"/>
    </row>
    <row r="1237" customFormat="false" ht="11.25" hidden="false" customHeight="false" outlineLevel="0" collapsed="false">
      <c r="A1237" s="371"/>
      <c r="B1237" s="371"/>
      <c r="C1237" s="371"/>
      <c r="D1237" s="371"/>
      <c r="E1237" s="371"/>
      <c r="F1237" s="371"/>
    </row>
    <row r="1238" customFormat="false" ht="11.25" hidden="false" customHeight="false" outlineLevel="0" collapsed="false">
      <c r="A1238" s="371"/>
      <c r="B1238" s="371"/>
      <c r="C1238" s="371"/>
      <c r="D1238" s="371"/>
      <c r="E1238" s="371"/>
      <c r="F1238" s="371"/>
    </row>
    <row r="1239" customFormat="false" ht="11.25" hidden="false" customHeight="false" outlineLevel="0" collapsed="false">
      <c r="A1239" s="371"/>
      <c r="B1239" s="371"/>
      <c r="C1239" s="371"/>
      <c r="D1239" s="371"/>
      <c r="E1239" s="371"/>
      <c r="F1239" s="371"/>
    </row>
    <row r="1240" customFormat="false" ht="11.25" hidden="false" customHeight="false" outlineLevel="0" collapsed="false">
      <c r="A1240" s="371"/>
      <c r="B1240" s="371"/>
      <c r="C1240" s="371"/>
      <c r="D1240" s="371"/>
      <c r="E1240" s="371"/>
      <c r="F1240" s="371"/>
    </row>
    <row r="1241" customFormat="false" ht="11.25" hidden="false" customHeight="false" outlineLevel="0" collapsed="false">
      <c r="A1241" s="371"/>
      <c r="B1241" s="371"/>
      <c r="C1241" s="371"/>
      <c r="D1241" s="371"/>
      <c r="E1241" s="371"/>
      <c r="F1241" s="371"/>
    </row>
    <row r="1242" customFormat="false" ht="11.25" hidden="false" customHeight="false" outlineLevel="0" collapsed="false">
      <c r="A1242" s="371"/>
      <c r="B1242" s="371"/>
      <c r="C1242" s="371"/>
      <c r="D1242" s="371"/>
      <c r="E1242" s="371"/>
      <c r="F1242" s="371"/>
    </row>
    <row r="1243" customFormat="false" ht="11.25" hidden="false" customHeight="false" outlineLevel="0" collapsed="false">
      <c r="A1243" s="371"/>
      <c r="B1243" s="371"/>
      <c r="C1243" s="371"/>
      <c r="D1243" s="371"/>
      <c r="E1243" s="371"/>
      <c r="F1243" s="371"/>
    </row>
    <row r="1244" customFormat="false" ht="11.25" hidden="false" customHeight="false" outlineLevel="0" collapsed="false">
      <c r="A1244" s="371"/>
      <c r="B1244" s="371"/>
      <c r="C1244" s="371"/>
      <c r="D1244" s="371"/>
      <c r="E1244" s="371"/>
      <c r="F1244" s="371"/>
    </row>
    <row r="1245" customFormat="false" ht="11.25" hidden="false" customHeight="false" outlineLevel="0" collapsed="false">
      <c r="A1245" s="371"/>
      <c r="B1245" s="371"/>
      <c r="C1245" s="371"/>
      <c r="D1245" s="371"/>
      <c r="E1245" s="371"/>
      <c r="F1245" s="371"/>
    </row>
    <row r="1246" customFormat="false" ht="11.25" hidden="false" customHeight="false" outlineLevel="0" collapsed="false">
      <c r="A1246" s="371"/>
      <c r="B1246" s="371"/>
      <c r="C1246" s="371"/>
      <c r="D1246" s="371"/>
      <c r="E1246" s="371"/>
      <c r="F1246" s="371"/>
    </row>
    <row r="1247" customFormat="false" ht="11.25" hidden="false" customHeight="false" outlineLevel="0" collapsed="false">
      <c r="A1247" s="371"/>
      <c r="B1247" s="371"/>
      <c r="C1247" s="371"/>
      <c r="D1247" s="371"/>
      <c r="E1247" s="371"/>
      <c r="F1247" s="371"/>
    </row>
    <row r="1248" customFormat="false" ht="11.25" hidden="false" customHeight="false" outlineLevel="0" collapsed="false">
      <c r="A1248" s="371"/>
      <c r="B1248" s="371"/>
      <c r="C1248" s="371"/>
      <c r="D1248" s="371"/>
      <c r="E1248" s="371"/>
      <c r="F1248" s="371"/>
    </row>
    <row r="1249" customFormat="false" ht="11.25" hidden="false" customHeight="false" outlineLevel="0" collapsed="false">
      <c r="A1249" s="371"/>
      <c r="B1249" s="371"/>
      <c r="C1249" s="371"/>
      <c r="D1249" s="371"/>
      <c r="E1249" s="371"/>
      <c r="F1249" s="371"/>
    </row>
    <row r="1250" customFormat="false" ht="11.25" hidden="false" customHeight="false" outlineLevel="0" collapsed="false">
      <c r="A1250" s="371"/>
      <c r="B1250" s="371"/>
      <c r="C1250" s="371"/>
      <c r="D1250" s="371"/>
      <c r="E1250" s="371"/>
      <c r="F1250" s="371"/>
    </row>
    <row r="1251" customFormat="false" ht="11.25" hidden="false" customHeight="false" outlineLevel="0" collapsed="false">
      <c r="A1251" s="371"/>
      <c r="B1251" s="371"/>
      <c r="C1251" s="371"/>
      <c r="D1251" s="371"/>
      <c r="E1251" s="371"/>
      <c r="F1251" s="371"/>
    </row>
    <row r="1252" customFormat="false" ht="11.25" hidden="false" customHeight="false" outlineLevel="0" collapsed="false">
      <c r="A1252" s="371"/>
      <c r="B1252" s="371"/>
      <c r="C1252" s="371"/>
      <c r="D1252" s="371"/>
      <c r="E1252" s="371"/>
      <c r="F1252" s="371"/>
    </row>
    <row r="1253" customFormat="false" ht="11.25" hidden="false" customHeight="false" outlineLevel="0" collapsed="false">
      <c r="A1253" s="371"/>
      <c r="B1253" s="371"/>
      <c r="C1253" s="371"/>
      <c r="D1253" s="371"/>
      <c r="E1253" s="371"/>
      <c r="F1253" s="371"/>
    </row>
    <row r="1254" customFormat="false" ht="11.25" hidden="false" customHeight="false" outlineLevel="0" collapsed="false">
      <c r="A1254" s="371"/>
      <c r="B1254" s="371"/>
      <c r="C1254" s="371"/>
      <c r="D1254" s="371"/>
      <c r="E1254" s="371"/>
      <c r="F1254" s="371"/>
    </row>
    <row r="1255" customFormat="false" ht="11.25" hidden="false" customHeight="false" outlineLevel="0" collapsed="false">
      <c r="A1255" s="371"/>
      <c r="B1255" s="371"/>
      <c r="C1255" s="371"/>
      <c r="D1255" s="371"/>
      <c r="E1255" s="371"/>
      <c r="F1255" s="371"/>
    </row>
    <row r="1256" customFormat="false" ht="11.25" hidden="false" customHeight="false" outlineLevel="0" collapsed="false">
      <c r="A1256" s="371"/>
      <c r="B1256" s="371"/>
      <c r="C1256" s="371"/>
      <c r="D1256" s="371"/>
      <c r="E1256" s="371"/>
      <c r="F1256" s="371"/>
    </row>
    <row r="1257" customFormat="false" ht="11.25" hidden="false" customHeight="false" outlineLevel="0" collapsed="false">
      <c r="A1257" s="371"/>
      <c r="B1257" s="371"/>
      <c r="C1257" s="371"/>
      <c r="D1257" s="371"/>
      <c r="E1257" s="371"/>
      <c r="F1257" s="371"/>
    </row>
    <row r="1258" customFormat="false" ht="11.25" hidden="false" customHeight="false" outlineLevel="0" collapsed="false">
      <c r="A1258" s="371"/>
      <c r="B1258" s="371"/>
      <c r="C1258" s="371"/>
      <c r="D1258" s="371"/>
      <c r="E1258" s="371"/>
      <c r="F1258" s="371"/>
    </row>
    <row r="1259" customFormat="false" ht="11.25" hidden="false" customHeight="false" outlineLevel="0" collapsed="false">
      <c r="A1259" s="371"/>
      <c r="B1259" s="371"/>
      <c r="C1259" s="371"/>
      <c r="D1259" s="371"/>
      <c r="E1259" s="371"/>
      <c r="F1259" s="371"/>
    </row>
    <row r="1260" customFormat="false" ht="11.25" hidden="false" customHeight="false" outlineLevel="0" collapsed="false">
      <c r="A1260" s="371"/>
      <c r="B1260" s="371"/>
      <c r="C1260" s="371"/>
      <c r="D1260" s="371"/>
      <c r="E1260" s="371"/>
      <c r="F1260" s="371"/>
    </row>
    <row r="1261" customFormat="false" ht="11.25" hidden="false" customHeight="false" outlineLevel="0" collapsed="false">
      <c r="A1261" s="371"/>
      <c r="B1261" s="371"/>
      <c r="C1261" s="371"/>
      <c r="D1261" s="371"/>
      <c r="E1261" s="371"/>
      <c r="F1261" s="371"/>
    </row>
    <row r="1262" customFormat="false" ht="11.25" hidden="false" customHeight="false" outlineLevel="0" collapsed="false">
      <c r="A1262" s="371"/>
      <c r="B1262" s="371"/>
      <c r="C1262" s="371"/>
      <c r="D1262" s="371"/>
      <c r="E1262" s="371"/>
      <c r="F1262" s="371"/>
    </row>
    <row r="1263" customFormat="false" ht="11.25" hidden="false" customHeight="false" outlineLevel="0" collapsed="false">
      <c r="A1263" s="371"/>
      <c r="B1263" s="371"/>
      <c r="C1263" s="371"/>
      <c r="D1263" s="371"/>
      <c r="E1263" s="371"/>
      <c r="F1263" s="371"/>
    </row>
    <row r="1264" customFormat="false" ht="11.25" hidden="false" customHeight="false" outlineLevel="0" collapsed="false">
      <c r="A1264" s="371"/>
      <c r="B1264" s="371"/>
      <c r="C1264" s="371"/>
      <c r="D1264" s="371"/>
      <c r="E1264" s="371"/>
      <c r="F1264" s="371"/>
    </row>
    <row r="1265" customFormat="false" ht="11.25" hidden="false" customHeight="false" outlineLevel="0" collapsed="false">
      <c r="A1265" s="371"/>
      <c r="B1265" s="371"/>
      <c r="C1265" s="371"/>
      <c r="D1265" s="371"/>
      <c r="E1265" s="371"/>
      <c r="F1265" s="371"/>
    </row>
    <row r="1266" customFormat="false" ht="11.25" hidden="false" customHeight="false" outlineLevel="0" collapsed="false">
      <c r="A1266" s="371"/>
      <c r="B1266" s="371"/>
      <c r="C1266" s="371"/>
      <c r="D1266" s="371"/>
      <c r="E1266" s="371"/>
      <c r="F1266" s="371"/>
    </row>
    <row r="1267" customFormat="false" ht="11.25" hidden="false" customHeight="false" outlineLevel="0" collapsed="false">
      <c r="A1267" s="371"/>
      <c r="B1267" s="371"/>
      <c r="C1267" s="371"/>
      <c r="D1267" s="371"/>
      <c r="E1267" s="371"/>
      <c r="F1267" s="371"/>
    </row>
    <row r="1268" customFormat="false" ht="11.25" hidden="false" customHeight="false" outlineLevel="0" collapsed="false">
      <c r="A1268" s="371"/>
      <c r="B1268" s="371"/>
      <c r="C1268" s="371"/>
      <c r="D1268" s="371"/>
      <c r="E1268" s="371"/>
      <c r="F1268" s="371"/>
    </row>
    <row r="1269" customFormat="false" ht="11.25" hidden="false" customHeight="false" outlineLevel="0" collapsed="false">
      <c r="A1269" s="371"/>
      <c r="B1269" s="371"/>
      <c r="C1269" s="371"/>
      <c r="D1269" s="371"/>
      <c r="E1269" s="371"/>
      <c r="F1269" s="371"/>
    </row>
    <row r="1270" customFormat="false" ht="11.25" hidden="false" customHeight="false" outlineLevel="0" collapsed="false">
      <c r="A1270" s="371"/>
      <c r="B1270" s="371"/>
      <c r="C1270" s="371"/>
      <c r="D1270" s="371"/>
      <c r="E1270" s="371"/>
      <c r="F1270" s="371"/>
    </row>
    <row r="1271" customFormat="false" ht="11.25" hidden="false" customHeight="false" outlineLevel="0" collapsed="false">
      <c r="A1271" s="371"/>
      <c r="B1271" s="371"/>
      <c r="C1271" s="371"/>
      <c r="D1271" s="371"/>
      <c r="E1271" s="371"/>
      <c r="F1271" s="371"/>
    </row>
    <row r="1272" customFormat="false" ht="11.25" hidden="false" customHeight="false" outlineLevel="0" collapsed="false">
      <c r="A1272" s="371"/>
      <c r="B1272" s="371"/>
      <c r="C1272" s="371"/>
      <c r="D1272" s="371"/>
      <c r="E1272" s="371"/>
      <c r="F1272" s="371"/>
    </row>
    <row r="1273" customFormat="false" ht="11.25" hidden="false" customHeight="false" outlineLevel="0" collapsed="false">
      <c r="A1273" s="371"/>
      <c r="B1273" s="371"/>
      <c r="C1273" s="371"/>
      <c r="D1273" s="371"/>
      <c r="E1273" s="371"/>
      <c r="F1273" s="371"/>
    </row>
    <row r="1274" customFormat="false" ht="11.25" hidden="false" customHeight="false" outlineLevel="0" collapsed="false">
      <c r="A1274" s="371"/>
      <c r="B1274" s="371"/>
      <c r="C1274" s="371"/>
      <c r="D1274" s="371"/>
      <c r="E1274" s="371"/>
      <c r="F1274" s="371"/>
    </row>
    <row r="1275" customFormat="false" ht="11.25" hidden="false" customHeight="false" outlineLevel="0" collapsed="false">
      <c r="A1275" s="371"/>
      <c r="B1275" s="371"/>
      <c r="C1275" s="371"/>
      <c r="D1275" s="371"/>
      <c r="E1275" s="371"/>
      <c r="F1275" s="371"/>
    </row>
    <row r="1276" customFormat="false" ht="11.25" hidden="false" customHeight="false" outlineLevel="0" collapsed="false">
      <c r="A1276" s="371"/>
      <c r="B1276" s="371"/>
      <c r="C1276" s="371"/>
      <c r="D1276" s="371"/>
      <c r="E1276" s="371"/>
      <c r="F1276" s="371"/>
    </row>
    <row r="1277" customFormat="false" ht="11.25" hidden="false" customHeight="false" outlineLevel="0" collapsed="false">
      <c r="A1277" s="371"/>
      <c r="B1277" s="371"/>
      <c r="C1277" s="371"/>
      <c r="D1277" s="371"/>
      <c r="E1277" s="371"/>
      <c r="F1277" s="371"/>
    </row>
    <row r="1278" customFormat="false" ht="11.25" hidden="false" customHeight="false" outlineLevel="0" collapsed="false">
      <c r="A1278" s="371"/>
      <c r="B1278" s="371"/>
      <c r="C1278" s="371"/>
      <c r="D1278" s="371"/>
      <c r="E1278" s="371"/>
      <c r="F1278" s="371"/>
    </row>
    <row r="1279" customFormat="false" ht="11.25" hidden="false" customHeight="false" outlineLevel="0" collapsed="false">
      <c r="A1279" s="371"/>
      <c r="B1279" s="371"/>
      <c r="C1279" s="371"/>
      <c r="D1279" s="371"/>
      <c r="E1279" s="371"/>
      <c r="F1279" s="371"/>
    </row>
    <row r="1280" customFormat="false" ht="11.25" hidden="false" customHeight="false" outlineLevel="0" collapsed="false">
      <c r="A1280" s="371"/>
      <c r="B1280" s="371"/>
      <c r="C1280" s="371"/>
      <c r="D1280" s="371"/>
      <c r="E1280" s="371"/>
      <c r="F1280" s="371"/>
    </row>
    <row r="1281" customFormat="false" ht="11.25" hidden="false" customHeight="false" outlineLevel="0" collapsed="false">
      <c r="A1281" s="371"/>
      <c r="B1281" s="371"/>
      <c r="C1281" s="371"/>
      <c r="D1281" s="371"/>
      <c r="E1281" s="371"/>
      <c r="F1281" s="371"/>
    </row>
    <row r="1282" customFormat="false" ht="11.25" hidden="false" customHeight="false" outlineLevel="0" collapsed="false">
      <c r="A1282" s="371"/>
      <c r="B1282" s="371"/>
      <c r="C1282" s="371"/>
      <c r="D1282" s="371"/>
      <c r="E1282" s="371"/>
      <c r="F1282" s="371"/>
    </row>
    <row r="1283" customFormat="false" ht="11.25" hidden="false" customHeight="false" outlineLevel="0" collapsed="false">
      <c r="A1283" s="371"/>
      <c r="B1283" s="371"/>
      <c r="C1283" s="371"/>
      <c r="D1283" s="371"/>
      <c r="E1283" s="371"/>
      <c r="F1283" s="371"/>
    </row>
    <row r="1284" customFormat="false" ht="11.25" hidden="false" customHeight="false" outlineLevel="0" collapsed="false">
      <c r="A1284" s="371"/>
      <c r="B1284" s="371"/>
      <c r="C1284" s="371"/>
      <c r="D1284" s="371"/>
      <c r="E1284" s="371"/>
      <c r="F1284" s="371"/>
    </row>
    <row r="1285" customFormat="false" ht="11.25" hidden="false" customHeight="false" outlineLevel="0" collapsed="false">
      <c r="A1285" s="371"/>
      <c r="B1285" s="371"/>
      <c r="C1285" s="371"/>
      <c r="D1285" s="371"/>
      <c r="E1285" s="371"/>
      <c r="F1285" s="371"/>
    </row>
    <row r="1286" customFormat="false" ht="11.25" hidden="false" customHeight="false" outlineLevel="0" collapsed="false">
      <c r="A1286" s="371"/>
      <c r="B1286" s="371"/>
      <c r="C1286" s="371"/>
      <c r="D1286" s="371"/>
      <c r="E1286" s="371"/>
      <c r="F1286" s="371"/>
    </row>
    <row r="1287" customFormat="false" ht="11.25" hidden="false" customHeight="false" outlineLevel="0" collapsed="false">
      <c r="A1287" s="371"/>
      <c r="B1287" s="371"/>
      <c r="C1287" s="371"/>
      <c r="D1287" s="371"/>
      <c r="E1287" s="371"/>
      <c r="F1287" s="371"/>
    </row>
    <row r="1288" customFormat="false" ht="11.25" hidden="false" customHeight="false" outlineLevel="0" collapsed="false">
      <c r="A1288" s="371"/>
      <c r="B1288" s="371"/>
      <c r="C1288" s="371"/>
      <c r="D1288" s="371"/>
      <c r="E1288" s="371"/>
      <c r="F1288" s="371"/>
    </row>
    <row r="1289" customFormat="false" ht="11.25" hidden="false" customHeight="false" outlineLevel="0" collapsed="false">
      <c r="A1289" s="371"/>
      <c r="B1289" s="371"/>
      <c r="C1289" s="371"/>
      <c r="D1289" s="371"/>
      <c r="E1289" s="371"/>
      <c r="F1289" s="371"/>
    </row>
    <row r="1290" customFormat="false" ht="11.25" hidden="false" customHeight="false" outlineLevel="0" collapsed="false">
      <c r="A1290" s="371"/>
      <c r="B1290" s="371"/>
      <c r="C1290" s="371"/>
      <c r="D1290" s="371"/>
      <c r="E1290" s="371"/>
      <c r="F1290" s="371"/>
    </row>
    <row r="1291" customFormat="false" ht="11.25" hidden="false" customHeight="false" outlineLevel="0" collapsed="false">
      <c r="A1291" s="371"/>
      <c r="B1291" s="371"/>
      <c r="C1291" s="371"/>
      <c r="D1291" s="371"/>
      <c r="E1291" s="371"/>
      <c r="F1291" s="371"/>
    </row>
    <row r="1292" customFormat="false" ht="11.25" hidden="false" customHeight="false" outlineLevel="0" collapsed="false">
      <c r="A1292" s="371"/>
      <c r="B1292" s="371"/>
      <c r="C1292" s="371"/>
      <c r="D1292" s="371"/>
      <c r="E1292" s="371"/>
      <c r="F1292" s="371"/>
    </row>
    <row r="1293" customFormat="false" ht="11.25" hidden="false" customHeight="false" outlineLevel="0" collapsed="false">
      <c r="A1293" s="371"/>
      <c r="B1293" s="371"/>
      <c r="C1293" s="371"/>
      <c r="D1293" s="371"/>
      <c r="E1293" s="371"/>
      <c r="F1293" s="371"/>
    </row>
    <row r="1294" customFormat="false" ht="11.25" hidden="false" customHeight="false" outlineLevel="0" collapsed="false">
      <c r="A1294" s="371"/>
      <c r="B1294" s="371"/>
      <c r="C1294" s="371"/>
      <c r="D1294" s="371"/>
      <c r="E1294" s="371"/>
      <c r="F1294" s="371"/>
    </row>
    <row r="1295" customFormat="false" ht="11.25" hidden="false" customHeight="false" outlineLevel="0" collapsed="false">
      <c r="A1295" s="371"/>
      <c r="B1295" s="371"/>
      <c r="C1295" s="371"/>
      <c r="D1295" s="371"/>
      <c r="E1295" s="371"/>
      <c r="F1295" s="371"/>
    </row>
    <row r="1296" customFormat="false" ht="11.25" hidden="false" customHeight="false" outlineLevel="0" collapsed="false">
      <c r="A1296" s="371"/>
      <c r="B1296" s="371"/>
      <c r="C1296" s="371"/>
      <c r="D1296" s="371"/>
      <c r="E1296" s="371"/>
      <c r="F1296" s="371"/>
    </row>
    <row r="1297" customFormat="false" ht="11.25" hidden="false" customHeight="false" outlineLevel="0" collapsed="false">
      <c r="A1297" s="371"/>
      <c r="B1297" s="371"/>
      <c r="C1297" s="371"/>
      <c r="D1297" s="371"/>
      <c r="E1297" s="371"/>
      <c r="F1297" s="371"/>
    </row>
    <row r="1298" customFormat="false" ht="11.25" hidden="false" customHeight="false" outlineLevel="0" collapsed="false">
      <c r="A1298" s="371"/>
      <c r="B1298" s="371"/>
      <c r="C1298" s="371"/>
      <c r="D1298" s="371"/>
      <c r="E1298" s="371"/>
      <c r="F1298" s="371"/>
    </row>
    <row r="1299" customFormat="false" ht="11.25" hidden="false" customHeight="false" outlineLevel="0" collapsed="false">
      <c r="A1299" s="371"/>
      <c r="B1299" s="371"/>
      <c r="C1299" s="371"/>
      <c r="D1299" s="371"/>
      <c r="E1299" s="371"/>
      <c r="F1299" s="371"/>
    </row>
    <row r="1300" customFormat="false" ht="11.25" hidden="false" customHeight="false" outlineLevel="0" collapsed="false">
      <c r="A1300" s="371"/>
      <c r="B1300" s="371"/>
      <c r="C1300" s="371"/>
      <c r="D1300" s="371"/>
      <c r="E1300" s="371"/>
      <c r="F1300" s="371"/>
    </row>
    <row r="1301" customFormat="false" ht="11.25" hidden="false" customHeight="false" outlineLevel="0" collapsed="false">
      <c r="A1301" s="371"/>
      <c r="B1301" s="371"/>
      <c r="C1301" s="371"/>
      <c r="D1301" s="371"/>
      <c r="E1301" s="371"/>
      <c r="F1301" s="371"/>
    </row>
    <row r="1302" customFormat="false" ht="11.25" hidden="false" customHeight="false" outlineLevel="0" collapsed="false">
      <c r="A1302" s="371"/>
      <c r="B1302" s="371"/>
      <c r="C1302" s="371"/>
      <c r="D1302" s="371"/>
      <c r="E1302" s="371"/>
      <c r="F1302" s="371"/>
    </row>
    <row r="1303" customFormat="false" ht="11.25" hidden="false" customHeight="false" outlineLevel="0" collapsed="false">
      <c r="A1303" s="371"/>
      <c r="B1303" s="371"/>
      <c r="C1303" s="371"/>
      <c r="D1303" s="371"/>
      <c r="E1303" s="371"/>
      <c r="F1303" s="371"/>
    </row>
    <row r="1304" customFormat="false" ht="11.25" hidden="false" customHeight="false" outlineLevel="0" collapsed="false">
      <c r="A1304" s="371"/>
      <c r="B1304" s="371"/>
      <c r="C1304" s="371"/>
      <c r="D1304" s="371"/>
      <c r="E1304" s="371"/>
      <c r="F1304" s="371"/>
    </row>
    <row r="1305" customFormat="false" ht="11.25" hidden="false" customHeight="false" outlineLevel="0" collapsed="false">
      <c r="A1305" s="371"/>
      <c r="B1305" s="371"/>
      <c r="C1305" s="371"/>
      <c r="D1305" s="371"/>
      <c r="E1305" s="371"/>
      <c r="F1305" s="371"/>
    </row>
    <row r="1306" customFormat="false" ht="11.25" hidden="false" customHeight="false" outlineLevel="0" collapsed="false">
      <c r="A1306" s="371"/>
      <c r="B1306" s="371"/>
      <c r="C1306" s="371"/>
      <c r="D1306" s="371"/>
      <c r="E1306" s="371"/>
      <c r="F1306" s="371"/>
    </row>
  </sheetData>
  <mergeCells count="2">
    <mergeCell ref="G2:I2"/>
    <mergeCell ref="G3: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D5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" width="9.7"/>
    <col collapsed="false" customWidth="true" hidden="false" outlineLevel="0" max="3" min="2" style="5" width="10.71"/>
    <col collapsed="false" customWidth="true" hidden="false" outlineLevel="0" max="4" min="4" style="5" width="12.7"/>
    <col collapsed="false" customWidth="true" hidden="false" outlineLevel="0" max="5" min="5" style="5" width="15.7"/>
    <col collapsed="false" customWidth="true" hidden="false" outlineLevel="0" max="6" min="6" style="5" width="14.99"/>
    <col collapsed="false" customWidth="true" hidden="false" outlineLevel="0" max="7" min="7" style="5" width="15.7"/>
    <col collapsed="false" customWidth="true" hidden="false" outlineLevel="0" max="8" min="8" style="5" width="12.99"/>
    <col collapsed="false" customWidth="true" hidden="false" outlineLevel="0" max="13" min="9" style="5" width="9.7"/>
    <col collapsed="false" customWidth="true" hidden="false" outlineLevel="0" max="22" min="14" style="5" width="12.7"/>
    <col collapsed="false" customWidth="true" hidden="false" outlineLevel="0" max="23" min="23" style="5" width="8.7"/>
    <col collapsed="false" customWidth="true" hidden="false" outlineLevel="0" max="25" min="24" style="5" width="10.71"/>
    <col collapsed="false" customWidth="true" hidden="false" outlineLevel="0" max="26" min="26" style="5" width="8.7"/>
    <col collapsed="false" customWidth="true" hidden="false" outlineLevel="0" max="27" min="27" style="5" width="11.99"/>
    <col collapsed="false" customWidth="true" hidden="false" outlineLevel="0" max="54" min="28" style="5" width="9.14"/>
  </cols>
  <sheetData>
    <row r="1" customFormat="false" ht="24.75" hidden="false" customHeight="false" outlineLevel="0" collapsed="false">
      <c r="A1" s="31" t="s">
        <v>71</v>
      </c>
      <c r="C1" s="5" t="s">
        <v>72</v>
      </c>
      <c r="D1" s="93" t="n">
        <f aca="false">'opt calc'!AG31</f>
        <v>-8676</v>
      </c>
      <c r="E1" s="94" t="n">
        <v>0</v>
      </c>
      <c r="F1" s="5" t="n">
        <f aca="false">30*0.2</f>
        <v>6</v>
      </c>
      <c r="G1" s="5" t="n">
        <f aca="false">360*6.5</f>
        <v>2340</v>
      </c>
      <c r="H1" s="95" t="n">
        <f aca="false">90*36*0.035*10000</f>
        <v>1134000</v>
      </c>
      <c r="I1" s="5" t="n">
        <f aca="false">0.42*365*10000</f>
        <v>1533000</v>
      </c>
      <c r="J1" s="5" t="s">
        <v>73</v>
      </c>
      <c r="K1" s="96" t="s">
        <v>74</v>
      </c>
      <c r="L1" s="97"/>
      <c r="M1" s="98" t="n">
        <v>1</v>
      </c>
      <c r="N1" s="99" t="str">
        <f aca="false">IF($M$1=0,"FIXED","INDEX")</f>
        <v>INDEX</v>
      </c>
      <c r="O1" s="98" t="s">
        <v>75</v>
      </c>
      <c r="P1" s="100" t="s">
        <v>76</v>
      </c>
      <c r="Q1" s="9" t="n">
        <v>1</v>
      </c>
      <c r="R1" s="9"/>
      <c r="X1" s="101"/>
      <c r="Y1" s="31" t="s">
        <v>77</v>
      </c>
      <c r="Z1" s="102"/>
      <c r="AA1" s="102"/>
      <c r="AB1" s="102"/>
    </row>
    <row r="2" customFormat="false" ht="13.5" hidden="false" customHeight="false" outlineLevel="0" collapsed="false">
      <c r="A2" s="31" t="s">
        <v>78</v>
      </c>
      <c r="B2" s="103" t="n">
        <f aca="false">B6+B7</f>
        <v>3.091</v>
      </c>
      <c r="C2" s="103" t="n">
        <f aca="false">C6+C7</f>
        <v>2.6616186440678</v>
      </c>
      <c r="D2" s="103" t="n">
        <f aca="false">D6+D7</f>
        <v>2.35445327102804</v>
      </c>
      <c r="E2" s="103" t="n">
        <f aca="false">E6+E7</f>
        <v>2.8959953271028</v>
      </c>
      <c r="F2" s="5" t="s">
        <v>79</v>
      </c>
      <c r="G2" s="9" t="s">
        <v>80</v>
      </c>
      <c r="H2" s="9" t="s">
        <v>32</v>
      </c>
      <c r="I2" s="9" t="s">
        <v>28</v>
      </c>
      <c r="J2" s="9" t="s">
        <v>28</v>
      </c>
      <c r="K2" s="9"/>
      <c r="L2" s="9" t="s">
        <v>81</v>
      </c>
      <c r="M2" s="9" t="s">
        <v>16</v>
      </c>
      <c r="N2" s="9" t="s">
        <v>32</v>
      </c>
      <c r="O2" s="9" t="s">
        <v>35</v>
      </c>
      <c r="P2" s="5" t="e">
        <f aca="false">((N16*P1)+(O16*Q1))/(P1+Q1)</f>
        <v>#VALUE!</v>
      </c>
      <c r="Q2" s="9"/>
      <c r="R2" s="5" t="e">
        <f aca="false">((P17*5)+(Q17*7))/12</f>
        <v>#DIV/0!</v>
      </c>
      <c r="W2" s="104" t="n">
        <v>1.5</v>
      </c>
      <c r="Z2" s="21"/>
      <c r="AA2" s="21"/>
      <c r="AB2" s="21"/>
    </row>
    <row r="3" customFormat="false" ht="12.75" hidden="false" customHeight="false" outlineLevel="0" collapsed="false">
      <c r="A3" s="21" t="s">
        <v>82</v>
      </c>
      <c r="B3" s="9" t="s">
        <v>83</v>
      </c>
      <c r="C3" s="9" t="s">
        <v>83</v>
      </c>
      <c r="D3" s="9" t="s">
        <v>28</v>
      </c>
      <c r="E3" s="9" t="s">
        <v>60</v>
      </c>
      <c r="F3" s="51" t="s">
        <v>82</v>
      </c>
      <c r="G3" s="9" t="s">
        <v>76</v>
      </c>
      <c r="H3" s="9" t="s">
        <v>76</v>
      </c>
      <c r="I3" s="9" t="s">
        <v>76</v>
      </c>
      <c r="J3" s="9" t="s">
        <v>76</v>
      </c>
      <c r="L3" s="9" t="s">
        <v>84</v>
      </c>
      <c r="M3" s="9" t="s">
        <v>84</v>
      </c>
      <c r="N3" s="9" t="s">
        <v>32</v>
      </c>
      <c r="O3" s="9" t="s">
        <v>35</v>
      </c>
      <c r="Q3" s="9"/>
      <c r="R3" s="9"/>
      <c r="W3" s="104"/>
      <c r="Z3" s="21"/>
      <c r="AA3" s="21" t="n">
        <f aca="false">AVERAGE(AA6:AA9)</f>
        <v>0.52625</v>
      </c>
      <c r="AB3" s="21"/>
    </row>
    <row r="4" customFormat="false" ht="15.75" hidden="false" customHeight="false" outlineLevel="0" collapsed="false">
      <c r="A4" s="105" t="s">
        <v>85</v>
      </c>
      <c r="B4" s="106" t="n">
        <v>37561</v>
      </c>
      <c r="C4" s="106" t="n">
        <v>37257</v>
      </c>
      <c r="D4" s="106" t="n">
        <v>37347</v>
      </c>
      <c r="E4" s="106" t="n">
        <v>37347</v>
      </c>
      <c r="F4" s="107" t="s">
        <v>85</v>
      </c>
      <c r="G4" s="106" t="n">
        <v>37257</v>
      </c>
      <c r="H4" s="106" t="n">
        <v>37347</v>
      </c>
      <c r="I4" s="106" t="n">
        <v>37347</v>
      </c>
      <c r="J4" s="106" t="n">
        <v>37226</v>
      </c>
      <c r="K4" s="51" t="s">
        <v>85</v>
      </c>
      <c r="L4" s="106" t="n">
        <v>37226</v>
      </c>
      <c r="M4" s="106" t="n">
        <v>37226</v>
      </c>
      <c r="N4" s="106" t="n">
        <v>37347</v>
      </c>
      <c r="O4" s="106" t="n">
        <v>37257</v>
      </c>
      <c r="Q4" s="9" t="s">
        <v>86</v>
      </c>
      <c r="R4" s="108" t="n">
        <f aca="false">AVERAGE(L31:L34)</f>
        <v>0.915</v>
      </c>
      <c r="T4" s="26"/>
      <c r="U4" s="26"/>
      <c r="V4" s="26"/>
      <c r="W4" s="26" t="n">
        <v>180</v>
      </c>
      <c r="Z4" s="21"/>
      <c r="AA4" s="21"/>
      <c r="AB4" s="21"/>
    </row>
    <row r="5" customFormat="false" ht="16.5" hidden="false" customHeight="false" outlineLevel="0" collapsed="false">
      <c r="A5" s="105" t="s">
        <v>87</v>
      </c>
      <c r="B5" s="106" t="n">
        <v>37561</v>
      </c>
      <c r="C5" s="106" t="n">
        <v>37288</v>
      </c>
      <c r="D5" s="106" t="n">
        <v>37530</v>
      </c>
      <c r="E5" s="106" t="n">
        <v>37530</v>
      </c>
      <c r="F5" s="107" t="n">
        <v>10</v>
      </c>
      <c r="G5" s="106" t="n">
        <v>38261</v>
      </c>
      <c r="H5" s="106" t="n">
        <v>37530</v>
      </c>
      <c r="I5" s="106" t="n">
        <v>37530</v>
      </c>
      <c r="J5" s="106" t="n">
        <v>37316</v>
      </c>
      <c r="K5" s="51" t="s">
        <v>87</v>
      </c>
      <c r="L5" s="106" t="n">
        <v>37226</v>
      </c>
      <c r="M5" s="106" t="n">
        <v>37226</v>
      </c>
      <c r="N5" s="106" t="n">
        <v>37530</v>
      </c>
      <c r="O5" s="106" t="n">
        <v>37316</v>
      </c>
      <c r="Q5" s="9" t="s">
        <v>88</v>
      </c>
      <c r="R5" s="108" t="n">
        <f aca="false">AVERAGE(L35:L39)</f>
        <v>0.55</v>
      </c>
      <c r="T5" s="28" t="s">
        <v>89</v>
      </c>
      <c r="U5" s="1"/>
      <c r="V5" s="1"/>
      <c r="W5" s="109" t="n">
        <v>120</v>
      </c>
      <c r="Z5" s="21"/>
      <c r="AA5" s="21"/>
      <c r="AB5" s="21"/>
      <c r="AD5" s="110" t="n">
        <v>3.19</v>
      </c>
      <c r="AE5" s="5" t="n">
        <v>0.25</v>
      </c>
      <c r="AF5" s="5" t="n">
        <f aca="false">AD5+AE5</f>
        <v>3.44</v>
      </c>
    </row>
    <row r="6" customFormat="false" ht="19.5" hidden="false" customHeight="false" outlineLevel="0" collapsed="false">
      <c r="A6" s="105" t="s">
        <v>60</v>
      </c>
      <c r="B6" s="111" t="n">
        <f aca="false">'opt calc'!$B9</f>
        <v>3.166</v>
      </c>
      <c r="C6" s="111" t="n">
        <f aca="false">'opt calc'!D9</f>
        <v>2.7441186440678</v>
      </c>
      <c r="D6" s="111" t="n">
        <f aca="false">'opt calc'!$F9</f>
        <v>2.8959953271028</v>
      </c>
      <c r="E6" s="111" t="n">
        <f aca="false">'opt calc'!$H9</f>
        <v>2.8959953271028</v>
      </c>
      <c r="F6" s="107" t="s">
        <v>60</v>
      </c>
      <c r="G6" s="111" t="n">
        <f aca="false">'BASIS OPT CALC'!B10</f>
        <v>3.15226859903382</v>
      </c>
      <c r="H6" s="111" t="n">
        <f aca="false">'BASIS OPT CALC'!D10</f>
        <v>2.8959953271028</v>
      </c>
      <c r="I6" s="111" t="n">
        <f aca="false">'BASIS OPT CALC'!F10</f>
        <v>2.8959953271028</v>
      </c>
      <c r="J6" s="111" t="n">
        <f aca="false">'BASIS OPT CALC'!H10</f>
        <v>2.7682</v>
      </c>
      <c r="K6" s="51" t="s">
        <v>90</v>
      </c>
      <c r="L6" s="104" t="e">
        <f aca="false">'GD OPT CALC'!B19</f>
        <v>#DIV/0!</v>
      </c>
      <c r="M6" s="104" t="e">
        <f aca="false">'GD OPT CALC'!D19</f>
        <v>#DIV/0!</v>
      </c>
      <c r="N6" s="104" t="n">
        <f aca="false">'GD OPT CALC'!F19</f>
        <v>0.744485981308411</v>
      </c>
      <c r="O6" s="104" t="n">
        <f aca="false">'GD OPT CALC'!H19</f>
        <v>2.88277777777778</v>
      </c>
      <c r="Q6" s="9" t="s">
        <v>91</v>
      </c>
      <c r="R6" s="108" t="n">
        <f aca="false">AVERAGE(L40:L46)</f>
        <v>0.885714285714286</v>
      </c>
      <c r="T6" s="26" t="s">
        <v>92</v>
      </c>
      <c r="U6" s="1"/>
      <c r="V6" s="1"/>
      <c r="W6" s="112" t="n">
        <v>10</v>
      </c>
      <c r="Z6" s="21"/>
      <c r="AA6" s="21" t="n">
        <v>0.51</v>
      </c>
      <c r="AB6" s="21"/>
      <c r="AD6" s="110" t="n">
        <v>3.33</v>
      </c>
      <c r="AE6" s="5" t="n">
        <v>0.2</v>
      </c>
      <c r="AF6" s="5" t="n">
        <f aca="false">AD6+AE6</f>
        <v>3.53</v>
      </c>
      <c r="AM6" s="113" t="s">
        <v>74</v>
      </c>
      <c r="AO6" s="113" t="n">
        <v>0</v>
      </c>
      <c r="AP6" s="113" t="s">
        <v>75</v>
      </c>
      <c r="AQ6" s="114" t="s">
        <v>76</v>
      </c>
    </row>
    <row r="7" customFormat="false" ht="13.5" hidden="false" customHeight="false" outlineLevel="0" collapsed="false">
      <c r="A7" s="21" t="s">
        <v>14</v>
      </c>
      <c r="B7" s="115" t="n">
        <f aca="false">'opt calc'!$B11</f>
        <v>-0.0750000000000002</v>
      </c>
      <c r="C7" s="115" t="n">
        <f aca="false">'opt calc'!$D11</f>
        <v>-0.0825000000000005</v>
      </c>
      <c r="D7" s="115" t="n">
        <f aca="false">'opt calc'!$F11</f>
        <v>-0.541542056074766</v>
      </c>
      <c r="E7" s="115" t="n">
        <f aca="false">'opt calc'!H11</f>
        <v>0</v>
      </c>
      <c r="F7" s="51" t="s">
        <v>14</v>
      </c>
      <c r="G7" s="115" t="n">
        <f aca="false">'BASIS OPT CALC'!B9</f>
        <v>-0.148857487922705</v>
      </c>
      <c r="H7" s="115" t="n">
        <f aca="false">'BASIS OPT CALC'!D9</f>
        <v>0.0254672897196269</v>
      </c>
      <c r="I7" s="115" t="n">
        <f aca="false">'BASIS OPT CALC'!F9</f>
        <v>-0.541542056074766</v>
      </c>
      <c r="J7" s="115" t="n">
        <f aca="false">'BASIS OPT CALC'!H9</f>
        <v>-0.300666666666666</v>
      </c>
      <c r="K7" s="51" t="s">
        <v>60</v>
      </c>
      <c r="L7" s="116" t="e">
        <f aca="false">'GD OPT CALC'!B11</f>
        <v>#DIV/0!</v>
      </c>
      <c r="M7" s="105" t="e">
        <f aca="false">'GD OPT CALC'!D11</f>
        <v>#DIV/0!</v>
      </c>
      <c r="N7" s="105" t="n">
        <f aca="false">'GD OPT CALC'!F11</f>
        <v>2.8959953271028</v>
      </c>
      <c r="O7" s="105" t="n">
        <f aca="false">'GD OPT CALC'!H11</f>
        <v>2.7682</v>
      </c>
      <c r="Q7" s="9" t="s">
        <v>93</v>
      </c>
      <c r="R7" s="108" t="n">
        <f aca="false">AVERAGE(L47:L51)</f>
        <v>0.5</v>
      </c>
      <c r="T7" s="28" t="s">
        <v>94</v>
      </c>
      <c r="U7" s="1"/>
      <c r="V7" s="1"/>
      <c r="W7" s="117" t="n">
        <v>0.25</v>
      </c>
      <c r="Z7" s="21"/>
      <c r="AA7" s="21" t="n">
        <v>0.565</v>
      </c>
      <c r="AB7" s="21"/>
      <c r="AD7" s="110" t="n">
        <v>3.315</v>
      </c>
      <c r="AE7" s="5" t="n">
        <v>0.21</v>
      </c>
      <c r="AF7" s="5" t="n">
        <f aca="false">AD7+AE7</f>
        <v>3.525</v>
      </c>
    </row>
    <row r="8" customFormat="false" ht="13.5" hidden="false" customHeight="false" outlineLevel="0" collapsed="false">
      <c r="A8" s="103" t="s">
        <v>95</v>
      </c>
      <c r="B8" s="118" t="n">
        <v>0.01</v>
      </c>
      <c r="C8" s="118" t="n">
        <v>-0.01</v>
      </c>
      <c r="D8" s="118" t="n">
        <v>0</v>
      </c>
      <c r="E8" s="118" t="n">
        <v>0</v>
      </c>
      <c r="F8" s="107" t="s">
        <v>17</v>
      </c>
      <c r="G8" s="115" t="n">
        <v>0</v>
      </c>
      <c r="H8" s="115" t="n">
        <v>0</v>
      </c>
      <c r="I8" s="115" t="n">
        <v>0</v>
      </c>
      <c r="J8" s="115" t="n">
        <v>0.06</v>
      </c>
      <c r="K8" s="51" t="s">
        <v>14</v>
      </c>
      <c r="L8" s="115" t="e">
        <f aca="false">'GD OPT CALC'!B13</f>
        <v>#DIV/0!</v>
      </c>
      <c r="M8" s="115" t="e">
        <f aca="false">'GD OPT CALC'!D13</f>
        <v>#DIV/0!</v>
      </c>
      <c r="N8" s="115" t="n">
        <f aca="false">'GD OPT CALC'!F13</f>
        <v>0.0254672897196269</v>
      </c>
      <c r="O8" s="115" t="n">
        <f aca="false">'GD OPT CALC'!H13</f>
        <v>1.34177777777778</v>
      </c>
      <c r="Q8" s="9" t="s">
        <v>96</v>
      </c>
      <c r="R8" s="108" t="n">
        <f aca="false">AVERAGE(L52:L58)</f>
        <v>0.831428571428572</v>
      </c>
      <c r="T8" s="26" t="s">
        <v>97</v>
      </c>
      <c r="U8" s="1"/>
      <c r="V8" s="1"/>
      <c r="W8" s="119" t="n">
        <f aca="false">W7*W5</f>
        <v>30</v>
      </c>
      <c r="Z8" s="21"/>
      <c r="AA8" s="21" t="n">
        <v>0.565</v>
      </c>
      <c r="AB8" s="21"/>
      <c r="AD8" s="110" t="n">
        <v>3.25</v>
      </c>
      <c r="AE8" s="5" t="n">
        <v>0.21</v>
      </c>
      <c r="AF8" s="5" t="n">
        <f aca="false">AD8+AE8</f>
        <v>3.46</v>
      </c>
    </row>
    <row r="9" customFormat="false" ht="13.5" hidden="false" customHeight="false" outlineLevel="0" collapsed="false">
      <c r="A9" s="5" t="s">
        <v>64</v>
      </c>
      <c r="B9" s="120" t="n">
        <v>0</v>
      </c>
      <c r="C9" s="120" t="n">
        <v>0.06</v>
      </c>
      <c r="D9" s="120" t="n">
        <v>0.04</v>
      </c>
      <c r="E9" s="120" t="n">
        <v>0</v>
      </c>
      <c r="F9" s="51" t="s">
        <v>64</v>
      </c>
      <c r="G9" s="104" t="n">
        <v>0</v>
      </c>
      <c r="H9" s="104" t="n">
        <v>0</v>
      </c>
      <c r="I9" s="104" t="n">
        <v>0</v>
      </c>
      <c r="J9" s="104" t="n">
        <v>0</v>
      </c>
      <c r="K9" s="51" t="s">
        <v>98</v>
      </c>
      <c r="L9" s="103" t="n">
        <v>0.03</v>
      </c>
      <c r="M9" s="103" t="n">
        <v>-0.03</v>
      </c>
      <c r="N9" s="103" t="n">
        <v>0</v>
      </c>
      <c r="O9" s="103" t="n">
        <v>0</v>
      </c>
      <c r="Q9" s="9" t="s">
        <v>99</v>
      </c>
      <c r="R9" s="108" t="n">
        <f aca="false">AVERAGE(L59:L63)</f>
        <v>0.47</v>
      </c>
      <c r="T9" s="26" t="s">
        <v>100</v>
      </c>
      <c r="U9" s="1"/>
      <c r="V9" s="1"/>
      <c r="W9" s="121" t="n">
        <f aca="false">W6/W5</f>
        <v>0.0833333333333333</v>
      </c>
      <c r="Z9" s="21"/>
      <c r="AA9" s="21" t="n">
        <v>0.465</v>
      </c>
      <c r="AB9" s="21"/>
    </row>
    <row r="10" customFormat="false" ht="14.25" hidden="false" customHeight="false" outlineLevel="0" collapsed="false">
      <c r="A10" s="5" t="s">
        <v>66</v>
      </c>
      <c r="B10" s="122" t="n">
        <v>1</v>
      </c>
      <c r="C10" s="122" t="n">
        <v>1</v>
      </c>
      <c r="D10" s="122" t="n">
        <v>1</v>
      </c>
      <c r="E10" s="122" t="n">
        <v>1</v>
      </c>
      <c r="F10" s="51" t="s">
        <v>23</v>
      </c>
      <c r="G10" s="104" t="n">
        <v>0.0045</v>
      </c>
      <c r="H10" s="104" t="n">
        <v>0</v>
      </c>
      <c r="I10" s="104" t="n">
        <v>0</v>
      </c>
      <c r="J10" s="104" t="n">
        <v>0</v>
      </c>
      <c r="K10" s="51" t="s">
        <v>101</v>
      </c>
      <c r="L10" s="5" t="n">
        <v>0</v>
      </c>
      <c r="M10" s="5" t="n">
        <v>0</v>
      </c>
      <c r="N10" s="5" t="n">
        <v>0</v>
      </c>
      <c r="O10" s="5" t="n">
        <v>0</v>
      </c>
      <c r="Q10" s="9" t="s">
        <v>102</v>
      </c>
      <c r="R10" s="108" t="n">
        <f aca="false">AVERAGE(L64:L70)</f>
        <v>0.814285714285714</v>
      </c>
      <c r="T10" s="26" t="s">
        <v>103</v>
      </c>
      <c r="U10" s="1"/>
      <c r="V10" s="1" t="n">
        <v>3</v>
      </c>
      <c r="W10" s="123" t="n">
        <f aca="false">W9*V10</f>
        <v>0.25</v>
      </c>
      <c r="Z10" s="21"/>
      <c r="AA10" s="21"/>
      <c r="AB10" s="21"/>
    </row>
    <row r="11" customFormat="false" ht="13.5" hidden="false" customHeight="false" outlineLevel="0" collapsed="false">
      <c r="A11" s="5" t="s">
        <v>31</v>
      </c>
      <c r="B11" s="122" t="n">
        <v>1</v>
      </c>
      <c r="C11" s="122" t="n">
        <v>2</v>
      </c>
      <c r="D11" s="122" t="n">
        <v>3</v>
      </c>
      <c r="E11" s="122" t="n">
        <v>1</v>
      </c>
      <c r="F11" s="51" t="s">
        <v>25</v>
      </c>
      <c r="G11" s="104" t="n">
        <f aca="false">'BASIS OPT CALC'!B17</f>
        <v>0.999</v>
      </c>
      <c r="H11" s="104" t="n">
        <f aca="false">'BASIS OPT CALC'!D17</f>
        <v>0.87</v>
      </c>
      <c r="I11" s="104" t="n">
        <f aca="false">'BASIS OPT CALC'!F17</f>
        <v>0.92</v>
      </c>
      <c r="J11" s="104" t="n">
        <f aca="false">'BASIS OPT CALC'!H17</f>
        <v>0.88</v>
      </c>
      <c r="K11" s="5" t="s">
        <v>104</v>
      </c>
      <c r="L11" s="120" t="n">
        <v>0.1</v>
      </c>
      <c r="M11" s="120" t="n">
        <v>0</v>
      </c>
      <c r="N11" s="120" t="n">
        <v>0</v>
      </c>
      <c r="O11" s="120" t="n">
        <v>0</v>
      </c>
      <c r="Q11" s="9"/>
      <c r="R11" s="9"/>
      <c r="T11" s="26" t="s">
        <v>105</v>
      </c>
      <c r="U11" s="1"/>
      <c r="V11" s="1"/>
      <c r="W11" s="124" t="n">
        <f aca="false">(W8*W10)/W6</f>
        <v>0.75</v>
      </c>
      <c r="Z11" s="21"/>
      <c r="AA11" s="21"/>
      <c r="AB11" s="21"/>
    </row>
    <row r="12" customFormat="false" ht="13.5" hidden="false" customHeight="false" outlineLevel="0" collapsed="false">
      <c r="A12" s="5" t="s">
        <v>29</v>
      </c>
      <c r="B12" s="125" t="n">
        <v>5</v>
      </c>
      <c r="C12" s="125" t="n">
        <v>3</v>
      </c>
      <c r="D12" s="125" t="n">
        <v>2.55</v>
      </c>
      <c r="E12" s="125" t="n">
        <v>2.9</v>
      </c>
      <c r="F12" s="5" t="s">
        <v>66</v>
      </c>
      <c r="G12" s="5" t="n">
        <v>0</v>
      </c>
      <c r="H12" s="5" t="n">
        <v>0</v>
      </c>
      <c r="I12" s="5" t="n">
        <v>0</v>
      </c>
      <c r="J12" s="5" t="n">
        <v>0</v>
      </c>
      <c r="K12" s="51" t="s">
        <v>106</v>
      </c>
      <c r="L12" s="120" t="n">
        <v>0.1</v>
      </c>
      <c r="M12" s="120" t="n">
        <v>0.1</v>
      </c>
      <c r="N12" s="120" t="n">
        <v>0</v>
      </c>
      <c r="O12" s="120" t="n">
        <v>0.5</v>
      </c>
      <c r="Q12" s="9"/>
      <c r="R12" s="126"/>
      <c r="T12" s="26"/>
      <c r="U12" s="26"/>
      <c r="V12" s="26"/>
      <c r="W12" s="26"/>
      <c r="Z12" s="21"/>
      <c r="AA12" s="21"/>
      <c r="AB12" s="21"/>
    </row>
    <row r="13" customFormat="false" ht="13.5" hidden="false" customHeight="false" outlineLevel="0" collapsed="false">
      <c r="A13" s="5" t="s">
        <v>34</v>
      </c>
      <c r="B13" s="103" t="e">
        <f aca="false">'opt calc'!$B21</f>
        <v>#VALUE!</v>
      </c>
      <c r="C13" s="103" t="e">
        <f aca="false">'opt calc'!$D21</f>
        <v>#VALUE!</v>
      </c>
      <c r="D13" s="103" t="e">
        <f aca="false">'opt calc'!F21</f>
        <v>#VALUE!</v>
      </c>
      <c r="E13" s="127" t="e">
        <f aca="false">'opt calc'!$H21</f>
        <v>#VALUE!</v>
      </c>
      <c r="F13" s="51" t="s">
        <v>31</v>
      </c>
      <c r="G13" s="5" t="n">
        <v>0</v>
      </c>
      <c r="H13" s="5" t="n">
        <v>0</v>
      </c>
      <c r="I13" s="5" t="n">
        <v>0</v>
      </c>
      <c r="J13" s="5" t="n">
        <v>1</v>
      </c>
      <c r="K13" s="5" t="s">
        <v>107</v>
      </c>
      <c r="L13" s="5" t="n">
        <v>2</v>
      </c>
      <c r="M13" s="5" t="n">
        <v>2.42</v>
      </c>
      <c r="N13" s="5" t="n">
        <v>2.8</v>
      </c>
      <c r="O13" s="5" t="n">
        <v>3.5</v>
      </c>
      <c r="Q13" s="9"/>
      <c r="R13" s="126"/>
      <c r="T13" s="26"/>
      <c r="U13" s="26"/>
      <c r="V13" s="26"/>
      <c r="W13" s="26" t="n">
        <f aca="false">(W11*W6)/W5</f>
        <v>0.0625</v>
      </c>
      <c r="Z13" s="21"/>
      <c r="AA13" s="21"/>
      <c r="AB13" s="21"/>
    </row>
    <row r="14" customFormat="false" ht="13.5" hidden="false" customHeight="false" outlineLevel="0" collapsed="false">
      <c r="A14" s="5" t="s">
        <v>63</v>
      </c>
      <c r="B14" s="128" t="e">
        <f aca="false">'opt calc'!$B22</f>
        <v>#VALUE!</v>
      </c>
      <c r="C14" s="128" t="e">
        <f aca="false">'opt calc'!$D22</f>
        <v>#VALUE!</v>
      </c>
      <c r="D14" s="128" t="e">
        <f aca="false">'opt calc'!$F22</f>
        <v>#VALUE!</v>
      </c>
      <c r="E14" s="128" t="e">
        <f aca="false">'opt calc'!$H22</f>
        <v>#VALUE!</v>
      </c>
      <c r="F14" s="51" t="s">
        <v>29</v>
      </c>
      <c r="G14" s="5" t="n">
        <v>-0.2</v>
      </c>
      <c r="H14" s="5" t="n">
        <v>0</v>
      </c>
      <c r="I14" s="5" t="n">
        <v>-0.6</v>
      </c>
      <c r="J14" s="5" t="n">
        <v>-0.45</v>
      </c>
      <c r="K14" s="51" t="s">
        <v>108</v>
      </c>
      <c r="L14" s="5" t="n">
        <v>0</v>
      </c>
      <c r="M14" s="5" t="n">
        <v>0</v>
      </c>
      <c r="N14" s="5" t="n">
        <v>0</v>
      </c>
      <c r="O14" s="5" t="n">
        <v>0</v>
      </c>
      <c r="P14" s="5" t="n">
        <v>5</v>
      </c>
      <c r="Q14" s="5" t="n">
        <v>7</v>
      </c>
      <c r="T14" s="1"/>
      <c r="U14" s="28"/>
      <c r="V14" s="1"/>
      <c r="W14" s="1" t="n">
        <f aca="false">(((0.19*(30.5*0.15))+(0.05*(30.5*0.85))))/31</f>
        <v>0.0698548387096774</v>
      </c>
      <c r="Z14" s="21"/>
      <c r="AA14" s="21"/>
      <c r="AB14" s="21"/>
      <c r="AG14" s="5" t="n">
        <f aca="false">AVERAGE(AI40:AI43)*1.12</f>
        <v>0</v>
      </c>
    </row>
    <row r="15" customFormat="false" ht="14.25" hidden="false" customHeight="false" outlineLevel="0" collapsed="false">
      <c r="A15" s="5" t="s">
        <v>1</v>
      </c>
      <c r="B15" s="103" t="e">
        <f aca="false">'opt calc'!$B23</f>
        <v>#VALUE!</v>
      </c>
      <c r="C15" s="103" t="e">
        <f aca="false">'opt calc'!$D23</f>
        <v>#VALUE!</v>
      </c>
      <c r="D15" s="103" t="e">
        <f aca="false">'opt calc'!$F23</f>
        <v>#VALUE!</v>
      </c>
      <c r="E15" s="103" t="e">
        <f aca="false">'opt calc'!$H23</f>
        <v>#VALUE!</v>
      </c>
      <c r="F15" s="129" t="s">
        <v>34</v>
      </c>
      <c r="G15" s="111" t="e">
        <f aca="false">'BASIS OPT CALC'!B22</f>
        <v>#NAME?</v>
      </c>
      <c r="H15" s="130" t="e">
        <f aca="false">'BASIS OPT CALC'!D22</f>
        <v>#NAME?</v>
      </c>
      <c r="I15" s="130" t="e">
        <f aca="false">'BASIS OPT CALC'!F22</f>
        <v>#NAME?</v>
      </c>
      <c r="J15" s="131" t="e">
        <f aca="false">'BASIS OPT CALC'!H22</f>
        <v>#NAME?</v>
      </c>
      <c r="K15" s="51" t="s">
        <v>31</v>
      </c>
      <c r="L15" s="5" t="n">
        <v>0</v>
      </c>
      <c r="M15" s="5" t="n">
        <v>0</v>
      </c>
      <c r="N15" s="5" t="n">
        <v>0</v>
      </c>
      <c r="O15" s="5" t="n">
        <v>1</v>
      </c>
      <c r="P15" s="5" t="n">
        <f aca="false">((P16*P14)+(Q16*Q14))/(P14+Q14)</f>
        <v>0.3625</v>
      </c>
      <c r="Q15" s="9"/>
      <c r="R15" s="126"/>
      <c r="T15" s="1"/>
      <c r="U15" s="119"/>
      <c r="V15" s="1"/>
      <c r="W15" s="1" t="n">
        <f aca="false">W5*W7</f>
        <v>30</v>
      </c>
      <c r="Z15" s="21"/>
      <c r="AA15" s="21"/>
      <c r="AB15" s="21"/>
    </row>
    <row r="16" customFormat="false" ht="13.5" hidden="false" customHeight="false" outlineLevel="0" collapsed="false">
      <c r="B16" s="103" t="e">
        <f aca="false">B13-C13</f>
        <v>#VALUE!</v>
      </c>
      <c r="C16" s="132"/>
      <c r="D16" s="103" t="e">
        <f aca="false">D13-E13</f>
        <v>#VALUE!</v>
      </c>
      <c r="E16" s="133"/>
      <c r="F16" s="51" t="s">
        <v>109</v>
      </c>
      <c r="G16" s="128" t="e">
        <f aca="false">'BASIS OPT CALC'!B23</f>
        <v>#NAME?</v>
      </c>
      <c r="H16" s="128" t="e">
        <f aca="false">'BASIS OPT CALC'!D23</f>
        <v>#NAME?</v>
      </c>
      <c r="I16" s="128" t="e">
        <f aca="false">'BASIS OPT CALC'!F23</f>
        <v>#NAME?</v>
      </c>
      <c r="J16" s="128" t="e">
        <f aca="false">'BASIS OPT CALC'!H23</f>
        <v>#NAME?</v>
      </c>
      <c r="K16" s="129" t="s">
        <v>34</v>
      </c>
      <c r="L16" s="130" t="e">
        <f aca="false">'GD OPT CALC'!B28</f>
        <v>#DIV/0!</v>
      </c>
      <c r="M16" s="130" t="e">
        <f aca="false">'GD OPT CALC'!D28</f>
        <v>#DIV/0!</v>
      </c>
      <c r="N16" s="130" t="e">
        <f aca="false">'GD OPT CALC'!F28</f>
        <v>#NAME?</v>
      </c>
      <c r="O16" s="130" t="e">
        <f aca="false">'GD OPT CALC'!H28</f>
        <v>#NAME?</v>
      </c>
      <c r="P16" s="5" t="n">
        <v>0.45</v>
      </c>
      <c r="Q16" s="9" t="n">
        <v>0.3</v>
      </c>
      <c r="R16" s="126"/>
      <c r="T16" s="1"/>
      <c r="U16" s="26" t="n">
        <f aca="false">(20*0.85)/30</f>
        <v>0.566666666666667</v>
      </c>
      <c r="V16" s="1"/>
      <c r="W16" s="1"/>
      <c r="Z16" s="21"/>
      <c r="AA16" s="21"/>
      <c r="AB16" s="21"/>
    </row>
    <row r="17" customFormat="false" ht="12.75" hidden="false" customHeight="false" outlineLevel="0" collapsed="false">
      <c r="A17" s="103" t="e">
        <f aca="false">A18-B18</f>
        <v>#VALUE!</v>
      </c>
      <c r="B17" s="103" t="e">
        <f aca="false">B16+D17</f>
        <v>#VALUE!</v>
      </c>
      <c r="D17" s="103" t="e">
        <f aca="false">(D13-E13)*E17</f>
        <v>#VALUE!</v>
      </c>
      <c r="E17" s="103" t="n">
        <f aca="false">(B12-C12)*100</f>
        <v>200</v>
      </c>
      <c r="F17" s="51" t="s">
        <v>45</v>
      </c>
      <c r="G17" s="103" t="e">
        <f aca="false">'BASIS OPT CALC'!B29</f>
        <v>#NAME?</v>
      </c>
      <c r="H17" s="103" t="e">
        <f aca="false">'BASIS OPT CALC'!D29</f>
        <v>#NAME?</v>
      </c>
      <c r="I17" s="103" t="e">
        <f aca="false">'BASIS OPT CALC'!F29</f>
        <v>#NAME?</v>
      </c>
      <c r="J17" s="103" t="e">
        <f aca="false">'BASIS OPT CALC'!H29</f>
        <v>#NAME?</v>
      </c>
      <c r="K17" s="51" t="s">
        <v>63</v>
      </c>
      <c r="L17" s="134" t="e">
        <f aca="false">'GD OPT CALC'!B29</f>
        <v>#DIV/0!</v>
      </c>
      <c r="M17" s="134" t="e">
        <f aca="false">'GD OPT CALC'!D29</f>
        <v>#DIV/0!</v>
      </c>
      <c r="N17" s="134" t="e">
        <f aca="false">'GD OPT CALC'!F29</f>
        <v>#NAME?</v>
      </c>
      <c r="O17" s="134" t="e">
        <f aca="false">'GD OPT CALC'!H29</f>
        <v>#NAME?</v>
      </c>
      <c r="P17" s="134" t="e">
        <f aca="false">N16-L16-O16</f>
        <v>#DIV/0!</v>
      </c>
      <c r="Q17" s="9" t="n">
        <v>0.28</v>
      </c>
      <c r="R17" s="126"/>
      <c r="W17" s="104"/>
      <c r="Z17" s="21"/>
      <c r="AA17" s="21"/>
      <c r="AB17" s="21"/>
    </row>
    <row r="18" customFormat="false" ht="13.5" hidden="false" customHeight="false" outlineLevel="0" collapsed="false">
      <c r="A18" s="135" t="e">
        <f aca="false">B13*118</f>
        <v>#VALUE!</v>
      </c>
      <c r="B18" s="136" t="e">
        <f aca="false">C13*TSETTLE</f>
        <v>#VALUE!</v>
      </c>
      <c r="C18" s="103" t="n">
        <v>40</v>
      </c>
      <c r="D18" s="103" t="n">
        <v>1</v>
      </c>
      <c r="E18" s="103"/>
      <c r="F18" s="132" t="s">
        <v>1</v>
      </c>
      <c r="G18" s="103" t="n">
        <v>1</v>
      </c>
      <c r="H18" s="103" t="e">
        <f aca="false">'BASIS OPT CALC'!D27</f>
        <v>#NAME?</v>
      </c>
      <c r="I18" s="103" t="e">
        <f aca="false">'BASIS OPT CALC'!F27</f>
        <v>#NAME?</v>
      </c>
      <c r="J18" s="103" t="e">
        <f aca="false">'BASIS OPT CALC'!H27</f>
        <v>#NAME?</v>
      </c>
      <c r="K18" s="137" t="s">
        <v>1</v>
      </c>
      <c r="L18" s="138" t="e">
        <f aca="false">'GD OPT CALC'!B30</f>
        <v>#DIV/0!</v>
      </c>
      <c r="M18" s="138" t="e">
        <f aca="false">'GD OPT CALC'!D30</f>
        <v>#DIV/0!</v>
      </c>
      <c r="N18" s="138" t="e">
        <f aca="false">'GD OPT CALC'!F30</f>
        <v>#NAME?</v>
      </c>
      <c r="O18" s="138" t="e">
        <f aca="false">'GD OPT CALC'!H30</f>
        <v>#NAME?</v>
      </c>
      <c r="Q18" s="9"/>
      <c r="R18" s="126" t="n">
        <f aca="false">0.47*2</f>
        <v>0.94</v>
      </c>
      <c r="W18" s="104"/>
      <c r="Z18" s="21"/>
      <c r="AA18" s="21"/>
      <c r="AB18" s="21"/>
    </row>
    <row r="19" customFormat="false" ht="13.5" hidden="false" customHeight="false" outlineLevel="0" collapsed="false">
      <c r="A19" s="31" t="s">
        <v>110</v>
      </c>
      <c r="B19" s="103"/>
      <c r="C19" s="103"/>
      <c r="D19" s="5" t="n">
        <f aca="false">SQRT(365/15)</f>
        <v>4.93288286231625</v>
      </c>
      <c r="E19" s="5" t="n">
        <f aca="false">SQRT(255)</f>
        <v>15.9687194226713</v>
      </c>
      <c r="F19" s="134" t="e">
        <f aca="false">H15-G15</f>
        <v>#NAME?</v>
      </c>
      <c r="G19" s="126" t="e">
        <f aca="false">G15-H15</f>
        <v>#NAME?</v>
      </c>
      <c r="H19" s="134" t="e">
        <f aca="false">H15-I15</f>
        <v>#NAME?</v>
      </c>
      <c r="I19" s="134" t="e">
        <f aca="false">I15-J15</f>
        <v>#NAME?</v>
      </c>
      <c r="J19" s="134" t="e">
        <f aca="false">I15-J15</f>
        <v>#NAME?</v>
      </c>
      <c r="L19" s="134" t="e">
        <f aca="false">L16-M16</f>
        <v>#DIV/0!</v>
      </c>
      <c r="Q19" s="9"/>
      <c r="W19" s="104"/>
      <c r="Z19" s="21"/>
      <c r="AA19" s="21"/>
      <c r="AB19" s="21"/>
    </row>
    <row r="20" customFormat="false" ht="12.75" hidden="false" customHeight="false" outlineLevel="0" collapsed="false">
      <c r="A20" s="31"/>
      <c r="B20" s="103"/>
      <c r="C20" s="103"/>
      <c r="D20" s="104" t="n">
        <f aca="false">D18/D19</f>
        <v>0.202721213519846</v>
      </c>
      <c r="E20" s="9" t="s">
        <v>84</v>
      </c>
      <c r="F20" s="9" t="s">
        <v>39</v>
      </c>
      <c r="G20" s="9" t="s">
        <v>26</v>
      </c>
      <c r="H20" s="9" t="s">
        <v>111</v>
      </c>
      <c r="I20" s="139" t="e">
        <f aca="false">L16-M16</f>
        <v>#DIV/0!</v>
      </c>
      <c r="J20" s="5" t="s">
        <v>112</v>
      </c>
      <c r="K20" s="140" t="s">
        <v>113</v>
      </c>
      <c r="M20" s="141"/>
      <c r="N20" s="0"/>
      <c r="O20" s="0" t="s">
        <v>114</v>
      </c>
      <c r="P20" s="134" t="e">
        <f aca="false">O16-N16</f>
        <v>#NAME?</v>
      </c>
      <c r="Q20" s="5" t="e">
        <f aca="false">O16*2-N16</f>
        <v>#NAME?</v>
      </c>
      <c r="W20" s="104"/>
      <c r="Z20" s="21"/>
      <c r="AA20" s="21"/>
      <c r="AB20" s="21"/>
    </row>
    <row r="21" customFormat="false" ht="12.75" hidden="false" customHeight="false" outlineLevel="0" collapsed="false">
      <c r="B21" s="5" t="s">
        <v>115</v>
      </c>
      <c r="D21" s="103" t="n">
        <f aca="false">D20*2*2.8</f>
        <v>1.13523879571114</v>
      </c>
      <c r="E21" s="9" t="s">
        <v>32</v>
      </c>
      <c r="F21" s="9" t="s">
        <v>116</v>
      </c>
      <c r="G21" s="9" t="s">
        <v>30</v>
      </c>
      <c r="H21" s="9" t="s">
        <v>117</v>
      </c>
      <c r="I21" s="139" t="e">
        <f aca="false">N16-O16</f>
        <v>#NAME?</v>
      </c>
      <c r="J21" s="0"/>
      <c r="K21" s="0"/>
      <c r="L21" s="0"/>
      <c r="M21" s="0"/>
      <c r="N21" s="0"/>
      <c r="O21" s="0"/>
      <c r="P21" s="0"/>
      <c r="Q21" s="0"/>
      <c r="R21" s="0"/>
      <c r="W21" s="104"/>
      <c r="Z21" s="21"/>
      <c r="AA21" s="21"/>
      <c r="AB21" s="21"/>
    </row>
    <row r="22" customFormat="false" ht="12.75" hidden="false" customHeight="false" outlineLevel="0" collapsed="false">
      <c r="B22" s="5" t="s">
        <v>118</v>
      </c>
      <c r="C22" s="5" t="s">
        <v>119</v>
      </c>
      <c r="D22" s="142" t="n">
        <f aca="false">300*D21*10000</f>
        <v>3405716.38713341</v>
      </c>
      <c r="E22" s="9" t="s">
        <v>28</v>
      </c>
      <c r="F22" s="9" t="s">
        <v>24</v>
      </c>
      <c r="G22" s="9" t="s">
        <v>33</v>
      </c>
      <c r="H22" s="9" t="s">
        <v>120</v>
      </c>
      <c r="I22" s="143" t="e">
        <f aca="false">M16-N16-L16</f>
        <v>#NAME?</v>
      </c>
      <c r="J22" s="5" t="s">
        <v>121</v>
      </c>
      <c r="K22" s="144" t="n">
        <v>2.885</v>
      </c>
      <c r="L22" s="5" t="e">
        <f aca="false">L6*0.34</f>
        <v>#DIV/0!</v>
      </c>
      <c r="N22" s="145" t="s">
        <v>121</v>
      </c>
      <c r="O22" s="126" t="n">
        <f aca="false">D31</f>
        <v>2.719</v>
      </c>
      <c r="P22" s="145" t="s">
        <v>121</v>
      </c>
      <c r="Q22" s="115" t="n">
        <f aca="false">IF(K22&gt;0,R22,0)</f>
        <v>0.166</v>
      </c>
      <c r="R22" s="146" t="n">
        <f aca="false">K22-O22</f>
        <v>0.166</v>
      </c>
      <c r="W22" s="104"/>
      <c r="Z22" s="21"/>
      <c r="AA22" s="21"/>
      <c r="AB22" s="21"/>
    </row>
    <row r="23" customFormat="false" ht="12.75" hidden="false" customHeight="false" outlineLevel="0" collapsed="false">
      <c r="A23" s="5" t="s">
        <v>122</v>
      </c>
      <c r="B23" s="147" t="n">
        <f aca="false">AVERAGE(D31:D34)</f>
        <v>2.768</v>
      </c>
      <c r="C23" s="103"/>
      <c r="D23" s="104" t="n">
        <f aca="false">AVERAGE(I31:I34)</f>
        <v>0.77875</v>
      </c>
      <c r="E23" s="9" t="s">
        <v>37</v>
      </c>
      <c r="F23" s="9" t="s">
        <v>123</v>
      </c>
      <c r="G23" s="9" t="s">
        <v>35</v>
      </c>
      <c r="H23" s="9" t="s">
        <v>124</v>
      </c>
      <c r="I23" s="9"/>
      <c r="J23" s="31" t="s">
        <v>125</v>
      </c>
      <c r="K23" s="144" t="n">
        <v>2.94</v>
      </c>
      <c r="N23" s="145" t="s">
        <v>125</v>
      </c>
      <c r="O23" s="126" t="n">
        <f aca="false">D32</f>
        <v>2.793</v>
      </c>
      <c r="P23" s="145" t="s">
        <v>125</v>
      </c>
      <c r="Q23" s="115" t="n">
        <f aca="false">IF(K23&gt;0,R23,0)</f>
        <v>0.147</v>
      </c>
      <c r="R23" s="146" t="n">
        <f aca="false">K23-O23</f>
        <v>0.147</v>
      </c>
      <c r="W23" s="104"/>
      <c r="Z23" s="21"/>
      <c r="AA23" s="21"/>
      <c r="AB23" s="21"/>
    </row>
    <row r="24" customFormat="false" ht="12.75" hidden="false" customHeight="false" outlineLevel="0" collapsed="false">
      <c r="A24" s="5" t="s">
        <v>126</v>
      </c>
      <c r="B24" s="147" t="n">
        <f aca="false">AVERAGE(D35:D41)</f>
        <v>2.95142857142857</v>
      </c>
      <c r="D24" s="104" t="n">
        <f aca="false">AVERAGE(I35:I41)</f>
        <v>0.531071428571429</v>
      </c>
      <c r="E24" s="9" t="s">
        <v>16</v>
      </c>
      <c r="F24" s="9" t="s">
        <v>127</v>
      </c>
      <c r="G24" s="9" t="s">
        <v>41</v>
      </c>
      <c r="H24" s="9" t="s">
        <v>128</v>
      </c>
      <c r="I24" s="9"/>
      <c r="J24" s="5" t="s">
        <v>129</v>
      </c>
      <c r="K24" s="144" t="n">
        <v>2.91</v>
      </c>
      <c r="M24" s="126"/>
      <c r="N24" s="145" t="s">
        <v>129</v>
      </c>
      <c r="O24" s="126" t="n">
        <f aca="false">D33</f>
        <v>2.795</v>
      </c>
      <c r="P24" s="145" t="s">
        <v>129</v>
      </c>
      <c r="Q24" s="115" t="n">
        <f aca="false">IF(K24&gt;0,R24,0)</f>
        <v>0.115</v>
      </c>
      <c r="R24" s="146" t="n">
        <f aca="false">K24-O24</f>
        <v>0.115</v>
      </c>
      <c r="S24" s="103"/>
      <c r="W24" s="104"/>
      <c r="Z24" s="21"/>
      <c r="AA24" s="21"/>
      <c r="AB24" s="21"/>
    </row>
    <row r="25" customFormat="false" ht="12.75" hidden="false" customHeight="false" outlineLevel="0" collapsed="false">
      <c r="A25" s="5" t="s">
        <v>130</v>
      </c>
      <c r="B25" s="147" t="n">
        <f aca="false">AVERAGE(D32:D43)</f>
        <v>2.97916666666667</v>
      </c>
      <c r="C25" s="103"/>
      <c r="D25" s="104" t="n">
        <f aca="false">AVERAGE(I32:I43)</f>
        <v>0.584166666666667</v>
      </c>
      <c r="E25" s="9" t="s">
        <v>21</v>
      </c>
      <c r="F25" s="9" t="s">
        <v>131</v>
      </c>
      <c r="G25" s="9" t="s">
        <v>132</v>
      </c>
      <c r="H25" s="9" t="s">
        <v>18</v>
      </c>
      <c r="I25" s="9" t="s">
        <v>124</v>
      </c>
      <c r="J25" s="5" t="s">
        <v>133</v>
      </c>
      <c r="K25" s="144" t="n">
        <v>2.945</v>
      </c>
      <c r="N25" s="145" t="s">
        <v>134</v>
      </c>
      <c r="O25" s="126" t="n">
        <f aca="false">AVERAGE(D34:D40)</f>
        <v>2.89557142857143</v>
      </c>
      <c r="P25" s="145" t="s">
        <v>134</v>
      </c>
      <c r="Q25" s="115" t="n">
        <f aca="false">IF(K25&gt;0,R25,0)</f>
        <v>0.0494285714285714</v>
      </c>
      <c r="R25" s="146" t="n">
        <f aca="false">K25-O25</f>
        <v>0.0494285714285714</v>
      </c>
      <c r="W25" s="104"/>
      <c r="Z25" s="21"/>
      <c r="AA25" s="21"/>
      <c r="AB25" s="21"/>
    </row>
    <row r="26" customFormat="false" ht="12.75" hidden="false" customHeight="false" outlineLevel="0" collapsed="false">
      <c r="A26" s="31" t="s">
        <v>135</v>
      </c>
      <c r="B26" s="147" t="n">
        <f aca="false">AVERAGE(D44:D55)</f>
        <v>3.269</v>
      </c>
      <c r="C26" s="103" t="n">
        <f aca="false">B26-B25</f>
        <v>0.289833333333334</v>
      </c>
      <c r="D26" s="104" t="n">
        <f aca="false">AVERAGE(I44:I55)</f>
        <v>0.39125</v>
      </c>
      <c r="E26" s="9" t="s">
        <v>24</v>
      </c>
      <c r="F26" s="9" t="s">
        <v>136</v>
      </c>
      <c r="G26" s="9" t="s">
        <v>137</v>
      </c>
      <c r="H26" s="9" t="s">
        <v>117</v>
      </c>
      <c r="I26" s="9" t="s">
        <v>81</v>
      </c>
      <c r="J26" s="31" t="s">
        <v>130</v>
      </c>
      <c r="K26" s="144" t="n">
        <v>2.995</v>
      </c>
      <c r="L26" s="5" t="s">
        <v>138</v>
      </c>
      <c r="M26" s="5" t="n">
        <f aca="false">((K26*12)-(K25*7)-K24-K23-K22)/2</f>
        <v>3.295</v>
      </c>
      <c r="N26" s="145" t="s">
        <v>139</v>
      </c>
      <c r="O26" s="126" t="n">
        <f aca="false">AVERAGE(D41:D42)</f>
        <v>3.2425</v>
      </c>
      <c r="P26" s="145" t="s">
        <v>139</v>
      </c>
      <c r="Q26" s="115" t="n">
        <f aca="false">IF(K26&gt;0,R26,0)</f>
        <v>0.0524999999999998</v>
      </c>
      <c r="R26" s="146" t="n">
        <f aca="false">M26-O26</f>
        <v>0.0524999999999998</v>
      </c>
      <c r="W26" s="104"/>
      <c r="Z26" s="21"/>
      <c r="AA26" s="21"/>
      <c r="AB26" s="21"/>
    </row>
    <row r="27" customFormat="false" ht="12.75" hidden="false" customHeight="false" outlineLevel="0" collapsed="false">
      <c r="A27" s="31" t="s">
        <v>140</v>
      </c>
      <c r="B27" s="147" t="n">
        <f aca="false">AVERAGE(D57:D68)</f>
        <v>3.35475</v>
      </c>
      <c r="C27" s="103" t="n">
        <f aca="false">B27-B26</f>
        <v>0.0857499999999996</v>
      </c>
      <c r="D27" s="104" t="n">
        <f aca="false">AVERAGE(I56:I67)</f>
        <v>0.3225</v>
      </c>
      <c r="E27" s="9" t="s">
        <v>111</v>
      </c>
      <c r="F27" s="9" t="s">
        <v>117</v>
      </c>
      <c r="G27" s="9" t="s">
        <v>83</v>
      </c>
      <c r="H27" s="9" t="s">
        <v>141</v>
      </c>
      <c r="I27" s="9" t="s">
        <v>142</v>
      </c>
      <c r="J27" s="31" t="s">
        <v>143</v>
      </c>
      <c r="K27" s="144" t="n">
        <v>3.325</v>
      </c>
      <c r="N27" s="145" t="s">
        <v>144</v>
      </c>
      <c r="O27" s="126" t="n">
        <f aca="false">AVERAGE(D43:D54)</f>
        <v>3.2555</v>
      </c>
      <c r="P27" s="145" t="s">
        <v>144</v>
      </c>
      <c r="Q27" s="115" t="n">
        <f aca="false">IF(K27&gt;0,R27,0)</f>
        <v>0.0695000000000001</v>
      </c>
      <c r="R27" s="146" t="n">
        <f aca="false">K27-O27</f>
        <v>0.0695000000000001</v>
      </c>
      <c r="W27" s="104"/>
      <c r="Z27" s="21"/>
      <c r="AA27" s="21"/>
      <c r="AB27" s="21"/>
    </row>
    <row r="28" customFormat="false" ht="13.5" hidden="false" customHeight="false" outlineLevel="0" collapsed="false">
      <c r="A28" s="110"/>
      <c r="B28" s="110"/>
      <c r="E28" s="9" t="s">
        <v>145</v>
      </c>
      <c r="G28" s="148" t="s">
        <v>72</v>
      </c>
      <c r="H28" s="149"/>
      <c r="I28" s="9"/>
      <c r="J28" s="31" t="s">
        <v>146</v>
      </c>
      <c r="K28" s="144" t="n">
        <f aca="false">K27+0.14</f>
        <v>3.465</v>
      </c>
      <c r="N28" s="150" t="s">
        <v>147</v>
      </c>
      <c r="O28" s="126" t="n">
        <f aca="false">AVERAGE(D55:D66)</f>
        <v>3.34058333333333</v>
      </c>
      <c r="P28" s="150" t="s">
        <v>147</v>
      </c>
      <c r="Q28" s="151" t="n">
        <f aca="false">IF(K28&gt;0,R28,0)</f>
        <v>0.124416666666667</v>
      </c>
      <c r="R28" s="152" t="n">
        <f aca="false">K28-O28</f>
        <v>0.124416666666667</v>
      </c>
      <c r="Y28" s="153" t="n">
        <f aca="false">W2</f>
        <v>1.5</v>
      </c>
      <c r="AB28" s="21"/>
      <c r="AC28" s="21"/>
      <c r="AD28" s="21"/>
      <c r="BC28" s="5"/>
      <c r="BD28" s="5"/>
    </row>
    <row r="29" customFormat="false" ht="14.25" hidden="false" customHeight="false" outlineLevel="0" collapsed="false">
      <c r="A29" s="110"/>
      <c r="B29" s="110"/>
      <c r="E29" s="154" t="n">
        <f aca="false">825*12*0.03*10000</f>
        <v>2970000</v>
      </c>
      <c r="G29" s="148"/>
      <c r="H29" s="149"/>
      <c r="I29" s="9"/>
      <c r="J29" s="31" t="s">
        <v>148</v>
      </c>
      <c r="K29" s="144" t="n">
        <f aca="false">K28+0.1</f>
        <v>3.565</v>
      </c>
      <c r="N29" s="150" t="s">
        <v>149</v>
      </c>
      <c r="O29" s="126" t="n">
        <f aca="false">AVERAGE(D67:D78)</f>
        <v>3.42558333333333</v>
      </c>
      <c r="P29" s="150" t="s">
        <v>147</v>
      </c>
      <c r="Q29" s="151" t="n">
        <f aca="false">IF(K29&gt;0,R29,0)</f>
        <v>0.139416666666667</v>
      </c>
      <c r="R29" s="152" t="n">
        <f aca="false">K29-O29</f>
        <v>0.139416666666667</v>
      </c>
      <c r="Y29" s="153"/>
      <c r="AB29" s="21"/>
      <c r="AC29" s="21"/>
      <c r="AD29" s="21"/>
      <c r="BC29" s="5"/>
      <c r="BD29" s="5"/>
    </row>
    <row r="30" customFormat="false" ht="14.25" hidden="false" customHeight="false" outlineLevel="0" collapsed="false">
      <c r="A30" s="155"/>
      <c r="B30" s="156" t="s">
        <v>59</v>
      </c>
      <c r="C30" s="156" t="s">
        <v>150</v>
      </c>
      <c r="D30" s="156" t="s">
        <v>72</v>
      </c>
      <c r="E30" s="156" t="s">
        <v>151</v>
      </c>
      <c r="F30" s="156" t="s">
        <v>152</v>
      </c>
      <c r="G30" s="156" t="s">
        <v>153</v>
      </c>
      <c r="H30" s="157" t="s">
        <v>154</v>
      </c>
      <c r="I30" s="156" t="s">
        <v>153</v>
      </c>
      <c r="J30" s="31" t="s">
        <v>155</v>
      </c>
      <c r="K30" s="5" t="s">
        <v>156</v>
      </c>
      <c r="L30" s="5" t="s">
        <v>157</v>
      </c>
      <c r="N30" s="156" t="s">
        <v>158</v>
      </c>
      <c r="O30" s="31" t="s">
        <v>159</v>
      </c>
      <c r="Q30" s="5" t="s">
        <v>160</v>
      </c>
      <c r="AB30" s="21"/>
      <c r="AC30" s="21"/>
      <c r="BC30" s="5"/>
      <c r="BD30" s="5"/>
    </row>
    <row r="31" customFormat="false" ht="12.75" hidden="false" customHeight="false" outlineLevel="0" collapsed="false">
      <c r="A31" s="110" t="n">
        <v>1</v>
      </c>
      <c r="B31" s="158" t="n">
        <v>37257</v>
      </c>
      <c r="C31" s="110" t="n">
        <f aca="false">DDE("REUTER","IDN","NGF2,PRIM ACT 1,1")</f>
        <v>2.56</v>
      </c>
      <c r="D31" s="110" t="n">
        <f aca="false">VLOOKUP($B31,curvesettle,2,FALSE())</f>
        <v>2.719</v>
      </c>
      <c r="E31" s="159" t="n">
        <f aca="false">Q22</f>
        <v>0.166</v>
      </c>
      <c r="F31" s="160" t="n">
        <f aca="false">IF(C$1="settle",D31,IF(C$1="EOL",D31+E31,IF(ISNUMBER(C31),C31,D31)))</f>
        <v>2.719</v>
      </c>
      <c r="G31" s="161" t="n">
        <f aca="false">VLOOKUP($B31,curvesettle,3,FALSE())</f>
        <v>0.87</v>
      </c>
      <c r="H31" s="161" t="n">
        <v>0</v>
      </c>
      <c r="I31" s="161" t="n">
        <f aca="false">G31+H31</f>
        <v>0.87</v>
      </c>
      <c r="J31" s="160" t="e">
        <f aca="true">bsd(1,3,$F31,$F31,$N31-TODAY(),$I31,$O31,Y31/2)</f>
        <v>#VALUE!</v>
      </c>
      <c r="K31" s="161" t="n">
        <v>0</v>
      </c>
      <c r="L31" s="161" t="n">
        <f aca="false">'GAS DAILY VOL DOWNLOAD'!B9+K31</f>
        <v>0.94</v>
      </c>
      <c r="M31" s="5" t="n">
        <f aca="false">A31</f>
        <v>1</v>
      </c>
      <c r="N31" s="162" t="n">
        <f aca="false">VLOOKUP(B31,expiration,3,FALSE())</f>
        <v>37251</v>
      </c>
      <c r="O31" s="101" t="n">
        <f aca="false">VLOOKUP($B31,curvesettle,4,FALSE())</f>
        <v>0.018936902743822</v>
      </c>
      <c r="P31" s="163" t="n">
        <f aca="false">IF(P$30="nymex",expiry!H63+1,B31)</f>
        <v>37257</v>
      </c>
      <c r="Q31" s="164" t="e">
        <f aca="true">OSTRIP(F31,F31,P31-TODAY(),B31-P31,B32-P31-1,1,O31,I31,L31,1,0,1,0)</f>
        <v>#NAME?</v>
      </c>
      <c r="R31" s="103" t="e">
        <f aca="false">Q31-#REF!</f>
        <v>#REF!</v>
      </c>
      <c r="S31" s="103"/>
      <c r="T31" s="161" t="n">
        <v>0.05</v>
      </c>
      <c r="U31" s="161" t="n">
        <v>0</v>
      </c>
      <c r="V31" s="160"/>
      <c r="W31" s="160" t="e">
        <f aca="true">bsd(1,3,$S31,$T31,$N31-TODAY()+1,$I31,$O31,AG31/2)</f>
        <v>#VALUE!</v>
      </c>
      <c r="X31" s="160" t="e">
        <f aca="true">bsd(2,3,$S31,$S31,$N31-TODAY()+1,$I31,$O31,AH31/2)</f>
        <v>#VALUE!</v>
      </c>
      <c r="AA31" s="161" t="n">
        <v>0.05</v>
      </c>
      <c r="AB31" s="110" t="n">
        <f aca="false">DDE("TWINDDE","RSFRecord","NGc1 cls")</f>
        <v>2.44</v>
      </c>
      <c r="AC31" s="110" t="e">
        <f aca="false">DDE("TWINDDE","RSFRecord","NGc1 LAST")</f>
        <v>#N/A</v>
      </c>
      <c r="AG31" s="5" t="n">
        <f aca="false">(G31/SQRT(252))*F31</f>
        <v>0.149014383306253</v>
      </c>
      <c r="AI31" s="110" t="n">
        <f aca="false">DDE("TWINDDE","RSFRecord","CLc1 LAST")</f>
        <v>27.58</v>
      </c>
      <c r="BA31" s="5" t="n">
        <v>-25</v>
      </c>
      <c r="BB31" s="5" t="n">
        <f aca="false">BA31/1000</f>
        <v>-0.025</v>
      </c>
      <c r="BC31" s="5"/>
      <c r="BD31" s="5"/>
    </row>
    <row r="32" customFormat="false" ht="12.75" hidden="false" customHeight="false" outlineLevel="0" collapsed="false">
      <c r="A32" s="110" t="n">
        <f aca="false">A31+1</f>
        <v>2</v>
      </c>
      <c r="B32" s="158" t="n">
        <v>37288</v>
      </c>
      <c r="C32" s="110" t="n">
        <f aca="false">DDE("REUTER","IDN","NGG2,PRIM ACT 1,1")</f>
        <v>2.69</v>
      </c>
      <c r="D32" s="110" t="n">
        <f aca="false">VLOOKUP($B32,curvesettle,2,FALSE())</f>
        <v>2.793</v>
      </c>
      <c r="E32" s="159" t="n">
        <f aca="false">Q23</f>
        <v>0.147</v>
      </c>
      <c r="F32" s="160" t="n">
        <f aca="false">IF(C$1="settle",D32,IF(C$1="EOL",D32+E32,IF(ISNUMBER(C32),C32,D32)))</f>
        <v>2.793</v>
      </c>
      <c r="G32" s="161" t="n">
        <f aca="false">VLOOKUP($B32,curvesettle,3,FALSE())</f>
        <v>0.865</v>
      </c>
      <c r="H32" s="161" t="n">
        <v>0</v>
      </c>
      <c r="I32" s="161" t="n">
        <f aca="false">G32+H32</f>
        <v>0.865</v>
      </c>
      <c r="J32" s="160" t="e">
        <f aca="true">bsd(1,3,$F32,$F32,$N32-TODAY(),$I32,$O32,Y32/2)</f>
        <v>#VALUE!</v>
      </c>
      <c r="K32" s="161" t="n">
        <v>0</v>
      </c>
      <c r="L32" s="161" t="n">
        <f aca="false">'GAS DAILY VOL DOWNLOAD'!B10+K32</f>
        <v>0.99</v>
      </c>
      <c r="M32" s="5" t="n">
        <f aca="false">A32</f>
        <v>2</v>
      </c>
      <c r="N32" s="162" t="n">
        <f aca="false">VLOOKUP(B32,expiration,3,FALSE())</f>
        <v>37284</v>
      </c>
      <c r="O32" s="101" t="n">
        <f aca="false">VLOOKUP($B32,curvesettle,4,FALSE())</f>
        <v>0.0191878596638237</v>
      </c>
      <c r="P32" s="163" t="n">
        <f aca="false">IF(P$30="nymex",expiry!H64+1,B32)</f>
        <v>37288</v>
      </c>
      <c r="Q32" s="164" t="e">
        <f aca="true">OSTRIP(F32,F32,P32-TODAY(),B32-P32,B33-P32-1,1,O32,I32,L32,1,0,1,0)</f>
        <v>#NAME?</v>
      </c>
      <c r="R32" s="103" t="e">
        <f aca="false">Q32-#REF!</f>
        <v>#REF!</v>
      </c>
      <c r="S32" s="103"/>
      <c r="T32" s="161" t="n">
        <v>0.08</v>
      </c>
      <c r="U32" s="161" t="n">
        <v>0</v>
      </c>
      <c r="V32" s="160"/>
      <c r="W32" s="160" t="e">
        <f aca="true">bsd(1,3,$S32,$T32,$N32-TODAY()+1,$I32,$O32,AG32/2)</f>
        <v>#VALUE!</v>
      </c>
      <c r="AA32" s="161" t="n">
        <v>0.15</v>
      </c>
      <c r="AB32" s="110" t="n">
        <f aca="false">DDE("TWINDDE","RSFRecord","NGc2 cls")</f>
        <v>2.74</v>
      </c>
      <c r="AC32" s="110" t="e">
        <f aca="false">DDE("TWINDDE","RSFRecord","NGc2 LAST")</f>
        <v>#N/A</v>
      </c>
      <c r="AI32" s="110" t="n">
        <f aca="false">DDE("TWINDDE","RSFRecord","CLc2 LAST")</f>
        <v>27.66</v>
      </c>
      <c r="BA32" s="5" t="n">
        <v>-36</v>
      </c>
      <c r="BB32" s="5" t="n">
        <f aca="false">BA32/1000</f>
        <v>-0.036</v>
      </c>
      <c r="BC32" s="5"/>
      <c r="BD32" s="5"/>
    </row>
    <row r="33" customFormat="false" ht="12.75" hidden="false" customHeight="false" outlineLevel="0" collapsed="false">
      <c r="A33" s="110" t="n">
        <f aca="false">A32+1</f>
        <v>3</v>
      </c>
      <c r="B33" s="158" t="n">
        <v>37316</v>
      </c>
      <c r="C33" s="110" t="n">
        <f aca="false">DDE("REUTER","IDN","NGH2,PRIM ACT 1,1")</f>
        <v>2.715</v>
      </c>
      <c r="D33" s="110" t="n">
        <f aca="false">VLOOKUP($B33,curvesettle,2,FALSE())</f>
        <v>2.795</v>
      </c>
      <c r="E33" s="159" t="n">
        <f aca="false">Q24</f>
        <v>0.115</v>
      </c>
      <c r="F33" s="160" t="n">
        <f aca="false">IF(C$1="settle",D33,IF(C$1="EOL",D33+E33,IF(ISNUMBER(C33),C33,D33)))</f>
        <v>2.795</v>
      </c>
      <c r="G33" s="161" t="n">
        <f aca="false">VLOOKUP($B33,curvesettle,3,FALSE())</f>
        <v>0.78</v>
      </c>
      <c r="H33" s="161" t="n">
        <v>0</v>
      </c>
      <c r="I33" s="161" t="n">
        <f aca="false">G33+H33</f>
        <v>0.78</v>
      </c>
      <c r="J33" s="160" t="e">
        <f aca="true">bsd(1,3,$F33,$F33,$N33-TODAY(),$I33,$O33,Y33/2)</f>
        <v>#VALUE!</v>
      </c>
      <c r="K33" s="161" t="n">
        <v>0</v>
      </c>
      <c r="L33" s="161" t="n">
        <f aca="false">'GAS DAILY VOL DOWNLOAD'!B11+K33</f>
        <v>0.99</v>
      </c>
      <c r="M33" s="5" t="n">
        <f aca="false">A33</f>
        <v>3</v>
      </c>
      <c r="N33" s="162" t="n">
        <f aca="false">VLOOKUP(B33,expiration,3,FALSE())</f>
        <v>37312</v>
      </c>
      <c r="O33" s="101" t="n">
        <f aca="false">VLOOKUP($B33,curvesettle,4,FALSE())</f>
        <v>0.0190229841898146</v>
      </c>
      <c r="P33" s="163" t="n">
        <f aca="false">IF(P$30="nymex",expiry!H65+1,B33)</f>
        <v>37316</v>
      </c>
      <c r="Q33" s="164" t="e">
        <f aca="true">OSTRIP(F33,F33,P33-TODAY(),B33-P33,B34-P33-1,1,O33,I33,L33,1,0,1,0)</f>
        <v>#NAME?</v>
      </c>
      <c r="R33" s="103" t="e">
        <f aca="false">Q33-#REF!</f>
        <v>#REF!</v>
      </c>
      <c r="S33" s="103"/>
      <c r="T33" s="161" t="n">
        <v>0.05</v>
      </c>
      <c r="U33" s="161" t="n">
        <v>0</v>
      </c>
      <c r="V33" s="160"/>
      <c r="W33" s="160" t="e">
        <f aca="true">bsd(1,3,$S33,$T33,$N33-TODAY()+1,$I33,$O33,AG33/2)</f>
        <v>#VALUE!</v>
      </c>
      <c r="AA33" s="161" t="n">
        <v>0.15</v>
      </c>
      <c r="AB33" s="110" t="n">
        <f aca="false">DDE("TWINDDE","RSFRecord","NGc3 cls")</f>
        <v>3.06</v>
      </c>
      <c r="AC33" s="110" t="e">
        <f aca="false">DDE("TWINDDE","RSFRecord","NGc3 LAST")</f>
        <v>#N/A</v>
      </c>
      <c r="AI33" s="110" t="n">
        <f aca="false">DDE("TWINDDE","RSFRecord","CLc3 LAST")</f>
        <v>27.61</v>
      </c>
      <c r="BA33" s="5" t="n">
        <v>-68</v>
      </c>
      <c r="BB33" s="5" t="n">
        <f aca="false">BA33/1000</f>
        <v>-0.068</v>
      </c>
      <c r="BC33" s="5"/>
      <c r="BD33" s="5"/>
    </row>
    <row r="34" customFormat="false" ht="12.75" hidden="false" customHeight="false" outlineLevel="0" collapsed="false">
      <c r="A34" s="110" t="n">
        <f aca="false">A33+1</f>
        <v>4</v>
      </c>
      <c r="B34" s="158" t="n">
        <v>37347</v>
      </c>
      <c r="C34" s="110" t="n">
        <f aca="false">DDE("REUTER","IDN","NGJ2,PRIM ACT 1,1")</f>
        <v>2.7</v>
      </c>
      <c r="D34" s="110" t="n">
        <f aca="false">VLOOKUP($B34,curvesettle,2,FALSE())</f>
        <v>2.765</v>
      </c>
      <c r="E34" s="159" t="n">
        <f aca="false">Q$25</f>
        <v>0.0494285714285714</v>
      </c>
      <c r="F34" s="160" t="n">
        <f aca="false">IF(C$1="settle",D34,IF(C$1="EOL",D34+E34,IF(ISNUMBER(C34),C34,D34)))</f>
        <v>2.765</v>
      </c>
      <c r="G34" s="161" t="n">
        <f aca="false">VLOOKUP($B34,curvesettle,3,FALSE())</f>
        <v>0.6</v>
      </c>
      <c r="H34" s="161" t="n">
        <v>0</v>
      </c>
      <c r="I34" s="161" t="n">
        <f aca="false">G34+H34</f>
        <v>0.6</v>
      </c>
      <c r="J34" s="160" t="e">
        <f aca="true">bsd(1,3,$F34,$F34,$N34-TODAY(),$I34,$O34,Y34/2)</f>
        <v>#VALUE!</v>
      </c>
      <c r="K34" s="161" t="n">
        <v>0</v>
      </c>
      <c r="L34" s="161" t="n">
        <f aca="false">'GAS DAILY VOL DOWNLOAD'!B12+K34</f>
        <v>0.74</v>
      </c>
      <c r="M34" s="5" t="n">
        <f aca="false">A34</f>
        <v>4</v>
      </c>
      <c r="N34" s="162" t="n">
        <f aca="false">VLOOKUP(B34,expiration,3,FALSE())</f>
        <v>37340</v>
      </c>
      <c r="O34" s="101" t="n">
        <f aca="false">VLOOKUP($B34,curvesettle,4,FALSE())</f>
        <v>0.0189361632757947</v>
      </c>
      <c r="P34" s="163" t="n">
        <f aca="false">IF(P$30="nymex",expiry!H66+1,B34)</f>
        <v>37347</v>
      </c>
      <c r="Q34" s="164" t="e">
        <f aca="true">OSTRIP(F34,F34,P34-TODAY(),B34-P34,B35-P34-1,1,O34,I34,L34,1,0,1,0)</f>
        <v>#NAME?</v>
      </c>
      <c r="R34" s="103" t="e">
        <f aca="false">Q34-#REF!</f>
        <v>#REF!</v>
      </c>
      <c r="S34" s="103"/>
      <c r="T34" s="161" t="n">
        <v>-0.12</v>
      </c>
      <c r="U34" s="161" t="n">
        <v>0</v>
      </c>
      <c r="V34" s="160"/>
      <c r="W34" s="160" t="e">
        <f aca="true">bsd(1,3,$S34,$T34,$N34-TODAY()+1,$I34,$O34,AG34/2)</f>
        <v>#VALUE!</v>
      </c>
      <c r="AA34" s="161" t="n">
        <v>0.25</v>
      </c>
      <c r="AB34" s="110" t="n">
        <f aca="false">DDE("TWINDDE","RSFRecord","NGc4 cls")</f>
        <v>3.205</v>
      </c>
      <c r="AC34" s="110" t="e">
        <f aca="false">DDE("TWINDDE","RSFRecord","NGc4 LAST")</f>
        <v>#N/A</v>
      </c>
      <c r="AI34" s="110" t="n">
        <f aca="false">DDE("TWINDDE","RSFRecord","CLc4 LAST")</f>
        <v>27.26</v>
      </c>
      <c r="BA34" s="5" t="n">
        <v>-101</v>
      </c>
      <c r="BB34" s="5" t="n">
        <f aca="false">BA34/1000</f>
        <v>-0.101</v>
      </c>
      <c r="BC34" s="5"/>
      <c r="BD34" s="5"/>
    </row>
    <row r="35" customFormat="false" ht="12.75" hidden="false" customHeight="false" outlineLevel="0" collapsed="false">
      <c r="A35" s="110" t="n">
        <f aca="false">A34+1</f>
        <v>5</v>
      </c>
      <c r="B35" s="158" t="n">
        <v>37377</v>
      </c>
      <c r="C35" s="110" t="n">
        <f aca="false">DDE("REUTER","IDN","NGK2,PRIM ACT 1,1")</f>
        <v>2.735</v>
      </c>
      <c r="D35" s="110" t="n">
        <f aca="false">VLOOKUP($B35,curvesettle,2,FALSE())</f>
        <v>2.818</v>
      </c>
      <c r="E35" s="159" t="n">
        <f aca="false">Q$25</f>
        <v>0.0494285714285714</v>
      </c>
      <c r="F35" s="160" t="n">
        <f aca="false">IF(C$1="settle",D35,IF(C$1="EOL",D35+E35,IF(ISNUMBER(C35),C35,D35)))</f>
        <v>2.818</v>
      </c>
      <c r="G35" s="161" t="n">
        <f aca="false">VLOOKUP($B35,curvesettle,3,FALSE())</f>
        <v>0.5425</v>
      </c>
      <c r="H35" s="161" t="n">
        <v>0</v>
      </c>
      <c r="I35" s="161" t="n">
        <f aca="false">G35+H35</f>
        <v>0.5425</v>
      </c>
      <c r="J35" s="160" t="e">
        <f aca="true">bsd(1,3,$F35,$F35,$N35-TODAY(),$I35,$O35,Y35/2)</f>
        <v>#VALUE!</v>
      </c>
      <c r="K35" s="161" t="n">
        <v>-0.05</v>
      </c>
      <c r="L35" s="161" t="n">
        <f aca="false">'GAS DAILY VOL DOWNLOAD'!B13+K35</f>
        <v>0.48</v>
      </c>
      <c r="M35" s="5" t="n">
        <f aca="false">A35</f>
        <v>5</v>
      </c>
      <c r="N35" s="162" t="n">
        <f aca="false">VLOOKUP(B35,expiration,3,FALSE())</f>
        <v>37371</v>
      </c>
      <c r="O35" s="101" t="n">
        <f aca="false">VLOOKUP($B35,curvesettle,4,FALSE())</f>
        <v>0.0191064797925966</v>
      </c>
      <c r="P35" s="163" t="n">
        <f aca="false">IF(P$30="nymex",expiry!H67+1,B35)</f>
        <v>37377</v>
      </c>
      <c r="Q35" s="164" t="e">
        <f aca="true">OSTRIP(F35,F35,P35-TODAY(),B35-P35,B36-P35-1,1,O35,I35,L35,1,0,1,0)</f>
        <v>#NAME?</v>
      </c>
      <c r="R35" s="103" t="e">
        <f aca="false">Q35-#REF!</f>
        <v>#REF!</v>
      </c>
      <c r="S35" s="103"/>
      <c r="T35" s="161" t="n">
        <v>-0.11</v>
      </c>
      <c r="U35" s="161" t="n">
        <v>0</v>
      </c>
      <c r="V35" s="160"/>
      <c r="W35" s="160" t="e">
        <f aca="true">bsd(1,3,$S35,$T35,$N35-TODAY()+1,$I35,$O35,AG35/2)</f>
        <v>#VALUE!</v>
      </c>
      <c r="AA35" s="161" t="n">
        <v>0.05</v>
      </c>
      <c r="AB35" s="110" t="n">
        <f aca="false">DDE("TWINDDE","RSFRecord","NGc5 cls")</f>
        <v>3.177</v>
      </c>
      <c r="AC35" s="110" t="e">
        <f aca="false">DDE("TWINDDE","RSFRecord","NGc5 LAST")</f>
        <v>#N/A</v>
      </c>
      <c r="AI35" s="110" t="n">
        <f aca="false">DDE("TWINDDE","RSFRecord","CLc5 LAST")</f>
        <v>26.94</v>
      </c>
      <c r="BA35" s="5" t="n">
        <v>-134</v>
      </c>
      <c r="BB35" s="5" t="n">
        <f aca="false">BA35/1000</f>
        <v>-0.134</v>
      </c>
      <c r="BC35" s="5"/>
      <c r="BD35" s="5"/>
    </row>
    <row r="36" customFormat="false" ht="12.75" hidden="false" customHeight="false" outlineLevel="0" collapsed="false">
      <c r="A36" s="110" t="n">
        <f aca="false">A35+1</f>
        <v>6</v>
      </c>
      <c r="B36" s="158" t="n">
        <v>37408</v>
      </c>
      <c r="C36" s="110" t="n">
        <f aca="false">DDE("REUTER","IDN","NGM2,PRIM ACT 1,1")</f>
        <v>2.79</v>
      </c>
      <c r="D36" s="110" t="n">
        <f aca="false">VLOOKUP($B36,curvesettle,2,FALSE())</f>
        <v>2.872</v>
      </c>
      <c r="E36" s="159" t="n">
        <f aca="false">Q$25</f>
        <v>0.0494285714285714</v>
      </c>
      <c r="F36" s="160" t="n">
        <f aca="false">IF(C$1="settle",D36,IF(C$1="EOL",D36+E36,IF(ISNUMBER(C36),C36,D36)))</f>
        <v>2.872</v>
      </c>
      <c r="G36" s="161" t="n">
        <f aca="false">VLOOKUP($B36,curvesettle,3,FALSE())</f>
        <v>0.5275</v>
      </c>
      <c r="H36" s="161" t="n">
        <v>0</v>
      </c>
      <c r="I36" s="161" t="n">
        <f aca="false">G36+H36</f>
        <v>0.5275</v>
      </c>
      <c r="J36" s="160" t="e">
        <f aca="true">bsd(1,3,$F36,$F36,$N36-TODAY(),$I36,$O36,Y36/2)</f>
        <v>#VALUE!</v>
      </c>
      <c r="K36" s="161" t="n">
        <v>-0.05</v>
      </c>
      <c r="L36" s="161" t="n">
        <f aca="false">'GAS DAILY VOL DOWNLOAD'!B14+K36</f>
        <v>0.53</v>
      </c>
      <c r="M36" s="5" t="n">
        <f aca="false">A36</f>
        <v>6</v>
      </c>
      <c r="N36" s="162" t="n">
        <f aca="false">VLOOKUP(B36,expiration,3,FALSE())</f>
        <v>37404</v>
      </c>
      <c r="O36" s="101" t="n">
        <f aca="false">VLOOKUP($B36,curvesettle,4,FALSE())</f>
        <v>0.0192824735369563</v>
      </c>
      <c r="P36" s="163" t="n">
        <f aca="false">IF(P$30="nymex",expiry!H68+1,B36)</f>
        <v>37408</v>
      </c>
      <c r="Q36" s="164" t="e">
        <f aca="true">OSTRIP(F36,F36,P36-TODAY(),B36-P36,B37-P36-1,1,O36,I36,L36,1,0,1,0)</f>
        <v>#NAME?</v>
      </c>
      <c r="R36" s="103" t="e">
        <f aca="false">Q36-#REF!</f>
        <v>#REF!</v>
      </c>
      <c r="S36" s="103"/>
      <c r="T36" s="161" t="n">
        <v>-0.05</v>
      </c>
      <c r="U36" s="161" t="n">
        <v>0</v>
      </c>
      <c r="V36" s="160"/>
      <c r="W36" s="160" t="e">
        <f aca="true">bsd(1,3,$S36,$T36,$N36-TODAY()+1,$I36,$O36,AG36/2)</f>
        <v>#VALUE!</v>
      </c>
      <c r="AA36" s="161" t="n">
        <v>0.05</v>
      </c>
      <c r="AB36" s="110" t="n">
        <f aca="false">DDE("TWINDDE","RSFRecord","NGc6 cls")</f>
        <v>3.105</v>
      </c>
      <c r="AC36" s="110" t="e">
        <f aca="false">DDE("TWINDDE","RSFRecord","NGc6 LAST")</f>
        <v>#N/A</v>
      </c>
      <c r="AI36" s="110" t="n">
        <f aca="false">DDE("TWINDDE","RSFRecord","CLc6 LAST")</f>
        <v>0</v>
      </c>
      <c r="BA36" s="5" t="n">
        <v>-141</v>
      </c>
      <c r="BB36" s="5" t="n">
        <f aca="false">BA36/1000</f>
        <v>-0.141</v>
      </c>
      <c r="BC36" s="5"/>
      <c r="BD36" s="5"/>
    </row>
    <row r="37" customFormat="false" ht="12.75" hidden="false" customHeight="false" outlineLevel="0" collapsed="false">
      <c r="A37" s="110" t="n">
        <f aca="false">A36+1</f>
        <v>7</v>
      </c>
      <c r="B37" s="158" t="n">
        <v>37438</v>
      </c>
      <c r="C37" s="110" t="n">
        <f aca="false">DDE("REUTER","IDN","NGN2,PRIM ACT 1,1")</f>
        <v>2.835</v>
      </c>
      <c r="D37" s="110" t="n">
        <f aca="false">VLOOKUP($B37,curvesettle,2,FALSE())</f>
        <v>2.917</v>
      </c>
      <c r="E37" s="159" t="n">
        <f aca="false">Q$25</f>
        <v>0.0494285714285714</v>
      </c>
      <c r="F37" s="160" t="n">
        <f aca="false">IF(C$1="settle",D37,IF(C$1="EOL",D37+E37,IF(ISNUMBER(C37),C37,D37)))</f>
        <v>2.917</v>
      </c>
      <c r="G37" s="161" t="n">
        <f aca="false">VLOOKUP($B37,curvesettle,3,FALSE())</f>
        <v>0.5275</v>
      </c>
      <c r="H37" s="161" t="n">
        <v>0</v>
      </c>
      <c r="I37" s="161" t="n">
        <f aca="false">G37+H37</f>
        <v>0.5275</v>
      </c>
      <c r="J37" s="160" t="e">
        <f aca="true">bsd(1,3,$F37,$F37,$N37-TODAY(),$I37,$O37,Y37/2)</f>
        <v>#VALUE!</v>
      </c>
      <c r="K37" s="161" t="n">
        <v>-0.05</v>
      </c>
      <c r="L37" s="161" t="n">
        <f aca="false">'GAS DAILY VOL DOWNLOAD'!B15+K37</f>
        <v>0.53</v>
      </c>
      <c r="M37" s="5" t="n">
        <f aca="false">A37</f>
        <v>7</v>
      </c>
      <c r="N37" s="162" t="n">
        <f aca="false">VLOOKUP(B37,expiration,3,FALSE())</f>
        <v>37432</v>
      </c>
      <c r="O37" s="101" t="n">
        <f aca="false">VLOOKUP($B37,curvesettle,4,FALSE())</f>
        <v>0.0195950648415604</v>
      </c>
      <c r="P37" s="163" t="n">
        <f aca="false">IF(P$30="nymex",expiry!H69+1,B37)</f>
        <v>37438</v>
      </c>
      <c r="Q37" s="164" t="e">
        <f aca="true">OSTRIP(F37,F37,P37-TODAY(),B37-P37,B38-P37-1,1,O37,I37,L37,1,0,1,0)</f>
        <v>#NAME?</v>
      </c>
      <c r="R37" s="103" t="e">
        <f aca="false">Q37-#REF!</f>
        <v>#REF!</v>
      </c>
      <c r="S37" s="103"/>
      <c r="T37" s="161" t="n">
        <v>0</v>
      </c>
      <c r="U37" s="161" t="n">
        <v>-0.15</v>
      </c>
      <c r="V37" s="160"/>
      <c r="W37" s="160" t="e">
        <f aca="true">bsd(1,3,$S37,$T37,$N37-TODAY()+1,$I37,$O37,AG37/2)</f>
        <v>#VALUE!</v>
      </c>
      <c r="AA37" s="161" t="n">
        <v>0.05</v>
      </c>
      <c r="AB37" s="110" t="n">
        <f aca="false">DDE("TWINDDE","RSFRecord","NGc7 cls")</f>
        <v>3.012</v>
      </c>
      <c r="AC37" s="110" t="e">
        <f aca="false">DDE("TWINDDE","RSFRecord","NGc7 LAST")</f>
        <v>#N/A</v>
      </c>
      <c r="AI37" s="110" t="n">
        <f aca="false">DDE("TWINDDE","RSFRecord","CLc7 LAST")</f>
        <v>26.33</v>
      </c>
      <c r="BA37" s="5" t="n">
        <v>-141</v>
      </c>
      <c r="BB37" s="5" t="n">
        <f aca="false">BA37/1000</f>
        <v>-0.141</v>
      </c>
      <c r="BC37" s="5"/>
      <c r="BD37" s="5"/>
    </row>
    <row r="38" customFormat="false" ht="12.75" hidden="false" customHeight="false" outlineLevel="0" collapsed="false">
      <c r="A38" s="110" t="n">
        <f aca="false">A37+1</f>
        <v>8</v>
      </c>
      <c r="B38" s="158" t="n">
        <v>37469</v>
      </c>
      <c r="C38" s="110" t="n">
        <f aca="false">DDE("REUTER","IDN","NGQ2,PRIM ACT 1,1")</f>
        <v>2.89</v>
      </c>
      <c r="D38" s="110" t="n">
        <f aca="false">VLOOKUP($B38,curvesettle,2,FALSE())</f>
        <v>2.962</v>
      </c>
      <c r="E38" s="159" t="n">
        <f aca="false">Q$25</f>
        <v>0.0494285714285714</v>
      </c>
      <c r="F38" s="160" t="n">
        <f aca="false">IF(C$1="settle",D38,IF(C$1="EOL",D38+E38,IF(ISNUMBER(C38),C38,D38)))</f>
        <v>2.962</v>
      </c>
      <c r="G38" s="161" t="n">
        <f aca="false">VLOOKUP($B38,curvesettle,3,FALSE())</f>
        <v>0.53</v>
      </c>
      <c r="H38" s="161" t="n">
        <v>0</v>
      </c>
      <c r="I38" s="161" t="n">
        <f aca="false">G38+H38</f>
        <v>0.53</v>
      </c>
      <c r="J38" s="160" t="e">
        <f aca="true">bsd(1,3,$F38,$F38,$N38-TODAY(),$I38,$O38,Y38/2)</f>
        <v>#VALUE!</v>
      </c>
      <c r="K38" s="161" t="n">
        <v>-0.05</v>
      </c>
      <c r="L38" s="161" t="n">
        <f aca="false">'GAS DAILY VOL DOWNLOAD'!B16+K38</f>
        <v>0.58</v>
      </c>
      <c r="M38" s="5" t="n">
        <f aca="false">A38</f>
        <v>8</v>
      </c>
      <c r="N38" s="162" t="n">
        <f aca="false">VLOOKUP(B38,expiration,3,FALSE())</f>
        <v>37463</v>
      </c>
      <c r="O38" s="101" t="n">
        <f aca="false">VLOOKUP($B38,curvesettle,4,FALSE())</f>
        <v>0.0201466105621213</v>
      </c>
      <c r="P38" s="163" t="n">
        <f aca="false">IF(P$30="nymex",expiry!H70+1,B38)</f>
        <v>37469</v>
      </c>
      <c r="Q38" s="164" t="e">
        <f aca="true">OSTRIP(F38,F38,P38-TODAY(),B38-P38,B39-P38-1,1,O38,I38,L38,1,0,1,0)</f>
        <v>#NAME?</v>
      </c>
      <c r="R38" s="103" t="e">
        <f aca="false">Q38-#REF!</f>
        <v>#REF!</v>
      </c>
      <c r="S38" s="103"/>
      <c r="T38" s="161" t="n">
        <v>-0.05</v>
      </c>
      <c r="U38" s="161" t="n">
        <v>-0.25</v>
      </c>
      <c r="V38" s="160"/>
      <c r="W38" s="160" t="e">
        <f aca="true">bsd(1,3,$S38,$T38,$N38-TODAY()+1,$I38,$O38,AG38/2)</f>
        <v>#VALUE!</v>
      </c>
      <c r="AA38" s="161" t="n">
        <v>0.05</v>
      </c>
      <c r="AB38" s="110" t="n">
        <f aca="false">DDE("TWINDDE","RSFRecord","NGc8 cls")</f>
        <v>3.035</v>
      </c>
      <c r="AC38" s="110" t="e">
        <f aca="false">DDE("TWINDDE","RSFRecord","NGc8 LAST")</f>
        <v>#N/A</v>
      </c>
      <c r="AI38" s="110" t="n">
        <f aca="false">DDE("TWINDDE","RSFRecord","CLc8 LAST")</f>
        <v>0</v>
      </c>
      <c r="BA38" s="5" t="n">
        <v>-141</v>
      </c>
      <c r="BB38" s="5" t="n">
        <f aca="false">BA38/1000</f>
        <v>-0.141</v>
      </c>
      <c r="BC38" s="5"/>
      <c r="BD38" s="5"/>
    </row>
    <row r="39" customFormat="false" ht="12.75" hidden="false" customHeight="false" outlineLevel="0" collapsed="false">
      <c r="A39" s="110" t="n">
        <f aca="false">A38+1</f>
        <v>9</v>
      </c>
      <c r="B39" s="158" t="n">
        <v>37500</v>
      </c>
      <c r="C39" s="110" t="n">
        <f aca="false">DDE("REUTER","IDN","NGU2,PRIM ACT 1,1")</f>
        <v>2.87</v>
      </c>
      <c r="D39" s="110" t="n">
        <f aca="false">VLOOKUP($B39,curvesettle,2,FALSE())</f>
        <v>2.959</v>
      </c>
      <c r="E39" s="159" t="n">
        <f aca="false">Q$25</f>
        <v>0.0494285714285714</v>
      </c>
      <c r="F39" s="160" t="n">
        <f aca="false">IF(C$1="settle",D39,IF(C$1="EOL",D39+E39,IF(ISNUMBER(C39),C39,D39)))</f>
        <v>2.959</v>
      </c>
      <c r="G39" s="161" t="n">
        <f aca="false">VLOOKUP($B39,curvesettle,3,FALSE())</f>
        <v>0.53</v>
      </c>
      <c r="H39" s="161" t="n">
        <v>0</v>
      </c>
      <c r="I39" s="161" t="n">
        <f aca="false">G39+H39</f>
        <v>0.53</v>
      </c>
      <c r="J39" s="160" t="e">
        <f aca="true">bsd(1,3,$F39,$F39,$N39-TODAY(),$I39,$O39,Y39/2)</f>
        <v>#VALUE!</v>
      </c>
      <c r="K39" s="161" t="n">
        <v>-0.05</v>
      </c>
      <c r="L39" s="161" t="n">
        <f aca="false">'GAS DAILY VOL DOWNLOAD'!B17+K39</f>
        <v>0.63</v>
      </c>
      <c r="M39" s="5" t="n">
        <f aca="false">A39</f>
        <v>9</v>
      </c>
      <c r="N39" s="162" t="n">
        <f aca="false">VLOOKUP(B39,expiration,3,FALSE())</f>
        <v>37495</v>
      </c>
      <c r="O39" s="101" t="n">
        <f aca="false">VLOOKUP($B39,curvesettle,4,FALSE())</f>
        <v>0.0206981563857513</v>
      </c>
      <c r="P39" s="163" t="n">
        <f aca="false">IF(P$30="nymex",expiry!H71+1,B39)</f>
        <v>37500</v>
      </c>
      <c r="Q39" s="164" t="e">
        <f aca="true">OSTRIP(F39,F39,P39-TODAY(),B39-P39,B40-P39-1,1,O39,I39,L39,1,0,1,0)</f>
        <v>#NAME?</v>
      </c>
      <c r="R39" s="103" t="e">
        <f aca="false">Q39-#REF!</f>
        <v>#REF!</v>
      </c>
      <c r="S39" s="103"/>
      <c r="T39" s="161" t="n">
        <v>0.05</v>
      </c>
      <c r="U39" s="161" t="n">
        <v>0.2</v>
      </c>
      <c r="V39" s="160"/>
      <c r="W39" s="160" t="e">
        <f aca="true">bsd(1,3,$S39,$T39,$N39-TODAY()+1,$I39,$O39,AG39/2)</f>
        <v>#VALUE!</v>
      </c>
      <c r="AA39" s="161" t="n">
        <v>0.05</v>
      </c>
      <c r="AB39" s="110" t="n">
        <f aca="false">DDE("TWINDDE","RSFRecord","NGc9 cls")</f>
        <v>3.07</v>
      </c>
      <c r="AC39" s="110" t="e">
        <f aca="false">DDE("TWINDDE","RSFRecord","NGc9 LAST")</f>
        <v>#N/A</v>
      </c>
      <c r="AI39" s="110" t="n">
        <f aca="false">DDE("TWINDDE","RSFRecord","CLc9 LAST")</f>
        <v>0</v>
      </c>
      <c r="BA39" s="5" t="n">
        <v>-136</v>
      </c>
      <c r="BB39" s="5" t="n">
        <f aca="false">BA39/1000</f>
        <v>-0.136</v>
      </c>
      <c r="BC39" s="5"/>
      <c r="BD39" s="5"/>
    </row>
    <row r="40" customFormat="false" ht="12.75" hidden="false" customHeight="false" outlineLevel="0" collapsed="false">
      <c r="A40" s="110" t="n">
        <f aca="false">A39+1</f>
        <v>10</v>
      </c>
      <c r="B40" s="158" t="n">
        <v>37530</v>
      </c>
      <c r="C40" s="110" t="n">
        <f aca="false">DDE("REUTER","IDN","NGV2,PRIM ACT 1,1")</f>
        <v>2.88</v>
      </c>
      <c r="D40" s="110" t="n">
        <f aca="false">VLOOKUP($B40,curvesettle,2,FALSE())</f>
        <v>2.976</v>
      </c>
      <c r="E40" s="159" t="n">
        <f aca="false">Q$25</f>
        <v>0.0494285714285714</v>
      </c>
      <c r="F40" s="160" t="n">
        <f aca="false">IF(C$1="settle",D40,IF(C$1="EOL",D40+E40,IF(ISNUMBER(C40),C40,D40)))</f>
        <v>2.976</v>
      </c>
      <c r="G40" s="161" t="n">
        <f aca="false">VLOOKUP($B40,curvesettle,3,FALSE())</f>
        <v>0.53</v>
      </c>
      <c r="H40" s="161" t="n">
        <v>0</v>
      </c>
      <c r="I40" s="161" t="n">
        <f aca="false">G40+H40</f>
        <v>0.53</v>
      </c>
      <c r="J40" s="160" t="e">
        <f aca="true">bsd(1,3,$F40,$F40,$N40-TODAY(),$I40,$O40,Y40/2)</f>
        <v>#VALUE!</v>
      </c>
      <c r="K40" s="161" t="n">
        <v>-0.05</v>
      </c>
      <c r="L40" s="161" t="n">
        <f aca="false">'GAS DAILY VOL DOWNLOAD'!B18+K40</f>
        <v>0.63</v>
      </c>
      <c r="M40" s="5" t="n">
        <f aca="false">A40</f>
        <v>10</v>
      </c>
      <c r="N40" s="162" t="n">
        <f aca="false">VLOOKUP(B40,expiration,3,FALSE())</f>
        <v>37524</v>
      </c>
      <c r="O40" s="101" t="n">
        <f aca="false">VLOOKUP($B40,curvesettle,4,FALSE())</f>
        <v>0.0213202408866033</v>
      </c>
      <c r="P40" s="163" t="n">
        <f aca="false">IF(P$30="nymex",expiry!H72+1,B40)</f>
        <v>37530</v>
      </c>
      <c r="Q40" s="164" t="e">
        <f aca="true">OSTRIP(F40,F40,P40-TODAY(),B40-P40,B41-P40-1,1,O40,I40,L40,1,0,1,0)</f>
        <v>#NAME?</v>
      </c>
      <c r="R40" s="103" t="e">
        <f aca="false">Q40-#REF!</f>
        <v>#REF!</v>
      </c>
      <c r="S40" s="103"/>
      <c r="T40" s="161" t="n">
        <v>0</v>
      </c>
      <c r="U40" s="161" t="n">
        <v>0.2</v>
      </c>
      <c r="V40" s="160"/>
      <c r="W40" s="160" t="e">
        <f aca="true">bsd(1,3,$S40,$T40,$N40-TODAY()+1,$I40,$O40,AG40/2)</f>
        <v>#VALUE!</v>
      </c>
      <c r="AA40" s="161" t="n">
        <v>0.05</v>
      </c>
      <c r="AB40" s="110" t="n">
        <f aca="false">DDE("TWINDDE","RSFRecord","NGc10 cls")</f>
        <v>3.112</v>
      </c>
      <c r="AC40" s="110" t="e">
        <f aca="false">DDE("TWINDDE","RSFRecord","NGc10 LAST")</f>
        <v>#N/A</v>
      </c>
      <c r="AI40" s="110" t="n">
        <f aca="false">DDE("TWINDDE","RSFRecord","CLc10 LAST")</f>
        <v>0</v>
      </c>
      <c r="BA40" s="5" t="n">
        <v>-148</v>
      </c>
      <c r="BB40" s="5" t="n">
        <f aca="false">BA40/1000</f>
        <v>-0.148</v>
      </c>
      <c r="BC40" s="5"/>
      <c r="BD40" s="5"/>
    </row>
    <row r="41" customFormat="false" ht="12.75" hidden="false" customHeight="false" outlineLevel="0" collapsed="false">
      <c r="A41" s="110" t="n">
        <f aca="false">A40+1</f>
        <v>11</v>
      </c>
      <c r="B41" s="158" t="n">
        <v>37561</v>
      </c>
      <c r="C41" s="110" t="n">
        <f aca="false">DDE("REUTER","IDN","NGX2,PRIM ACT 1,1")</f>
        <v>3.075</v>
      </c>
      <c r="D41" s="110" t="n">
        <f aca="false">VLOOKUP($B41,curvesettle,2,FALSE())</f>
        <v>3.156</v>
      </c>
      <c r="E41" s="159" t="n">
        <f aca="false">Q$26</f>
        <v>0.0524999999999998</v>
      </c>
      <c r="F41" s="160" t="n">
        <f aca="false">IF(C$1="settle",D41,IF(C$1="EOL",D41+E41,IF(ISNUMBER(C41),C41,D41)))</f>
        <v>3.156</v>
      </c>
      <c r="G41" s="161" t="n">
        <f aca="false">VLOOKUP($B41,curvesettle,3,FALSE())</f>
        <v>0.53</v>
      </c>
      <c r="H41" s="161" t="n">
        <v>0</v>
      </c>
      <c r="I41" s="161" t="n">
        <f aca="false">G41+H41</f>
        <v>0.53</v>
      </c>
      <c r="J41" s="160" t="e">
        <f aca="true">bsd(1,3,$F41,$F41,$N41-TODAY(),$I41,$O41,Y41/2)</f>
        <v>#VALUE!</v>
      </c>
      <c r="K41" s="161" t="n">
        <v>-0.05</v>
      </c>
      <c r="L41" s="161" t="n">
        <f aca="false">'GAS DAILY VOL DOWNLOAD'!B19+K41</f>
        <v>0.68</v>
      </c>
      <c r="M41" s="5" t="n">
        <f aca="false">A41</f>
        <v>11</v>
      </c>
      <c r="N41" s="162" t="n">
        <f aca="false">VLOOKUP(B41,expiration,3,FALSE())</f>
        <v>37557</v>
      </c>
      <c r="O41" s="101" t="n">
        <f aca="false">VLOOKUP($B41,curvesettle,4,FALSE())</f>
        <v>0.0220880716500842</v>
      </c>
      <c r="P41" s="163" t="n">
        <f aca="false">IF(P$30="nymex",expiry!H73+1,B41)</f>
        <v>37561</v>
      </c>
      <c r="Q41" s="164" t="e">
        <f aca="true">OSTRIP(F41,F41,P41-TODAY(),B41-P41,B42-P41-1,1,O41,I41,L41,1,0,1,0)</f>
        <v>#NAME?</v>
      </c>
      <c r="R41" s="103" t="e">
        <f aca="false">Q41-#REF!</f>
        <v>#REF!</v>
      </c>
      <c r="S41" s="103"/>
      <c r="T41" s="161" t="n">
        <v>0</v>
      </c>
      <c r="U41" s="161" t="n">
        <v>0</v>
      </c>
      <c r="V41" s="160"/>
      <c r="W41" s="160" t="e">
        <f aca="true">bsd(1,3,$S41,$T41,$N41-TODAY()+1,$I41,$O41,AG41/2)</f>
        <v>#VALUE!</v>
      </c>
      <c r="AA41" s="161" t="n">
        <v>0.05</v>
      </c>
      <c r="AB41" s="110" t="n">
        <f aca="false">DDE("TWINDDE","RSFRecord","NGc11 cls")</f>
        <v>3.147</v>
      </c>
      <c r="AC41" s="110" t="e">
        <f aca="false">DDE("TWINDDE","RSFRecord","NGc11 LAST")</f>
        <v>#N/A</v>
      </c>
      <c r="AI41" s="110" t="n">
        <f aca="false">DDE("TWINDDE","RSFRecord","CLc11 LAST")</f>
        <v>0</v>
      </c>
      <c r="BA41" s="5" t="n">
        <v>-139</v>
      </c>
      <c r="BB41" s="5" t="n">
        <f aca="false">BA41/1000</f>
        <v>-0.139</v>
      </c>
      <c r="BC41" s="5"/>
      <c r="BD41" s="5"/>
    </row>
    <row r="42" customFormat="false" ht="12.75" hidden="false" customHeight="false" outlineLevel="0" collapsed="false">
      <c r="A42" s="110" t="n">
        <f aca="false">A41+1</f>
        <v>12</v>
      </c>
      <c r="B42" s="158" t="n">
        <v>37591</v>
      </c>
      <c r="C42" s="110" t="n">
        <f aca="false">DDE("REUTER","IDN","NGZ2,PRIM ACT 1,1")</f>
        <v>3.26</v>
      </c>
      <c r="D42" s="110" t="n">
        <f aca="false">VLOOKUP($B42,curvesettle,2,FALSE())</f>
        <v>3.329</v>
      </c>
      <c r="E42" s="159" t="n">
        <f aca="false">Q$26</f>
        <v>0.0524999999999998</v>
      </c>
      <c r="F42" s="160" t="n">
        <f aca="false">IF(C$1="settle",D42,IF(C$1="EOL",D42+E42,IF(ISNUMBER(C42),C42,D42)))</f>
        <v>3.329</v>
      </c>
      <c r="G42" s="161" t="n">
        <f aca="false">VLOOKUP($B42,curvesettle,3,FALSE())</f>
        <v>0.525</v>
      </c>
      <c r="H42" s="161" t="n">
        <v>0</v>
      </c>
      <c r="I42" s="161" t="n">
        <f aca="false">G42+H42</f>
        <v>0.525</v>
      </c>
      <c r="J42" s="160" t="e">
        <f aca="true">bsd(1,3,$F42,$F42,$N42-TODAY(),$I42,$O42,Y42/2)</f>
        <v>#VALUE!</v>
      </c>
      <c r="K42" s="161" t="n">
        <v>0</v>
      </c>
      <c r="L42" s="161" t="n">
        <f aca="false">'GAS DAILY VOL DOWNLOAD'!B20+K42</f>
        <v>0.85</v>
      </c>
      <c r="M42" s="5" t="n">
        <f aca="false">A42</f>
        <v>12</v>
      </c>
      <c r="N42" s="162" t="n">
        <f aca="false">VLOOKUP(B42,expiration,3,FALSE())</f>
        <v>37585</v>
      </c>
      <c r="O42" s="101" t="n">
        <f aca="false">VLOOKUP($B42,curvesettle,4,FALSE())</f>
        <v>0.0228311338692704</v>
      </c>
      <c r="P42" s="163" t="n">
        <f aca="false">IF(P$30="nymex",expiry!H74+1,B42)</f>
        <v>37591</v>
      </c>
      <c r="Q42" s="164" t="e">
        <f aca="true">OSTRIP(F42,F42,P42-TODAY(),B42-P42,B43-P42-1,1,O42,I42,L42,1,0,1,0)</f>
        <v>#NAME?</v>
      </c>
      <c r="U42" s="161" t="n">
        <v>0.05</v>
      </c>
      <c r="AA42" s="161" t="n">
        <v>-0.05</v>
      </c>
      <c r="AB42" s="110" t="n">
        <f aca="false">DDE("TWINDDE","RSFRecord","NGc12 cls")</f>
        <v>3.146</v>
      </c>
      <c r="AC42" s="110" t="e">
        <f aca="false">DDE("TWINDDE","RSFRecord","NGc12 LAST")</f>
        <v>#N/A</v>
      </c>
      <c r="AI42" s="110" t="n">
        <f aca="false">DDE("TWINDDE","RSFRecord","CLc12 LAST")</f>
        <v>0</v>
      </c>
      <c r="BA42" s="5" t="n">
        <v>-162</v>
      </c>
      <c r="BB42" s="5" t="n">
        <f aca="false">BA42/1000</f>
        <v>-0.162</v>
      </c>
      <c r="BC42" s="5"/>
      <c r="BD42" s="5"/>
    </row>
    <row r="43" customFormat="false" ht="12.75" hidden="false" customHeight="false" outlineLevel="0" collapsed="false">
      <c r="A43" s="110" t="n">
        <f aca="false">A42+1</f>
        <v>13</v>
      </c>
      <c r="B43" s="158" t="n">
        <v>37622</v>
      </c>
      <c r="C43" s="110" t="n">
        <f aca="false">DDE("REUTER","IDN","NGF3,PRIM ACT 1,1")</f>
        <v>3.36</v>
      </c>
      <c r="D43" s="110" t="n">
        <f aca="false">VLOOKUP($B43,curvesettle,2,FALSE())</f>
        <v>3.408</v>
      </c>
      <c r="E43" s="159" t="n">
        <f aca="false">Q$27</f>
        <v>0.0695000000000001</v>
      </c>
      <c r="F43" s="160" t="n">
        <f aca="false">IF(C$1="settle",D43,IF(C$1="EOL",D43+E43,IF(ISNUMBER(C43),C43,D43)))</f>
        <v>3.408</v>
      </c>
      <c r="G43" s="161" t="n">
        <f aca="false">VLOOKUP($B43,curvesettle,3,FALSE())</f>
        <v>0.5225</v>
      </c>
      <c r="H43" s="161" t="n">
        <v>0</v>
      </c>
      <c r="I43" s="161" t="n">
        <f aca="false">G43+H43</f>
        <v>0.5225</v>
      </c>
      <c r="J43" s="160" t="e">
        <f aca="true">bsd(1,3,$F43,$F43,$N43-TODAY(),$I43,$O43,Y43/2)</f>
        <v>#VALUE!</v>
      </c>
      <c r="K43" s="161" t="n">
        <v>0</v>
      </c>
      <c r="L43" s="161" t="n">
        <f aca="false">'GAS DAILY VOL DOWNLOAD'!B21+K43</f>
        <v>1.05</v>
      </c>
      <c r="M43" s="5" t="n">
        <f aca="false">A43</f>
        <v>13</v>
      </c>
      <c r="N43" s="162" t="n">
        <f aca="false">VLOOKUP(B43,expiration,3,FALSE())</f>
        <v>37616</v>
      </c>
      <c r="O43" s="101" t="n">
        <f aca="false">VLOOKUP($B43,curvesettle,4,FALSE())</f>
        <v>0.0236676828051907</v>
      </c>
      <c r="P43" s="163" t="n">
        <f aca="false">IF(P$30="nymex",expiry!H75+1,B43)</f>
        <v>37622</v>
      </c>
      <c r="Q43" s="164" t="e">
        <f aca="true">OSTRIP(F43,F43,P43-TODAY(),B43-P43,B44-P43-1,1,O43,I43,L43,1,0,1,0)</f>
        <v>#NAME?</v>
      </c>
      <c r="U43" s="161" t="n">
        <v>0.05</v>
      </c>
      <c r="AA43" s="161" t="n">
        <v>-0.05</v>
      </c>
      <c r="AB43" s="110" t="n">
        <f aca="false">DDE("TWINDDE","RSFRecord","NGc13 cls")</f>
        <v>3.157</v>
      </c>
      <c r="AC43" s="110" t="e">
        <f aca="false">DDE("TWINDDE","RSFRecord","NGc13 LAST")</f>
        <v>#N/A</v>
      </c>
      <c r="AI43" s="110" t="n">
        <f aca="false">DDE("TWINDDE","RSFRecord","CLc13 LAST")</f>
        <v>0</v>
      </c>
      <c r="BA43" s="5" t="n">
        <v>-162</v>
      </c>
      <c r="BB43" s="5" t="n">
        <f aca="false">BA43/1000</f>
        <v>-0.162</v>
      </c>
      <c r="BC43" s="5"/>
      <c r="BD43" s="5"/>
    </row>
    <row r="44" customFormat="false" ht="12.75" hidden="false" customHeight="false" outlineLevel="0" collapsed="false">
      <c r="A44" s="110" t="n">
        <f aca="false">A43+1</f>
        <v>14</v>
      </c>
      <c r="B44" s="158" t="n">
        <v>37653</v>
      </c>
      <c r="C44" s="110" t="n">
        <f aca="false">DDE("REUTER","IDN","NGG3,PRIM ACT 1,1")</f>
        <v>3.28</v>
      </c>
      <c r="D44" s="110" t="n">
        <f aca="false">VLOOKUP($B44,curvesettle,2,FALSE())</f>
        <v>3.337</v>
      </c>
      <c r="E44" s="159" t="n">
        <f aca="false">Q$27</f>
        <v>0.0695000000000001</v>
      </c>
      <c r="F44" s="160" t="n">
        <f aca="false">IF(C$1="settle",D44,IF(C$1="EOL",D44+E44,IF(ISNUMBER(C44),C44,D44)))</f>
        <v>3.337</v>
      </c>
      <c r="G44" s="161" t="n">
        <f aca="false">VLOOKUP($B44,curvesettle,3,FALSE())</f>
        <v>0.5125</v>
      </c>
      <c r="H44" s="161" t="n">
        <v>0</v>
      </c>
      <c r="I44" s="161" t="n">
        <f aca="false">G44+H44</f>
        <v>0.5125</v>
      </c>
      <c r="J44" s="160" t="e">
        <f aca="true">bsd(1,3,$F44,$F44,$N44-TODAY(),$I44,$O44,Y44/2)</f>
        <v>#VALUE!</v>
      </c>
      <c r="K44" s="161" t="n">
        <v>0</v>
      </c>
      <c r="L44" s="161" t="n">
        <f aca="false">'GAS DAILY VOL DOWNLOAD'!B22+K44</f>
        <v>1.08</v>
      </c>
      <c r="M44" s="5" t="n">
        <f aca="false">A44</f>
        <v>14</v>
      </c>
      <c r="N44" s="162" t="n">
        <f aca="false">VLOOKUP(B44,expiration,3,FALSE())</f>
        <v>37649</v>
      </c>
      <c r="O44" s="101" t="n">
        <f aca="false">VLOOKUP($B44,curvesettle,4,FALSE())</f>
        <v>0.0245876750219147</v>
      </c>
      <c r="P44" s="163" t="n">
        <f aca="false">IF(P$30="nymex",expiry!H76+1,B44)</f>
        <v>37653</v>
      </c>
      <c r="Q44" s="164" t="e">
        <f aca="true">OSTRIP(F44,F44,P44-TODAY(),B44-P44,B45-P44-1,1,O44,I44,L44,1,0,1,0)</f>
        <v>#NAME?</v>
      </c>
      <c r="U44" s="161" t="n">
        <v>0.05</v>
      </c>
      <c r="AA44" s="161" t="n">
        <v>-0.05</v>
      </c>
      <c r="AB44" s="110" t="n">
        <f aca="false">DDE("TWINDDE","RSFRecord","NGc14 cls")</f>
        <v>3.317</v>
      </c>
      <c r="AC44" s="110" t="e">
        <f aca="false">DDE("TWINDDE","RSFRecord","NGc14 LAST")</f>
        <v>#N/A</v>
      </c>
      <c r="BA44" s="5" t="n">
        <v>-157</v>
      </c>
      <c r="BB44" s="5" t="n">
        <f aca="false">BA44/1000</f>
        <v>-0.157</v>
      </c>
      <c r="BC44" s="5"/>
      <c r="BD44" s="5"/>
    </row>
    <row r="45" customFormat="false" ht="12.75" hidden="false" customHeight="false" outlineLevel="0" collapsed="false">
      <c r="A45" s="110" t="n">
        <f aca="false">A44+1</f>
        <v>15</v>
      </c>
      <c r="B45" s="158" t="n">
        <v>37681</v>
      </c>
      <c r="C45" s="110" t="n">
        <f aca="false">DDE("REUTER","IDN","NGH3,PRIM ACT 1,1")</f>
        <v>3.19</v>
      </c>
      <c r="D45" s="110" t="n">
        <f aca="false">VLOOKUP($B45,curvesettle,2,FALSE())</f>
        <v>3.247</v>
      </c>
      <c r="E45" s="159" t="n">
        <f aca="false">Q$27</f>
        <v>0.0695000000000001</v>
      </c>
      <c r="F45" s="160" t="n">
        <f aca="false">IF(C$1="settle",D45,IF(C$1="EOL",D45+E45,IF(ISNUMBER(C45),C45,D45)))</f>
        <v>3.247</v>
      </c>
      <c r="G45" s="161" t="n">
        <f aca="false">VLOOKUP($B45,curvesettle,3,FALSE())</f>
        <v>0.4775</v>
      </c>
      <c r="H45" s="161" t="n">
        <v>0</v>
      </c>
      <c r="I45" s="161" t="n">
        <f aca="false">G45+H45</f>
        <v>0.4775</v>
      </c>
      <c r="J45" s="160" t="e">
        <f aca="true">bsd(1,3,$F45,$F45,$N45-TODAY(),$I45,$O45,Y45/2)</f>
        <v>#VALUE!</v>
      </c>
      <c r="K45" s="161" t="n">
        <v>0</v>
      </c>
      <c r="L45" s="161" t="n">
        <f aca="false">'GAS DAILY VOL DOWNLOAD'!B23+K45</f>
        <v>1.08</v>
      </c>
      <c r="M45" s="5" t="n">
        <f aca="false">A45</f>
        <v>15</v>
      </c>
      <c r="N45" s="162" t="n">
        <f aca="false">VLOOKUP(B45,expiration,3,FALSE())</f>
        <v>37677</v>
      </c>
      <c r="O45" s="101" t="n">
        <f aca="false">VLOOKUP($B45,curvesettle,4,FALSE())</f>
        <v>0.0254186359797437</v>
      </c>
      <c r="P45" s="163" t="n">
        <f aca="false">IF(P$30="nymex",expiry!H77+1,B45)</f>
        <v>37681</v>
      </c>
      <c r="Q45" s="164" t="e">
        <f aca="true">OSTRIP(F45,F45,P45-TODAY(),B45-P45,B46-P45-1,1,O45,I45,L45,1,0,1,0)</f>
        <v>#NAME?</v>
      </c>
      <c r="U45" s="161" t="n">
        <v>0.05</v>
      </c>
      <c r="AA45" s="161" t="n">
        <v>-0.05</v>
      </c>
      <c r="AB45" s="110" t="n">
        <f aca="false">DDE("TWINDDE","RSFRecord","NGc15 cls")</f>
        <v>3.478</v>
      </c>
      <c r="AC45" s="110" t="e">
        <f aca="false">DDE("TWINDDE","RSFRecord","NGc15 LAST")</f>
        <v>#N/A</v>
      </c>
      <c r="BA45" s="5" t="n">
        <v>-147</v>
      </c>
      <c r="BB45" s="5" t="n">
        <f aca="false">BA45/1000</f>
        <v>-0.147</v>
      </c>
      <c r="BC45" s="5"/>
      <c r="BD45" s="5"/>
    </row>
    <row r="46" customFormat="false" ht="12.75" hidden="false" customHeight="false" outlineLevel="0" collapsed="false">
      <c r="A46" s="110" t="n">
        <f aca="false">A45+1</f>
        <v>16</v>
      </c>
      <c r="B46" s="158" t="n">
        <v>37712</v>
      </c>
      <c r="C46" s="110" t="n">
        <f aca="false">DDE("REUTER","IDN","NGJ3,PRIM ACT 1,1")</f>
        <v>3.05</v>
      </c>
      <c r="D46" s="110" t="n">
        <f aca="false">VLOOKUP($B46,curvesettle,2,FALSE())</f>
        <v>3.092</v>
      </c>
      <c r="E46" s="159" t="n">
        <f aca="false">Q$27</f>
        <v>0.0695000000000001</v>
      </c>
      <c r="F46" s="160" t="n">
        <f aca="false">IF(C$1="settle",D46,IF(C$1="EOL",D46+E46,IF(ISNUMBER(C46),C46,D46)))</f>
        <v>3.092</v>
      </c>
      <c r="G46" s="161" t="n">
        <f aca="false">VLOOKUP($B46,curvesettle,3,FALSE())</f>
        <v>0.3875</v>
      </c>
      <c r="H46" s="161" t="n">
        <v>0</v>
      </c>
      <c r="I46" s="161" t="n">
        <f aca="false">G46+H46</f>
        <v>0.3875</v>
      </c>
      <c r="J46" s="160" t="e">
        <f aca="true">bsd(1,3,$F46,$F46,$N46-TODAY(),$I46,$O46,Y46/2)</f>
        <v>#VALUE!</v>
      </c>
      <c r="K46" s="161" t="n">
        <v>0</v>
      </c>
      <c r="L46" s="161" t="n">
        <f aca="false">'GAS DAILY VOL DOWNLOAD'!B24+K46</f>
        <v>0.83</v>
      </c>
      <c r="M46" s="5" t="n">
        <f aca="false">A46</f>
        <v>16</v>
      </c>
      <c r="N46" s="162" t="n">
        <f aca="false">VLOOKUP(B46,expiration,3,FALSE())</f>
        <v>37706</v>
      </c>
      <c r="O46" s="101" t="n">
        <f aca="false">VLOOKUP($B46,curvesettle,4,FALSE())</f>
        <v>0.0263622508614558</v>
      </c>
      <c r="P46" s="163" t="n">
        <f aca="false">IF(P$30="nymex",expiry!H78+1,B46)</f>
        <v>37712</v>
      </c>
      <c r="Q46" s="164" t="e">
        <f aca="true">OSTRIP(F46,F46,P46-TODAY(),B46-P46,B47-P46-1,1,O46,I46,L46,1,0,1,0)</f>
        <v>#NAME?</v>
      </c>
      <c r="U46" s="161" t="n">
        <v>0.05</v>
      </c>
      <c r="AA46" s="161" t="n">
        <v>-0.05</v>
      </c>
      <c r="AB46" s="110" t="n">
        <f aca="false">DDE("TWINDDE","RSFRecord","NGc16 cls")</f>
        <v>3.555</v>
      </c>
      <c r="AC46" s="110" t="e">
        <f aca="false">DDE("TWINDDE","RSFRecord","NGc16 LAST")</f>
        <v>#N/A</v>
      </c>
      <c r="BA46" s="5" t="n">
        <v>-170</v>
      </c>
      <c r="BB46" s="5" t="n">
        <f aca="false">BA46/1000</f>
        <v>-0.17</v>
      </c>
      <c r="BC46" s="5"/>
      <c r="BD46" s="5"/>
    </row>
    <row r="47" customFormat="false" ht="12.75" hidden="false" customHeight="false" outlineLevel="0" collapsed="false">
      <c r="A47" s="110" t="n">
        <f aca="false">A46+1</f>
        <v>17</v>
      </c>
      <c r="B47" s="158" t="n">
        <v>37742</v>
      </c>
      <c r="C47" s="110" t="n">
        <f aca="false">DDE("REUTER","IDN","NGK3,PRIM ACT 1,1")</f>
        <v>3.05</v>
      </c>
      <c r="D47" s="110" t="n">
        <f aca="false">VLOOKUP($B47,curvesettle,2,FALSE())</f>
        <v>3.1</v>
      </c>
      <c r="E47" s="159" t="n">
        <f aca="false">Q$27</f>
        <v>0.0695000000000001</v>
      </c>
      <c r="F47" s="160" t="n">
        <f aca="false">IF(C$1="settle",D47,IF(C$1="EOL",D47+E47,IF(ISNUMBER(C47),C47,D47)))</f>
        <v>3.1</v>
      </c>
      <c r="G47" s="161" t="n">
        <f aca="false">VLOOKUP($B47,curvesettle,3,FALSE())</f>
        <v>0.3725</v>
      </c>
      <c r="H47" s="161" t="n">
        <v>0</v>
      </c>
      <c r="I47" s="161" t="n">
        <f aca="false">G47+H47</f>
        <v>0.3725</v>
      </c>
      <c r="J47" s="160" t="e">
        <f aca="true">bsd(1,3,$F47,$F47,$N47-TODAY(),$I47,$O47,Y47/2)</f>
        <v>#VALUE!</v>
      </c>
      <c r="K47" s="161" t="n">
        <v>0</v>
      </c>
      <c r="L47" s="161" t="n">
        <f aca="false">'GAS DAILY VOL DOWNLOAD'!B25+K47</f>
        <v>0.43</v>
      </c>
      <c r="M47" s="5" t="n">
        <f aca="false">A47</f>
        <v>17</v>
      </c>
      <c r="N47" s="162" t="n">
        <f aca="false">VLOOKUP(B47,expiration,3,FALSE())</f>
        <v>37736</v>
      </c>
      <c r="O47" s="101" t="n">
        <f aca="false">VLOOKUP($B47,curvesettle,4,FALSE())</f>
        <v>0.0272889724476766</v>
      </c>
      <c r="P47" s="163" t="n">
        <f aca="false">IF(P$30="nymex",expiry!H79+1,B47)</f>
        <v>37742</v>
      </c>
      <c r="Q47" s="164" t="e">
        <f aca="true">OSTRIP(F47,F47,P47-TODAY(),B47-P47,B48-P47-1,1,O47,I47,L47,1,0,1,0)</f>
        <v>#NAME?</v>
      </c>
      <c r="U47" s="161" t="n">
        <v>0.05</v>
      </c>
      <c r="AB47" s="110" t="n">
        <f aca="false">DDE("TWINDDE","RSFRecord","NGc17 cls")</f>
        <v>3.445</v>
      </c>
      <c r="AC47" s="110" t="e">
        <f aca="false">DDE("TWINDDE","RSFRecord","NGc17 LAST")</f>
        <v>#N/A</v>
      </c>
      <c r="BA47" s="5" t="n">
        <v>-165</v>
      </c>
      <c r="BB47" s="5" t="n">
        <f aca="false">BA47/1000</f>
        <v>-0.165</v>
      </c>
      <c r="BC47" s="5"/>
      <c r="BD47" s="5"/>
    </row>
    <row r="48" customFormat="false" ht="12.75" hidden="false" customHeight="false" outlineLevel="0" collapsed="false">
      <c r="A48" s="110" t="n">
        <f aca="false">A47+1</f>
        <v>18</v>
      </c>
      <c r="B48" s="158" t="n">
        <v>37773</v>
      </c>
      <c r="C48" s="110" t="n">
        <f aca="false">DDE("REUTER","IDN","NGM3,PRIM ACT 1,1")</f>
        <v>3.06</v>
      </c>
      <c r="D48" s="110" t="n">
        <f aca="false">VLOOKUP($B48,curvesettle,2,FALSE())</f>
        <v>3.135</v>
      </c>
      <c r="E48" s="159" t="n">
        <f aca="false">Q$27</f>
        <v>0.0695000000000001</v>
      </c>
      <c r="F48" s="160" t="n">
        <f aca="false">IF(C$1="settle",D48,IF(C$1="EOL",D48+E48,IF(ISNUMBER(C48),C48,D48)))</f>
        <v>3.135</v>
      </c>
      <c r="G48" s="161" t="n">
        <f aca="false">VLOOKUP($B48,curvesettle,3,FALSE())</f>
        <v>0.3675</v>
      </c>
      <c r="H48" s="161" t="n">
        <v>0</v>
      </c>
      <c r="I48" s="161" t="n">
        <f aca="false">G48+H48</f>
        <v>0.3675</v>
      </c>
      <c r="J48" s="160" t="e">
        <f aca="true">bsd(1,3,$F48,$F48,$N48-TODAY(),$I48,$O48,Y48/2)</f>
        <v>#VALUE!</v>
      </c>
      <c r="K48" s="161" t="n">
        <v>0</v>
      </c>
      <c r="L48" s="161" t="n">
        <f aca="false">'GAS DAILY VOL DOWNLOAD'!B26+K48</f>
        <v>0.48</v>
      </c>
      <c r="M48" s="5" t="n">
        <f aca="false">A48</f>
        <v>18</v>
      </c>
      <c r="N48" s="162" t="n">
        <f aca="false">VLOOKUP(B48,expiration,3,FALSE())</f>
        <v>37768</v>
      </c>
      <c r="O48" s="101" t="n">
        <f aca="false">VLOOKUP($B48,curvesettle,4,FALSE())</f>
        <v>0.0282465850580524</v>
      </c>
      <c r="P48" s="163" t="n">
        <f aca="false">IF(P$30="nymex",expiry!H80+1,B48)</f>
        <v>37773</v>
      </c>
      <c r="Q48" s="164" t="e">
        <f aca="true">OSTRIP(F48,F48,P48-TODAY(),B48-P48,B49-P48-1,1,O48,I48,L48,1,0,1,0)</f>
        <v>#NAME?</v>
      </c>
      <c r="U48" s="161" t="n">
        <v>0.05</v>
      </c>
      <c r="AB48" s="110" t="n">
        <f aca="false">DDE("TWINDDE","RSFRecord","NGc18 cls")</f>
        <v>3.318</v>
      </c>
      <c r="AC48" s="110" t="e">
        <f aca="false">DDE("TWINDDE","RSFRecord","NGc18 LAST")</f>
        <v>#N/A</v>
      </c>
      <c r="BA48" s="5" t="n">
        <v>-185</v>
      </c>
      <c r="BB48" s="5" t="n">
        <f aca="false">BA48/1000</f>
        <v>-0.185</v>
      </c>
      <c r="BC48" s="5"/>
      <c r="BD48" s="5"/>
    </row>
    <row r="49" customFormat="false" ht="12.75" hidden="false" customHeight="false" outlineLevel="0" collapsed="false">
      <c r="A49" s="110" t="n">
        <f aca="false">A48+1</f>
        <v>19</v>
      </c>
      <c r="B49" s="158" t="n">
        <v>37803</v>
      </c>
      <c r="C49" s="110" t="n">
        <f aca="false">DDE("REUTER","IDN","NGN3,PRIM ACT 1,1")</f>
        <v>3.115</v>
      </c>
      <c r="D49" s="110" t="n">
        <f aca="false">VLOOKUP($B49,curvesettle,2,FALSE())</f>
        <v>3.177</v>
      </c>
      <c r="E49" s="159" t="n">
        <f aca="false">Q$27</f>
        <v>0.0695000000000001</v>
      </c>
      <c r="F49" s="160" t="n">
        <f aca="false">IF(C$1="settle",D49,IF(C$1="EOL",D49+E49,IF(ISNUMBER(C49),C49,D49)))</f>
        <v>3.177</v>
      </c>
      <c r="G49" s="161" t="n">
        <f aca="false">VLOOKUP($B49,curvesettle,3,FALSE())</f>
        <v>0.3675</v>
      </c>
      <c r="H49" s="161" t="n">
        <v>0</v>
      </c>
      <c r="I49" s="161" t="n">
        <f aca="false">G49+H49</f>
        <v>0.3675</v>
      </c>
      <c r="J49" s="160" t="e">
        <f aca="true">bsd(1,3,$F49,$F49,$N49-TODAY(),$I49,$O49,Y49/2)</f>
        <v>#VALUE!</v>
      </c>
      <c r="K49" s="161" t="n">
        <v>0</v>
      </c>
      <c r="L49" s="161" t="n">
        <f aca="false">'GAS DAILY VOL DOWNLOAD'!B27+K49</f>
        <v>0.48</v>
      </c>
      <c r="M49" s="5" t="n">
        <f aca="false">A49</f>
        <v>19</v>
      </c>
      <c r="N49" s="162" t="n">
        <f aca="false">VLOOKUP(B49,expiration,3,FALSE())</f>
        <v>37797</v>
      </c>
      <c r="O49" s="101" t="n">
        <f aca="false">VLOOKUP($B49,curvesettle,4,FALSE())</f>
        <v>0.0291756224166892</v>
      </c>
      <c r="P49" s="163" t="n">
        <f aca="false">IF(P$30="nymex",expiry!H81+1,B49)</f>
        <v>37803</v>
      </c>
      <c r="Q49" s="164" t="e">
        <f aca="true">OSTRIP(F49,F49,P49-TODAY(),B49-P49,B50-P49-1,1,O49,I49,L49,1,0,1,0)</f>
        <v>#NAME?</v>
      </c>
      <c r="U49" s="161" t="n">
        <v>0.1</v>
      </c>
      <c r="AB49" s="110" t="n">
        <f aca="false">DDE("TWINDDE","RSFRecord","NGc19 cls")</f>
        <v>3.138</v>
      </c>
      <c r="AC49" s="110" t="e">
        <f aca="false">DDE("TWINDDE","RSFRecord","NGc19 LAST")</f>
        <v>#N/A</v>
      </c>
      <c r="BA49" s="5" t="n">
        <v>-172</v>
      </c>
      <c r="BB49" s="5" t="n">
        <f aca="false">BA49/1000</f>
        <v>-0.172</v>
      </c>
      <c r="BC49" s="5"/>
      <c r="BD49" s="5"/>
    </row>
    <row r="50" customFormat="false" ht="12.75" hidden="false" customHeight="false" outlineLevel="0" collapsed="false">
      <c r="A50" s="110" t="n">
        <f aca="false">A49+1</f>
        <v>20</v>
      </c>
      <c r="B50" s="158" t="n">
        <v>37834</v>
      </c>
      <c r="C50" s="110" t="n">
        <f aca="false">DDE("REUTER","IDN","NGQ3,PRIM ACT 1,1")</f>
        <v>3.15</v>
      </c>
      <c r="D50" s="110" t="n">
        <f aca="false">VLOOKUP($B50,curvesettle,2,FALSE())</f>
        <v>3.225</v>
      </c>
      <c r="E50" s="159" t="n">
        <f aca="false">Q$27</f>
        <v>0.0695000000000001</v>
      </c>
      <c r="F50" s="160" t="n">
        <f aca="false">IF(C$1="settle",D50,IF(C$1="EOL",D50+E50,IF(ISNUMBER(C50),C50,D50)))</f>
        <v>3.225</v>
      </c>
      <c r="G50" s="161" t="n">
        <f aca="false">VLOOKUP($B50,curvesettle,3,FALSE())</f>
        <v>0.3675</v>
      </c>
      <c r="H50" s="161" t="n">
        <v>0</v>
      </c>
      <c r="I50" s="161" t="n">
        <f aca="false">G50+H50</f>
        <v>0.3675</v>
      </c>
      <c r="J50" s="160" t="e">
        <f aca="true">bsd(1,3,$F50,$F50,$N50-TODAY(),$I50,$O50,Y50/2)</f>
        <v>#VALUE!</v>
      </c>
      <c r="K50" s="161" t="n">
        <v>0</v>
      </c>
      <c r="L50" s="161" t="n">
        <f aca="false">'GAS DAILY VOL DOWNLOAD'!B28+K50</f>
        <v>0.53</v>
      </c>
      <c r="M50" s="5" t="n">
        <f aca="false">A50</f>
        <v>20</v>
      </c>
      <c r="N50" s="162" t="n">
        <f aca="false">VLOOKUP(B50,expiration,3,FALSE())</f>
        <v>37830</v>
      </c>
      <c r="O50" s="101" t="n">
        <f aca="false">VLOOKUP($B50,curvesettle,4,FALSE())</f>
        <v>0.0301389675554917</v>
      </c>
      <c r="P50" s="163" t="n">
        <f aca="false">IF(P$30="nymex",expiry!H82+1,B50)</f>
        <v>37834</v>
      </c>
      <c r="Q50" s="164" t="e">
        <f aca="true">OSTRIP(F50,F50,P50-TODAY(),B50-P50,B51-P50-1,1,O50,I50,L50,1,0,1,0)</f>
        <v>#NAME?</v>
      </c>
      <c r="U50" s="161" t="n">
        <v>0.2</v>
      </c>
      <c r="AB50" s="110" t="n">
        <f aca="false">DDE("TWINDDE","RSFRecord","NGc20 cls")</f>
        <v>3.143</v>
      </c>
      <c r="AC50" s="110" t="e">
        <f aca="false">DDE("TWINDDE","RSFRecord","NGc20 LAST")</f>
        <v>#N/A</v>
      </c>
      <c r="BA50" s="5" t="n">
        <v>-172</v>
      </c>
      <c r="BB50" s="5" t="n">
        <f aca="false">BA50/1000</f>
        <v>-0.172</v>
      </c>
      <c r="BC50" s="5"/>
      <c r="BD50" s="5"/>
    </row>
    <row r="51" customFormat="false" ht="12.75" hidden="false" customHeight="false" outlineLevel="0" collapsed="false">
      <c r="A51" s="110" t="n">
        <f aca="false">A50+1</f>
        <v>21</v>
      </c>
      <c r="B51" s="158" t="n">
        <v>37865</v>
      </c>
      <c r="C51" s="110" t="n">
        <f aca="false">DDE("REUTER","IDN","NGU3,PRIM ACT 1,1")</f>
        <v>3.2</v>
      </c>
      <c r="D51" s="110" t="n">
        <f aca="false">VLOOKUP($B51,curvesettle,2,FALSE())</f>
        <v>3.22</v>
      </c>
      <c r="E51" s="159" t="n">
        <f aca="false">Q$27</f>
        <v>0.0695000000000001</v>
      </c>
      <c r="F51" s="160" t="n">
        <f aca="false">IF(C$1="settle",D51,IF(C$1="EOL",D51+E51,IF(ISNUMBER(C51),C51,D51)))</f>
        <v>3.22</v>
      </c>
      <c r="G51" s="161" t="n">
        <f aca="false">VLOOKUP($B51,curvesettle,3,FALSE())</f>
        <v>0.365</v>
      </c>
      <c r="H51" s="161" t="n">
        <v>0</v>
      </c>
      <c r="I51" s="161" t="n">
        <f aca="false">G51+H51</f>
        <v>0.365</v>
      </c>
      <c r="J51" s="160" t="e">
        <f aca="true">bsd(1,3,$F51,$F51,$N51-TODAY(),$I51,$O51,Y51/2)</f>
        <v>#VALUE!</v>
      </c>
      <c r="K51" s="161" t="n">
        <v>0</v>
      </c>
      <c r="L51" s="161" t="n">
        <f aca="false">'GAS DAILY VOL DOWNLOAD'!B29+K51</f>
        <v>0.58</v>
      </c>
      <c r="M51" s="5" t="n">
        <f aca="false">A51</f>
        <v>21</v>
      </c>
      <c r="N51" s="162" t="n">
        <f aca="false">VLOOKUP(B51,expiration,3,FALSE())</f>
        <v>37859</v>
      </c>
      <c r="O51" s="101" t="n">
        <f aca="false">VLOOKUP($B51,curvesettle,4,FALSE())</f>
        <v>0.0311023130071817</v>
      </c>
      <c r="P51" s="163" t="n">
        <f aca="false">IF(P$30="nymex",expiry!H83+1,B51)</f>
        <v>37865</v>
      </c>
      <c r="Q51" s="164" t="e">
        <f aca="true">OSTRIP(F51,F51,P51-TODAY(),B51-P51,B52-P51-1,1,O51,I51,L51,1,0,1,0)</f>
        <v>#NAME?</v>
      </c>
      <c r="U51" s="161" t="n">
        <v>0.3</v>
      </c>
      <c r="AB51" s="110" t="n">
        <f aca="false">DDE("TWINDDE","RSFRecord","NGc21 cls")</f>
        <v>3.171</v>
      </c>
      <c r="AC51" s="110" t="e">
        <f aca="false">DDE("TWINDDE","RSFRecord","NGc21 LAST")</f>
        <v>#N/A</v>
      </c>
      <c r="BA51" s="5" t="n">
        <v>-172</v>
      </c>
      <c r="BB51" s="5" t="n">
        <f aca="false">BA51/1000</f>
        <v>-0.172</v>
      </c>
      <c r="BC51" s="5"/>
      <c r="BD51" s="5"/>
    </row>
    <row r="52" customFormat="false" ht="12.75" hidden="false" customHeight="false" outlineLevel="0" collapsed="false">
      <c r="A52" s="110" t="n">
        <f aca="false">A51+1</f>
        <v>22</v>
      </c>
      <c r="B52" s="158" t="n">
        <v>37895</v>
      </c>
      <c r="C52" s="110" t="n">
        <f aca="false">DDE("REUTER","IDN","NGV3,PRIM ACT 1,1")</f>
        <v>3.201</v>
      </c>
      <c r="D52" s="110" t="n">
        <f aca="false">VLOOKUP($B52,curvesettle,2,FALSE())</f>
        <v>3.24</v>
      </c>
      <c r="E52" s="159" t="n">
        <f aca="false">Q$27</f>
        <v>0.0695000000000001</v>
      </c>
      <c r="F52" s="160" t="n">
        <f aca="false">IF(C$1="settle",D52,IF(C$1="EOL",D52+E52,IF(ISNUMBER(C52),C52,D52)))</f>
        <v>3.24</v>
      </c>
      <c r="G52" s="161" t="n">
        <f aca="false">VLOOKUP($B52,curvesettle,3,FALSE())</f>
        <v>0.3675</v>
      </c>
      <c r="H52" s="161" t="n">
        <v>0</v>
      </c>
      <c r="I52" s="161" t="n">
        <f aca="false">G52+H52</f>
        <v>0.3675</v>
      </c>
      <c r="J52" s="160" t="e">
        <f aca="true">bsd(1,3,$F52,$F52,$N52-TODAY(),$I52,$O52,Y52/2)</f>
        <v>#VALUE!</v>
      </c>
      <c r="K52" s="161" t="n">
        <v>0</v>
      </c>
      <c r="L52" s="161" t="n">
        <f aca="false">'GAS DAILY VOL DOWNLOAD'!B30+K52</f>
        <v>0.58</v>
      </c>
      <c r="M52" s="5" t="n">
        <f aca="false">A52</f>
        <v>22</v>
      </c>
      <c r="N52" s="162" t="n">
        <f aca="false">VLOOKUP(B52,expiration,3,FALSE())</f>
        <v>37889</v>
      </c>
      <c r="O52" s="101" t="n">
        <f aca="false">VLOOKUP($B52,curvesettle,4,FALSE())</f>
        <v>0.0320061320910012</v>
      </c>
      <c r="P52" s="163" t="n">
        <f aca="false">IF(P$30="nymex",expiry!H84+1,B52)</f>
        <v>37895</v>
      </c>
      <c r="Q52" s="164" t="e">
        <f aca="true">OSTRIP(F52,F52,P52-TODAY(),B52-P52,B53-P52-1,1,O52,I52,L52,1,0,1,0)</f>
        <v>#NAME?</v>
      </c>
      <c r="U52" s="161" t="n">
        <v>0.3</v>
      </c>
      <c r="AB52" s="110" t="n">
        <f aca="false">DDE("TWINDDE","RSFRecord","NGc22 cls")</f>
        <v>3.196</v>
      </c>
      <c r="AC52" s="110" t="e">
        <f aca="false">DDE("TWINDDE","RSFRecord","NGc22 LAST")</f>
        <v>#N/A</v>
      </c>
      <c r="AD52" s="105"/>
      <c r="BA52" s="5" t="n">
        <v>-172</v>
      </c>
      <c r="BB52" s="5" t="n">
        <f aca="false">BA52/1000</f>
        <v>-0.172</v>
      </c>
      <c r="BC52" s="5"/>
      <c r="BD52" s="5"/>
    </row>
    <row r="53" customFormat="false" ht="12.75" hidden="false" customHeight="false" outlineLevel="0" collapsed="false">
      <c r="A53" s="110" t="n">
        <f aca="false">A52+1</f>
        <v>23</v>
      </c>
      <c r="B53" s="158" t="n">
        <v>37926</v>
      </c>
      <c r="C53" s="110" t="n">
        <f aca="false">DDE("REUTER","IDN","NGX3,PRIM ACT 1,1")</f>
        <v>3.341</v>
      </c>
      <c r="D53" s="110" t="n">
        <f aca="false">VLOOKUP($B53,curvesettle,2,FALSE())</f>
        <v>3.375</v>
      </c>
      <c r="E53" s="159" t="n">
        <f aca="false">Q$27</f>
        <v>0.0695000000000001</v>
      </c>
      <c r="F53" s="160" t="n">
        <f aca="false">IF(C$1="settle",D53,IF(C$1="EOL",D53+E53,IF(ISNUMBER(C53),C53,D53)))</f>
        <v>3.375</v>
      </c>
      <c r="G53" s="161" t="n">
        <f aca="false">VLOOKUP($B53,curvesettle,3,FALSE())</f>
        <v>0.37</v>
      </c>
      <c r="H53" s="161" t="n">
        <v>0</v>
      </c>
      <c r="I53" s="161" t="n">
        <f aca="false">G53+H53</f>
        <v>0.37</v>
      </c>
      <c r="J53" s="160" t="e">
        <f aca="true">bsd(1,3,$F53,$F53,$N53-TODAY(),$I53,$O53,Y53/2)</f>
        <v>#VALUE!</v>
      </c>
      <c r="K53" s="161" t="n">
        <v>0</v>
      </c>
      <c r="L53" s="161" t="n">
        <f aca="false">'GAS DAILY VOL DOWNLOAD'!B31+K53</f>
        <v>0.63</v>
      </c>
      <c r="M53" s="5" t="n">
        <f aca="false">A53</f>
        <v>23</v>
      </c>
      <c r="N53" s="162" t="n">
        <f aca="false">VLOOKUP(B53,expiration,3,FALSE())</f>
        <v>37922</v>
      </c>
      <c r="O53" s="101" t="n">
        <f aca="false">VLOOKUP($B53,curvesettle,4,FALSE())</f>
        <v>0.032904487442281</v>
      </c>
      <c r="P53" s="163" t="n">
        <f aca="false">IF(P$30="nymex",expiry!H85+1,B53)</f>
        <v>37926</v>
      </c>
      <c r="Q53" s="164" t="e">
        <f aca="true">OSTRIP(F53,F53,P53-TODAY(),B53-P53,B54-P53-1,1,O53,I53,L53,1,0,1,0)</f>
        <v>#NAME?</v>
      </c>
      <c r="U53" s="161" t="n">
        <v>0.25</v>
      </c>
      <c r="AB53" s="110" t="n">
        <f aca="false">DDE("TWINDDE","RSFRecord","NGc23 cls")</f>
        <v>3.216</v>
      </c>
      <c r="AC53" s="110" t="e">
        <f aca="false">DDE("TWINDDE","RSFRecord","NGc23 LAST")</f>
        <v>#N/A</v>
      </c>
      <c r="AD53" s="105"/>
      <c r="BA53" s="5" t="n">
        <v>-172</v>
      </c>
      <c r="BB53" s="5" t="n">
        <f aca="false">BA53/1000</f>
        <v>-0.172</v>
      </c>
      <c r="BC53" s="5"/>
      <c r="BD53" s="5"/>
    </row>
    <row r="54" customFormat="false" ht="12.75" hidden="false" customHeight="false" outlineLevel="0" collapsed="false">
      <c r="A54" s="110" t="n">
        <f aca="false">A53+1</f>
        <v>24</v>
      </c>
      <c r="B54" s="158" t="n">
        <v>37956</v>
      </c>
      <c r="C54" s="110" t="n">
        <f aca="false">DDE("REUTER","IDN","NGZ3,PRIM ACT 1,1")</f>
        <v>3.46</v>
      </c>
      <c r="D54" s="110" t="n">
        <f aca="false">VLOOKUP($B54,curvesettle,2,FALSE())</f>
        <v>3.51</v>
      </c>
      <c r="E54" s="159" t="n">
        <f aca="false">Q$27</f>
        <v>0.0695000000000001</v>
      </c>
      <c r="F54" s="160" t="n">
        <f aca="false">IF(C$1="settle",D54,IF(C$1="EOL",D54+E54,IF(ISNUMBER(C54),C54,D54)))</f>
        <v>3.51</v>
      </c>
      <c r="G54" s="161" t="n">
        <f aca="false">VLOOKUP($B54,curvesettle,3,FALSE())</f>
        <v>0.37</v>
      </c>
      <c r="H54" s="161" t="n">
        <v>0</v>
      </c>
      <c r="I54" s="161" t="n">
        <f aca="false">G54+H54</f>
        <v>0.37</v>
      </c>
      <c r="J54" s="160" t="e">
        <f aca="true">bsd(1,3,$F54,$F54,$N54-TODAY(),$I54,$O54,Y54/2)</f>
        <v>#VALUE!</v>
      </c>
      <c r="K54" s="161" t="n">
        <v>0</v>
      </c>
      <c r="L54" s="161" t="n">
        <f aca="false">'GAS DAILY VOL DOWNLOAD'!B32+K54</f>
        <v>0.83</v>
      </c>
      <c r="M54" s="5" t="n">
        <f aca="false">A54</f>
        <v>24</v>
      </c>
      <c r="N54" s="162" t="n">
        <f aca="false">VLOOKUP(B54,expiration,3,FALSE())</f>
        <v>37949</v>
      </c>
      <c r="O54" s="101" t="n">
        <f aca="false">VLOOKUP($B54,curvesettle,4,FALSE())</f>
        <v>0.0337738638474003</v>
      </c>
      <c r="P54" s="163" t="n">
        <f aca="false">IF(P$30="nymex",expiry!H86+1,B54)</f>
        <v>37956</v>
      </c>
      <c r="Q54" s="164" t="e">
        <f aca="true">OSTRIP(F54,F54,P54-TODAY(),B54-P54,B55-P54-1,1,O54,I54,L54,1,0,1,0)</f>
        <v>#NAME?</v>
      </c>
      <c r="U54" s="161" t="n">
        <v>0.05</v>
      </c>
      <c r="AB54" s="110" t="n">
        <f aca="false">DDE("TWINDDE","RSFRecord","NGc24 cls")</f>
        <v>3.216</v>
      </c>
      <c r="AC54" s="110" t="e">
        <f aca="false">DDE("TWINDDE","RSFRecord","NGc24 LAST")</f>
        <v>#N/A</v>
      </c>
      <c r="AD54" s="105"/>
      <c r="BA54" s="5" t="n">
        <v>-186</v>
      </c>
      <c r="BB54" s="5" t="n">
        <f aca="false">BA54/1000</f>
        <v>-0.186</v>
      </c>
      <c r="BC54" s="5"/>
      <c r="BD54" s="5"/>
    </row>
    <row r="55" customFormat="false" ht="12.75" hidden="false" customHeight="false" outlineLevel="0" collapsed="false">
      <c r="A55" s="110" t="n">
        <f aca="false">A54+1</f>
        <v>25</v>
      </c>
      <c r="B55" s="158" t="n">
        <v>37987</v>
      </c>
      <c r="C55" s="110" t="n">
        <f aca="false">DDE("REUTER","IDN","NGF4,PRIM ACT 1,1")</f>
        <v>3.51</v>
      </c>
      <c r="D55" s="110" t="n">
        <f aca="false">VLOOKUP($B55,curvesettle,2,FALSE())</f>
        <v>3.57</v>
      </c>
      <c r="E55" s="159" t="n">
        <f aca="false">Q$28</f>
        <v>0.124416666666667</v>
      </c>
      <c r="F55" s="160" t="n">
        <f aca="false">IF(C$1="settle",D55,IF(C$1="EOL",D55+E55,IF(ISNUMBER(C55),C55,D55)))</f>
        <v>3.57</v>
      </c>
      <c r="G55" s="161" t="n">
        <f aca="false">VLOOKUP($B55,curvesettle,3,FALSE())</f>
        <v>0.37</v>
      </c>
      <c r="H55" s="161" t="n">
        <v>0</v>
      </c>
      <c r="I55" s="161" t="n">
        <f aca="false">G55+H55</f>
        <v>0.37</v>
      </c>
      <c r="J55" s="160" t="e">
        <f aca="true">bsd(1,3,$F55,$F55,$N55-TODAY(),$I55,$O55,Y55/2)</f>
        <v>#VALUE!</v>
      </c>
      <c r="K55" s="161" t="n">
        <v>0</v>
      </c>
      <c r="L55" s="161" t="n">
        <f aca="false">'GAS DAILY VOL DOWNLOAD'!B33+K55</f>
        <v>1.03</v>
      </c>
      <c r="M55" s="5" t="n">
        <f aca="false">A55</f>
        <v>25</v>
      </c>
      <c r="N55" s="162" t="n">
        <f aca="false">VLOOKUP(B55,expiration,3,FALSE())</f>
        <v>37981</v>
      </c>
      <c r="O55" s="101" t="n">
        <f aca="false">VLOOKUP($B55,curvesettle,4,FALSE())</f>
        <v>0.0346389566727829</v>
      </c>
      <c r="P55" s="163" t="n">
        <f aca="false">IF(P$30="nymex",expiry!H87+1,B55)</f>
        <v>37987</v>
      </c>
      <c r="Q55" s="164" t="e">
        <f aca="true">OSTRIP(F55,F55,P55-TODAY(),B55-P55,B56-P55-1,1,O55,I55,L55,1,0,1,0)</f>
        <v>#NAME?</v>
      </c>
      <c r="U55" s="161" t="n">
        <v>0.05</v>
      </c>
      <c r="AB55" s="110" t="n">
        <f aca="false">DDE("TWINDDE","RSFRecord","NGc25 cls")</f>
        <v>3.221</v>
      </c>
      <c r="AC55" s="110" t="e">
        <f aca="false">DDE("TWINDDE","RSFRecord","NGc25 LAST")</f>
        <v>#N/A</v>
      </c>
      <c r="AD55" s="105"/>
      <c r="BA55" s="5" t="n">
        <v>-181</v>
      </c>
      <c r="BB55" s="5" t="n">
        <f aca="false">BA55/1000</f>
        <v>-0.181</v>
      </c>
      <c r="BC55" s="5"/>
      <c r="BD55" s="5"/>
    </row>
    <row r="56" customFormat="false" ht="12.75" hidden="false" customHeight="false" outlineLevel="0" collapsed="false">
      <c r="A56" s="110" t="n">
        <f aca="false">A55+1</f>
        <v>26</v>
      </c>
      <c r="B56" s="158" t="n">
        <v>38018</v>
      </c>
      <c r="C56" s="110" t="n">
        <f aca="false">DDE("REUTER","IDN","NGG4,PRIM ACT 1,1")</f>
        <v>3.48</v>
      </c>
      <c r="D56" s="110" t="n">
        <f aca="false">VLOOKUP($B56,curvesettle,2,FALSE())</f>
        <v>3.485</v>
      </c>
      <c r="E56" s="159" t="n">
        <f aca="false">Q$28</f>
        <v>0.124416666666667</v>
      </c>
      <c r="F56" s="160" t="n">
        <f aca="false">IF(C$1="settle",D56,IF(C$1="EOL",D56+E56,IF(ISNUMBER(C56),C56,D56)))</f>
        <v>3.485</v>
      </c>
      <c r="G56" s="161" t="n">
        <f aca="false">VLOOKUP($B56,curvesettle,3,FALSE())</f>
        <v>0.365</v>
      </c>
      <c r="H56" s="161" t="n">
        <v>0</v>
      </c>
      <c r="I56" s="161" t="n">
        <f aca="false">G56+H56</f>
        <v>0.365</v>
      </c>
      <c r="J56" s="160" t="e">
        <f aca="true">bsd(1,3,$F56,$F56,$N56-TODAY(),$I56,$O56,Y56/2)</f>
        <v>#VALUE!</v>
      </c>
      <c r="K56" s="161" t="n">
        <v>0</v>
      </c>
      <c r="L56" s="161" t="n">
        <f aca="false">'GAS DAILY VOL DOWNLOAD'!B34+K56</f>
        <v>1</v>
      </c>
      <c r="M56" s="5" t="n">
        <f aca="false">A56</f>
        <v>26</v>
      </c>
      <c r="N56" s="162" t="n">
        <f aca="false">VLOOKUP(B56,expiration,3,FALSE())</f>
        <v>38013</v>
      </c>
      <c r="O56" s="101" t="n">
        <f aca="false">VLOOKUP($B56,curvesettle,4,FALSE())</f>
        <v>0.0354685691421812</v>
      </c>
      <c r="P56" s="163" t="n">
        <f aca="false">IF(P$30="nymex",expiry!H88+1,B56)</f>
        <v>38018</v>
      </c>
      <c r="Q56" s="164" t="e">
        <f aca="true">OSTRIP(F56,F56,P56-TODAY(),B56-P56,B57-P56-1,1,O56,I56,L56,1,0,1,0)</f>
        <v>#NAME?</v>
      </c>
      <c r="U56" s="161" t="n">
        <v>0.05</v>
      </c>
      <c r="AB56" s="110" t="n">
        <f aca="false">DDE("TWINDDE","RSFRecord","NGc26 cls")</f>
        <v>3.371</v>
      </c>
      <c r="AC56" s="110" t="e">
        <f aca="false">DDE("TWINDDE","RSFRecord","NGc26 LAST")</f>
        <v>#N/A</v>
      </c>
      <c r="AD56" s="105"/>
      <c r="BA56" s="5" t="n">
        <v>-179</v>
      </c>
      <c r="BB56" s="5" t="n">
        <f aca="false">BA56/1000</f>
        <v>-0.179</v>
      </c>
      <c r="BC56" s="5"/>
      <c r="BD56" s="5"/>
    </row>
    <row r="57" customFormat="false" ht="12.75" hidden="false" customHeight="false" outlineLevel="0" collapsed="false">
      <c r="A57" s="110" t="n">
        <f aca="false">A56+1</f>
        <v>27</v>
      </c>
      <c r="B57" s="158" t="n">
        <v>38047</v>
      </c>
      <c r="C57" s="110" t="n">
        <f aca="false">DDE("REUTER","IDN","NGH4,PRIM ACT 1,1")</f>
        <v>3.35</v>
      </c>
      <c r="D57" s="110" t="n">
        <f aca="false">VLOOKUP($B57,curvesettle,2,FALSE())</f>
        <v>3.355</v>
      </c>
      <c r="E57" s="159" t="n">
        <f aca="false">Q$28</f>
        <v>0.124416666666667</v>
      </c>
      <c r="F57" s="160" t="n">
        <f aca="false">IF(C$1="settle",D57,IF(C$1="EOL",D57+E57,IF(ISNUMBER(C57),C57,D57)))</f>
        <v>3.355</v>
      </c>
      <c r="G57" s="161" t="n">
        <f aca="false">VLOOKUP($B57,curvesettle,3,FALSE())</f>
        <v>0.35</v>
      </c>
      <c r="H57" s="161" t="n">
        <v>0</v>
      </c>
      <c r="I57" s="161" t="n">
        <f aca="false">G57+H57</f>
        <v>0.35</v>
      </c>
      <c r="J57" s="160" t="e">
        <f aca="true">bsd(1,3,$F57,$F57,$N57-TODAY(),$I57,$O57,Y57/2)</f>
        <v>#VALUE!</v>
      </c>
      <c r="K57" s="161" t="n">
        <v>0</v>
      </c>
      <c r="L57" s="161" t="n">
        <f aca="false">'GAS DAILY VOL DOWNLOAD'!B35+K57</f>
        <v>1</v>
      </c>
      <c r="M57" s="5" t="n">
        <f aca="false">A57</f>
        <v>27</v>
      </c>
      <c r="N57" s="162" t="n">
        <f aca="false">VLOOKUP(B57,expiration,3,FALSE())</f>
        <v>38041</v>
      </c>
      <c r="O57" s="101" t="n">
        <f aca="false">VLOOKUP($B57,curvesettle,4,FALSE())</f>
        <v>0.0362446584359817</v>
      </c>
      <c r="P57" s="163" t="n">
        <f aca="false">IF(P$30="nymex",expiry!H89+1,B57)</f>
        <v>38047</v>
      </c>
      <c r="Q57" s="164" t="e">
        <f aca="true">OSTRIP(F57,F57,P57-TODAY(),B57-P57,B58-P57-1,1,O57,I57,L57,1,0,1,0)</f>
        <v>#NAME?</v>
      </c>
      <c r="U57" s="161" t="n">
        <v>0.05</v>
      </c>
      <c r="Y57" s="160"/>
      <c r="Z57" s="162"/>
      <c r="AA57" s="21"/>
      <c r="AB57" s="110" t="n">
        <f aca="false">DDE("TWINDDE","RSFRecord","NGc27 cls")</f>
        <v>3.526</v>
      </c>
      <c r="AC57" s="110" t="e">
        <f aca="false">DDE("TWINDDE","RSFRecord","NGc27 LAST")</f>
        <v>#N/A</v>
      </c>
      <c r="AD57" s="105"/>
      <c r="BA57" s="5" t="n">
        <v>-179</v>
      </c>
      <c r="BB57" s="5" t="n">
        <f aca="false">BA57/1000</f>
        <v>-0.179</v>
      </c>
      <c r="BC57" s="5"/>
      <c r="BD57" s="5"/>
    </row>
    <row r="58" customFormat="false" ht="12.75" hidden="false" customHeight="false" outlineLevel="0" collapsed="false">
      <c r="A58" s="110" t="n">
        <f aca="false">A57+1</f>
        <v>28</v>
      </c>
      <c r="B58" s="158" t="n">
        <f aca="false">DATE(YEAR(B57),MONTH(B57)+1,1)</f>
        <v>38078</v>
      </c>
      <c r="C58" s="110" t="n">
        <f aca="false">DDE("REUTER","IDN","NGJ4,PRIM ACT 1,1")</f>
        <v>3.165</v>
      </c>
      <c r="D58" s="110" t="n">
        <f aca="false">VLOOKUP($B58,curvesettle,2,FALSE())</f>
        <v>3.17</v>
      </c>
      <c r="E58" s="159" t="n">
        <f aca="false">Q$28</f>
        <v>0.124416666666667</v>
      </c>
      <c r="F58" s="160" t="n">
        <f aca="false">IF(C$1="settle",D58,IF(C$1="EOL",D58+E58,IF(ISNUMBER(C58),C58,D58)))</f>
        <v>3.17</v>
      </c>
      <c r="G58" s="161" t="n">
        <f aca="false">VLOOKUP($B58,curvesettle,3,FALSE())</f>
        <v>0.32</v>
      </c>
      <c r="H58" s="161" t="n">
        <v>0</v>
      </c>
      <c r="I58" s="161" t="n">
        <f aca="false">G58+H58</f>
        <v>0.32</v>
      </c>
      <c r="J58" s="160" t="e">
        <f aca="true">bsd(1,3,$F58,$F58,$N58-TODAY(),$I58,$O58,Y58/2)</f>
        <v>#VALUE!</v>
      </c>
      <c r="K58" s="161" t="n">
        <v>0</v>
      </c>
      <c r="L58" s="161" t="n">
        <f aca="false">'GAS DAILY VOL DOWNLOAD'!B36+K58</f>
        <v>0.75</v>
      </c>
      <c r="M58" s="5" t="n">
        <f aca="false">A58</f>
        <v>28</v>
      </c>
      <c r="N58" s="162" t="n">
        <f aca="false">VLOOKUP(B58,expiration,3,FALSE())</f>
        <v>38072</v>
      </c>
      <c r="O58" s="101" t="n">
        <f aca="false">VLOOKUP($B58,curvesettle,4,FALSE())</f>
        <v>0.0370210690335231</v>
      </c>
      <c r="P58" s="163" t="n">
        <f aca="false">IF(P$30="nymex",expiry!H90+1,B58)</f>
        <v>38078</v>
      </c>
      <c r="Q58" s="164" t="e">
        <f aca="true">OSTRIP(F58,F58,P58-TODAY(),B58-P58,B59-P58-1,1,O58,I58,L58,1,0,1,0)</f>
        <v>#NAME?</v>
      </c>
      <c r="U58" s="161" t="n">
        <v>0.05</v>
      </c>
      <c r="Y58" s="160"/>
      <c r="Z58" s="162"/>
      <c r="AA58" s="21"/>
      <c r="AB58" s="110" t="n">
        <f aca="false">DDE("TWINDDE","RSFRecord","NGc28 cls")</f>
        <v>3.581</v>
      </c>
      <c r="AC58" s="110" t="e">
        <f aca="false">DDE("TWINDDE","RSFRecord","NGc28 LAST")</f>
        <v>#N/A</v>
      </c>
      <c r="AD58" s="105"/>
      <c r="BA58" s="5" t="n">
        <v>-169</v>
      </c>
      <c r="BB58" s="5" t="n">
        <f aca="false">BA58/1000</f>
        <v>-0.169</v>
      </c>
      <c r="BC58" s="5"/>
      <c r="BD58" s="5"/>
    </row>
    <row r="59" customFormat="false" ht="12.75" hidden="false" customHeight="false" outlineLevel="0" collapsed="false">
      <c r="A59" s="110" t="n">
        <f aca="false">A58+1</f>
        <v>29</v>
      </c>
      <c r="B59" s="158" t="n">
        <f aca="false">DATE(YEAR(B58),MONTH(B58)+1,1)</f>
        <v>38108</v>
      </c>
      <c r="C59" s="110" t="n">
        <f aca="false">DDE("REUTER","IDN","NGK4,PRIM ACT 1,1")</f>
        <v>3.165</v>
      </c>
      <c r="D59" s="110" t="n">
        <f aca="false">VLOOKUP($B59,curvesettle,2,FALSE())</f>
        <v>3.165</v>
      </c>
      <c r="E59" s="159" t="n">
        <f aca="false">Q$28</f>
        <v>0.124416666666667</v>
      </c>
      <c r="F59" s="160" t="n">
        <f aca="false">IF(C$1="settle",D59,IF(C$1="EOL",D59+E59,IF(ISNUMBER(C59),C59,D59)))</f>
        <v>3.165</v>
      </c>
      <c r="G59" s="161" t="n">
        <f aca="false">VLOOKUP($B59,curvesettle,3,FALSE())</f>
        <v>0.315</v>
      </c>
      <c r="H59" s="161" t="n">
        <v>0</v>
      </c>
      <c r="I59" s="161" t="n">
        <f aca="false">G59+H59</f>
        <v>0.315</v>
      </c>
      <c r="J59" s="160" t="e">
        <f aca="true">bsd(1,3,$F59,$F59,$N59-TODAY(),$I59,$O59,Y59/2)</f>
        <v>#VALUE!</v>
      </c>
      <c r="K59" s="161" t="n">
        <v>0</v>
      </c>
      <c r="L59" s="161" t="n">
        <f aca="false">'GAS DAILY VOL DOWNLOAD'!B37+K59</f>
        <v>0.4</v>
      </c>
      <c r="M59" s="5" t="n">
        <f aca="false">A59</f>
        <v>29</v>
      </c>
      <c r="N59" s="162" t="n">
        <f aca="false">VLOOKUP(B59,expiration,3,FALSE())</f>
        <v>38104</v>
      </c>
      <c r="O59" s="101" t="n">
        <f aca="false">VLOOKUP($B59,curvesettle,4,FALSE())</f>
        <v>0.037717515784331</v>
      </c>
      <c r="P59" s="163" t="n">
        <f aca="false">IF(P$30="nymex",expiry!H91+1,B59)</f>
        <v>38108</v>
      </c>
      <c r="Q59" s="164" t="e">
        <f aca="true">OSTRIP(F59,F59,P59-TODAY(),B59-P59,B60-P59-1,1,O59,I59,L59,1,0,1,0)</f>
        <v>#NAME?</v>
      </c>
      <c r="U59" s="161" t="n">
        <v>0.05</v>
      </c>
      <c r="Y59" s="160"/>
      <c r="Z59" s="162"/>
      <c r="AA59" s="21"/>
      <c r="AB59" s="110" t="n">
        <f aca="false">DDE("TWINDDE","RSFRecord","NGc29 cls")</f>
        <v>3.467</v>
      </c>
      <c r="AC59" s="110" t="e">
        <f aca="false">DDE("TWINDDE","RSFRecord","NGc29 LAST")</f>
        <v>#N/A</v>
      </c>
      <c r="AD59" s="105"/>
      <c r="BA59" s="5" t="n">
        <v>-164</v>
      </c>
      <c r="BB59" s="5" t="n">
        <f aca="false">BA59/1000</f>
        <v>-0.164</v>
      </c>
      <c r="BC59" s="5"/>
      <c r="BD59" s="5"/>
    </row>
    <row r="60" customFormat="false" ht="12.75" hidden="false" customHeight="false" outlineLevel="0" collapsed="false">
      <c r="A60" s="110" t="n">
        <f aca="false">A59+1</f>
        <v>30</v>
      </c>
      <c r="B60" s="158" t="n">
        <f aca="false">DATE(YEAR(B59),MONTH(B59)+1,1)</f>
        <v>38139</v>
      </c>
      <c r="C60" s="110" t="n">
        <f aca="false">DDE("REUTER","IDN","NGM4,PRIM ACT 1,1")</f>
        <v>3.2</v>
      </c>
      <c r="D60" s="110" t="n">
        <f aca="false">VLOOKUP($B60,curvesettle,2,FALSE())</f>
        <v>3.2</v>
      </c>
      <c r="E60" s="159" t="n">
        <f aca="false">Q$28</f>
        <v>0.124416666666667</v>
      </c>
      <c r="F60" s="160" t="n">
        <f aca="false">IF(C$1="settle",D60,IF(C$1="EOL",D60+E60,IF(ISNUMBER(C60),C60,D60)))</f>
        <v>3.2</v>
      </c>
      <c r="G60" s="161" t="n">
        <f aca="false">VLOOKUP($B60,curvesettle,3,FALSE())</f>
        <v>0.315</v>
      </c>
      <c r="H60" s="161" t="n">
        <v>0</v>
      </c>
      <c r="I60" s="161" t="n">
        <f aca="false">G60+H60</f>
        <v>0.315</v>
      </c>
      <c r="J60" s="160" t="e">
        <f aca="true">bsd(1,3,$F60,$F60,$N60-TODAY(),$I60,$O60,Y60/2)</f>
        <v>#VALUE!</v>
      </c>
      <c r="K60" s="161" t="n">
        <v>0</v>
      </c>
      <c r="L60" s="161" t="n">
        <f aca="false">'GAS DAILY VOL DOWNLOAD'!B38+K60</f>
        <v>0.45</v>
      </c>
      <c r="M60" s="5" t="n">
        <f aca="false">A60</f>
        <v>30</v>
      </c>
      <c r="N60" s="162" t="n">
        <f aca="false">VLOOKUP(B60,expiration,3,FALSE())</f>
        <v>38132</v>
      </c>
      <c r="O60" s="101" t="n">
        <f aca="false">VLOOKUP($B60,curvesettle,4,FALSE())</f>
        <v>0.038437177597991</v>
      </c>
      <c r="P60" s="163" t="n">
        <f aca="false">IF(P$30="nymex",expiry!H92+1,B60)</f>
        <v>38139</v>
      </c>
      <c r="Q60" s="164" t="e">
        <f aca="true">OSTRIP(F60,F60,P60-TODAY(),B60-P60,B61-P60-1,1,O60,I60,L60,1,0,1,0)</f>
        <v>#NAME?</v>
      </c>
      <c r="U60" s="161" t="n">
        <v>0.05</v>
      </c>
      <c r="Y60" s="160"/>
      <c r="Z60" s="162"/>
      <c r="AA60" s="21"/>
      <c r="AB60" s="110" t="n">
        <f aca="false">DDE("TWINDDE","RSFRecord","NGc30 cls")</f>
        <v>3.335</v>
      </c>
      <c r="AC60" s="110" t="e">
        <f aca="false">DDE("TWINDDE","RSFRecord","NGc30 LAST")</f>
        <v>#N/A</v>
      </c>
      <c r="AD60" s="105"/>
      <c r="BA60" s="5" t="n">
        <v>-155</v>
      </c>
      <c r="BB60" s="5" t="n">
        <f aca="false">BA60/1000</f>
        <v>-0.155</v>
      </c>
      <c r="BC60" s="5"/>
      <c r="BD60" s="5"/>
    </row>
    <row r="61" customFormat="false" ht="12.75" hidden="false" customHeight="false" outlineLevel="0" collapsed="false">
      <c r="A61" s="110" t="n">
        <f aca="false">A60+1</f>
        <v>31</v>
      </c>
      <c r="B61" s="158" t="n">
        <f aca="false">DATE(YEAR(B60),MONTH(B60)+1,1)</f>
        <v>38169</v>
      </c>
      <c r="C61" s="110" t="n">
        <f aca="false">DDE("REUTER","IDN","NGN4,PRIM ACT 1,1")</f>
        <v>3.24</v>
      </c>
      <c r="D61" s="110" t="n">
        <f aca="false">VLOOKUP($B61,curvesettle,2,FALSE())</f>
        <v>3.24</v>
      </c>
      <c r="E61" s="159" t="n">
        <f aca="false">Q$28</f>
        <v>0.124416666666667</v>
      </c>
      <c r="F61" s="160" t="n">
        <f aca="false">IF(C$1="settle",D61,IF(C$1="EOL",D61+E61,IF(ISNUMBER(C61),C61,D61)))</f>
        <v>3.24</v>
      </c>
      <c r="G61" s="161" t="n">
        <f aca="false">VLOOKUP($B61,curvesettle,3,FALSE())</f>
        <v>0.315</v>
      </c>
      <c r="H61" s="161" t="n">
        <v>0</v>
      </c>
      <c r="I61" s="161" t="n">
        <f aca="false">G61+H61</f>
        <v>0.315</v>
      </c>
      <c r="J61" s="160" t="e">
        <f aca="true">bsd(1,3,$F61,$F61,$N61-TODAY(),$I61,$O61,Y61/2)</f>
        <v>#VALUE!</v>
      </c>
      <c r="K61" s="161" t="n">
        <v>0</v>
      </c>
      <c r="L61" s="161" t="n">
        <f aca="false">'GAS DAILY VOL DOWNLOAD'!B39+K61</f>
        <v>0.45</v>
      </c>
      <c r="M61" s="5" t="n">
        <f aca="false">A61</f>
        <v>31</v>
      </c>
      <c r="N61" s="162" t="n">
        <f aca="false">VLOOKUP(B61,expiration,3,FALSE())</f>
        <v>38163</v>
      </c>
      <c r="O61" s="101" t="n">
        <f aca="false">VLOOKUP($B61,curvesettle,4,FALSE())</f>
        <v>0.0390982280263858</v>
      </c>
      <c r="P61" s="163" t="n">
        <f aca="false">IF(P$30="nymex",expiry!H93+1,B61)</f>
        <v>38169</v>
      </c>
      <c r="Q61" s="164" t="e">
        <f aca="true">OSTRIP(F61,F61,P61-TODAY(),B61-P61,B62-P61-1,1,O61,I61,L61,1,0,1,0)</f>
        <v>#NAME?</v>
      </c>
      <c r="U61" s="161" t="n">
        <v>0.1</v>
      </c>
      <c r="Y61" s="160"/>
      <c r="Z61" s="162"/>
      <c r="AA61" s="21"/>
      <c r="AB61" s="110" t="n">
        <f aca="false">DDE("TWINDDE","RSFRecord","NGc31 cls")</f>
        <v>3.137</v>
      </c>
      <c r="AC61" s="110" t="e">
        <f aca="false">DDE("TWINDDE","RSFRecord","NGc31 LAST")</f>
        <v>#N/A</v>
      </c>
      <c r="AD61" s="105"/>
      <c r="BA61" s="5" t="n">
        <v>-155</v>
      </c>
      <c r="BB61" s="5" t="n">
        <f aca="false">BA61/1000</f>
        <v>-0.155</v>
      </c>
      <c r="BC61" s="5"/>
      <c r="BD61" s="5"/>
    </row>
    <row r="62" customFormat="false" ht="12.75" hidden="false" customHeight="false" outlineLevel="0" collapsed="false">
      <c r="A62" s="110" t="n">
        <f aca="false">A61+1</f>
        <v>32</v>
      </c>
      <c r="B62" s="158" t="n">
        <f aca="false">DATE(YEAR(B61),MONTH(B61)+1,1)</f>
        <v>38200</v>
      </c>
      <c r="C62" s="110" t="n">
        <f aca="false">DDE("REUTER","IDN","NGQ4,PRIM ACT 1,1")</f>
        <v>3.28</v>
      </c>
      <c r="D62" s="110" t="n">
        <f aca="false">VLOOKUP($B62,curvesettle,2,FALSE())</f>
        <v>3.28</v>
      </c>
      <c r="E62" s="159" t="n">
        <f aca="false">Q$28</f>
        <v>0.124416666666667</v>
      </c>
      <c r="F62" s="160" t="n">
        <f aca="false">IF(C$1="settle",D62,IF(C$1="EOL",D62+E62,IF(ISNUMBER(C62),C62,D62)))</f>
        <v>3.28</v>
      </c>
      <c r="G62" s="161" t="n">
        <f aca="false">VLOOKUP($B62,curvesettle,3,FALSE())</f>
        <v>0.315</v>
      </c>
      <c r="H62" s="161" t="n">
        <v>0</v>
      </c>
      <c r="I62" s="161" t="n">
        <f aca="false">G62+H62</f>
        <v>0.315</v>
      </c>
      <c r="J62" s="31"/>
      <c r="K62" s="161" t="n">
        <v>0</v>
      </c>
      <c r="L62" s="161" t="n">
        <f aca="false">'GAS DAILY VOL DOWNLOAD'!B40+K62</f>
        <v>0.5</v>
      </c>
      <c r="M62" s="5" t="n">
        <f aca="false">A62</f>
        <v>32</v>
      </c>
      <c r="N62" s="162" t="n">
        <f aca="false">VLOOKUP(B62,expiration,3,FALSE())</f>
        <v>38195</v>
      </c>
      <c r="O62" s="101" t="n">
        <f aca="false">VLOOKUP($B62,curvesettle,4,FALSE())</f>
        <v>0.0397424893326637</v>
      </c>
      <c r="P62" s="163" t="n">
        <f aca="false">IF(P$30="nymex",expiry!H94+1,B62)</f>
        <v>38200</v>
      </c>
      <c r="Q62" s="164" t="e">
        <f aca="true">OSTRIP(F62,F62,P62-TODAY(),B62-P62,B63-P62-1,1,O62,I62,L62,1,0,1,0)</f>
        <v>#NAME?</v>
      </c>
      <c r="U62" s="161" t="n">
        <v>0.2</v>
      </c>
      <c r="Y62" s="160"/>
      <c r="Z62" s="162"/>
      <c r="AA62" s="21"/>
      <c r="AB62" s="110" t="n">
        <f aca="false">DDE("TWINDDE","RSFRecord","NGc32 cls")</f>
        <v>3.133</v>
      </c>
      <c r="AC62" s="110" t="e">
        <f aca="false">DDE("TWINDDE","RSFRecord","NGc32 LAST")</f>
        <v>#N/A</v>
      </c>
      <c r="AD62" s="105"/>
      <c r="BA62" s="5" t="n">
        <v>-155</v>
      </c>
      <c r="BB62" s="5" t="n">
        <f aca="false">BA62/1000</f>
        <v>-0.155</v>
      </c>
      <c r="BC62" s="5"/>
      <c r="BD62" s="5"/>
    </row>
    <row r="63" customFormat="false" ht="12.75" hidden="false" customHeight="false" outlineLevel="0" collapsed="false">
      <c r="A63" s="110" t="n">
        <f aca="false">A62+1</f>
        <v>33</v>
      </c>
      <c r="B63" s="158" t="n">
        <f aca="false">DATE(YEAR(B62),MONTH(B62)+1,1)</f>
        <v>38231</v>
      </c>
      <c r="C63" s="110" t="n">
        <f aca="false">DDE("REUTER","IDN","NGU4,PRIM ACT 1,1")</f>
        <v>3.22</v>
      </c>
      <c r="D63" s="110" t="n">
        <f aca="false">VLOOKUP($B63,curvesettle,2,FALSE())</f>
        <v>3.275</v>
      </c>
      <c r="E63" s="159" t="n">
        <f aca="false">Q$28</f>
        <v>0.124416666666667</v>
      </c>
      <c r="F63" s="160" t="n">
        <f aca="false">IF(C$1="settle",D63,IF(C$1="EOL",D63+E63,IF(ISNUMBER(C63),C63,D63)))</f>
        <v>3.275</v>
      </c>
      <c r="G63" s="161" t="n">
        <f aca="false">VLOOKUP($B63,curvesettle,3,FALSE())</f>
        <v>0.315</v>
      </c>
      <c r="H63" s="161" t="n">
        <v>0</v>
      </c>
      <c r="I63" s="161" t="n">
        <f aca="false">G63+H63</f>
        <v>0.315</v>
      </c>
      <c r="J63" s="31"/>
      <c r="K63" s="161" t="n">
        <v>0</v>
      </c>
      <c r="L63" s="161" t="n">
        <f aca="false">'GAS DAILY VOL DOWNLOAD'!B41+K63</f>
        <v>0.55</v>
      </c>
      <c r="M63" s="5" t="n">
        <f aca="false">A63</f>
        <v>33</v>
      </c>
      <c r="N63" s="162" t="n">
        <f aca="false">VLOOKUP(B63,expiration,3,FALSE())</f>
        <v>38225</v>
      </c>
      <c r="O63" s="101" t="n">
        <f aca="false">VLOOKUP($B63,curvesettle,4,FALSE())</f>
        <v>0.0403867507782238</v>
      </c>
      <c r="P63" s="163" t="n">
        <f aca="false">IF(P$30="nymex",expiry!H95+1,B63)</f>
        <v>38231</v>
      </c>
      <c r="Q63" s="164" t="e">
        <f aca="true">OSTRIP(F63,F63,P63-TODAY(),B63-P63,B64-P63-1,1,O63,I63,L63,1,0,1,0)</f>
        <v>#NAME?</v>
      </c>
      <c r="U63" s="161" t="n">
        <v>0.3</v>
      </c>
      <c r="Y63" s="160"/>
      <c r="Z63" s="162"/>
      <c r="AA63" s="21"/>
      <c r="AB63" s="110" t="n">
        <f aca="false">DDE("TWINDDE","RSFRecord","NGc33 cls")</f>
        <v>3.165</v>
      </c>
      <c r="AC63" s="110" t="e">
        <f aca="false">DDE("TWINDDE","RSFRecord","NGc33 LAST")</f>
        <v>#N/A</v>
      </c>
      <c r="AD63" s="105"/>
      <c r="BA63" s="5" t="n">
        <v>-150</v>
      </c>
      <c r="BB63" s="5" t="n">
        <f aca="false">BA63/1000</f>
        <v>-0.15</v>
      </c>
      <c r="BC63" s="5"/>
      <c r="BD63" s="5"/>
    </row>
    <row r="64" customFormat="false" ht="12.75" hidden="false" customHeight="false" outlineLevel="0" collapsed="false">
      <c r="A64" s="110" t="n">
        <f aca="false">A63+1</f>
        <v>34</v>
      </c>
      <c r="B64" s="158" t="n">
        <f aca="false">DATE(YEAR(B63),MONTH(B63)+1,1)</f>
        <v>38261</v>
      </c>
      <c r="C64" s="110" t="n">
        <f aca="false">DDE("REUTER","IDN","NGV4,PRIM ACT 1,1")</f>
        <v>3.288</v>
      </c>
      <c r="D64" s="110" t="n">
        <f aca="false">VLOOKUP($B64,curvesettle,2,FALSE())</f>
        <v>3.3</v>
      </c>
      <c r="E64" s="159" t="n">
        <f aca="false">Q$28</f>
        <v>0.124416666666667</v>
      </c>
      <c r="F64" s="160" t="n">
        <f aca="false">IF(C$1="settle",D64,IF(C$1="EOL",D64+E64,IF(ISNUMBER(C64),C64,D64)))</f>
        <v>3.3</v>
      </c>
      <c r="G64" s="161" t="n">
        <f aca="false">VLOOKUP($B64,curvesettle,3,FALSE())</f>
        <v>0.315</v>
      </c>
      <c r="H64" s="161" t="n">
        <v>0</v>
      </c>
      <c r="I64" s="161" t="n">
        <f aca="false">G64+H64</f>
        <v>0.315</v>
      </c>
      <c r="J64" s="31"/>
      <c r="K64" s="161" t="n">
        <v>0</v>
      </c>
      <c r="L64" s="161" t="n">
        <f aca="false">'GAS DAILY VOL DOWNLOAD'!B42+K64</f>
        <v>0.55</v>
      </c>
      <c r="M64" s="5" t="n">
        <f aca="false">A64</f>
        <v>34</v>
      </c>
      <c r="N64" s="162" t="n">
        <f aca="false">VLOOKUP(B64,expiration,3,FALSE())</f>
        <v>38257</v>
      </c>
      <c r="O64" s="101" t="n">
        <f aca="false">VLOOKUP($B64,curvesettle,4,FALSE())</f>
        <v>0.0409754465349472</v>
      </c>
      <c r="Q64" s="63" t="e">
        <f aca="true">OSTRIP(F64,F64,B64-TODAY(),0,(B65-1)-B64,1,O64,I64,L64,1,0,1,0)</f>
        <v>#NAME?</v>
      </c>
      <c r="U64" s="161" t="n">
        <v>0.3</v>
      </c>
      <c r="Y64" s="160"/>
      <c r="Z64" s="162"/>
      <c r="AA64" s="21"/>
      <c r="AB64" s="110" t="n">
        <f aca="false">DDE("TWINDDE","RSFRecord","NGc34 cls")</f>
        <v>3.215</v>
      </c>
      <c r="AC64" s="110" t="e">
        <f aca="false">DDE("TWINDDE","RSFRecord","NGc34 LAST")</f>
        <v>#N/A</v>
      </c>
      <c r="AD64" s="105"/>
      <c r="BA64" s="5" t="n">
        <v>-150</v>
      </c>
      <c r="BB64" s="5" t="n">
        <f aca="false">BA64/1000</f>
        <v>-0.15</v>
      </c>
      <c r="BC64" s="5"/>
      <c r="BD64" s="5"/>
    </row>
    <row r="65" customFormat="false" ht="12.75" hidden="false" customHeight="false" outlineLevel="0" collapsed="false">
      <c r="A65" s="110" t="n">
        <f aca="false">A64+1</f>
        <v>35</v>
      </c>
      <c r="B65" s="158" t="n">
        <f aca="false">DATE(YEAR(B64),MONTH(B64)+1,1)</f>
        <v>38292</v>
      </c>
      <c r="C65" s="110" t="n">
        <f aca="false">DDE("REUTER","IDN","NGX4,PRIM ACT 1,1")</f>
        <v>3.4</v>
      </c>
      <c r="D65" s="110" t="n">
        <f aca="false">VLOOKUP($B65,curvesettle,2,FALSE())</f>
        <v>3.452</v>
      </c>
      <c r="E65" s="159" t="n">
        <f aca="false">Q$28</f>
        <v>0.124416666666667</v>
      </c>
      <c r="F65" s="160" t="n">
        <f aca="false">IF(C$1="settle",D65,IF(C$1="EOL",D65+E65,IF(ISNUMBER(C65),C65,D65)))</f>
        <v>3.452</v>
      </c>
      <c r="G65" s="161" t="n">
        <f aca="false">VLOOKUP($B65,curvesettle,3,FALSE())</f>
        <v>0.315</v>
      </c>
      <c r="H65" s="161" t="n">
        <v>0</v>
      </c>
      <c r="I65" s="161" t="n">
        <f aca="false">G65+H65</f>
        <v>0.315</v>
      </c>
      <c r="J65" s="31"/>
      <c r="K65" s="161" t="n">
        <v>0</v>
      </c>
      <c r="L65" s="161" t="n">
        <f aca="false">'GAS DAILY VOL DOWNLOAD'!B43+K65</f>
        <v>0.6</v>
      </c>
      <c r="M65" s="5" t="n">
        <f aca="false">A65</f>
        <v>35</v>
      </c>
      <c r="N65" s="162" t="n">
        <f aca="false">VLOOKUP(B65,expiration,3,FALSE())</f>
        <v>38286</v>
      </c>
      <c r="O65" s="101" t="n">
        <f aca="false">VLOOKUP($B65,curvesettle,4,FALSE())</f>
        <v>0.0415503422333172</v>
      </c>
      <c r="Q65" s="63" t="e">
        <f aca="true">OSTRIP(F65,F65,B65-TODAY(),0,(B66-1)-B65,1,O65,I65,L65,1,0,1,0)</f>
        <v>#NAME?</v>
      </c>
      <c r="U65" s="161" t="n">
        <v>0.25</v>
      </c>
      <c r="Y65" s="160"/>
      <c r="Z65" s="162"/>
      <c r="AA65" s="21"/>
      <c r="AB65" s="110" t="n">
        <f aca="false">DDE("TWINDDE","RSFRecord","NGc35 cls")</f>
        <v>3.249</v>
      </c>
      <c r="AC65" s="110" t="e">
        <f aca="false">DDE("TWINDDE","RSFRecord","NGc35 LAST")</f>
        <v>#N/A</v>
      </c>
      <c r="AD65" s="105"/>
      <c r="BA65" s="5" t="n">
        <v>-150</v>
      </c>
      <c r="BB65" s="5" t="n">
        <f aca="false">BA65/1000</f>
        <v>-0.15</v>
      </c>
      <c r="BC65" s="5"/>
      <c r="BD65" s="5"/>
    </row>
    <row r="66" customFormat="false" ht="12.75" hidden="false" customHeight="false" outlineLevel="0" collapsed="false">
      <c r="A66" s="110" t="n">
        <f aca="false">A65+1</f>
        <v>36</v>
      </c>
      <c r="B66" s="158" t="n">
        <f aca="false">DATE(YEAR(B65),MONTH(B65)+1,1)</f>
        <v>38322</v>
      </c>
      <c r="C66" s="110" t="str">
        <f aca="false">DDE("REUTER","IDN","NGz4,PRIM ACT 1,1")</f>
        <v>#N/A N/A</v>
      </c>
      <c r="D66" s="110" t="n">
        <f aca="false">VLOOKUP($B66,curvesettle,2,FALSE())</f>
        <v>3.595</v>
      </c>
      <c r="E66" s="159" t="n">
        <f aca="false">Q$28</f>
        <v>0.124416666666667</v>
      </c>
      <c r="F66" s="160" t="n">
        <f aca="false">IF(C$1="settle",D66,IF(C$1="EOL",D66+E66,IF(ISNUMBER(C66),C66,D66)))</f>
        <v>3.595</v>
      </c>
      <c r="G66" s="161" t="n">
        <f aca="false">VLOOKUP($B66,curvesettle,3,FALSE())</f>
        <v>0.315</v>
      </c>
      <c r="H66" s="161" t="n">
        <v>0</v>
      </c>
      <c r="I66" s="161" t="n">
        <f aca="false">G66+H66</f>
        <v>0.315</v>
      </c>
      <c r="J66" s="31"/>
      <c r="K66" s="161" t="n">
        <v>0</v>
      </c>
      <c r="L66" s="161" t="n">
        <f aca="false">'GAS DAILY VOL DOWNLOAD'!B44+K66</f>
        <v>0.8</v>
      </c>
      <c r="M66" s="5" t="n">
        <f aca="false">A66</f>
        <v>36</v>
      </c>
      <c r="N66" s="162" t="n">
        <f aca="false">VLOOKUP(B66,expiration,3,FALSE())</f>
        <v>38315</v>
      </c>
      <c r="O66" s="101" t="n">
        <f aca="false">VLOOKUP($B66,curvesettle,4,FALSE())</f>
        <v>0.0421066930146625</v>
      </c>
      <c r="Q66" s="63" t="e">
        <f aca="true">OSTRIP(F66,F66,B66-TODAY(),0,(B67-1)-B66,1,O66,I66,L66,1,0,1,0)</f>
        <v>#NAME?</v>
      </c>
      <c r="U66" s="161" t="n">
        <v>0.05</v>
      </c>
      <c r="Y66" s="160"/>
      <c r="Z66" s="162"/>
      <c r="AA66" s="21"/>
      <c r="AB66" s="110" t="n">
        <f aca="false">DDE("TWINDDE","RSFRecord","NGc36 cls")</f>
        <v>3.262</v>
      </c>
      <c r="AC66" s="110" t="e">
        <f aca="false">DDE("TWINDDE","RSFRecord","NGc36 LAST")</f>
        <v>#N/A</v>
      </c>
      <c r="AD66" s="105"/>
      <c r="BA66" s="5" t="n">
        <v>-150</v>
      </c>
      <c r="BB66" s="5" t="n">
        <f aca="false">BA66/1000</f>
        <v>-0.15</v>
      </c>
      <c r="BC66" s="5"/>
      <c r="BD66" s="5"/>
    </row>
    <row r="67" customFormat="false" ht="12.75" hidden="false" customHeight="false" outlineLevel="0" collapsed="false">
      <c r="A67" s="110" t="n">
        <f aca="false">A66+1</f>
        <v>37</v>
      </c>
      <c r="B67" s="158" t="n">
        <f aca="false">DATE(YEAR(B66),MONTH(B66)+1,1)</f>
        <v>38353</v>
      </c>
      <c r="C67" s="110"/>
      <c r="D67" s="110" t="n">
        <f aca="false">VLOOKUP($B67,curvesettle,2,FALSE())</f>
        <v>3.655</v>
      </c>
      <c r="E67" s="159" t="n">
        <f aca="false">Q$29</f>
        <v>0.139416666666667</v>
      </c>
      <c r="F67" s="160" t="n">
        <f aca="false">IF(C$1="settle",D67,IF(C$1="EOL",D67+E67,IF(ISNUMBER(C67),C67,D67)))</f>
        <v>3.655</v>
      </c>
      <c r="G67" s="161" t="n">
        <f aca="false">VLOOKUP($B67,curvesettle,3,FALSE())</f>
        <v>0.315</v>
      </c>
      <c r="H67" s="161" t="n">
        <v>0</v>
      </c>
      <c r="I67" s="161" t="n">
        <f aca="false">G67+H67</f>
        <v>0.315</v>
      </c>
      <c r="J67" s="31"/>
      <c r="K67" s="161" t="n">
        <v>0</v>
      </c>
      <c r="L67" s="161" t="n">
        <f aca="false">'GAS DAILY VOL DOWNLOAD'!B45+K67</f>
        <v>1</v>
      </c>
      <c r="M67" s="5" t="n">
        <f aca="false">A67</f>
        <v>37</v>
      </c>
      <c r="N67" s="162" t="n">
        <f aca="false">VLOOKUP(B67,expiration,3,FALSE())</f>
        <v>38348</v>
      </c>
      <c r="O67" s="101" t="n">
        <f aca="false">VLOOKUP($B67,curvesettle,4,FALSE())</f>
        <v>0.0426576899474638</v>
      </c>
      <c r="Q67" s="63" t="e">
        <f aca="true">OSTRIP(F67,F67,B67-TODAY(),0,(B68-1)-B67,1,O67,I67,L67,1,0,1,0)</f>
        <v>#NAME?</v>
      </c>
      <c r="U67" s="161" t="n">
        <v>0.05</v>
      </c>
      <c r="Y67" s="160"/>
      <c r="Z67" s="162"/>
      <c r="AA67" s="21"/>
      <c r="AB67" s="110" t="n">
        <f aca="false">DDE("TWINDDE","RSFRecord","NGc36 cls")</f>
        <v>3.262</v>
      </c>
      <c r="AC67" s="110" t="e">
        <f aca="false">DDE("TWINDDE","RSFRecord","NGc36 LAST")</f>
        <v>#N/A</v>
      </c>
      <c r="AD67" s="105"/>
      <c r="BC67" s="5"/>
      <c r="BD67" s="5"/>
    </row>
    <row r="68" customFormat="false" ht="12.75" hidden="false" customHeight="false" outlineLevel="0" collapsed="false">
      <c r="A68" s="110" t="n">
        <f aca="false">A67+1</f>
        <v>38</v>
      </c>
      <c r="B68" s="158" t="n">
        <f aca="false">DATE(YEAR(B67),MONTH(B67)+1,1)</f>
        <v>38384</v>
      </c>
      <c r="C68" s="110"/>
      <c r="D68" s="110" t="n">
        <f aca="false">VLOOKUP($B68,curvesettle,2,FALSE())</f>
        <v>3.57</v>
      </c>
      <c r="E68" s="159" t="n">
        <f aca="false">Q$29</f>
        <v>0.139416666666667</v>
      </c>
      <c r="F68" s="160" t="n">
        <f aca="false">IF(C$1="settle",D68,IF(C$1="EOL",D68+E68,IF(ISNUMBER(C68),C68,D68)))</f>
        <v>3.57</v>
      </c>
      <c r="G68" s="161" t="n">
        <f aca="false">VLOOKUP($B68,curvesettle,3,FALSE())</f>
        <v>0.3125</v>
      </c>
      <c r="H68" s="161" t="n">
        <v>0</v>
      </c>
      <c r="I68" s="161" t="n">
        <f aca="false">G68+H68</f>
        <v>0.3125</v>
      </c>
      <c r="J68" s="31"/>
      <c r="K68" s="161" t="n">
        <v>0</v>
      </c>
      <c r="L68" s="161" t="n">
        <f aca="false">'GAS DAILY VOL DOWNLOAD'!B46+K68</f>
        <v>1</v>
      </c>
      <c r="M68" s="5" t="n">
        <f aca="false">A68</f>
        <v>38</v>
      </c>
      <c r="N68" s="162" t="n">
        <f aca="false">VLOOKUP(B68,expiration,3,FALSE())</f>
        <v>38378</v>
      </c>
      <c r="O68" s="101" t="n">
        <f aca="false">VLOOKUP($B68,curvesettle,4,FALSE())</f>
        <v>0.0431890054626174</v>
      </c>
      <c r="Q68" s="63" t="e">
        <f aca="true">OSTRIP(F68,F68,B68-TODAY(),0,(B69-1)-B68,1,O68,I68,L68,1,0,1,0)</f>
        <v>#NAME?</v>
      </c>
      <c r="U68" s="161" t="n">
        <v>0.05</v>
      </c>
      <c r="Y68" s="160"/>
      <c r="Z68" s="162"/>
      <c r="AA68" s="21"/>
      <c r="AB68" s="21"/>
      <c r="AC68" s="165"/>
      <c r="AD68" s="105"/>
      <c r="BC68" s="5"/>
      <c r="BD68" s="5"/>
    </row>
    <row r="69" customFormat="false" ht="12.75" hidden="false" customHeight="false" outlineLevel="0" collapsed="false">
      <c r="A69" s="110" t="n">
        <f aca="false">A68+1</f>
        <v>39</v>
      </c>
      <c r="B69" s="158" t="n">
        <f aca="false">DATE(YEAR(B68),MONTH(B68)+1,1)</f>
        <v>38412</v>
      </c>
      <c r="C69" s="110"/>
      <c r="D69" s="110" t="n">
        <f aca="false">VLOOKUP($B69,curvesettle,2,FALSE())</f>
        <v>3.44</v>
      </c>
      <c r="E69" s="159" t="n">
        <f aca="false">Q$29</f>
        <v>0.139416666666667</v>
      </c>
      <c r="F69" s="160" t="n">
        <f aca="false">IF(C$1="settle",D69,IF(C$1="EOL",D69+E69,IF(ISNUMBER(C69),C69,D69)))</f>
        <v>3.44</v>
      </c>
      <c r="G69" s="161" t="n">
        <f aca="false">VLOOKUP($B69,curvesettle,3,FALSE())</f>
        <v>0.3025</v>
      </c>
      <c r="H69" s="161" t="n">
        <v>0</v>
      </c>
      <c r="I69" s="161" t="n">
        <f aca="false">G69+H69</f>
        <v>0.3025</v>
      </c>
      <c r="J69" s="31"/>
      <c r="K69" s="161" t="n">
        <v>0</v>
      </c>
      <c r="L69" s="161" t="n">
        <f aca="false">'GAS DAILY VOL DOWNLOAD'!B47+K69</f>
        <v>1</v>
      </c>
      <c r="M69" s="5" t="n">
        <f aca="false">A69</f>
        <v>39</v>
      </c>
      <c r="N69" s="162" t="n">
        <f aca="false">VLOOKUP(B69,expiration,3,FALSE())</f>
        <v>38406</v>
      </c>
      <c r="O69" s="101" t="n">
        <f aca="false">VLOOKUP($B69,curvesettle,4,FALSE())</f>
        <v>0.0436689034285567</v>
      </c>
      <c r="U69" s="161" t="n">
        <v>0.05</v>
      </c>
      <c r="Y69" s="160"/>
      <c r="Z69" s="162"/>
      <c r="AA69" s="21"/>
      <c r="AB69" s="21"/>
      <c r="AC69" s="165"/>
      <c r="AD69" s="105"/>
      <c r="BC69" s="5"/>
      <c r="BD69" s="5"/>
    </row>
    <row r="70" customFormat="false" ht="12.75" hidden="false" customHeight="false" outlineLevel="0" collapsed="false">
      <c r="A70" s="110" t="n">
        <f aca="false">A69+1</f>
        <v>40</v>
      </c>
      <c r="B70" s="158" t="n">
        <f aca="false">DATE(YEAR(B69),MONTH(B69)+1,1)</f>
        <v>38443</v>
      </c>
      <c r="C70" s="110"/>
      <c r="D70" s="110" t="n">
        <f aca="false">VLOOKUP($B70,curvesettle,2,FALSE())</f>
        <v>3.255</v>
      </c>
      <c r="E70" s="159" t="n">
        <f aca="false">Q$29</f>
        <v>0.139416666666667</v>
      </c>
      <c r="F70" s="160" t="n">
        <f aca="false">IF(C$1="settle",D70,IF(C$1="EOL",D70+E70,IF(ISNUMBER(C70),C70,D70)))</f>
        <v>3.255</v>
      </c>
      <c r="G70" s="161" t="n">
        <f aca="false">VLOOKUP($B70,curvesettle,3,FALSE())</f>
        <v>0.2925</v>
      </c>
      <c r="H70" s="161" t="n">
        <v>0</v>
      </c>
      <c r="I70" s="161" t="n">
        <f aca="false">G70+H70</f>
        <v>0.2925</v>
      </c>
      <c r="J70" s="31"/>
      <c r="K70" s="161" t="n">
        <v>0</v>
      </c>
      <c r="L70" s="161" t="n">
        <f aca="false">'GAS DAILY VOL DOWNLOAD'!B48+K70</f>
        <v>0.75</v>
      </c>
      <c r="M70" s="5" t="n">
        <f aca="false">A70</f>
        <v>40</v>
      </c>
      <c r="N70" s="162" t="n">
        <f aca="false">VLOOKUP(B70,expiration,3,FALSE())</f>
        <v>38439</v>
      </c>
      <c r="O70" s="101" t="n">
        <f aca="false">VLOOKUP($B70,curvesettle,4,FALSE())</f>
        <v>0.0441629859154538</v>
      </c>
      <c r="U70" s="161" t="n">
        <v>0.05</v>
      </c>
      <c r="Y70" s="160"/>
      <c r="Z70" s="162"/>
      <c r="AA70" s="21"/>
      <c r="AB70" s="21"/>
      <c r="AC70" s="165"/>
      <c r="AD70" s="105"/>
      <c r="BC70" s="5"/>
      <c r="BD70" s="5"/>
    </row>
    <row r="71" customFormat="false" ht="12.75" hidden="false" customHeight="false" outlineLevel="0" collapsed="false">
      <c r="A71" s="110" t="n">
        <f aca="false">A70+1</f>
        <v>41</v>
      </c>
      <c r="B71" s="158" t="n">
        <f aca="false">DATE(YEAR(B70),MONTH(B70)+1,1)</f>
        <v>38473</v>
      </c>
      <c r="C71" s="110"/>
      <c r="D71" s="110" t="n">
        <f aca="false">VLOOKUP($B71,curvesettle,2,FALSE())</f>
        <v>3.25</v>
      </c>
      <c r="E71" s="159" t="n">
        <f aca="false">Q$29</f>
        <v>0.139416666666667</v>
      </c>
      <c r="F71" s="160" t="n">
        <f aca="false">IF(C$1="settle",D71,IF(C$1="EOL",D71+E71,IF(ISNUMBER(C71),C71,D71)))</f>
        <v>3.25</v>
      </c>
      <c r="G71" s="161" t="n">
        <f aca="false">VLOOKUP($B71,curvesettle,3,FALSE())</f>
        <v>0.285</v>
      </c>
      <c r="H71" s="161" t="n">
        <v>0</v>
      </c>
      <c r="I71" s="161" t="n">
        <f aca="false">G71+H71</f>
        <v>0.285</v>
      </c>
      <c r="J71" s="31"/>
      <c r="K71" s="161" t="n">
        <v>0</v>
      </c>
      <c r="L71" s="161" t="n">
        <f aca="false">'GAS DAILY VOL DOWNLOAD'!B49+K71</f>
        <v>0.4</v>
      </c>
      <c r="M71" s="5" t="n">
        <f aca="false">A71</f>
        <v>41</v>
      </c>
      <c r="N71" s="162" t="n">
        <f aca="false">VLOOKUP(B71,expiration,3,FALSE())</f>
        <v>38468</v>
      </c>
      <c r="O71" s="101" t="n">
        <f aca="false">VLOOKUP($B71,curvesettle,4,FALSE())</f>
        <v>0.0446087139677753</v>
      </c>
      <c r="U71" s="161" t="n">
        <v>0.05</v>
      </c>
      <c r="Y71" s="160"/>
      <c r="Z71" s="162"/>
      <c r="AA71" s="21"/>
      <c r="AB71" s="21"/>
      <c r="AC71" s="165"/>
      <c r="AD71" s="105"/>
      <c r="BC71" s="5"/>
      <c r="BD71" s="5"/>
    </row>
    <row r="72" customFormat="false" ht="12.75" hidden="false" customHeight="false" outlineLevel="0" collapsed="false">
      <c r="A72" s="110" t="n">
        <f aca="false">A71+1</f>
        <v>42</v>
      </c>
      <c r="B72" s="158" t="n">
        <f aca="false">DATE(YEAR(B71),MONTH(B71)+1,1)</f>
        <v>38504</v>
      </c>
      <c r="C72" s="110"/>
      <c r="D72" s="110" t="n">
        <f aca="false">VLOOKUP($B72,curvesettle,2,FALSE())</f>
        <v>3.285</v>
      </c>
      <c r="E72" s="159" t="n">
        <f aca="false">Q$29</f>
        <v>0.139416666666667</v>
      </c>
      <c r="F72" s="160" t="n">
        <f aca="false">IF(C$1="settle",D72,IF(C$1="EOL",D72+E72,IF(ISNUMBER(C72),C72,D72)))</f>
        <v>3.285</v>
      </c>
      <c r="G72" s="161" t="n">
        <f aca="false">VLOOKUP($B72,curvesettle,3,FALSE())</f>
        <v>0.285</v>
      </c>
      <c r="H72" s="161" t="n">
        <v>0</v>
      </c>
      <c r="I72" s="161" t="n">
        <f aca="false">G72+H72</f>
        <v>0.285</v>
      </c>
      <c r="J72" s="31"/>
      <c r="K72" s="161" t="n">
        <v>0</v>
      </c>
      <c r="L72" s="161" t="n">
        <f aca="false">'GAS DAILY VOL DOWNLOAD'!B50+K72</f>
        <v>0.45</v>
      </c>
      <c r="M72" s="5" t="n">
        <f aca="false">A72</f>
        <v>42</v>
      </c>
      <c r="N72" s="162" t="n">
        <f aca="false">VLOOKUP(B72,expiration,3,FALSE())</f>
        <v>38497</v>
      </c>
      <c r="O72" s="101" t="n">
        <f aca="false">VLOOKUP($B72,curvesettle,4,FALSE())</f>
        <v>0.0450692996917126</v>
      </c>
      <c r="U72" s="161" t="n">
        <v>0.05</v>
      </c>
      <c r="Y72" s="160"/>
      <c r="Z72" s="162"/>
      <c r="AA72" s="21"/>
      <c r="AB72" s="21"/>
      <c r="AC72" s="165"/>
      <c r="AD72" s="105"/>
      <c r="BC72" s="5"/>
      <c r="BD72" s="5"/>
    </row>
    <row r="73" customFormat="false" ht="12.75" hidden="false" customHeight="false" outlineLevel="0" collapsed="false">
      <c r="A73" s="110" t="n">
        <f aca="false">A72+1</f>
        <v>43</v>
      </c>
      <c r="B73" s="158" t="n">
        <f aca="false">DATE(YEAR(B72),MONTH(B72)+1,1)</f>
        <v>38534</v>
      </c>
      <c r="C73" s="110"/>
      <c r="D73" s="110" t="n">
        <f aca="false">VLOOKUP($B73,curvesettle,2,FALSE())</f>
        <v>3.325</v>
      </c>
      <c r="E73" s="159" t="n">
        <f aca="false">Q$29</f>
        <v>0.139416666666667</v>
      </c>
      <c r="F73" s="160" t="n">
        <f aca="false">IF(C$1="settle",D73,IF(C$1="EOL",D73+E73,IF(ISNUMBER(C73),C73,D73)))</f>
        <v>3.325</v>
      </c>
      <c r="G73" s="161" t="n">
        <f aca="false">VLOOKUP($B73,curvesettle,3,FALSE())</f>
        <v>0.28</v>
      </c>
      <c r="H73" s="161" t="n">
        <v>0</v>
      </c>
      <c r="I73" s="161" t="n">
        <f aca="false">G73+H73</f>
        <v>0.28</v>
      </c>
      <c r="J73" s="31"/>
      <c r="K73" s="161" t="n">
        <v>0</v>
      </c>
      <c r="L73" s="161" t="n">
        <f aca="false">'GAS DAILY VOL DOWNLOAD'!B51+K73</f>
        <v>0.45</v>
      </c>
      <c r="M73" s="5" t="n">
        <f aca="false">A73</f>
        <v>43</v>
      </c>
      <c r="N73" s="162" t="n">
        <f aca="false">VLOOKUP(B73,expiration,3,FALSE())</f>
        <v>38530</v>
      </c>
      <c r="O73" s="101" t="n">
        <f aca="false">VLOOKUP($B73,curvesettle,4,FALSE())</f>
        <v>0.0454931128840683</v>
      </c>
      <c r="U73" s="161" t="n">
        <v>0.1</v>
      </c>
      <c r="Y73" s="160"/>
      <c r="Z73" s="162"/>
      <c r="AA73" s="21"/>
      <c r="AB73" s="21"/>
      <c r="AC73" s="165"/>
      <c r="AD73" s="105"/>
      <c r="BC73" s="5"/>
      <c r="BD73" s="5"/>
    </row>
    <row r="74" customFormat="false" ht="12.75" hidden="false" customHeight="false" outlineLevel="0" collapsed="false">
      <c r="A74" s="110" t="n">
        <f aca="false">A73+1</f>
        <v>44</v>
      </c>
      <c r="B74" s="158" t="n">
        <f aca="false">DATE(YEAR(B73),MONTH(B73)+1,1)</f>
        <v>38565</v>
      </c>
      <c r="C74" s="110"/>
      <c r="D74" s="110" t="n">
        <f aca="false">VLOOKUP($B74,curvesettle,2,FALSE())</f>
        <v>3.365</v>
      </c>
      <c r="E74" s="159" t="n">
        <f aca="false">Q$29</f>
        <v>0.139416666666667</v>
      </c>
      <c r="F74" s="160" t="n">
        <f aca="false">IF(C$1="settle",D74,IF(C$1="EOL",D74+E74,IF(ISNUMBER(C74),C74,D74)))</f>
        <v>3.365</v>
      </c>
      <c r="G74" s="161" t="n">
        <f aca="false">VLOOKUP($B74,curvesettle,3,FALSE())</f>
        <v>0.28</v>
      </c>
      <c r="H74" s="161" t="n">
        <v>0</v>
      </c>
      <c r="I74" s="161" t="n">
        <f aca="false">G74+H74</f>
        <v>0.28</v>
      </c>
      <c r="J74" s="31"/>
      <c r="K74" s="161" t="n">
        <v>0</v>
      </c>
      <c r="L74" s="161" t="n">
        <f aca="false">'GAS DAILY VOL DOWNLOAD'!B52+K74</f>
        <v>0.5</v>
      </c>
      <c r="M74" s="5" t="n">
        <f aca="false">A74</f>
        <v>44</v>
      </c>
      <c r="N74" s="162" t="n">
        <f aca="false">VLOOKUP(B74,expiration,3,FALSE())</f>
        <v>38559</v>
      </c>
      <c r="O74" s="101" t="n">
        <f aca="false">VLOOKUP($B74,curvesettle,4,FALSE())</f>
        <v>0.045909969215757</v>
      </c>
      <c r="U74" s="161" t="n">
        <v>0.2</v>
      </c>
      <c r="Y74" s="160"/>
      <c r="Z74" s="162"/>
      <c r="AA74" s="21"/>
      <c r="AB74" s="21"/>
      <c r="AC74" s="165"/>
      <c r="AD74" s="105"/>
      <c r="BC74" s="5"/>
      <c r="BD74" s="5"/>
    </row>
    <row r="75" customFormat="false" ht="12.75" hidden="false" customHeight="false" outlineLevel="0" collapsed="false">
      <c r="A75" s="110" t="n">
        <f aca="false">A74+1</f>
        <v>45</v>
      </c>
      <c r="B75" s="158" t="n">
        <f aca="false">DATE(YEAR(B74),MONTH(B74)+1,1)</f>
        <v>38596</v>
      </c>
      <c r="C75" s="110"/>
      <c r="D75" s="110" t="n">
        <f aca="false">VLOOKUP($B75,curvesettle,2,FALSE())</f>
        <v>3.36</v>
      </c>
      <c r="E75" s="159" t="n">
        <f aca="false">Q$29</f>
        <v>0.139416666666667</v>
      </c>
      <c r="F75" s="160" t="n">
        <f aca="false">IF(C$1="settle",D75,IF(C$1="EOL",D75+E75,IF(ISNUMBER(C75),C75,D75)))</f>
        <v>3.36</v>
      </c>
      <c r="G75" s="161" t="n">
        <f aca="false">VLOOKUP($B75,curvesettle,3,FALSE())</f>
        <v>0.28</v>
      </c>
      <c r="H75" s="161" t="n">
        <v>0</v>
      </c>
      <c r="I75" s="161" t="n">
        <f aca="false">G75+H75</f>
        <v>0.28</v>
      </c>
      <c r="J75" s="31"/>
      <c r="K75" s="161" t="n">
        <v>0</v>
      </c>
      <c r="L75" s="161" t="n">
        <f aca="false">'GAS DAILY VOL DOWNLOAD'!B53+K75</f>
        <v>0.55</v>
      </c>
      <c r="M75" s="5" t="n">
        <f aca="false">A75</f>
        <v>45</v>
      </c>
      <c r="N75" s="162" t="n">
        <f aca="false">VLOOKUP(B75,expiration,3,FALSE())</f>
        <v>38590</v>
      </c>
      <c r="O75" s="101" t="n">
        <f aca="false">VLOOKUP($B75,curvesettle,4,FALSE())</f>
        <v>0.04632682560558</v>
      </c>
      <c r="U75" s="161" t="n">
        <v>0.3</v>
      </c>
      <c r="Y75" s="160"/>
      <c r="Z75" s="162"/>
      <c r="AA75" s="21"/>
      <c r="AB75" s="21"/>
      <c r="AC75" s="165"/>
      <c r="AD75" s="105"/>
      <c r="BC75" s="5"/>
      <c r="BD75" s="5"/>
    </row>
    <row r="76" customFormat="false" ht="12.75" hidden="false" customHeight="false" outlineLevel="0" collapsed="false">
      <c r="A76" s="110" t="n">
        <f aca="false">A75+1</f>
        <v>46</v>
      </c>
      <c r="B76" s="158" t="n">
        <f aca="false">DATE(YEAR(B75),MONTH(B75)+1,1)</f>
        <v>38626</v>
      </c>
      <c r="C76" s="110"/>
      <c r="D76" s="110" t="n">
        <f aca="false">VLOOKUP($B76,curvesettle,2,FALSE())</f>
        <v>3.385</v>
      </c>
      <c r="E76" s="159" t="n">
        <f aca="false">Q$29</f>
        <v>0.139416666666667</v>
      </c>
      <c r="F76" s="160" t="n">
        <f aca="false">IF(C$1="settle",D76,IF(C$1="EOL",D76+E76,IF(ISNUMBER(C76),C76,D76)))</f>
        <v>3.385</v>
      </c>
      <c r="G76" s="161" t="n">
        <f aca="false">VLOOKUP($B76,curvesettle,3,FALSE())</f>
        <v>0.28</v>
      </c>
      <c r="H76" s="161" t="n">
        <v>0</v>
      </c>
      <c r="I76" s="161" t="n">
        <f aca="false">G76+H76</f>
        <v>0.28</v>
      </c>
      <c r="J76" s="31"/>
      <c r="K76" s="161" t="n">
        <v>0</v>
      </c>
      <c r="L76" s="161" t="n">
        <f aca="false">'GAS DAILY VOL DOWNLOAD'!B54+K76</f>
        <v>0.55</v>
      </c>
      <c r="M76" s="5" t="n">
        <f aca="false">A76</f>
        <v>46</v>
      </c>
      <c r="N76" s="162" t="n">
        <f aca="false">VLOOKUP(B76,expiration,3,FALSE())</f>
        <v>38622</v>
      </c>
      <c r="O76" s="101" t="n">
        <f aca="false">VLOOKUP($B76,curvesettle,4,FALSE())</f>
        <v>0.0467165492653465</v>
      </c>
      <c r="U76" s="161" t="n">
        <v>0.3</v>
      </c>
      <c r="Y76" s="160"/>
      <c r="Z76" s="162"/>
      <c r="AA76" s="21"/>
      <c r="AB76" s="21"/>
      <c r="AC76" s="165"/>
      <c r="AD76" s="105"/>
      <c r="BC76" s="5"/>
      <c r="BD76" s="5"/>
    </row>
    <row r="77" customFormat="false" ht="12.75" hidden="false" customHeight="false" outlineLevel="0" collapsed="false">
      <c r="A77" s="110" t="n">
        <f aca="false">A76+1</f>
        <v>47</v>
      </c>
      <c r="B77" s="158" t="n">
        <f aca="false">DATE(YEAR(B76),MONTH(B76)+1,1)</f>
        <v>38657</v>
      </c>
      <c r="C77" s="110"/>
      <c r="D77" s="110" t="n">
        <f aca="false">VLOOKUP($B77,curvesettle,2,FALSE())</f>
        <v>3.537</v>
      </c>
      <c r="E77" s="159" t="n">
        <f aca="false">Q$29</f>
        <v>0.139416666666667</v>
      </c>
      <c r="F77" s="160" t="n">
        <f aca="false">IF(C$1="settle",D77,IF(C$1="EOL",D77+E77,IF(ISNUMBER(C77),C77,D77)))</f>
        <v>3.537</v>
      </c>
      <c r="G77" s="161" t="n">
        <f aca="false">VLOOKUP($B77,curvesettle,3,FALSE())</f>
        <v>0.28</v>
      </c>
      <c r="H77" s="161" t="n">
        <v>0</v>
      </c>
      <c r="I77" s="161" t="n">
        <f aca="false">G77+H77</f>
        <v>0.28</v>
      </c>
      <c r="J77" s="31"/>
      <c r="K77" s="161" t="n">
        <v>0</v>
      </c>
      <c r="L77" s="161" t="n">
        <f aca="false">'GAS DAILY VOL DOWNLOAD'!B55+K77</f>
        <v>0.6</v>
      </c>
      <c r="M77" s="5" t="n">
        <f aca="false">A77</f>
        <v>47</v>
      </c>
      <c r="N77" s="162" t="n">
        <f aca="false">VLOOKUP(B77,expiration,3,FALSE())</f>
        <v>38651</v>
      </c>
      <c r="O77" s="101" t="n">
        <f aca="false">VLOOKUP($B77,curvesettle,4,FALSE())</f>
        <v>0.0470928800068173</v>
      </c>
      <c r="U77" s="161" t="n">
        <v>0.25</v>
      </c>
      <c r="Y77" s="160"/>
      <c r="Z77" s="162"/>
      <c r="AA77" s="21"/>
      <c r="AB77" s="21"/>
      <c r="AC77" s="165"/>
      <c r="AD77" s="105"/>
      <c r="BC77" s="5"/>
      <c r="BD77" s="5"/>
    </row>
    <row r="78" customFormat="false" ht="12.75" hidden="false" customHeight="false" outlineLevel="0" collapsed="false">
      <c r="A78" s="110" t="n">
        <f aca="false">A77+1</f>
        <v>48</v>
      </c>
      <c r="B78" s="158" t="n">
        <f aca="false">DATE(YEAR(B77),MONTH(B77)+1,1)</f>
        <v>38687</v>
      </c>
      <c r="C78" s="0"/>
      <c r="D78" s="110" t="n">
        <f aca="false">VLOOKUP($B78,curvesettle,2,FALSE())</f>
        <v>3.68</v>
      </c>
      <c r="E78" s="159" t="n">
        <f aca="false">Q$29</f>
        <v>0.139416666666667</v>
      </c>
      <c r="F78" s="160" t="n">
        <f aca="false">IF(C$1="settle",D78,IF(C$1="EOL",D78+E78,IF(ISNUMBER(C78),C78,D78)))</f>
        <v>3.68</v>
      </c>
      <c r="G78" s="161" t="n">
        <f aca="false">VLOOKUP($B78,curvesettle,3,FALSE())</f>
        <v>0.28</v>
      </c>
      <c r="H78" s="161" t="n">
        <v>0</v>
      </c>
      <c r="I78" s="161" t="n">
        <f aca="false">G78+H78</f>
        <v>0.28</v>
      </c>
      <c r="J78" s="31"/>
      <c r="K78" s="161" t="n">
        <v>0</v>
      </c>
      <c r="L78" s="161" t="n">
        <f aca="false">'GAS DAILY VOL DOWNLOAD'!B56+K78</f>
        <v>0.8</v>
      </c>
      <c r="M78" s="5" t="n">
        <f aca="false">A78</f>
        <v>48</v>
      </c>
      <c r="N78" s="162" t="n">
        <f aca="false">VLOOKUP(B78,expiration,3,FALSE())</f>
        <v>38681</v>
      </c>
      <c r="O78" s="101" t="n">
        <f aca="false">VLOOKUP($B78,curvesettle,4,FALSE())</f>
        <v>0.0474570710920372</v>
      </c>
      <c r="U78" s="161" t="n">
        <v>0.05</v>
      </c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</row>
    <row r="79" customFormat="false" ht="12.75" hidden="false" customHeight="false" outlineLevel="0" collapsed="false">
      <c r="A79" s="110" t="n">
        <f aca="false">A78+1</f>
        <v>49</v>
      </c>
      <c r="B79" s="158" t="n">
        <f aca="false">DATE(YEAR(B78),MONTH(B78)+1,1)</f>
        <v>38718</v>
      </c>
      <c r="C79" s="0"/>
      <c r="D79" s="110" t="n">
        <f aca="false">VLOOKUP($B79,curvesettle,2,FALSE())</f>
        <v>3.735</v>
      </c>
      <c r="E79" s="159" t="n">
        <f aca="false">Q$29</f>
        <v>0.139416666666667</v>
      </c>
      <c r="F79" s="160" t="n">
        <f aca="false">IF(C$1="settle",D79,IF(C$1="EOL",D79+E79,IF(ISNUMBER(C79),C79,D79)))</f>
        <v>3.735</v>
      </c>
      <c r="G79" s="161" t="n">
        <f aca="false">VLOOKUP($B79,curvesettle,3,FALSE())</f>
        <v>0.285</v>
      </c>
      <c r="H79" s="161" t="n">
        <v>0</v>
      </c>
      <c r="I79" s="161" t="n">
        <f aca="false">G79+H79</f>
        <v>0.285</v>
      </c>
      <c r="J79" s="31"/>
      <c r="K79" s="161" t="n">
        <v>0</v>
      </c>
      <c r="L79" s="161" t="n">
        <f aca="false">'GAS DAILY VOL DOWNLOAD'!B57+K79</f>
        <v>1</v>
      </c>
      <c r="M79" s="5" t="n">
        <f aca="false">A79</f>
        <v>49</v>
      </c>
      <c r="N79" s="162" t="n">
        <f aca="false">VLOOKUP(B79,expiration,3,FALSE())</f>
        <v>38713</v>
      </c>
      <c r="O79" s="101" t="n">
        <f aca="false">VLOOKUP($B79,curvesettle,4,FALSE())</f>
        <v>0.0478100678250022</v>
      </c>
      <c r="U79" s="161" t="n">
        <v>0.05</v>
      </c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</row>
    <row r="80" customFormat="false" ht="12.75" hidden="false" customHeight="false" outlineLevel="0" collapsed="false">
      <c r="A80" s="110" t="n">
        <f aca="false">A79+1</f>
        <v>50</v>
      </c>
      <c r="B80" s="158" t="n">
        <f aca="false">DATE(YEAR(B79),MONTH(B79)+1,1)</f>
        <v>38749</v>
      </c>
      <c r="C80" s="0"/>
      <c r="D80" s="110" t="n">
        <f aca="false">VLOOKUP($B80,curvesettle,2,FALSE())</f>
        <v>3.65</v>
      </c>
      <c r="E80" s="159" t="n">
        <f aca="false">Q$29</f>
        <v>0.139416666666667</v>
      </c>
      <c r="F80" s="160" t="n">
        <f aca="false">IF(C$1="settle",D80,IF(C$1="EOL",D80+E80,IF(ISNUMBER(C80),C80,D80)))</f>
        <v>3.65</v>
      </c>
      <c r="G80" s="161" t="n">
        <f aca="false">VLOOKUP($B80,curvesettle,3,FALSE())</f>
        <v>0.28</v>
      </c>
      <c r="H80" s="161" t="n">
        <v>0</v>
      </c>
      <c r="I80" s="161" t="n">
        <f aca="false">G80+H80</f>
        <v>0.28</v>
      </c>
      <c r="J80" s="31"/>
      <c r="K80" s="161" t="n">
        <v>0</v>
      </c>
      <c r="L80" s="161" t="n">
        <f aca="false">'GAS DAILY VOL DOWNLOAD'!B58+K80</f>
        <v>1</v>
      </c>
      <c r="M80" s="5" t="n">
        <f aca="false">A80</f>
        <v>50</v>
      </c>
      <c r="N80" s="162" t="n">
        <f aca="false">VLOOKUP(B80,expiration,3,FALSE())</f>
        <v>38743</v>
      </c>
      <c r="O80" s="101" t="n">
        <f aca="false">VLOOKUP($B80,curvesettle,4,FALSE())</f>
        <v>0.0481206389556634</v>
      </c>
      <c r="U80" s="161" t="n">
        <v>0.05</v>
      </c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</row>
    <row r="81" customFormat="false" ht="12.75" hidden="false" customHeight="false" outlineLevel="0" collapsed="false">
      <c r="A81" s="110" t="n">
        <f aca="false">A80+1</f>
        <v>51</v>
      </c>
      <c r="B81" s="158" t="n">
        <f aca="false">DATE(YEAR(B80),MONTH(B80)+1,1)</f>
        <v>38777</v>
      </c>
      <c r="C81" s="0"/>
      <c r="D81" s="110" t="n">
        <f aca="false">VLOOKUP($B81,curvesettle,2,FALSE())</f>
        <v>3.52</v>
      </c>
      <c r="E81" s="159" t="n">
        <f aca="false">Q$29</f>
        <v>0.139416666666667</v>
      </c>
      <c r="F81" s="160" t="n">
        <f aca="false">IF(C$1="settle",D81,IF(C$1="EOL",D81+E81,IF(ISNUMBER(C81),C81,D81)))</f>
        <v>3.52</v>
      </c>
      <c r="G81" s="161" t="n">
        <f aca="false">VLOOKUP($B81,curvesettle,3,FALSE())</f>
        <v>0.27</v>
      </c>
      <c r="H81" s="161" t="n">
        <v>0</v>
      </c>
      <c r="I81" s="161" t="n">
        <f aca="false">G81+H81</f>
        <v>0.27</v>
      </c>
      <c r="J81" s="31"/>
      <c r="K81" s="161" t="n">
        <v>0</v>
      </c>
      <c r="L81" s="161" t="n">
        <f aca="false">'GAS DAILY VOL DOWNLOAD'!B59+K81</f>
        <v>1</v>
      </c>
      <c r="M81" s="5" t="n">
        <f aca="false">A81</f>
        <v>51</v>
      </c>
      <c r="N81" s="162" t="n">
        <f aca="false">VLOOKUP(B81,expiration,3,FALSE())</f>
        <v>38771</v>
      </c>
      <c r="O81" s="101" t="n">
        <f aca="false">VLOOKUP($B81,curvesettle,4,FALSE())</f>
        <v>0.0484011548433219</v>
      </c>
      <c r="U81" s="161" t="n">
        <v>0.05</v>
      </c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</row>
    <row r="82" customFormat="false" ht="12.75" hidden="false" customHeight="false" outlineLevel="0" collapsed="false">
      <c r="A82" s="110" t="n">
        <f aca="false">A81+1</f>
        <v>52</v>
      </c>
      <c r="B82" s="158" t="n">
        <f aca="false">DATE(YEAR(B81),MONTH(B81)+1,1)</f>
        <v>38808</v>
      </c>
      <c r="C82" s="0"/>
      <c r="D82" s="110" t="n">
        <f aca="false">VLOOKUP($B82,curvesettle,2,FALSE())</f>
        <v>3.335</v>
      </c>
      <c r="E82" s="159" t="n">
        <f aca="false">Q$29</f>
        <v>0.139416666666667</v>
      </c>
      <c r="F82" s="160" t="n">
        <f aca="false">IF(C$1="settle",D82,IF(C$1="EOL",D82+E82,IF(ISNUMBER(C82),C82,D82)))</f>
        <v>3.335</v>
      </c>
      <c r="G82" s="161" t="n">
        <f aca="false">VLOOKUP($B82,curvesettle,3,FALSE())</f>
        <v>0.25</v>
      </c>
      <c r="H82" s="161" t="n">
        <v>0</v>
      </c>
      <c r="I82" s="161" t="n">
        <f aca="false">G82+H82</f>
        <v>0.25</v>
      </c>
      <c r="J82" s="31"/>
      <c r="K82" s="161" t="n">
        <v>0</v>
      </c>
      <c r="L82" s="161" t="n">
        <f aca="false">'GAS DAILY VOL DOWNLOAD'!B60+K82</f>
        <v>0.75</v>
      </c>
      <c r="M82" s="5" t="n">
        <f aca="false">A82</f>
        <v>52</v>
      </c>
      <c r="N82" s="162" t="n">
        <f aca="false">VLOOKUP(B82,expiration,3,FALSE())</f>
        <v>38804</v>
      </c>
      <c r="O82" s="101" t="n">
        <f aca="false">VLOOKUP($B82,curvesettle,4,FALSE())</f>
        <v>0.0487117260353274</v>
      </c>
      <c r="U82" s="161" t="n">
        <v>0.05</v>
      </c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</row>
    <row r="83" customFormat="false" ht="12.75" hidden="false" customHeight="false" outlineLevel="0" collapsed="false">
      <c r="A83" s="110" t="n">
        <f aca="false">A82+1</f>
        <v>53</v>
      </c>
      <c r="B83" s="158" t="n">
        <f aca="false">DATE(YEAR(B82),MONTH(B82)+1,1)</f>
        <v>38838</v>
      </c>
      <c r="C83" s="0"/>
      <c r="D83" s="110" t="n">
        <f aca="false">VLOOKUP($B83,curvesettle,2,FALSE())</f>
        <v>3.33</v>
      </c>
      <c r="E83" s="159" t="n">
        <f aca="false">Q$29</f>
        <v>0.139416666666667</v>
      </c>
      <c r="F83" s="160" t="n">
        <f aca="false">IF(C$1="settle",D83,IF(C$1="EOL",D83+E83,IF(ISNUMBER(C83),C83,D83)))</f>
        <v>3.33</v>
      </c>
      <c r="G83" s="161" t="n">
        <f aca="false">VLOOKUP($B83,curvesettle,3,FALSE())</f>
        <v>0.245</v>
      </c>
      <c r="H83" s="161" t="n">
        <v>0</v>
      </c>
      <c r="I83" s="161" t="n">
        <f aca="false">G83+H83</f>
        <v>0.245</v>
      </c>
      <c r="J83" s="31"/>
      <c r="K83" s="161" t="n">
        <v>0</v>
      </c>
      <c r="L83" s="161" t="n">
        <f aca="false">'GAS DAILY VOL DOWNLOAD'!B61+K83</f>
        <v>0.4</v>
      </c>
      <c r="M83" s="5" t="n">
        <f aca="false">A83</f>
        <v>53</v>
      </c>
      <c r="N83" s="162" t="n">
        <f aca="false">VLOOKUP(B83,expiration,3,FALSE())</f>
        <v>38832</v>
      </c>
      <c r="O83" s="101" t="n">
        <f aca="false">VLOOKUP($B83,curvesettle,4,FALSE())</f>
        <v>0.0490122788324676</v>
      </c>
      <c r="U83" s="161" t="n">
        <v>0.05</v>
      </c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</row>
    <row r="84" customFormat="false" ht="12.75" hidden="false" customHeight="false" outlineLevel="0" collapsed="false">
      <c r="A84" s="110" t="n">
        <f aca="false">A83+1</f>
        <v>54</v>
      </c>
      <c r="B84" s="158" t="n">
        <f aca="false">DATE(YEAR(B83),MONTH(B83)+1,1)</f>
        <v>38869</v>
      </c>
      <c r="C84" s="0"/>
      <c r="D84" s="110" t="n">
        <f aca="false">VLOOKUP($B84,curvesettle,2,FALSE())</f>
        <v>3.365</v>
      </c>
      <c r="E84" s="159" t="n">
        <f aca="false">Q$29</f>
        <v>0.139416666666667</v>
      </c>
      <c r="F84" s="160" t="n">
        <f aca="false">IF(C$1="settle",D84,IF(C$1="EOL",D84+E84,IF(ISNUMBER(C84),C84,D84)))</f>
        <v>3.365</v>
      </c>
      <c r="G84" s="161" t="n">
        <f aca="false">VLOOKUP($B84,curvesettle,3,FALSE())</f>
        <v>0.2475</v>
      </c>
      <c r="H84" s="161" t="n">
        <v>0</v>
      </c>
      <c r="I84" s="161" t="n">
        <f aca="false">G84+H84</f>
        <v>0.2475</v>
      </c>
      <c r="J84" s="31"/>
      <c r="K84" s="161" t="n">
        <v>0</v>
      </c>
      <c r="L84" s="161" t="n">
        <f aca="false">'GAS DAILY VOL DOWNLOAD'!B62+K84</f>
        <v>0.45</v>
      </c>
      <c r="M84" s="5" t="n">
        <f aca="false">A84</f>
        <v>54</v>
      </c>
      <c r="N84" s="162" t="n">
        <f aca="false">VLOOKUP(B84,expiration,3,FALSE())</f>
        <v>38862</v>
      </c>
      <c r="O84" s="101" t="n">
        <f aca="false">VLOOKUP($B84,curvesettle,4,FALSE())</f>
        <v>0.0493228500878793</v>
      </c>
      <c r="U84" s="161" t="n">
        <v>0.05</v>
      </c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</row>
    <row r="85" customFormat="false" ht="12.75" hidden="false" customHeight="false" outlineLevel="0" collapsed="false">
      <c r="A85" s="110" t="n">
        <f aca="false">A84+1</f>
        <v>55</v>
      </c>
      <c r="B85" s="158" t="n">
        <f aca="false">DATE(YEAR(B84),MONTH(B84)+1,1)</f>
        <v>38899</v>
      </c>
      <c r="C85" s="0"/>
      <c r="D85" s="110" t="n">
        <f aca="false">VLOOKUP($B85,curvesettle,2,FALSE())</f>
        <v>3.405</v>
      </c>
      <c r="E85" s="159" t="n">
        <f aca="false">Q$29</f>
        <v>0.139416666666667</v>
      </c>
      <c r="F85" s="160" t="n">
        <f aca="false">IF(C$1="settle",D85,IF(C$1="EOL",D85+E85,IF(ISNUMBER(C85),C85,D85)))</f>
        <v>3.405</v>
      </c>
      <c r="G85" s="161" t="n">
        <f aca="false">VLOOKUP($B85,curvesettle,3,FALSE())</f>
        <v>0.2475</v>
      </c>
      <c r="H85" s="161" t="n">
        <v>0</v>
      </c>
      <c r="I85" s="161" t="n">
        <f aca="false">G85+H85</f>
        <v>0.2475</v>
      </c>
      <c r="J85" s="31"/>
      <c r="K85" s="161" t="n">
        <v>0</v>
      </c>
      <c r="L85" s="161" t="n">
        <f aca="false">'GAS DAILY VOL DOWNLOAD'!B63+K85</f>
        <v>0.45</v>
      </c>
      <c r="M85" s="5" t="n">
        <f aca="false">A85</f>
        <v>55</v>
      </c>
      <c r="N85" s="162" t="n">
        <f aca="false">VLOOKUP(B85,expiration,3,FALSE())</f>
        <v>38895</v>
      </c>
      <c r="O85" s="101" t="n">
        <f aca="false">VLOOKUP($B85,curvesettle,4,FALSE())</f>
        <v>0.04962340294637</v>
      </c>
      <c r="U85" s="161" t="n">
        <v>0.1</v>
      </c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</row>
    <row r="86" customFormat="false" ht="12.75" hidden="false" customHeight="false" outlineLevel="0" collapsed="false">
      <c r="A86" s="110" t="n">
        <f aca="false">A85+1</f>
        <v>56</v>
      </c>
      <c r="B86" s="158" t="n">
        <f aca="false">DATE(YEAR(B85),MONTH(B85)+1,1)</f>
        <v>38930</v>
      </c>
      <c r="C86" s="0"/>
      <c r="D86" s="110" t="n">
        <f aca="false">VLOOKUP($B86,curvesettle,2,FALSE())</f>
        <v>3.445</v>
      </c>
      <c r="E86" s="159" t="n">
        <f aca="false">Q$29</f>
        <v>0.139416666666667</v>
      </c>
      <c r="F86" s="160" t="n">
        <f aca="false">IF(C$1="settle",D86,IF(C$1="EOL",D86+E86,IF(ISNUMBER(C86),C86,D86)))</f>
        <v>3.445</v>
      </c>
      <c r="G86" s="161" t="n">
        <f aca="false">VLOOKUP($B86,curvesettle,3,FALSE())</f>
        <v>0.2475</v>
      </c>
      <c r="H86" s="161" t="n">
        <v>0</v>
      </c>
      <c r="I86" s="161" t="n">
        <f aca="false">G86+H86</f>
        <v>0.2475</v>
      </c>
      <c r="J86" s="31"/>
      <c r="K86" s="161" t="n">
        <v>0</v>
      </c>
      <c r="L86" s="161" t="n">
        <f aca="false">'GAS DAILY VOL DOWNLOAD'!B64+K86</f>
        <v>0.5</v>
      </c>
      <c r="M86" s="5" t="n">
        <f aca="false">A86</f>
        <v>56</v>
      </c>
      <c r="N86" s="162" t="n">
        <f aca="false">VLOOKUP(B86,expiration,3,FALSE())</f>
        <v>38924</v>
      </c>
      <c r="O86" s="101" t="n">
        <f aca="false">VLOOKUP($B86,curvesettle,4,FALSE())</f>
        <v>0.0499339742651683</v>
      </c>
      <c r="U86" s="161" t="n">
        <v>0.2</v>
      </c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</row>
    <row r="87" customFormat="false" ht="12.75" hidden="false" customHeight="false" outlineLevel="0" collapsed="false">
      <c r="A87" s="110" t="n">
        <f aca="false">A86+1</f>
        <v>57</v>
      </c>
      <c r="B87" s="158" t="n">
        <f aca="false">DATE(YEAR(B86),MONTH(B86)+1,1)</f>
        <v>38961</v>
      </c>
      <c r="C87" s="0"/>
      <c r="D87" s="110" t="n">
        <f aca="false">VLOOKUP($B87,curvesettle,2,FALSE())</f>
        <v>3.44</v>
      </c>
      <c r="E87" s="159" t="n">
        <f aca="false">Q$29</f>
        <v>0.139416666666667</v>
      </c>
      <c r="F87" s="160" t="n">
        <f aca="false">IF(C$1="settle",D87,IF(C$1="EOL",D87+E87,IF(ISNUMBER(C87),C87,D87)))</f>
        <v>3.44</v>
      </c>
      <c r="G87" s="161" t="n">
        <f aca="false">VLOOKUP($B87,curvesettle,3,FALSE())</f>
        <v>0.2475</v>
      </c>
      <c r="H87" s="161" t="n">
        <v>0</v>
      </c>
      <c r="I87" s="161" t="n">
        <f aca="false">G87+H87</f>
        <v>0.2475</v>
      </c>
      <c r="J87" s="31"/>
      <c r="K87" s="161" t="n">
        <v>0</v>
      </c>
      <c r="L87" s="161" t="n">
        <f aca="false">'GAS DAILY VOL DOWNLOAD'!B65+K87</f>
        <v>0.55</v>
      </c>
      <c r="M87" s="5" t="n">
        <f aca="false">A87</f>
        <v>57</v>
      </c>
      <c r="N87" s="162" t="n">
        <f aca="false">VLOOKUP(B87,expiration,3,FALSE())</f>
        <v>38957</v>
      </c>
      <c r="O87" s="101" t="n">
        <f aca="false">VLOOKUP($B87,curvesettle,4,FALSE())</f>
        <v>0.0502445456161724</v>
      </c>
      <c r="U87" s="161" t="n">
        <v>0.3</v>
      </c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</row>
    <row r="88" customFormat="false" ht="12.75" hidden="false" customHeight="false" outlineLevel="0" collapsed="false">
      <c r="A88" s="110" t="n">
        <f aca="false">A87+1</f>
        <v>58</v>
      </c>
      <c r="B88" s="158" t="n">
        <f aca="false">DATE(YEAR(B87),MONTH(B87)+1,1)</f>
        <v>38991</v>
      </c>
      <c r="C88" s="0"/>
      <c r="D88" s="110" t="n">
        <f aca="false">VLOOKUP($B88,curvesettle,2,FALSE())</f>
        <v>3.465</v>
      </c>
      <c r="E88" s="159" t="n">
        <f aca="false">Q$29</f>
        <v>0.139416666666667</v>
      </c>
      <c r="F88" s="160" t="n">
        <f aca="false">IF(C$1="settle",D88,IF(C$1="EOL",D88+E88,IF(ISNUMBER(C88),C88,D88)))</f>
        <v>3.465</v>
      </c>
      <c r="G88" s="161" t="n">
        <f aca="false">VLOOKUP($B88,curvesettle,3,FALSE())</f>
        <v>0.2475</v>
      </c>
      <c r="H88" s="161" t="n">
        <v>0</v>
      </c>
      <c r="I88" s="161" t="n">
        <f aca="false">G88+H88</f>
        <v>0.2475</v>
      </c>
      <c r="J88" s="31"/>
      <c r="K88" s="161" t="n">
        <v>0</v>
      </c>
      <c r="L88" s="161" t="n">
        <f aca="false">'GAS DAILY VOL DOWNLOAD'!B66+K88</f>
        <v>0.55</v>
      </c>
      <c r="M88" s="5" t="n">
        <f aca="false">A88</f>
        <v>58</v>
      </c>
      <c r="N88" s="162" t="n">
        <f aca="false">VLOOKUP(B88,expiration,3,FALSE())</f>
        <v>38986</v>
      </c>
      <c r="O88" s="101" t="n">
        <f aca="false">VLOOKUP($B88,curvesettle,4,FALSE())</f>
        <v>0.0505450985671585</v>
      </c>
      <c r="U88" s="161" t="n">
        <v>0.3</v>
      </c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</row>
    <row r="89" customFormat="false" ht="12.75" hidden="false" customHeight="false" outlineLevel="0" collapsed="false">
      <c r="A89" s="110" t="n">
        <f aca="false">A88+1</f>
        <v>59</v>
      </c>
      <c r="B89" s="158" t="n">
        <f aca="false">DATE(YEAR(B88),MONTH(B88)+1,1)</f>
        <v>39022</v>
      </c>
      <c r="C89" s="0"/>
      <c r="D89" s="110" t="n">
        <f aca="false">VLOOKUP($B89,curvesettle,2,FALSE())</f>
        <v>3.617</v>
      </c>
      <c r="E89" s="159" t="n">
        <f aca="false">Q$29</f>
        <v>0.139416666666667</v>
      </c>
      <c r="F89" s="160" t="n">
        <f aca="false">IF(C$1="settle",D89,IF(C$1="EOL",D89+E89,IF(ISNUMBER(C89),C89,D89)))</f>
        <v>3.617</v>
      </c>
      <c r="G89" s="161" t="n">
        <f aca="false">VLOOKUP($B89,curvesettle,3,FALSE())</f>
        <v>0.2475</v>
      </c>
      <c r="H89" s="161" t="n">
        <v>0</v>
      </c>
      <c r="I89" s="161" t="n">
        <f aca="false">G89+H89</f>
        <v>0.2475</v>
      </c>
      <c r="J89" s="31"/>
      <c r="K89" s="161" t="n">
        <v>0</v>
      </c>
      <c r="L89" s="161" t="n">
        <f aca="false">'GAS DAILY VOL DOWNLOAD'!B67+K89</f>
        <v>0.6</v>
      </c>
      <c r="M89" s="5" t="n">
        <f aca="false">A89</f>
        <v>59</v>
      </c>
      <c r="N89" s="162" t="n">
        <f aca="false">VLOOKUP(B89,expiration,3,FALSE())</f>
        <v>39016</v>
      </c>
      <c r="O89" s="101" t="n">
        <f aca="false">VLOOKUP($B89,curvesettle,4,FALSE())</f>
        <v>0.0508556699815208</v>
      </c>
      <c r="U89" s="161" t="n">
        <v>0.25</v>
      </c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</row>
    <row r="90" customFormat="false" ht="12.75" hidden="false" customHeight="false" outlineLevel="0" collapsed="false">
      <c r="A90" s="110" t="n">
        <f aca="false">A89+1</f>
        <v>60</v>
      </c>
      <c r="B90" s="158" t="n">
        <f aca="false">DATE(YEAR(B89),MONTH(B89)+1,1)</f>
        <v>39052</v>
      </c>
      <c r="C90" s="0"/>
      <c r="D90" s="110" t="n">
        <f aca="false">VLOOKUP($B90,curvesettle,2,FALSE())</f>
        <v>3.76</v>
      </c>
      <c r="E90" s="159" t="n">
        <f aca="false">Q$29</f>
        <v>0.139416666666667</v>
      </c>
      <c r="F90" s="160" t="n">
        <f aca="false">IF(C$1="settle",D90,IF(C$1="EOL",D90+E90,IF(ISNUMBER(C90),C90,D90)))</f>
        <v>3.76</v>
      </c>
      <c r="G90" s="161" t="n">
        <f aca="false">VLOOKUP($B90,curvesettle,3,FALSE())</f>
        <v>0.2475</v>
      </c>
      <c r="H90" s="161" t="n">
        <v>0</v>
      </c>
      <c r="I90" s="161" t="n">
        <f aca="false">G90+H90</f>
        <v>0.2475</v>
      </c>
      <c r="J90" s="31"/>
      <c r="K90" s="161" t="n">
        <v>0</v>
      </c>
      <c r="L90" s="161" t="n">
        <f aca="false">'GAS DAILY VOL DOWNLOAD'!B68+K90</f>
        <v>0.8</v>
      </c>
      <c r="M90" s="5" t="n">
        <f aca="false">A90</f>
        <v>60</v>
      </c>
      <c r="N90" s="162" t="n">
        <f aca="false">VLOOKUP(B90,expiration,3,FALSE())</f>
        <v>39048</v>
      </c>
      <c r="O90" s="101" t="n">
        <f aca="false">VLOOKUP($B90,curvesettle,4,FALSE())</f>
        <v>0.0511562229938121</v>
      </c>
      <c r="U90" s="161" t="n">
        <v>0.1</v>
      </c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</row>
    <row r="91" customFormat="false" ht="12.75" hidden="false" customHeight="false" outlineLevel="0" collapsed="false">
      <c r="A91" s="110" t="n">
        <f aca="false">A90+1</f>
        <v>61</v>
      </c>
      <c r="B91" s="158" t="n">
        <f aca="false">DATE(YEAR(B90),MONTH(B90)+1,1)</f>
        <v>39083</v>
      </c>
      <c r="C91" s="0"/>
      <c r="D91" s="110" t="n">
        <f aca="false">VLOOKUP($B91,curvesettle,2,FALSE())</f>
        <v>3.8125</v>
      </c>
      <c r="E91" s="159" t="n">
        <f aca="false">Q$29</f>
        <v>0.139416666666667</v>
      </c>
      <c r="F91" s="160" t="n">
        <f aca="false">IF(C$1="settle",D91,IF(C$1="EOL",D91+E91,IF(ISNUMBER(C91),C91,D91)))</f>
        <v>3.8125</v>
      </c>
      <c r="G91" s="161" t="n">
        <f aca="false">VLOOKUP($B91,curvesettle,3,FALSE())</f>
        <v>0.2475</v>
      </c>
      <c r="H91" s="161" t="n">
        <v>0</v>
      </c>
      <c r="I91" s="161" t="n">
        <f aca="false">G91+H91</f>
        <v>0.2475</v>
      </c>
      <c r="J91" s="31"/>
      <c r="K91" s="161" t="n">
        <v>0</v>
      </c>
      <c r="L91" s="161" t="n">
        <f aca="false">'GAS DAILY VOL DOWNLOAD'!B69+K91</f>
        <v>1</v>
      </c>
      <c r="M91" s="5" t="n">
        <f aca="false">A91</f>
        <v>61</v>
      </c>
      <c r="N91" s="162" t="n">
        <f aca="false">VLOOKUP(B91,expiration,3,FALSE())</f>
        <v>39077</v>
      </c>
      <c r="O91" s="101" t="n">
        <f aca="false">VLOOKUP($B91,curvesettle,4,FALSE())</f>
        <v>0.051391857633718</v>
      </c>
      <c r="U91" s="161" t="n">
        <v>0</v>
      </c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</row>
    <row r="92" customFormat="false" ht="12.75" hidden="false" customHeight="false" outlineLevel="0" collapsed="false">
      <c r="A92" s="110" t="n">
        <f aca="false">A91+1</f>
        <v>62</v>
      </c>
      <c r="B92" s="158" t="n">
        <f aca="false">DATE(YEAR(B91),MONTH(B91)+1,1)</f>
        <v>39114</v>
      </c>
      <c r="C92" s="0"/>
      <c r="D92" s="110" t="n">
        <f aca="false">VLOOKUP($B92,curvesettle,2,FALSE())</f>
        <v>3.7275</v>
      </c>
      <c r="E92" s="159" t="n">
        <f aca="false">Q$29</f>
        <v>0.139416666666667</v>
      </c>
      <c r="F92" s="160" t="n">
        <f aca="false">IF(C$1="settle",D92,IF(C$1="EOL",D92+E92,IF(ISNUMBER(C92),C92,D92)))</f>
        <v>3.7275</v>
      </c>
      <c r="G92" s="161" t="n">
        <f aca="false">VLOOKUP($B92,curvesettle,3,FALSE())</f>
        <v>0.2425</v>
      </c>
      <c r="H92" s="161" t="n">
        <v>0</v>
      </c>
      <c r="I92" s="161" t="n">
        <f aca="false">G92+H92</f>
        <v>0.2425</v>
      </c>
      <c r="J92" s="31"/>
      <c r="K92" s="161" t="n">
        <v>0</v>
      </c>
      <c r="L92" s="161" t="n">
        <f aca="false">'GAS DAILY VOL DOWNLOAD'!B70+K92</f>
        <v>1</v>
      </c>
      <c r="M92" s="5" t="n">
        <f aca="false">A92</f>
        <v>62</v>
      </c>
      <c r="N92" s="162" t="n">
        <f aca="false">VLOOKUP(B92,expiration,3,FALSE())</f>
        <v>39108</v>
      </c>
      <c r="O92" s="101" t="n">
        <f aca="false">VLOOKUP($B92,curvesettle,4,FALSE())</f>
        <v>0.0515733712395421</v>
      </c>
      <c r="U92" s="161" t="n">
        <v>0</v>
      </c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</row>
    <row r="93" customFormat="false" ht="12.75" hidden="false" customHeight="false" outlineLevel="0" collapsed="false">
      <c r="A93" s="110" t="n">
        <f aca="false">A92+1</f>
        <v>63</v>
      </c>
      <c r="B93" s="158" t="n">
        <f aca="false">DATE(YEAR(B92),MONTH(B92)+1,1)</f>
        <v>39142</v>
      </c>
      <c r="C93" s="0"/>
      <c r="D93" s="110" t="n">
        <f aca="false">VLOOKUP($B93,curvesettle,2,FALSE())</f>
        <v>3.5975</v>
      </c>
      <c r="E93" s="159" t="n">
        <f aca="false">Q$29</f>
        <v>0.139416666666667</v>
      </c>
      <c r="F93" s="160" t="n">
        <f aca="false">IF(C$1="settle",D93,IF(C$1="EOL",D93+E93,IF(ISNUMBER(C93),C93,D93)))</f>
        <v>3.5975</v>
      </c>
      <c r="G93" s="161" t="n">
        <f aca="false">VLOOKUP($B93,curvesettle,3,FALSE())</f>
        <v>0.24</v>
      </c>
      <c r="H93" s="161" t="n">
        <v>0</v>
      </c>
      <c r="I93" s="161" t="n">
        <f aca="false">G93+H93</f>
        <v>0.24</v>
      </c>
      <c r="J93" s="31"/>
      <c r="K93" s="161" t="n">
        <v>0</v>
      </c>
      <c r="L93" s="161" t="n">
        <f aca="false">'GAS DAILY VOL DOWNLOAD'!B71+K93</f>
        <v>1</v>
      </c>
      <c r="M93" s="5" t="n">
        <f aca="false">A93</f>
        <v>63</v>
      </c>
      <c r="N93" s="162" t="n">
        <f aca="false">VLOOKUP(B93,expiration,3,FALSE())</f>
        <v>39136</v>
      </c>
      <c r="O93" s="101" t="n">
        <f aca="false">VLOOKUP($B93,curvesettle,4,FALSE())</f>
        <v>0.0517373190219916</v>
      </c>
      <c r="U93" s="161" t="n">
        <v>0</v>
      </c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</row>
    <row r="94" customFormat="false" ht="12.75" hidden="false" customHeight="false" outlineLevel="0" collapsed="false">
      <c r="A94" s="110" t="n">
        <f aca="false">A93+1</f>
        <v>64</v>
      </c>
      <c r="B94" s="158" t="n">
        <f aca="false">DATE(YEAR(B93),MONTH(B93)+1,1)</f>
        <v>39173</v>
      </c>
      <c r="C94" s="0"/>
      <c r="D94" s="110" t="n">
        <f aca="false">VLOOKUP($B94,curvesettle,2,FALSE())</f>
        <v>3.4125</v>
      </c>
      <c r="E94" s="159" t="n">
        <f aca="false">Q$29</f>
        <v>0.139416666666667</v>
      </c>
      <c r="F94" s="160" t="n">
        <f aca="false">IF(C$1="settle",D94,IF(C$1="EOL",D94+E94,IF(ISNUMBER(C94),C94,D94)))</f>
        <v>3.4125</v>
      </c>
      <c r="G94" s="161" t="n">
        <f aca="false">VLOOKUP($B94,curvesettle,3,FALSE())</f>
        <v>0.24</v>
      </c>
      <c r="H94" s="161" t="n">
        <v>0</v>
      </c>
      <c r="I94" s="161" t="n">
        <f aca="false">G94+H94</f>
        <v>0.24</v>
      </c>
      <c r="J94" s="31"/>
      <c r="K94" s="161" t="n">
        <v>0</v>
      </c>
      <c r="L94" s="161" t="n">
        <f aca="false">'GAS DAILY VOL DOWNLOAD'!B72+K94</f>
        <v>0.75</v>
      </c>
      <c r="M94" s="5" t="n">
        <f aca="false">A94</f>
        <v>64</v>
      </c>
      <c r="N94" s="162" t="n">
        <f aca="false">VLOOKUP(B94,expiration,3,FALSE())</f>
        <v>39168</v>
      </c>
      <c r="O94" s="101" t="n">
        <f aca="false">VLOOKUP($B94,curvesettle,4,FALSE())</f>
        <v>0.0519188326487345</v>
      </c>
      <c r="U94" s="161" t="n">
        <v>0</v>
      </c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</row>
    <row r="95" customFormat="false" ht="12.75" hidden="false" customHeight="false" outlineLevel="0" collapsed="false">
      <c r="A95" s="110" t="n">
        <f aca="false">A94+1</f>
        <v>65</v>
      </c>
      <c r="B95" s="158" t="n">
        <f aca="false">DATE(YEAR(B94),MONTH(B94)+1,1)</f>
        <v>39203</v>
      </c>
      <c r="C95" s="0"/>
      <c r="D95" s="110" t="n">
        <f aca="false">VLOOKUP($B95,curvesettle,2,FALSE())</f>
        <v>3.4075</v>
      </c>
      <c r="E95" s="159" t="n">
        <f aca="false">Q$29</f>
        <v>0.139416666666667</v>
      </c>
      <c r="F95" s="160" t="n">
        <f aca="false">IF(C$1="settle",D95,IF(C$1="EOL",D95+E95,IF(ISNUMBER(C95),C95,D95)))</f>
        <v>3.4075</v>
      </c>
      <c r="G95" s="161" t="n">
        <f aca="false">VLOOKUP($B95,curvesettle,3,FALSE())</f>
        <v>0.24</v>
      </c>
      <c r="H95" s="161" t="n">
        <v>0</v>
      </c>
      <c r="I95" s="161" t="n">
        <f aca="false">G95+H95</f>
        <v>0.24</v>
      </c>
      <c r="J95" s="31"/>
      <c r="K95" s="161" t="n">
        <v>0</v>
      </c>
      <c r="L95" s="161" t="n">
        <f aca="false">'GAS DAILY VOL DOWNLOAD'!B73+K95</f>
        <v>0.4</v>
      </c>
      <c r="M95" s="5" t="n">
        <f aca="false">A95</f>
        <v>65</v>
      </c>
      <c r="N95" s="162" t="n">
        <f aca="false">VLOOKUP(B95,expiration,3,FALSE())</f>
        <v>39197</v>
      </c>
      <c r="O95" s="101" t="n">
        <f aca="false">VLOOKUP($B95,curvesettle,4,FALSE())</f>
        <v>0.0520944910076597</v>
      </c>
      <c r="U95" s="161" t="n">
        <v>0</v>
      </c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</row>
    <row r="96" customFormat="false" ht="12.75" hidden="false" customHeight="false" outlineLevel="0" collapsed="false">
      <c r="A96" s="110" t="n">
        <f aca="false">A95+1</f>
        <v>66</v>
      </c>
      <c r="B96" s="158" t="n">
        <f aca="false">DATE(YEAR(B95),MONTH(B95)+1,1)</f>
        <v>39234</v>
      </c>
      <c r="C96" s="0"/>
      <c r="D96" s="110" t="n">
        <f aca="false">VLOOKUP($B96,curvesettle,2,FALSE())</f>
        <v>3.4425</v>
      </c>
      <c r="E96" s="159" t="n">
        <f aca="false">Q$29</f>
        <v>0.139416666666667</v>
      </c>
      <c r="F96" s="160" t="n">
        <f aca="false">IF(C$1="settle",D96,IF(C$1="EOL",D96+E96,IF(ISNUMBER(C96),C96,D96)))</f>
        <v>3.4425</v>
      </c>
      <c r="G96" s="161" t="n">
        <f aca="false">VLOOKUP($B96,curvesettle,3,FALSE())</f>
        <v>0.24</v>
      </c>
      <c r="H96" s="161" t="n">
        <v>0</v>
      </c>
      <c r="I96" s="161" t="n">
        <f aca="false">G96+H96</f>
        <v>0.24</v>
      </c>
      <c r="J96" s="31"/>
      <c r="K96" s="161" t="n">
        <v>0</v>
      </c>
      <c r="L96" s="161" t="n">
        <f aca="false">'GAS DAILY VOL DOWNLOAD'!B74+K96</f>
        <v>0.45</v>
      </c>
      <c r="M96" s="5" t="n">
        <f aca="false">A96</f>
        <v>66</v>
      </c>
      <c r="N96" s="162" t="n">
        <f aca="false">VLOOKUP(B96,expiration,3,FALSE())</f>
        <v>39227</v>
      </c>
      <c r="O96" s="101" t="n">
        <f aca="false">VLOOKUP($B96,curvesettle,4,FALSE())</f>
        <v>0.0522760046560284</v>
      </c>
      <c r="U96" s="161" t="n">
        <v>0</v>
      </c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</row>
    <row r="97" customFormat="false" ht="12.75" hidden="false" customHeight="false" outlineLevel="0" collapsed="false">
      <c r="A97" s="110" t="n">
        <f aca="false">A96+1</f>
        <v>67</v>
      </c>
      <c r="B97" s="158" t="n">
        <f aca="false">DATE(YEAR(B96),MONTH(B96)+1,1)</f>
        <v>39264</v>
      </c>
      <c r="C97" s="0"/>
      <c r="D97" s="110" t="n">
        <f aca="false">VLOOKUP($B97,curvesettle,2,FALSE())</f>
        <v>3.4825</v>
      </c>
      <c r="E97" s="159" t="n">
        <f aca="false">Q$29</f>
        <v>0.139416666666667</v>
      </c>
      <c r="F97" s="160" t="n">
        <f aca="false">IF(C$1="settle",D97,IF(C$1="EOL",D97+E97,IF(ISNUMBER(C97),C97,D97)))</f>
        <v>3.4825</v>
      </c>
      <c r="G97" s="161" t="n">
        <f aca="false">VLOOKUP($B97,curvesettle,3,FALSE())</f>
        <v>0.24</v>
      </c>
      <c r="H97" s="161" t="n">
        <v>0</v>
      </c>
      <c r="I97" s="161" t="n">
        <f aca="false">G97+H97</f>
        <v>0.24</v>
      </c>
      <c r="J97" s="31"/>
      <c r="K97" s="161" t="n">
        <v>0</v>
      </c>
      <c r="L97" s="161" t="n">
        <f aca="false">'GAS DAILY VOL DOWNLOAD'!B75+K97</f>
        <v>0.45</v>
      </c>
      <c r="M97" s="5" t="n">
        <f aca="false">A97</f>
        <v>67</v>
      </c>
      <c r="N97" s="162" t="n">
        <f aca="false">VLOOKUP(B97,expiration,3,FALSE())</f>
        <v>39259</v>
      </c>
      <c r="O97" s="101" t="n">
        <f aca="false">VLOOKUP($B97,curvesettle,4,FALSE())</f>
        <v>0.0524516630358791</v>
      </c>
      <c r="U97" s="161" t="n">
        <v>0</v>
      </c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</row>
    <row r="98" customFormat="false" ht="12.75" hidden="false" customHeight="false" outlineLevel="0" collapsed="false">
      <c r="A98" s="110" t="n">
        <f aca="false">A97+1</f>
        <v>68</v>
      </c>
      <c r="B98" s="158" t="n">
        <f aca="false">DATE(YEAR(B97),MONTH(B97)+1,1)</f>
        <v>39295</v>
      </c>
      <c r="C98" s="0"/>
      <c r="D98" s="110" t="n">
        <f aca="false">VLOOKUP($B98,curvesettle,2,FALSE())</f>
        <v>3.5225</v>
      </c>
      <c r="E98" s="159" t="n">
        <f aca="false">Q$29</f>
        <v>0.139416666666667</v>
      </c>
      <c r="F98" s="160" t="n">
        <f aca="false">IF(C$1="settle",D98,IF(C$1="EOL",D98+E98,IF(ISNUMBER(C98),C98,D98)))</f>
        <v>3.5225</v>
      </c>
      <c r="G98" s="161" t="n">
        <f aca="false">VLOOKUP($B98,curvesettle,3,FALSE())</f>
        <v>0.24</v>
      </c>
      <c r="H98" s="161" t="n">
        <v>0</v>
      </c>
      <c r="I98" s="161" t="n">
        <f aca="false">G98+H98</f>
        <v>0.24</v>
      </c>
      <c r="J98" s="31"/>
      <c r="K98" s="161" t="n">
        <v>0</v>
      </c>
      <c r="L98" s="161" t="n">
        <f aca="false">'GAS DAILY VOL DOWNLOAD'!B76+K98</f>
        <v>0.5</v>
      </c>
      <c r="M98" s="5" t="n">
        <f aca="false">A98</f>
        <v>68</v>
      </c>
      <c r="N98" s="162" t="n">
        <f aca="false">VLOOKUP(B98,expiration,3,FALSE())</f>
        <v>39289</v>
      </c>
      <c r="O98" s="101" t="n">
        <f aca="false">VLOOKUP($B98,curvesettle,4,FALSE())</f>
        <v>0.0526331767058688</v>
      </c>
      <c r="U98" s="161" t="n">
        <v>0</v>
      </c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</row>
    <row r="99" customFormat="false" ht="12.75" hidden="false" customHeight="false" outlineLevel="0" collapsed="false">
      <c r="A99" s="110" t="n">
        <f aca="false">A98+1</f>
        <v>69</v>
      </c>
      <c r="B99" s="158" t="n">
        <f aca="false">DATE(YEAR(B98),MONTH(B98)+1,1)</f>
        <v>39326</v>
      </c>
      <c r="C99" s="0"/>
      <c r="D99" s="110" t="n">
        <f aca="false">VLOOKUP($B99,curvesettle,2,FALSE())</f>
        <v>3.5175</v>
      </c>
      <c r="E99" s="159" t="n">
        <f aca="false">Q$29</f>
        <v>0.139416666666667</v>
      </c>
      <c r="F99" s="160" t="n">
        <f aca="false">IF(C$1="settle",D99,IF(C$1="EOL",D99+E99,IF(ISNUMBER(C99),C99,D99)))</f>
        <v>3.5175</v>
      </c>
      <c r="G99" s="161" t="n">
        <f aca="false">VLOOKUP($B99,curvesettle,3,FALSE())</f>
        <v>0.24</v>
      </c>
      <c r="H99" s="161" t="n">
        <v>0</v>
      </c>
      <c r="I99" s="161" t="n">
        <f aca="false">G99+H99</f>
        <v>0.24</v>
      </c>
      <c r="J99" s="31"/>
      <c r="K99" s="161" t="n">
        <v>0</v>
      </c>
      <c r="L99" s="161" t="n">
        <f aca="false">'GAS DAILY VOL DOWNLOAD'!B77+K99</f>
        <v>0.55</v>
      </c>
      <c r="M99" s="5" t="n">
        <f aca="false">A99</f>
        <v>69</v>
      </c>
      <c r="N99" s="162" t="n">
        <f aca="false">VLOOKUP(B99,expiration,3,FALSE())</f>
        <v>39322</v>
      </c>
      <c r="O99" s="101" t="n">
        <f aca="false">VLOOKUP($B99,curvesettle,4,FALSE())</f>
        <v>0.0528146903868447</v>
      </c>
      <c r="U99" s="161" t="n">
        <v>0</v>
      </c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</row>
    <row r="100" customFormat="false" ht="12.75" hidden="false" customHeight="false" outlineLevel="0" collapsed="false">
      <c r="A100" s="110" t="n">
        <f aca="false">A99+1</f>
        <v>70</v>
      </c>
      <c r="B100" s="158" t="n">
        <f aca="false">DATE(YEAR(B99),MONTH(B99)+1,1)</f>
        <v>39356</v>
      </c>
      <c r="C100" s="0"/>
      <c r="D100" s="110" t="n">
        <f aca="false">VLOOKUP($B100,curvesettle,2,FALSE())</f>
        <v>3.5425</v>
      </c>
      <c r="E100" s="159" t="n">
        <f aca="false">Q$29</f>
        <v>0.139416666666667</v>
      </c>
      <c r="F100" s="160" t="n">
        <f aca="false">IF(C$1="settle",D100,IF(C$1="EOL",D100+E100,IF(ISNUMBER(C100),C100,D100)))</f>
        <v>3.5425</v>
      </c>
      <c r="G100" s="161" t="n">
        <f aca="false">VLOOKUP($B100,curvesettle,3,FALSE())</f>
        <v>0.24</v>
      </c>
      <c r="H100" s="161" t="n">
        <v>0</v>
      </c>
      <c r="I100" s="161" t="n">
        <f aca="false">G100+H100</f>
        <v>0.24</v>
      </c>
      <c r="J100" s="31"/>
      <c r="K100" s="161" t="n">
        <v>0</v>
      </c>
      <c r="L100" s="161" t="n">
        <f aca="false">'GAS DAILY VOL DOWNLOAD'!B78+K100</f>
        <v>0.55</v>
      </c>
      <c r="M100" s="5" t="n">
        <f aca="false">A100</f>
        <v>70</v>
      </c>
      <c r="N100" s="162" t="n">
        <f aca="false">VLOOKUP(B100,expiration,3,FALSE())</f>
        <v>39350</v>
      </c>
      <c r="O100" s="101" t="n">
        <f aca="false">VLOOKUP($B100,curvesettle,4,FALSE())</f>
        <v>0.0529903487982488</v>
      </c>
      <c r="U100" s="161" t="n">
        <v>0</v>
      </c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</row>
    <row r="101" customFormat="false" ht="12.75" hidden="false" customHeight="false" outlineLevel="0" collapsed="false">
      <c r="A101" s="110" t="n">
        <f aca="false">A100+1</f>
        <v>71</v>
      </c>
      <c r="B101" s="158" t="n">
        <f aca="false">DATE(YEAR(B100),MONTH(B100)+1,1)</f>
        <v>39387</v>
      </c>
      <c r="C101" s="0"/>
      <c r="D101" s="110" t="n">
        <f aca="false">VLOOKUP($B101,curvesettle,2,FALSE())</f>
        <v>3.6945</v>
      </c>
      <c r="E101" s="159" t="n">
        <f aca="false">Q$29</f>
        <v>0.139416666666667</v>
      </c>
      <c r="F101" s="160" t="n">
        <f aca="false">IF(C$1="settle",D101,IF(C$1="EOL",D101+E101,IF(ISNUMBER(C101),C101,D101)))</f>
        <v>3.6945</v>
      </c>
      <c r="G101" s="161" t="n">
        <f aca="false">VLOOKUP($B101,curvesettle,3,FALSE())</f>
        <v>0.24</v>
      </c>
      <c r="H101" s="161" t="n">
        <v>0</v>
      </c>
      <c r="I101" s="161" t="n">
        <f aca="false">G101+H101</f>
        <v>0.24</v>
      </c>
      <c r="J101" s="31"/>
      <c r="K101" s="161" t="n">
        <v>0</v>
      </c>
      <c r="L101" s="161" t="n">
        <f aca="false">'GAS DAILY VOL DOWNLOAD'!B79+K101</f>
        <v>0.6</v>
      </c>
      <c r="M101" s="5" t="n">
        <f aca="false">A101</f>
        <v>71</v>
      </c>
      <c r="N101" s="162" t="n">
        <f aca="false">VLOOKUP(B101,expiration,3,FALSE())</f>
        <v>39381</v>
      </c>
      <c r="O101" s="101" t="n">
        <f aca="false">VLOOKUP($B101,curvesettle,4,FALSE())</f>
        <v>0.0531718625008408</v>
      </c>
      <c r="U101" s="161" t="n">
        <v>0</v>
      </c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</row>
    <row r="102" customFormat="false" ht="12.75" hidden="false" customHeight="false" outlineLevel="0" collapsed="false">
      <c r="A102" s="110" t="n">
        <f aca="false">A101+1</f>
        <v>72</v>
      </c>
      <c r="B102" s="158" t="n">
        <f aca="false">DATE(YEAR(B101),MONTH(B101)+1,1)</f>
        <v>39417</v>
      </c>
      <c r="C102" s="0"/>
      <c r="D102" s="110" t="n">
        <f aca="false">VLOOKUP($B102,curvesettle,2,FALSE())</f>
        <v>3.8375</v>
      </c>
      <c r="E102" s="159" t="n">
        <f aca="false">Q$29</f>
        <v>0.139416666666667</v>
      </c>
      <c r="F102" s="160" t="n">
        <f aca="false">IF(C$1="settle",D102,IF(C$1="EOL",D102+E102,IF(ISNUMBER(C102),C102,D102)))</f>
        <v>3.8375</v>
      </c>
      <c r="G102" s="161" t="n">
        <f aca="false">VLOOKUP($B102,curvesettle,3,FALSE())</f>
        <v>0.24</v>
      </c>
      <c r="H102" s="161" t="n">
        <v>0</v>
      </c>
      <c r="I102" s="161" t="n">
        <f aca="false">G102+H102</f>
        <v>0.24</v>
      </c>
      <c r="J102" s="31"/>
      <c r="K102" s="161" t="n">
        <v>0</v>
      </c>
      <c r="L102" s="161" t="n">
        <f aca="false">'GAS DAILY VOL DOWNLOAD'!B80+K102</f>
        <v>0.8</v>
      </c>
      <c r="M102" s="5" t="n">
        <f aca="false">A102</f>
        <v>72</v>
      </c>
      <c r="N102" s="162" t="n">
        <f aca="false">VLOOKUP(B102,expiration,3,FALSE())</f>
        <v>39413</v>
      </c>
      <c r="O102" s="101" t="n">
        <f aca="false">VLOOKUP($B102,curvesettle,4,FALSE())</f>
        <v>0.0533475209331611</v>
      </c>
      <c r="U102" s="161" t="n">
        <v>0</v>
      </c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</row>
    <row r="103" customFormat="false" ht="12.75" hidden="false" customHeight="false" outlineLevel="0" collapsed="false">
      <c r="A103" s="110" t="n">
        <f aca="false">A102+1</f>
        <v>73</v>
      </c>
      <c r="B103" s="158" t="n">
        <f aca="false">DATE(YEAR(B102),MONTH(B102)+1,1)</f>
        <v>39448</v>
      </c>
      <c r="C103" s="0"/>
      <c r="D103" s="110" t="n">
        <f aca="false">VLOOKUP($B103,curvesettle,2,FALSE())</f>
        <v>3.8875</v>
      </c>
      <c r="E103" s="159" t="n">
        <f aca="false">Q$29</f>
        <v>0.139416666666667</v>
      </c>
      <c r="F103" s="160" t="n">
        <f aca="false">IF(C$1="settle",D103,IF(C$1="EOL",D103+E103,IF(ISNUMBER(C103),C103,D103)))</f>
        <v>3.8875</v>
      </c>
      <c r="G103" s="161" t="n">
        <f aca="false">VLOOKUP($B103,curvesettle,3,FALSE())</f>
        <v>0.24</v>
      </c>
      <c r="H103" s="161" t="n">
        <v>0</v>
      </c>
      <c r="I103" s="161" t="n">
        <f aca="false">G103+H103</f>
        <v>0.24</v>
      </c>
      <c r="J103" s="31"/>
      <c r="K103" s="161" t="n">
        <v>0</v>
      </c>
      <c r="L103" s="161" t="n">
        <f aca="false">'GAS DAILY VOL DOWNLOAD'!B81+K103</f>
        <v>1</v>
      </c>
      <c r="M103" s="5" t="n">
        <f aca="false">A103</f>
        <v>73</v>
      </c>
      <c r="N103" s="162" t="n">
        <f aca="false">VLOOKUP(B103,expiration,3,FALSE())</f>
        <v>39442</v>
      </c>
      <c r="O103" s="101" t="n">
        <f aca="false">VLOOKUP($B103,curvesettle,4,FALSE())</f>
        <v>0.0535290346573647</v>
      </c>
      <c r="U103" s="161" t="n">
        <v>0</v>
      </c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</row>
    <row r="104" customFormat="false" ht="12.75" hidden="false" customHeight="false" outlineLevel="0" collapsed="false">
      <c r="A104" s="110" t="n">
        <f aca="false">A103+1</f>
        <v>74</v>
      </c>
      <c r="B104" s="158" t="n">
        <f aca="false">DATE(YEAR(B103),MONTH(B103)+1,1)</f>
        <v>39479</v>
      </c>
      <c r="C104" s="0"/>
      <c r="D104" s="110" t="n">
        <f aca="false">VLOOKUP($B104,curvesettle,2,FALSE())</f>
        <v>3.8025</v>
      </c>
      <c r="E104" s="159" t="n">
        <f aca="false">Q$29</f>
        <v>0.139416666666667</v>
      </c>
      <c r="F104" s="160" t="n">
        <f aca="false">IF(C$1="settle",D104,IF(C$1="EOL",D104+E104,IF(ISNUMBER(C104),C104,D104)))</f>
        <v>3.8025</v>
      </c>
      <c r="G104" s="161" t="n">
        <f aca="false">VLOOKUP($B104,curvesettle,3,FALSE())</f>
        <v>0.24</v>
      </c>
      <c r="H104" s="161" t="n">
        <v>0</v>
      </c>
      <c r="I104" s="161" t="n">
        <f aca="false">G104+H104</f>
        <v>0.24</v>
      </c>
      <c r="J104" s="31"/>
      <c r="K104" s="161" t="n">
        <v>0</v>
      </c>
      <c r="L104" s="161" t="n">
        <f aca="false">'GAS DAILY VOL DOWNLOAD'!B82+K104</f>
        <v>1</v>
      </c>
      <c r="M104" s="5" t="n">
        <f aca="false">A104</f>
        <v>74</v>
      </c>
      <c r="N104" s="162" t="n">
        <f aca="false">VLOOKUP(B104,expiration,3,FALSE())</f>
        <v>39475</v>
      </c>
      <c r="O104" s="101" t="n">
        <f aca="false">VLOOKUP($B104,curvesettle,4,FALSE())</f>
        <v>0.0537105483925497</v>
      </c>
      <c r="U104" s="161" t="n">
        <v>0</v>
      </c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</row>
    <row r="105" customFormat="false" ht="12.75" hidden="false" customHeight="false" outlineLevel="0" collapsed="false">
      <c r="A105" s="110" t="n">
        <f aca="false">A104+1</f>
        <v>75</v>
      </c>
      <c r="B105" s="158" t="n">
        <f aca="false">DATE(YEAR(B104),MONTH(B104)+1,1)</f>
        <v>39508</v>
      </c>
      <c r="C105" s="0"/>
      <c r="D105" s="110" t="n">
        <f aca="false">VLOOKUP($B105,curvesettle,2,FALSE())</f>
        <v>3.6725</v>
      </c>
      <c r="E105" s="159" t="n">
        <f aca="false">Q$29</f>
        <v>0.139416666666667</v>
      </c>
      <c r="F105" s="160" t="n">
        <f aca="false">IF(C$1="settle",D105,IF(C$1="EOL",D105+E105,IF(ISNUMBER(C105),C105,D105)))</f>
        <v>3.6725</v>
      </c>
      <c r="G105" s="161" t="n">
        <f aca="false">VLOOKUP($B105,curvesettle,3,FALSE())</f>
        <v>0.235</v>
      </c>
      <c r="H105" s="161" t="n">
        <v>0</v>
      </c>
      <c r="I105" s="161" t="n">
        <f aca="false">G105+H105</f>
        <v>0.235</v>
      </c>
      <c r="J105" s="31"/>
      <c r="K105" s="161" t="n">
        <v>0</v>
      </c>
      <c r="L105" s="161" t="n">
        <f aca="false">'GAS DAILY VOL DOWNLOAD'!B83+K105</f>
        <v>1</v>
      </c>
      <c r="M105" s="5" t="n">
        <f aca="false">A105</f>
        <v>75</v>
      </c>
      <c r="N105" s="162" t="n">
        <f aca="false">VLOOKUP(B105,expiration,3,FALSE())</f>
        <v>39504</v>
      </c>
      <c r="O105" s="101" t="n">
        <f aca="false">VLOOKUP($B105,curvesettle,4,FALSE())</f>
        <v>0.0538803515741155</v>
      </c>
      <c r="U105" s="161" t="n">
        <v>0</v>
      </c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</row>
    <row r="106" customFormat="false" ht="12.75" hidden="false" customHeight="false" outlineLevel="0" collapsed="false">
      <c r="A106" s="110" t="n">
        <f aca="false">A105+1</f>
        <v>76</v>
      </c>
      <c r="B106" s="158" t="n">
        <f aca="false">DATE(YEAR(B105),MONTH(B105)+1,1)</f>
        <v>39539</v>
      </c>
      <c r="C106" s="0"/>
      <c r="D106" s="110" t="n">
        <f aca="false">VLOOKUP($B106,curvesettle,2,FALSE())</f>
        <v>3.4875</v>
      </c>
      <c r="E106" s="159" t="n">
        <f aca="false">Q$29</f>
        <v>0.139416666666667</v>
      </c>
      <c r="F106" s="160" t="n">
        <f aca="false">IF(C$1="settle",D106,IF(C$1="EOL",D106+E106,IF(ISNUMBER(C106),C106,D106)))</f>
        <v>3.4875</v>
      </c>
      <c r="G106" s="161" t="n">
        <f aca="false">VLOOKUP($B106,curvesettle,3,FALSE())</f>
        <v>0.23</v>
      </c>
      <c r="H106" s="161" t="n">
        <v>0</v>
      </c>
      <c r="I106" s="161" t="n">
        <f aca="false">G106+H106</f>
        <v>0.23</v>
      </c>
      <c r="J106" s="31"/>
      <c r="K106" s="161" t="n">
        <v>0</v>
      </c>
      <c r="L106" s="161" t="n">
        <f aca="false">'GAS DAILY VOL DOWNLOAD'!B84+K106</f>
        <v>0.75</v>
      </c>
      <c r="M106" s="5" t="n">
        <f aca="false">A106</f>
        <v>76</v>
      </c>
      <c r="N106" s="162" t="n">
        <f aca="false">VLOOKUP(B106,expiration,3,FALSE())</f>
        <v>39533</v>
      </c>
      <c r="O106" s="101" t="n">
        <f aca="false">VLOOKUP($B106,curvesettle,4,FALSE())</f>
        <v>0.0540618653305529</v>
      </c>
      <c r="U106" s="161" t="n">
        <v>0</v>
      </c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</row>
    <row r="107" customFormat="false" ht="12.75" hidden="false" customHeight="false" outlineLevel="0" collapsed="false">
      <c r="A107" s="110" t="n">
        <f aca="false">A106+1</f>
        <v>77</v>
      </c>
      <c r="B107" s="158" t="n">
        <f aca="false">DATE(YEAR(B106),MONTH(B106)+1,1)</f>
        <v>39569</v>
      </c>
      <c r="C107" s="0"/>
      <c r="D107" s="110" t="n">
        <f aca="false">VLOOKUP($B107,curvesettle,2,FALSE())</f>
        <v>3.4825</v>
      </c>
      <c r="E107" s="159" t="n">
        <f aca="false">Q$29</f>
        <v>0.139416666666667</v>
      </c>
      <c r="F107" s="160" t="n">
        <f aca="false">IF(C$1="settle",D107,IF(C$1="EOL",D107+E107,IF(ISNUMBER(C107),C107,D107)))</f>
        <v>3.4825</v>
      </c>
      <c r="G107" s="161" t="n">
        <f aca="false">VLOOKUP($B107,curvesettle,3,FALSE())</f>
        <v>0.23</v>
      </c>
      <c r="H107" s="161" t="n">
        <v>0</v>
      </c>
      <c r="I107" s="161" t="n">
        <f aca="false">G107+H107</f>
        <v>0.23</v>
      </c>
      <c r="J107" s="31"/>
      <c r="K107" s="161" t="n">
        <v>0</v>
      </c>
      <c r="L107" s="161" t="n">
        <f aca="false">'GAS DAILY VOL DOWNLOAD'!B85+K107</f>
        <v>0.4</v>
      </c>
      <c r="M107" s="5" t="n">
        <f aca="false">A107</f>
        <v>77</v>
      </c>
      <c r="N107" s="162" t="n">
        <f aca="false">VLOOKUP(B107,expiration,3,FALSE())</f>
        <v>39563</v>
      </c>
      <c r="O107" s="101" t="n">
        <f aca="false">VLOOKUP($B107,curvesettle,4,FALSE())</f>
        <v>0.0542375238149777</v>
      </c>
      <c r="U107" s="161" t="n">
        <v>0</v>
      </c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</row>
    <row r="108" customFormat="false" ht="12.75" hidden="false" customHeight="false" outlineLevel="0" collapsed="false">
      <c r="A108" s="110" t="n">
        <f aca="false">A107+1</f>
        <v>78</v>
      </c>
      <c r="B108" s="158" t="n">
        <f aca="false">DATE(YEAR(B107),MONTH(B107)+1,1)</f>
        <v>39600</v>
      </c>
      <c r="C108" s="0"/>
      <c r="D108" s="110" t="n">
        <f aca="false">VLOOKUP($B108,curvesettle,2,FALSE())</f>
        <v>3.5175</v>
      </c>
      <c r="E108" s="159" t="n">
        <f aca="false">Q$29</f>
        <v>0.139416666666667</v>
      </c>
      <c r="F108" s="160" t="n">
        <f aca="false">IF(C$1="settle",D108,IF(C$1="EOL",D108+E108,IF(ISNUMBER(C108),C108,D108)))</f>
        <v>3.5175</v>
      </c>
      <c r="G108" s="161" t="n">
        <f aca="false">VLOOKUP($B108,curvesettle,3,FALSE())</f>
        <v>0.23</v>
      </c>
      <c r="H108" s="161" t="n">
        <v>0</v>
      </c>
      <c r="I108" s="161" t="n">
        <f aca="false">G108+H108</f>
        <v>0.23</v>
      </c>
      <c r="J108" s="31"/>
      <c r="K108" s="161" t="n">
        <v>0</v>
      </c>
      <c r="L108" s="161" t="n">
        <f aca="false">'GAS DAILY VOL DOWNLOAD'!B86+K108</f>
        <v>0.45</v>
      </c>
      <c r="M108" s="5" t="n">
        <f aca="false">A108</f>
        <v>78</v>
      </c>
      <c r="N108" s="162" t="n">
        <f aca="false">VLOOKUP(B108,expiration,3,FALSE())</f>
        <v>39595</v>
      </c>
      <c r="O108" s="101" t="n">
        <f aca="false">VLOOKUP($B108,curvesettle,4,FALSE())</f>
        <v>0.0544190375930174</v>
      </c>
      <c r="U108" s="161" t="n">
        <v>0</v>
      </c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</row>
    <row r="109" customFormat="false" ht="12.75" hidden="false" customHeight="false" outlineLevel="0" collapsed="false">
      <c r="A109" s="110" t="n">
        <f aca="false">A108+1</f>
        <v>79</v>
      </c>
      <c r="B109" s="158" t="n">
        <f aca="false">DATE(YEAR(B108),MONTH(B108)+1,1)</f>
        <v>39630</v>
      </c>
      <c r="C109" s="0"/>
      <c r="D109" s="110" t="n">
        <f aca="false">VLOOKUP($B109,curvesettle,2,FALSE())</f>
        <v>3.5575</v>
      </c>
      <c r="E109" s="159" t="n">
        <f aca="false">Q$29</f>
        <v>0.139416666666667</v>
      </c>
      <c r="F109" s="160" t="n">
        <f aca="false">IF(C$1="settle",D109,IF(C$1="EOL",D109+E109,IF(ISNUMBER(C109),C109,D109)))</f>
        <v>3.5575</v>
      </c>
      <c r="G109" s="161" t="n">
        <f aca="false">VLOOKUP($B109,curvesettle,3,FALSE())</f>
        <v>0.23</v>
      </c>
      <c r="H109" s="161" t="n">
        <v>0</v>
      </c>
      <c r="I109" s="161" t="n">
        <f aca="false">G109+H109</f>
        <v>0.23</v>
      </c>
      <c r="J109" s="31"/>
      <c r="K109" s="161" t="n">
        <v>0</v>
      </c>
      <c r="L109" s="161" t="n">
        <f aca="false">'GAS DAILY VOL DOWNLOAD'!B87+K109</f>
        <v>0.45</v>
      </c>
      <c r="M109" s="5" t="n">
        <f aca="false">A109</f>
        <v>79</v>
      </c>
      <c r="N109" s="162" t="n">
        <f aca="false">VLOOKUP(B109,expiration,3,FALSE())</f>
        <v>39624</v>
      </c>
      <c r="O109" s="101" t="n">
        <f aca="false">VLOOKUP($B109,curvesettle,4,FALSE())</f>
        <v>0.0545946960983459</v>
      </c>
      <c r="U109" s="161" t="n">
        <v>0</v>
      </c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</row>
    <row r="110" customFormat="false" ht="12.75" hidden="false" customHeight="false" outlineLevel="0" collapsed="false">
      <c r="A110" s="110" t="n">
        <f aca="false">A109+1</f>
        <v>80</v>
      </c>
      <c r="B110" s="158" t="n">
        <f aca="false">DATE(YEAR(B109),MONTH(B109)+1,1)</f>
        <v>39661</v>
      </c>
      <c r="C110" s="0"/>
      <c r="D110" s="110" t="n">
        <f aca="false">VLOOKUP($B110,curvesettle,2,FALSE())</f>
        <v>3.5975</v>
      </c>
      <c r="E110" s="159" t="n">
        <f aca="false">Q$29</f>
        <v>0.139416666666667</v>
      </c>
      <c r="F110" s="160" t="n">
        <f aca="false">IF(C$1="settle",D110,IF(C$1="EOL",D110+E110,IF(ISNUMBER(C110),C110,D110)))</f>
        <v>3.5975</v>
      </c>
      <c r="G110" s="161" t="n">
        <f aca="false">VLOOKUP($B110,curvesettle,3,FALSE())</f>
        <v>0.23</v>
      </c>
      <c r="H110" s="161" t="n">
        <v>0</v>
      </c>
      <c r="I110" s="161" t="n">
        <f aca="false">G110+H110</f>
        <v>0.23</v>
      </c>
      <c r="J110" s="31"/>
      <c r="K110" s="161" t="n">
        <v>0</v>
      </c>
      <c r="L110" s="161" t="n">
        <f aca="false">'GAS DAILY VOL DOWNLOAD'!B88+K110</f>
        <v>0.5</v>
      </c>
      <c r="M110" s="5" t="n">
        <f aca="false">A110</f>
        <v>80</v>
      </c>
      <c r="N110" s="162" t="n">
        <f aca="false">VLOOKUP(B110,expiration,3,FALSE())</f>
        <v>39657</v>
      </c>
      <c r="O110" s="101" t="n">
        <f aca="false">VLOOKUP($B110,curvesettle,4,FALSE())</f>
        <v>0.0547762098979847</v>
      </c>
      <c r="U110" s="161" t="n">
        <v>0</v>
      </c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</row>
    <row r="111" customFormat="false" ht="12.75" hidden="false" customHeight="false" outlineLevel="0" collapsed="false">
      <c r="A111" s="110" t="n">
        <f aca="false">A110+1</f>
        <v>81</v>
      </c>
      <c r="B111" s="158" t="n">
        <f aca="false">DATE(YEAR(B110),MONTH(B110)+1,1)</f>
        <v>39692</v>
      </c>
      <c r="C111" s="0"/>
      <c r="D111" s="110" t="n">
        <f aca="false">VLOOKUP($B111,curvesettle,2,FALSE())</f>
        <v>3.5925</v>
      </c>
      <c r="E111" s="159" t="n">
        <f aca="false">Q$29</f>
        <v>0.139416666666667</v>
      </c>
      <c r="F111" s="160" t="n">
        <f aca="false">IF(C$1="settle",D111,IF(C$1="EOL",D111+E111,IF(ISNUMBER(C111),C111,D111)))</f>
        <v>3.5925</v>
      </c>
      <c r="G111" s="161" t="n">
        <f aca="false">VLOOKUP($B111,curvesettle,3,FALSE())</f>
        <v>0.23</v>
      </c>
      <c r="H111" s="161" t="n">
        <v>0</v>
      </c>
      <c r="I111" s="161" t="n">
        <f aca="false">G111+H111</f>
        <v>0.23</v>
      </c>
      <c r="J111" s="31"/>
      <c r="K111" s="161" t="n">
        <v>0</v>
      </c>
      <c r="L111" s="161" t="n">
        <f aca="false">'GAS DAILY VOL DOWNLOAD'!B89+K111</f>
        <v>0.55</v>
      </c>
      <c r="M111" s="5" t="n">
        <f aca="false">A111</f>
        <v>81</v>
      </c>
      <c r="N111" s="162" t="n">
        <f aca="false">VLOOKUP(B111,expiration,3,FALSE())</f>
        <v>39686</v>
      </c>
      <c r="O111" s="101" t="n">
        <f aca="false">VLOOKUP($B111,curvesettle,4,FALSE())</f>
        <v>0.0549577237085983</v>
      </c>
      <c r="U111" s="161" t="n">
        <v>0</v>
      </c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</row>
    <row r="112" customFormat="false" ht="12.75" hidden="false" customHeight="false" outlineLevel="0" collapsed="false">
      <c r="A112" s="110" t="n">
        <f aca="false">A111+1</f>
        <v>82</v>
      </c>
      <c r="B112" s="158" t="n">
        <f aca="false">DATE(YEAR(B111),MONTH(B111)+1,1)</f>
        <v>39722</v>
      </c>
      <c r="C112" s="0"/>
      <c r="D112" s="110" t="n">
        <f aca="false">VLOOKUP($B112,curvesettle,2,FALSE())</f>
        <v>3.6175</v>
      </c>
      <c r="E112" s="159" t="n">
        <f aca="false">Q$29</f>
        <v>0.139416666666667</v>
      </c>
      <c r="F112" s="160" t="n">
        <f aca="false">IF(C$1="settle",D112,IF(C$1="EOL",D112+E112,IF(ISNUMBER(C112),C112,D112)))</f>
        <v>3.6175</v>
      </c>
      <c r="G112" s="161" t="n">
        <f aca="false">VLOOKUP($B112,curvesettle,3,FALSE())</f>
        <v>0.23</v>
      </c>
      <c r="H112" s="161" t="n">
        <v>0</v>
      </c>
      <c r="I112" s="161" t="n">
        <f aca="false">G112+H112</f>
        <v>0.23</v>
      </c>
      <c r="J112" s="31"/>
      <c r="K112" s="161" t="n">
        <v>0</v>
      </c>
      <c r="L112" s="161" t="n">
        <f aca="false">'GAS DAILY VOL DOWNLOAD'!B90+K112</f>
        <v>0.55</v>
      </c>
      <c r="M112" s="5" t="n">
        <f aca="false">A112</f>
        <v>82</v>
      </c>
      <c r="N112" s="162" t="n">
        <f aca="false">VLOOKUP(B112,expiration,3,FALSE())</f>
        <v>39716</v>
      </c>
      <c r="O112" s="101" t="n">
        <f aca="false">VLOOKUP($B112,curvesettle,4,FALSE())</f>
        <v>0.0551333822454474</v>
      </c>
      <c r="U112" s="161" t="n">
        <v>0</v>
      </c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</row>
    <row r="113" customFormat="false" ht="12.75" hidden="false" customHeight="false" outlineLevel="0" collapsed="false">
      <c r="A113" s="110" t="n">
        <f aca="false">A112+1</f>
        <v>83</v>
      </c>
      <c r="B113" s="158" t="n">
        <f aca="false">DATE(YEAR(B112),MONTH(B112)+1,1)</f>
        <v>39753</v>
      </c>
      <c r="C113" s="0"/>
      <c r="D113" s="110" t="n">
        <f aca="false">VLOOKUP($B113,curvesettle,2,FALSE())</f>
        <v>3.7695</v>
      </c>
      <c r="E113" s="159" t="n">
        <f aca="false">Q$29</f>
        <v>0.139416666666667</v>
      </c>
      <c r="F113" s="160" t="n">
        <f aca="false">IF(C$1="settle",D113,IF(C$1="EOL",D113+E113,IF(ISNUMBER(C113),C113,D113)))</f>
        <v>3.7695</v>
      </c>
      <c r="G113" s="161" t="n">
        <f aca="false">VLOOKUP($B113,curvesettle,3,FALSE())</f>
        <v>0.23</v>
      </c>
      <c r="H113" s="161" t="n">
        <v>0</v>
      </c>
      <c r="I113" s="161" t="n">
        <f aca="false">G113+H113</f>
        <v>0.23</v>
      </c>
      <c r="J113" s="31"/>
      <c r="K113" s="161" t="n">
        <v>0</v>
      </c>
      <c r="L113" s="161" t="n">
        <f aca="false">'GAS DAILY VOL DOWNLOAD'!B91+K113</f>
        <v>0.6</v>
      </c>
      <c r="M113" s="5" t="n">
        <f aca="false">A113</f>
        <v>83</v>
      </c>
      <c r="N113" s="162" t="n">
        <f aca="false">VLOOKUP(B113,expiration,3,FALSE())</f>
        <v>39749</v>
      </c>
      <c r="O113" s="101" t="n">
        <f aca="false">VLOOKUP($B113,curvesettle,4,FALSE())</f>
        <v>0.0553148960776539</v>
      </c>
      <c r="U113" s="161" t="n">
        <v>0</v>
      </c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</row>
    <row r="114" customFormat="false" ht="12.75" hidden="false" customHeight="false" outlineLevel="0" collapsed="false">
      <c r="A114" s="110" t="n">
        <f aca="false">A113+1</f>
        <v>84</v>
      </c>
      <c r="B114" s="158" t="n">
        <f aca="false">DATE(YEAR(B113),MONTH(B113)+1,1)</f>
        <v>39783</v>
      </c>
      <c r="C114" s="0"/>
      <c r="D114" s="110" t="n">
        <f aca="false">VLOOKUP($B114,curvesettle,2,FALSE())</f>
        <v>3.9125</v>
      </c>
      <c r="E114" s="159" t="n">
        <f aca="false">Q$29</f>
        <v>0.139416666666667</v>
      </c>
      <c r="F114" s="160" t="n">
        <f aca="false">IF(C$1="settle",D114,IF(C$1="EOL",D114+E114,IF(ISNUMBER(C114),C114,D114)))</f>
        <v>3.9125</v>
      </c>
      <c r="G114" s="161" t="n">
        <f aca="false">VLOOKUP($B114,curvesettle,3,FALSE())</f>
        <v>0.23</v>
      </c>
      <c r="H114" s="161" t="n">
        <v>0</v>
      </c>
      <c r="I114" s="161" t="n">
        <f aca="false">G114+H114</f>
        <v>0.23</v>
      </c>
      <c r="J114" s="31"/>
      <c r="K114" s="161" t="n">
        <v>0</v>
      </c>
      <c r="L114" s="161" t="n">
        <f aca="false">'GAS DAILY VOL DOWNLOAD'!B92+K114</f>
        <v>0.8</v>
      </c>
      <c r="M114" s="5" t="n">
        <f aca="false">A114</f>
        <v>84</v>
      </c>
      <c r="N114" s="162" t="n">
        <f aca="false">VLOOKUP(B114,expiration,3,FALSE())</f>
        <v>39776</v>
      </c>
      <c r="O114" s="101" t="n">
        <f aca="false">VLOOKUP($B114,curvesettle,4,FALSE())</f>
        <v>0.0554905546353979</v>
      </c>
      <c r="U114" s="161" t="n">
        <v>0</v>
      </c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</row>
    <row r="115" customFormat="false" ht="12.75" hidden="false" customHeight="false" outlineLevel="0" collapsed="false">
      <c r="A115" s="110" t="n">
        <f aca="false">A114+1</f>
        <v>85</v>
      </c>
      <c r="B115" s="158" t="n">
        <f aca="false">DATE(YEAR(B114),MONTH(B114)+1,1)</f>
        <v>39814</v>
      </c>
      <c r="C115" s="0"/>
      <c r="D115" s="110" t="n">
        <f aca="false">VLOOKUP($B115,curvesettle,2,FALSE())</f>
        <v>3.965</v>
      </c>
      <c r="E115" s="159" t="n">
        <f aca="false">Q$29</f>
        <v>0.139416666666667</v>
      </c>
      <c r="F115" s="160" t="n">
        <f aca="false">IF(C$1="settle",D115,IF(C$1="EOL",D115+E115,IF(ISNUMBER(C115),C115,D115)))</f>
        <v>3.965</v>
      </c>
      <c r="G115" s="161" t="n">
        <f aca="false">VLOOKUP($B115,curvesettle,3,FALSE())</f>
        <v>0.23</v>
      </c>
      <c r="H115" s="161" t="n">
        <v>0</v>
      </c>
      <c r="I115" s="161" t="n">
        <f aca="false">G115+H115</f>
        <v>0.23</v>
      </c>
      <c r="J115" s="31"/>
      <c r="K115" s="161" t="n">
        <v>0</v>
      </c>
      <c r="L115" s="161" t="n">
        <f aca="false">'GAS DAILY VOL DOWNLOAD'!B93+K115</f>
        <v>1</v>
      </c>
      <c r="M115" s="5" t="n">
        <f aca="false">A115</f>
        <v>85</v>
      </c>
      <c r="N115" s="162" t="n">
        <f aca="false">VLOOKUP(B115,expiration,3,FALSE())</f>
        <v>39808</v>
      </c>
      <c r="O115" s="101" t="n">
        <f aca="false">VLOOKUP($B115,curvesettle,4,FALSE())</f>
        <v>0.0556292858091121</v>
      </c>
      <c r="U115" s="161" t="n">
        <v>0</v>
      </c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</row>
    <row r="116" customFormat="false" ht="12.75" hidden="false" customHeight="false" outlineLevel="0" collapsed="false">
      <c r="A116" s="110" t="n">
        <f aca="false">A115+1</f>
        <v>86</v>
      </c>
      <c r="B116" s="158" t="n">
        <f aca="false">DATE(YEAR(B115),MONTH(B115)+1,1)</f>
        <v>39845</v>
      </c>
      <c r="C116" s="0"/>
      <c r="D116" s="110" t="n">
        <f aca="false">VLOOKUP($B116,curvesettle,2,FALSE())</f>
        <v>3.88</v>
      </c>
      <c r="E116" s="159" t="n">
        <f aca="false">Q$29</f>
        <v>0.139416666666667</v>
      </c>
      <c r="F116" s="160" t="n">
        <f aca="false">IF(C$1="settle",D116,IF(C$1="EOL",D116+E116,IF(ISNUMBER(C116),C116,D116)))</f>
        <v>3.88</v>
      </c>
      <c r="G116" s="161" t="n">
        <f aca="false">VLOOKUP($B116,curvesettle,3,FALSE())</f>
        <v>0.2275</v>
      </c>
      <c r="H116" s="161" t="n">
        <v>0</v>
      </c>
      <c r="I116" s="161" t="n">
        <f aca="false">G116+H116</f>
        <v>0.2275</v>
      </c>
      <c r="J116" s="31"/>
      <c r="K116" s="161" t="n">
        <v>0</v>
      </c>
      <c r="L116" s="161" t="n">
        <f aca="false">'GAS DAILY VOL DOWNLOAD'!B94+K116</f>
        <v>1</v>
      </c>
      <c r="M116" s="5" t="n">
        <f aca="false">A116</f>
        <v>86</v>
      </c>
      <c r="N116" s="162" t="n">
        <f aca="false">VLOOKUP(B116,expiration,3,FALSE())</f>
        <v>39840</v>
      </c>
      <c r="O116" s="101" t="n">
        <f aca="false">VLOOKUP($B116,curvesettle,4,FALSE())</f>
        <v>0.055732784192704</v>
      </c>
      <c r="U116" s="161" t="n">
        <v>0</v>
      </c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</row>
    <row r="117" customFormat="false" ht="12.75" hidden="false" customHeight="false" outlineLevel="0" collapsed="false">
      <c r="A117" s="110" t="n">
        <f aca="false">A116+1</f>
        <v>87</v>
      </c>
      <c r="B117" s="158" t="n">
        <f aca="false">DATE(YEAR(B116),MONTH(B116)+1,1)</f>
        <v>39873</v>
      </c>
      <c r="C117" s="0"/>
      <c r="D117" s="110" t="n">
        <f aca="false">VLOOKUP($B117,curvesettle,2,FALSE())</f>
        <v>3.75</v>
      </c>
      <c r="E117" s="159" t="n">
        <f aca="false">Q$29</f>
        <v>0.139416666666667</v>
      </c>
      <c r="F117" s="160" t="n">
        <f aca="false">IF(C$1="settle",D117,IF(C$1="EOL",D117+E117,IF(ISNUMBER(C117),C117,D117)))</f>
        <v>3.75</v>
      </c>
      <c r="G117" s="161" t="n">
        <f aca="false">VLOOKUP($B117,curvesettle,3,FALSE())</f>
        <v>0.22</v>
      </c>
      <c r="H117" s="161" t="n">
        <v>0</v>
      </c>
      <c r="I117" s="161" t="n">
        <f aca="false">G117+H117</f>
        <v>0.22</v>
      </c>
      <c r="J117" s="31"/>
      <c r="K117" s="161" t="n">
        <v>0</v>
      </c>
      <c r="L117" s="161" t="n">
        <f aca="false">'GAS DAILY VOL DOWNLOAD'!B95+K117</f>
        <v>1</v>
      </c>
      <c r="M117" s="5" t="n">
        <f aca="false">A117</f>
        <v>87</v>
      </c>
      <c r="N117" s="162" t="n">
        <f aca="false">VLOOKUP(B117,expiration,3,FALSE())</f>
        <v>39868</v>
      </c>
      <c r="O117" s="101" t="n">
        <f aca="false">VLOOKUP($B117,curvesettle,4,FALSE())</f>
        <v>0.0558262666067555</v>
      </c>
      <c r="U117" s="161" t="n">
        <v>0</v>
      </c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</row>
    <row r="118" customFormat="false" ht="12.75" hidden="false" customHeight="false" outlineLevel="0" collapsed="false">
      <c r="A118" s="110" t="n">
        <f aca="false">A117+1</f>
        <v>88</v>
      </c>
      <c r="B118" s="158" t="n">
        <f aca="false">DATE(YEAR(B117),MONTH(B117)+1,1)</f>
        <v>39904</v>
      </c>
      <c r="C118" s="0"/>
      <c r="D118" s="110" t="n">
        <f aca="false">VLOOKUP($B118,curvesettle,2,FALSE())</f>
        <v>3.565</v>
      </c>
      <c r="E118" s="159" t="n">
        <f aca="false">Q$29</f>
        <v>0.139416666666667</v>
      </c>
      <c r="F118" s="160" t="n">
        <f aca="false">IF(C$1="settle",D118,IF(C$1="EOL",D118+E118,IF(ISNUMBER(C118),C118,D118)))</f>
        <v>3.565</v>
      </c>
      <c r="G118" s="161" t="n">
        <f aca="false">VLOOKUP($B118,curvesettle,3,FALSE())</f>
        <v>0.2025</v>
      </c>
      <c r="H118" s="161" t="n">
        <v>0</v>
      </c>
      <c r="I118" s="161" t="n">
        <f aca="false">G118+H118</f>
        <v>0.2025</v>
      </c>
      <c r="J118" s="31"/>
      <c r="K118" s="161" t="n">
        <v>0</v>
      </c>
      <c r="L118" s="161" t="n">
        <f aca="false">'GAS DAILY VOL DOWNLOAD'!B96+K118</f>
        <v>0.75</v>
      </c>
      <c r="M118" s="5" t="n">
        <f aca="false">A118</f>
        <v>88</v>
      </c>
      <c r="N118" s="162" t="n">
        <f aca="false">VLOOKUP(B118,expiration,3,FALSE())</f>
        <v>39898</v>
      </c>
      <c r="O118" s="101" t="n">
        <f aca="false">VLOOKUP($B118,curvesettle,4,FALSE())</f>
        <v>0.0559297649971344</v>
      </c>
      <c r="U118" s="161" t="n">
        <v>0</v>
      </c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</row>
    <row r="119" customFormat="false" ht="12.75" hidden="false" customHeight="false" outlineLevel="0" collapsed="false">
      <c r="A119" s="110" t="n">
        <f aca="false">A118+1</f>
        <v>89</v>
      </c>
      <c r="B119" s="158" t="n">
        <f aca="false">DATE(YEAR(B118),MONTH(B118)+1,1)</f>
        <v>39934</v>
      </c>
      <c r="C119" s="0"/>
      <c r="D119" s="110" t="n">
        <f aca="false">VLOOKUP($B119,curvesettle,2,FALSE())</f>
        <v>3.56</v>
      </c>
      <c r="E119" s="159" t="n">
        <f aca="false">Q$29</f>
        <v>0.139416666666667</v>
      </c>
      <c r="F119" s="160" t="n">
        <f aca="false">IF(C$1="settle",D119,IF(C$1="EOL",D119+E119,IF(ISNUMBER(C119),C119,D119)))</f>
        <v>3.56</v>
      </c>
      <c r="G119" s="161" t="n">
        <f aca="false">VLOOKUP($B119,curvesettle,3,FALSE())</f>
        <v>0.2025</v>
      </c>
      <c r="H119" s="161" t="n">
        <v>0</v>
      </c>
      <c r="I119" s="161" t="n">
        <f aca="false">G119+H119</f>
        <v>0.2025</v>
      </c>
      <c r="J119" s="31"/>
      <c r="K119" s="161" t="n">
        <v>0</v>
      </c>
      <c r="L119" s="161" t="n">
        <f aca="false">'GAS DAILY VOL DOWNLOAD'!B97+K119</f>
        <v>0.4</v>
      </c>
      <c r="M119" s="5" t="n">
        <f aca="false">A119</f>
        <v>89</v>
      </c>
      <c r="N119" s="162" t="n">
        <f aca="false">VLOOKUP(B119,expiration,3,FALSE())</f>
        <v>39930</v>
      </c>
      <c r="O119" s="101" t="n">
        <f aca="false">VLOOKUP($B119,curvesettle,4,FALSE())</f>
        <v>0.0560299247331555</v>
      </c>
      <c r="U119" s="161" t="n">
        <v>0</v>
      </c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</row>
    <row r="120" customFormat="false" ht="12.75" hidden="false" customHeight="false" outlineLevel="0" collapsed="false">
      <c r="A120" s="110" t="n">
        <f aca="false">A119+1</f>
        <v>90</v>
      </c>
      <c r="B120" s="158" t="n">
        <f aca="false">DATE(YEAR(B119),MONTH(B119)+1,1)</f>
        <v>39965</v>
      </c>
      <c r="C120" s="0"/>
      <c r="D120" s="110" t="n">
        <f aca="false">VLOOKUP($B120,curvesettle,2,FALSE())</f>
        <v>3.595</v>
      </c>
      <c r="E120" s="159" t="n">
        <f aca="false">Q$29</f>
        <v>0.139416666666667</v>
      </c>
      <c r="F120" s="160" t="n">
        <f aca="false">IF(C$1="settle",D120,IF(C$1="EOL",D120+E120,IF(ISNUMBER(C120),C120,D120)))</f>
        <v>3.595</v>
      </c>
      <c r="G120" s="161" t="n">
        <f aca="false">VLOOKUP($B120,curvesettle,3,FALSE())</f>
        <v>0.2025</v>
      </c>
      <c r="H120" s="161" t="n">
        <v>0</v>
      </c>
      <c r="I120" s="161" t="n">
        <f aca="false">G120+H120</f>
        <v>0.2025</v>
      </c>
      <c r="J120" s="31"/>
      <c r="K120" s="161" t="n">
        <v>0</v>
      </c>
      <c r="L120" s="161" t="n">
        <f aca="false">'GAS DAILY VOL DOWNLOAD'!B98+K120</f>
        <v>0.45</v>
      </c>
      <c r="M120" s="5" t="n">
        <f aca="false">A120</f>
        <v>90</v>
      </c>
      <c r="N120" s="162" t="n">
        <f aca="false">VLOOKUP(B120,expiration,3,FALSE())</f>
        <v>39959</v>
      </c>
      <c r="O120" s="101" t="n">
        <f aca="false">VLOOKUP($B120,curvesettle,4,FALSE())</f>
        <v>0.0561334231305515</v>
      </c>
      <c r="U120" s="161" t="n">
        <v>0</v>
      </c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</row>
    <row r="121" customFormat="false" ht="12.75" hidden="false" customHeight="false" outlineLevel="0" collapsed="false">
      <c r="A121" s="110" t="n">
        <f aca="false">A120+1</f>
        <v>91</v>
      </c>
      <c r="B121" s="158" t="n">
        <f aca="false">DATE(YEAR(B120),MONTH(B120)+1,1)</f>
        <v>39995</v>
      </c>
      <c r="C121" s="0"/>
      <c r="D121" s="110" t="n">
        <f aca="false">VLOOKUP($B121,curvesettle,2,FALSE())</f>
        <v>3.635</v>
      </c>
      <c r="E121" s="159" t="n">
        <f aca="false">Q$29</f>
        <v>0.139416666666667</v>
      </c>
      <c r="F121" s="160" t="n">
        <f aca="false">IF(C$1="settle",D121,IF(C$1="EOL",D121+E121,IF(ISNUMBER(C121),C121,D121)))</f>
        <v>3.635</v>
      </c>
      <c r="G121" s="161" t="n">
        <f aca="false">VLOOKUP($B121,curvesettle,3,FALSE())</f>
        <v>0.2025</v>
      </c>
      <c r="H121" s="161" t="n">
        <v>0</v>
      </c>
      <c r="I121" s="161" t="n">
        <f aca="false">G121+H121</f>
        <v>0.2025</v>
      </c>
      <c r="J121" s="31"/>
      <c r="K121" s="161" t="n">
        <v>0</v>
      </c>
      <c r="L121" s="161" t="n">
        <f aca="false">'GAS DAILY VOL DOWNLOAD'!B99+K121</f>
        <v>0.45</v>
      </c>
      <c r="M121" s="5" t="n">
        <f aca="false">A121</f>
        <v>91</v>
      </c>
      <c r="N121" s="162" t="n">
        <f aca="false">VLOOKUP(B121,expiration,3,FALSE())</f>
        <v>39989</v>
      </c>
      <c r="O121" s="101" t="n">
        <f aca="false">VLOOKUP($B121,curvesettle,4,FALSE())</f>
        <v>0.0562335828733631</v>
      </c>
      <c r="U121" s="161" t="n">
        <v>0</v>
      </c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</row>
    <row r="122" customFormat="false" ht="12.75" hidden="false" customHeight="false" outlineLevel="0" collapsed="false">
      <c r="A122" s="110" t="n">
        <f aca="false">A121+1</f>
        <v>92</v>
      </c>
      <c r="B122" s="158" t="n">
        <f aca="false">DATE(YEAR(B121),MONTH(B121)+1,1)</f>
        <v>40026</v>
      </c>
      <c r="C122" s="0"/>
      <c r="D122" s="110" t="n">
        <f aca="false">VLOOKUP($B122,curvesettle,2,FALSE())</f>
        <v>3.675</v>
      </c>
      <c r="E122" s="159" t="n">
        <f aca="false">Q$29</f>
        <v>0.139416666666667</v>
      </c>
      <c r="F122" s="160" t="n">
        <f aca="false">IF(C$1="settle",D122,IF(C$1="EOL",D122+E122,IF(ISNUMBER(C122),C122,D122)))</f>
        <v>3.675</v>
      </c>
      <c r="G122" s="161" t="n">
        <f aca="false">VLOOKUP($B122,curvesettle,3,FALSE())</f>
        <v>0.2025</v>
      </c>
      <c r="H122" s="161" t="n">
        <v>0</v>
      </c>
      <c r="I122" s="161" t="n">
        <f aca="false">G122+H122</f>
        <v>0.2025</v>
      </c>
      <c r="J122" s="31"/>
      <c r="K122" s="161" t="n">
        <v>0</v>
      </c>
      <c r="L122" s="161" t="n">
        <f aca="false">'GAS DAILY VOL DOWNLOAD'!B100+K122</f>
        <v>0.5</v>
      </c>
      <c r="M122" s="5" t="n">
        <f aca="false">A122</f>
        <v>92</v>
      </c>
      <c r="N122" s="162" t="n">
        <f aca="false">VLOOKUP(B122,expiration,3,FALSE())</f>
        <v>40022</v>
      </c>
      <c r="O122" s="101" t="n">
        <f aca="false">VLOOKUP($B122,curvesettle,4,FALSE())</f>
        <v>0.0563370812777757</v>
      </c>
      <c r="U122" s="161" t="n">
        <v>0</v>
      </c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</row>
    <row r="123" customFormat="false" ht="12.75" hidden="false" customHeight="false" outlineLevel="0" collapsed="false">
      <c r="A123" s="110" t="n">
        <f aca="false">A122+1</f>
        <v>93</v>
      </c>
      <c r="B123" s="158" t="n">
        <f aca="false">DATE(YEAR(B122),MONTH(B122)+1,1)</f>
        <v>40057</v>
      </c>
      <c r="C123" s="0"/>
      <c r="D123" s="110" t="n">
        <f aca="false">VLOOKUP($B123,curvesettle,2,FALSE())</f>
        <v>3.67</v>
      </c>
      <c r="E123" s="159" t="n">
        <f aca="false">Q$29</f>
        <v>0.139416666666667</v>
      </c>
      <c r="F123" s="160" t="n">
        <f aca="false">IF(C$1="settle",D123,IF(C$1="EOL",D123+E123,IF(ISNUMBER(C123),C123,D123)))</f>
        <v>3.67</v>
      </c>
      <c r="G123" s="161" t="n">
        <f aca="false">VLOOKUP($B123,curvesettle,3,FALSE())</f>
        <v>0.2025</v>
      </c>
      <c r="H123" s="161" t="n">
        <v>0</v>
      </c>
      <c r="I123" s="161" t="n">
        <f aca="false">G123+H123</f>
        <v>0.2025</v>
      </c>
      <c r="J123" s="31"/>
      <c r="K123" s="161" t="n">
        <v>0</v>
      </c>
      <c r="L123" s="161" t="n">
        <f aca="false">'GAS DAILY VOL DOWNLOAD'!B101+K123</f>
        <v>0.55</v>
      </c>
      <c r="M123" s="5" t="n">
        <f aca="false">A123</f>
        <v>93</v>
      </c>
      <c r="N123" s="162" t="n">
        <f aca="false">VLOOKUP(B123,expiration,3,FALSE())</f>
        <v>40051</v>
      </c>
      <c r="O123" s="101" t="n">
        <f aca="false">VLOOKUP($B123,curvesettle,4,FALSE())</f>
        <v>0.0564405796857548</v>
      </c>
      <c r="U123" s="161" t="n">
        <v>0</v>
      </c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</row>
    <row r="124" customFormat="false" ht="12.75" hidden="false" customHeight="false" outlineLevel="0" collapsed="false">
      <c r="A124" s="110" t="n">
        <f aca="false">A123+1</f>
        <v>94</v>
      </c>
      <c r="B124" s="158" t="n">
        <f aca="false">DATE(YEAR(B123),MONTH(B123)+1,1)</f>
        <v>40087</v>
      </c>
      <c r="C124" s="0"/>
      <c r="D124" s="110" t="n">
        <f aca="false">VLOOKUP($B124,curvesettle,2,FALSE())</f>
        <v>3.695</v>
      </c>
      <c r="E124" s="159" t="n">
        <f aca="false">Q$29</f>
        <v>0.139416666666667</v>
      </c>
      <c r="F124" s="160" t="n">
        <f aca="false">IF(C$1="settle",D124,IF(C$1="EOL",D124+E124,IF(ISNUMBER(C124),C124,D124)))</f>
        <v>3.695</v>
      </c>
      <c r="G124" s="161" t="n">
        <f aca="false">VLOOKUP($B124,curvesettle,3,FALSE())</f>
        <v>0.2025</v>
      </c>
      <c r="H124" s="161" t="n">
        <v>0</v>
      </c>
      <c r="I124" s="161" t="n">
        <f aca="false">G124+H124</f>
        <v>0.2025</v>
      </c>
      <c r="J124" s="31"/>
      <c r="K124" s="161" t="n">
        <v>0</v>
      </c>
      <c r="L124" s="161" t="n">
        <f aca="false">'GAS DAILY VOL DOWNLOAD'!B102+K124</f>
        <v>0.55</v>
      </c>
      <c r="M124" s="5" t="n">
        <f aca="false">A124</f>
        <v>94</v>
      </c>
      <c r="N124" s="162" t="n">
        <f aca="false">VLOOKUP(B124,expiration,3,FALSE())</f>
        <v>40081</v>
      </c>
      <c r="O124" s="101" t="n">
        <f aca="false">VLOOKUP($B124,curvesettle,4,FALSE())</f>
        <v>0.0565407394388062</v>
      </c>
      <c r="U124" s="161" t="n">
        <v>0</v>
      </c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</row>
    <row r="125" customFormat="false" ht="12.75" hidden="false" customHeight="false" outlineLevel="0" collapsed="false">
      <c r="A125" s="110" t="n">
        <f aca="false">A124+1</f>
        <v>95</v>
      </c>
      <c r="B125" s="158" t="n">
        <f aca="false">DATE(YEAR(B124),MONTH(B124)+1,1)</f>
        <v>40118</v>
      </c>
      <c r="C125" s="0"/>
      <c r="D125" s="110" t="n">
        <f aca="false">VLOOKUP($B125,curvesettle,2,FALSE())</f>
        <v>3.847</v>
      </c>
      <c r="E125" s="159" t="n">
        <f aca="false">Q$29</f>
        <v>0.139416666666667</v>
      </c>
      <c r="F125" s="160" t="n">
        <f aca="false">IF(C$1="settle",D125,IF(C$1="EOL",D125+E125,IF(ISNUMBER(C125),C125,D125)))</f>
        <v>3.847</v>
      </c>
      <c r="G125" s="161" t="n">
        <f aca="false">VLOOKUP($B125,curvesettle,3,FALSE())</f>
        <v>0.2025</v>
      </c>
      <c r="H125" s="161" t="n">
        <v>0</v>
      </c>
      <c r="I125" s="161" t="n">
        <f aca="false">G125+H125</f>
        <v>0.2025</v>
      </c>
      <c r="J125" s="31"/>
      <c r="K125" s="161" t="n">
        <v>0</v>
      </c>
      <c r="L125" s="161" t="n">
        <f aca="false">'GAS DAILY VOL DOWNLOAD'!B103+K125</f>
        <v>0.6</v>
      </c>
      <c r="M125" s="5" t="n">
        <f aca="false">A125</f>
        <v>95</v>
      </c>
      <c r="N125" s="162" t="n">
        <f aca="false">VLOOKUP(B125,expiration,3,FALSE())</f>
        <v>40113</v>
      </c>
      <c r="O125" s="101" t="n">
        <f aca="false">VLOOKUP($B125,curvesettle,4,FALSE())</f>
        <v>0.0566442378538001</v>
      </c>
      <c r="U125" s="161" t="n">
        <v>0</v>
      </c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</row>
    <row r="126" customFormat="false" ht="12.75" hidden="false" customHeight="false" outlineLevel="0" collapsed="false">
      <c r="A126" s="110" t="n">
        <f aca="false">A125+1</f>
        <v>96</v>
      </c>
      <c r="B126" s="158" t="n">
        <f aca="false">DATE(YEAR(B125),MONTH(B125)+1,1)</f>
        <v>40148</v>
      </c>
      <c r="C126" s="0"/>
      <c r="D126" s="110" t="n">
        <f aca="false">VLOOKUP($B126,curvesettle,2,FALSE())</f>
        <v>3.99</v>
      </c>
      <c r="E126" s="159" t="n">
        <f aca="false">Q$29</f>
        <v>0.139416666666667</v>
      </c>
      <c r="F126" s="160" t="n">
        <f aca="false">IF(C$1="settle",D126,IF(C$1="EOL",D126+E126,IF(ISNUMBER(C126),C126,D126)))</f>
        <v>3.99</v>
      </c>
      <c r="G126" s="161" t="n">
        <f aca="false">VLOOKUP($B126,curvesettle,3,FALSE())</f>
        <v>0.2025</v>
      </c>
      <c r="H126" s="161" t="n">
        <v>0</v>
      </c>
      <c r="I126" s="161" t="n">
        <f aca="false">G126+H126</f>
        <v>0.2025</v>
      </c>
      <c r="J126" s="31"/>
      <c r="K126" s="161" t="n">
        <v>0</v>
      </c>
      <c r="L126" s="161" t="n">
        <f aca="false">'GAS DAILY VOL DOWNLOAD'!B104+K126</f>
        <v>0.8</v>
      </c>
      <c r="M126" s="5" t="n">
        <f aca="false">A126</f>
        <v>96</v>
      </c>
      <c r="N126" s="162" t="n">
        <f aca="false">VLOOKUP(B126,expiration,3,FALSE())</f>
        <v>40141</v>
      </c>
      <c r="O126" s="101" t="n">
        <f aca="false">VLOOKUP($B126,curvesettle,4,FALSE())</f>
        <v>0.0567443976136408</v>
      </c>
      <c r="U126" s="161" t="n">
        <v>0</v>
      </c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</row>
    <row r="127" customFormat="false" ht="12.75" hidden="false" customHeight="false" outlineLevel="0" collapsed="false">
      <c r="A127" s="110" t="n">
        <f aca="false">A126+1</f>
        <v>97</v>
      </c>
      <c r="B127" s="158" t="n">
        <f aca="false">DATE(YEAR(B126),MONTH(B126)+1,1)</f>
        <v>40179</v>
      </c>
      <c r="C127" s="0"/>
      <c r="D127" s="110" t="n">
        <f aca="false">VLOOKUP($B127,curvesettle,2,FALSE())</f>
        <v>4.045</v>
      </c>
      <c r="E127" s="159" t="n">
        <f aca="false">Q$29</f>
        <v>0.139416666666667</v>
      </c>
      <c r="F127" s="160" t="n">
        <f aca="false">IF(C$1="settle",D127,IF(C$1="EOL",D127+E127,IF(ISNUMBER(C127),C127,D127)))</f>
        <v>4.045</v>
      </c>
      <c r="G127" s="161" t="n">
        <f aca="false">VLOOKUP($B127,curvesettle,3,FALSE())</f>
        <v>0.2025</v>
      </c>
      <c r="H127" s="161" t="n">
        <v>0</v>
      </c>
      <c r="I127" s="161" t="n">
        <f aca="false">G127+H127</f>
        <v>0.2025</v>
      </c>
      <c r="J127" s="31"/>
      <c r="K127" s="161" t="n">
        <v>0</v>
      </c>
      <c r="L127" s="161" t="n">
        <f aca="false">'GAS DAILY VOL DOWNLOAD'!B105+K127</f>
        <v>1</v>
      </c>
      <c r="M127" s="5" t="n">
        <f aca="false">A127</f>
        <v>97</v>
      </c>
      <c r="N127" s="162" t="n">
        <f aca="false">VLOOKUP(B127,expiration,3,FALSE())</f>
        <v>40175</v>
      </c>
      <c r="O127" s="101" t="n">
        <f aca="false">VLOOKUP($B127,curvesettle,4,FALSE())</f>
        <v>0.0568478960356496</v>
      </c>
      <c r="U127" s="161" t="n">
        <v>0</v>
      </c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</row>
    <row r="128" customFormat="false" ht="12.75" hidden="false" customHeight="false" outlineLevel="0" collapsed="false">
      <c r="A128" s="110" t="n">
        <f aca="false">A127+1</f>
        <v>98</v>
      </c>
      <c r="B128" s="158" t="n">
        <f aca="false">DATE(YEAR(B127),MONTH(B127)+1,1)</f>
        <v>40210</v>
      </c>
      <c r="C128" s="0"/>
      <c r="D128" s="110" t="n">
        <f aca="false">VLOOKUP($B128,curvesettle,2,FALSE())</f>
        <v>3.96</v>
      </c>
      <c r="E128" s="159" t="n">
        <f aca="false">Q$29</f>
        <v>0.139416666666667</v>
      </c>
      <c r="F128" s="160" t="n">
        <f aca="false">IF(C$1="settle",D128,IF(C$1="EOL",D128+E128,IF(ISNUMBER(C128),C128,D128)))</f>
        <v>3.96</v>
      </c>
      <c r="G128" s="161" t="n">
        <f aca="false">VLOOKUP($B128,curvesettle,3,FALSE())</f>
        <v>0.2</v>
      </c>
      <c r="H128" s="161" t="n">
        <v>0</v>
      </c>
      <c r="I128" s="161" t="n">
        <f aca="false">G128+H128</f>
        <v>0.2</v>
      </c>
      <c r="J128" s="31"/>
      <c r="K128" s="161" t="n">
        <v>0</v>
      </c>
      <c r="L128" s="161" t="n">
        <f aca="false">'GAS DAILY VOL DOWNLOAD'!B106+K128</f>
        <v>1</v>
      </c>
      <c r="M128" s="5" t="n">
        <f aca="false">A128</f>
        <v>98</v>
      </c>
      <c r="N128" s="162" t="n">
        <f aca="false">VLOOKUP(B128,expiration,3,FALSE())</f>
        <v>40204</v>
      </c>
      <c r="O128" s="101" t="n">
        <f aca="false">VLOOKUP($B128,curvesettle,4,FALSE())</f>
        <v>0.056951394461223</v>
      </c>
      <c r="U128" s="161" t="n">
        <v>0</v>
      </c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</row>
    <row r="129" customFormat="false" ht="12.75" hidden="false" customHeight="false" outlineLevel="0" collapsed="false">
      <c r="A129" s="110" t="n">
        <f aca="false">A128+1</f>
        <v>99</v>
      </c>
      <c r="B129" s="158" t="n">
        <f aca="false">DATE(YEAR(B128),MONTH(B128)+1,1)</f>
        <v>40238</v>
      </c>
      <c r="C129" s="0"/>
      <c r="D129" s="110" t="n">
        <f aca="false">VLOOKUP($B129,curvesettle,2,FALSE())</f>
        <v>3.83</v>
      </c>
      <c r="E129" s="159" t="n">
        <f aca="false">Q$29</f>
        <v>0.139416666666667</v>
      </c>
      <c r="F129" s="160" t="n">
        <f aca="false">IF(C$1="settle",D129,IF(C$1="EOL",D129+E129,IF(ISNUMBER(C129),C129,D129)))</f>
        <v>3.83</v>
      </c>
      <c r="G129" s="161" t="n">
        <f aca="false">VLOOKUP($B129,curvesettle,3,FALSE())</f>
        <v>0.195</v>
      </c>
      <c r="H129" s="161" t="n">
        <v>0</v>
      </c>
      <c r="I129" s="161" t="n">
        <f aca="false">G129+H129</f>
        <v>0.195</v>
      </c>
      <c r="J129" s="31"/>
      <c r="K129" s="161" t="n">
        <v>0</v>
      </c>
      <c r="L129" s="161" t="n">
        <f aca="false">'GAS DAILY VOL DOWNLOAD'!B107+K129</f>
        <v>1</v>
      </c>
      <c r="M129" s="5" t="n">
        <f aca="false">A129</f>
        <v>99</v>
      </c>
      <c r="N129" s="162" t="n">
        <f aca="false">VLOOKUP(B129,expiration,3,FALSE())</f>
        <v>40232</v>
      </c>
      <c r="O129" s="101" t="n">
        <f aca="false">VLOOKUP($B129,curvesettle,4,FALSE())</f>
        <v>0.0570448769131922</v>
      </c>
      <c r="U129" s="161" t="n">
        <v>0</v>
      </c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</row>
    <row r="130" customFormat="false" ht="12.75" hidden="false" customHeight="false" outlineLevel="0" collapsed="false">
      <c r="A130" s="110" t="n">
        <f aca="false">A129+1</f>
        <v>100</v>
      </c>
      <c r="B130" s="158" t="n">
        <f aca="false">DATE(YEAR(B129),MONTH(B129)+1,1)</f>
        <v>40269</v>
      </c>
      <c r="C130" s="0"/>
      <c r="D130" s="110" t="n">
        <f aca="false">VLOOKUP($B130,curvesettle,2,FALSE())</f>
        <v>3.645</v>
      </c>
      <c r="E130" s="159" t="n">
        <f aca="false">Q$29</f>
        <v>0.139416666666667</v>
      </c>
      <c r="F130" s="160" t="n">
        <f aca="false">IF(C$1="settle",D130,IF(C$1="EOL",D130+E130,IF(ISNUMBER(C130),C130,D130)))</f>
        <v>3.645</v>
      </c>
      <c r="G130" s="161" t="n">
        <f aca="false">VLOOKUP($B130,curvesettle,3,FALSE())</f>
        <v>0.19</v>
      </c>
      <c r="H130" s="161" t="n">
        <v>0</v>
      </c>
      <c r="I130" s="161" t="n">
        <f aca="false">G130+H130</f>
        <v>0.19</v>
      </c>
      <c r="J130" s="31"/>
      <c r="K130" s="161" t="n">
        <v>0</v>
      </c>
      <c r="L130" s="161" t="n">
        <f aca="false">'GAS DAILY VOL DOWNLOAD'!B108+K130</f>
        <v>0.75</v>
      </c>
      <c r="M130" s="5" t="n">
        <f aca="false">A130</f>
        <v>100</v>
      </c>
      <c r="N130" s="162" t="n">
        <f aca="false">VLOOKUP(B130,expiration,3,FALSE())</f>
        <v>40263</v>
      </c>
      <c r="O130" s="101" t="n">
        <f aca="false">VLOOKUP($B130,curvesettle,4,FALSE())</f>
        <v>0.0571483753455491</v>
      </c>
      <c r="U130" s="161" t="n">
        <v>0</v>
      </c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</row>
    <row r="131" customFormat="false" ht="12.75" hidden="false" customHeight="false" outlineLevel="0" collapsed="false">
      <c r="A131" s="110" t="n">
        <f aca="false">A130+1</f>
        <v>101</v>
      </c>
      <c r="B131" s="158" t="n">
        <f aca="false">DATE(YEAR(B130),MONTH(B130)+1,1)</f>
        <v>40299</v>
      </c>
      <c r="C131" s="0"/>
      <c r="D131" s="110" t="n">
        <f aca="false">VLOOKUP($B131,curvesettle,2,FALSE())</f>
        <v>3.64</v>
      </c>
      <c r="E131" s="159" t="n">
        <f aca="false">Q$29</f>
        <v>0.139416666666667</v>
      </c>
      <c r="F131" s="160" t="n">
        <f aca="false">IF(C$1="settle",D131,IF(C$1="EOL",D131+E131,IF(ISNUMBER(C131),C131,D131)))</f>
        <v>3.64</v>
      </c>
      <c r="G131" s="161" t="n">
        <f aca="false">VLOOKUP($B131,curvesettle,3,FALSE())</f>
        <v>0.185</v>
      </c>
      <c r="H131" s="161" t="n">
        <v>0</v>
      </c>
      <c r="I131" s="161" t="n">
        <f aca="false">G131+H131</f>
        <v>0.185</v>
      </c>
      <c r="J131" s="31"/>
      <c r="K131" s="161" t="n">
        <v>0</v>
      </c>
      <c r="L131" s="161" t="n">
        <f aca="false">'GAS DAILY VOL DOWNLOAD'!B109+K131</f>
        <v>0.4</v>
      </c>
      <c r="M131" s="5" t="n">
        <f aca="false">A131</f>
        <v>101</v>
      </c>
      <c r="N131" s="162" t="n">
        <f aca="false">VLOOKUP(B131,expiration,3,FALSE())</f>
        <v>40295</v>
      </c>
      <c r="O131" s="101" t="n">
        <f aca="false">VLOOKUP($B131,curvesettle,4,FALSE())</f>
        <v>0.0572485351221919</v>
      </c>
      <c r="U131" s="161" t="n">
        <v>0</v>
      </c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</row>
    <row r="132" customFormat="false" ht="12.75" hidden="false" customHeight="false" outlineLevel="0" collapsed="false">
      <c r="A132" s="110" t="n">
        <f aca="false">A131+1</f>
        <v>102</v>
      </c>
      <c r="B132" s="158" t="n">
        <f aca="false">DATE(YEAR(B131),MONTH(B131)+1,1)</f>
        <v>40330</v>
      </c>
      <c r="C132" s="0"/>
      <c r="D132" s="110" t="n">
        <f aca="false">VLOOKUP($B132,curvesettle,2,FALSE())</f>
        <v>3.675</v>
      </c>
      <c r="E132" s="159" t="n">
        <f aca="false">Q$29</f>
        <v>0.139416666666667</v>
      </c>
      <c r="F132" s="160" t="n">
        <f aca="false">IF(C$1="settle",D132,IF(C$1="EOL",D132+E132,IF(ISNUMBER(C132),C132,D132)))</f>
        <v>3.675</v>
      </c>
      <c r="G132" s="161" t="n">
        <f aca="false">VLOOKUP($B132,curvesettle,3,FALSE())</f>
        <v>0.185</v>
      </c>
      <c r="H132" s="161" t="n">
        <v>0</v>
      </c>
      <c r="I132" s="161" t="n">
        <f aca="false">G132+H132</f>
        <v>0.185</v>
      </c>
      <c r="J132" s="31"/>
      <c r="K132" s="161" t="n">
        <v>0</v>
      </c>
      <c r="L132" s="161" t="n">
        <f aca="false">'GAS DAILY VOL DOWNLOAD'!B110+K132</f>
        <v>0.45</v>
      </c>
      <c r="M132" s="5" t="n">
        <f aca="false">A132</f>
        <v>102</v>
      </c>
      <c r="N132" s="162" t="n">
        <f aca="false">VLOOKUP(B132,expiration,3,FALSE())</f>
        <v>40323</v>
      </c>
      <c r="O132" s="101" t="n">
        <f aca="false">VLOOKUP($B132,curvesettle,4,FALSE())</f>
        <v>0.0573520335615627</v>
      </c>
      <c r="U132" s="161" t="n">
        <v>0</v>
      </c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</row>
    <row r="133" customFormat="false" ht="12.75" hidden="false" customHeight="false" outlineLevel="0" collapsed="false">
      <c r="A133" s="110" t="n">
        <f aca="false">A132+1</f>
        <v>103</v>
      </c>
      <c r="B133" s="158" t="n">
        <f aca="false">DATE(YEAR(B132),MONTH(B132)+1,1)</f>
        <v>40360</v>
      </c>
      <c r="C133" s="0"/>
      <c r="D133" s="110" t="n">
        <f aca="false">VLOOKUP($B133,curvesettle,2,FALSE())</f>
        <v>3.715</v>
      </c>
      <c r="E133" s="159" t="n">
        <f aca="false">Q$29</f>
        <v>0.139416666666667</v>
      </c>
      <c r="F133" s="160" t="n">
        <f aca="false">IF(C$1="settle",D133,IF(C$1="EOL",D133+E133,IF(ISNUMBER(C133),C133,D133)))</f>
        <v>3.715</v>
      </c>
      <c r="G133" s="161" t="n">
        <f aca="false">VLOOKUP($B133,curvesettle,3,FALSE())</f>
        <v>0.185</v>
      </c>
      <c r="H133" s="161" t="n">
        <v>0</v>
      </c>
      <c r="I133" s="161" t="n">
        <f aca="false">G133+H133</f>
        <v>0.185</v>
      </c>
      <c r="J133" s="31"/>
      <c r="K133" s="161" t="n">
        <v>0</v>
      </c>
      <c r="L133" s="161" t="n">
        <f aca="false">'GAS DAILY VOL DOWNLOAD'!B111+K133</f>
        <v>0.45</v>
      </c>
      <c r="M133" s="5" t="n">
        <f aca="false">A133</f>
        <v>103</v>
      </c>
      <c r="N133" s="162" t="n">
        <f aca="false">VLOOKUP(B133,expiration,3,FALSE())</f>
        <v>40354</v>
      </c>
      <c r="O133" s="101" t="n">
        <f aca="false">VLOOKUP($B133,curvesettle,4,FALSE())</f>
        <v>0.0574521933449916</v>
      </c>
      <c r="U133" s="161" t="n">
        <v>0</v>
      </c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</row>
    <row r="134" customFormat="false" ht="12.75" hidden="false" customHeight="false" outlineLevel="0" collapsed="false">
      <c r="A134" s="110" t="n">
        <f aca="false">A133+1</f>
        <v>104</v>
      </c>
      <c r="B134" s="158" t="n">
        <f aca="false">DATE(YEAR(B133),MONTH(B133)+1,1)</f>
        <v>40391</v>
      </c>
      <c r="C134" s="0"/>
      <c r="D134" s="110" t="n">
        <f aca="false">VLOOKUP($B134,curvesettle,2,FALSE())</f>
        <v>3.755</v>
      </c>
      <c r="E134" s="159" t="n">
        <f aca="false">Q$29</f>
        <v>0.139416666666667</v>
      </c>
      <c r="F134" s="160" t="n">
        <f aca="false">IF(C$1="settle",D134,IF(C$1="EOL",D134+E134,IF(ISNUMBER(C134),C134,D134)))</f>
        <v>3.755</v>
      </c>
      <c r="G134" s="161" t="n">
        <f aca="false">VLOOKUP($B134,curvesettle,3,FALSE())</f>
        <v>0.185</v>
      </c>
      <c r="H134" s="161" t="n">
        <v>0</v>
      </c>
      <c r="I134" s="161" t="n">
        <f aca="false">G134+H134</f>
        <v>0.185</v>
      </c>
      <c r="J134" s="31"/>
      <c r="K134" s="161" t="n">
        <v>0</v>
      </c>
      <c r="L134" s="161" t="n">
        <f aca="false">'GAS DAILY VOL DOWNLOAD'!B112+K134</f>
        <v>0.5</v>
      </c>
      <c r="M134" s="5" t="n">
        <f aca="false">A134</f>
        <v>104</v>
      </c>
      <c r="N134" s="162" t="n">
        <f aca="false">VLOOKUP(B134,expiration,3,FALSE())</f>
        <v>40386</v>
      </c>
      <c r="O134" s="101" t="n">
        <f aca="false">VLOOKUP($B134,curvesettle,4,FALSE())</f>
        <v>0.0575556917913746</v>
      </c>
      <c r="U134" s="161" t="n">
        <v>0</v>
      </c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</row>
    <row r="135" customFormat="false" ht="12.75" hidden="false" customHeight="false" outlineLevel="0" collapsed="false">
      <c r="A135" s="110" t="n">
        <f aca="false">A134+1</f>
        <v>105</v>
      </c>
      <c r="B135" s="158" t="n">
        <f aca="false">DATE(YEAR(B134),MONTH(B134)+1,1)</f>
        <v>40422</v>
      </c>
      <c r="C135" s="0"/>
      <c r="D135" s="110" t="n">
        <f aca="false">VLOOKUP($B135,curvesettle,2,FALSE())</f>
        <v>3.75</v>
      </c>
      <c r="E135" s="159" t="n">
        <f aca="false">Q$29</f>
        <v>0.139416666666667</v>
      </c>
      <c r="F135" s="160" t="n">
        <f aca="false">IF(C$1="settle",D135,IF(C$1="EOL",D135+E135,IF(ISNUMBER(C135),C135,D135)))</f>
        <v>3.75</v>
      </c>
      <c r="G135" s="161" t="n">
        <f aca="false">VLOOKUP($B135,curvesettle,3,FALSE())</f>
        <v>0.185</v>
      </c>
      <c r="H135" s="161" t="n">
        <v>0</v>
      </c>
      <c r="I135" s="161" t="n">
        <f aca="false">G135+H135</f>
        <v>0.185</v>
      </c>
      <c r="J135" s="31"/>
      <c r="K135" s="161" t="n">
        <v>0</v>
      </c>
      <c r="L135" s="161" t="n">
        <f aca="false">'GAS DAILY VOL DOWNLOAD'!B113+K135</f>
        <v>0.55</v>
      </c>
      <c r="M135" s="5" t="n">
        <f aca="false">A135</f>
        <v>105</v>
      </c>
      <c r="N135" s="162" t="n">
        <f aca="false">VLOOKUP(B135,expiration,3,FALSE())</f>
        <v>40416</v>
      </c>
      <c r="O135" s="101" t="n">
        <f aca="false">VLOOKUP($B135,curvesettle,4,FALSE())</f>
        <v>0.0576591902413206</v>
      </c>
      <c r="U135" s="161" t="n">
        <v>0</v>
      </c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</row>
    <row r="136" customFormat="false" ht="12.75" hidden="false" customHeight="false" outlineLevel="0" collapsed="false">
      <c r="A136" s="110" t="n">
        <f aca="false">A135+1</f>
        <v>106</v>
      </c>
      <c r="B136" s="158" t="n">
        <f aca="false">DATE(YEAR(B135),MONTH(B135)+1,1)</f>
        <v>40452</v>
      </c>
      <c r="C136" s="0"/>
      <c r="D136" s="110" t="n">
        <f aca="false">VLOOKUP($B136,curvesettle,2,FALSE())</f>
        <v>3.775</v>
      </c>
      <c r="E136" s="159" t="n">
        <f aca="false">Q$29</f>
        <v>0.139416666666667</v>
      </c>
      <c r="F136" s="160" t="n">
        <f aca="false">IF(C$1="settle",D136,IF(C$1="EOL",D136+E136,IF(ISNUMBER(C136),C136,D136)))</f>
        <v>3.775</v>
      </c>
      <c r="G136" s="161" t="n">
        <f aca="false">VLOOKUP($B136,curvesettle,3,FALSE())</f>
        <v>0.185</v>
      </c>
      <c r="H136" s="161" t="n">
        <v>0</v>
      </c>
      <c r="I136" s="161" t="n">
        <f aca="false">G136+H136</f>
        <v>0.185</v>
      </c>
      <c r="J136" s="31"/>
      <c r="K136" s="161" t="n">
        <v>0</v>
      </c>
      <c r="L136" s="161" t="n">
        <f aca="false">'GAS DAILY VOL DOWNLOAD'!B114+K136</f>
        <v>0.55</v>
      </c>
      <c r="M136" s="5" t="n">
        <f aca="false">A136</f>
        <v>106</v>
      </c>
      <c r="N136" s="162" t="n">
        <f aca="false">VLOOKUP(B136,expiration,3,FALSE())</f>
        <v>40448</v>
      </c>
      <c r="O136" s="101" t="n">
        <f aca="false">VLOOKUP($B136,curvesettle,4,FALSE())</f>
        <v>0.057759350034984</v>
      </c>
      <c r="U136" s="161" t="n">
        <v>0</v>
      </c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</row>
    <row r="137" customFormat="false" ht="12.75" hidden="false" customHeight="false" outlineLevel="0" collapsed="false">
      <c r="A137" s="110" t="n">
        <f aca="false">A136+1</f>
        <v>107</v>
      </c>
      <c r="B137" s="158" t="n">
        <f aca="false">DATE(YEAR(B136),MONTH(B136)+1,1)</f>
        <v>40483</v>
      </c>
      <c r="C137" s="0"/>
      <c r="D137" s="110" t="n">
        <f aca="false">VLOOKUP($B137,curvesettle,2,FALSE())</f>
        <v>3.927</v>
      </c>
      <c r="E137" s="159" t="n">
        <f aca="false">Q$29</f>
        <v>0.139416666666667</v>
      </c>
      <c r="F137" s="160" t="n">
        <f aca="false">IF(C$1="settle",D137,IF(C$1="EOL",D137+E137,IF(ISNUMBER(C137),C137,D137)))</f>
        <v>3.927</v>
      </c>
      <c r="G137" s="161" t="n">
        <f aca="false">VLOOKUP($B137,curvesettle,3,FALSE())</f>
        <v>0.185</v>
      </c>
      <c r="H137" s="161" t="n">
        <v>0</v>
      </c>
      <c r="I137" s="161" t="n">
        <f aca="false">G137+H137</f>
        <v>0.185</v>
      </c>
      <c r="J137" s="31"/>
      <c r="K137" s="161" t="n">
        <v>0</v>
      </c>
      <c r="L137" s="161" t="n">
        <f aca="false">'GAS DAILY VOL DOWNLOAD'!B115+K137</f>
        <v>0.6</v>
      </c>
      <c r="M137" s="5" t="n">
        <f aca="false">A137</f>
        <v>107</v>
      </c>
      <c r="N137" s="162" t="n">
        <f aca="false">VLOOKUP(B137,expiration,3,FALSE())</f>
        <v>40477</v>
      </c>
      <c r="O137" s="101" t="n">
        <f aca="false">VLOOKUP($B137,curvesettle,4,FALSE())</f>
        <v>0.0578628484919417</v>
      </c>
      <c r="U137" s="161" t="n">
        <v>0</v>
      </c>
      <c r="Y137" s="0"/>
      <c r="Z137" s="0"/>
      <c r="AA137" s="0"/>
      <c r="AB137" s="0"/>
      <c r="AC137" s="0"/>
      <c r="AD137" s="0"/>
      <c r="AE137" s="0"/>
      <c r="AF137" s="0"/>
      <c r="AG137" s="0"/>
      <c r="AH137" s="0"/>
      <c r="AI137" s="0"/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</row>
    <row r="138" customFormat="false" ht="12.75" hidden="false" customHeight="false" outlineLevel="0" collapsed="false">
      <c r="A138" s="110" t="n">
        <f aca="false">A137+1</f>
        <v>108</v>
      </c>
      <c r="B138" s="158" t="n">
        <f aca="false">DATE(YEAR(B137),MONTH(B137)+1,1)</f>
        <v>40513</v>
      </c>
      <c r="C138" s="0"/>
      <c r="D138" s="110" t="n">
        <f aca="false">VLOOKUP($B138,curvesettle,2,FALSE())</f>
        <v>4.07</v>
      </c>
      <c r="E138" s="159" t="n">
        <f aca="false">Q$29</f>
        <v>0.139416666666667</v>
      </c>
      <c r="F138" s="160" t="n">
        <f aca="false">IF(C$1="settle",D138,IF(C$1="EOL",D138+E138,IF(ISNUMBER(C138),C138,D138)))</f>
        <v>4.07</v>
      </c>
      <c r="G138" s="161" t="n">
        <f aca="false">VLOOKUP($B138,curvesettle,3,FALSE())</f>
        <v>0.185</v>
      </c>
      <c r="H138" s="161" t="n">
        <v>0</v>
      </c>
      <c r="I138" s="161" t="n">
        <f aca="false">G138+H138</f>
        <v>0.185</v>
      </c>
      <c r="J138" s="31"/>
      <c r="K138" s="161" t="n">
        <v>0</v>
      </c>
      <c r="L138" s="161" t="n">
        <f aca="false">'GAS DAILY VOL DOWNLOAD'!B116+K138</f>
        <v>0.8</v>
      </c>
      <c r="M138" s="5" t="n">
        <f aca="false">A138</f>
        <v>108</v>
      </c>
      <c r="N138" s="162" t="n">
        <f aca="false">VLOOKUP(B138,expiration,3,FALSE())</f>
        <v>40506</v>
      </c>
      <c r="O138" s="101" t="n">
        <f aca="false">VLOOKUP($B138,curvesettle,4,FALSE())</f>
        <v>0.0579630082923899</v>
      </c>
      <c r="U138" s="161" t="n">
        <v>0</v>
      </c>
      <c r="Y138" s="0"/>
      <c r="Z138" s="0"/>
      <c r="AA138" s="0"/>
      <c r="AB138" s="0"/>
      <c r="AC138" s="0"/>
      <c r="AD138" s="0"/>
      <c r="AE138" s="0"/>
      <c r="AF138" s="0"/>
      <c r="AG138" s="0"/>
      <c r="AH138" s="0"/>
      <c r="AI138" s="0"/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</row>
    <row r="139" customFormat="false" ht="12.75" hidden="false" customHeight="false" outlineLevel="0" collapsed="false">
      <c r="A139" s="110" t="n">
        <f aca="false">A138+1</f>
        <v>109</v>
      </c>
      <c r="B139" s="158" t="n">
        <f aca="false">DATE(YEAR(B138),MONTH(B138)+1,1)</f>
        <v>40544</v>
      </c>
      <c r="C139" s="0"/>
      <c r="D139" s="110" t="n">
        <f aca="false">VLOOKUP($B139,curvesettle,2,FALSE())</f>
        <v>4.1275</v>
      </c>
      <c r="E139" s="159" t="n">
        <f aca="false">Q$29</f>
        <v>0.139416666666667</v>
      </c>
      <c r="F139" s="160" t="n">
        <f aca="false">IF(C$1="settle",D139,IF(C$1="EOL",D139+E139,IF(ISNUMBER(C139),C139,D139)))</f>
        <v>4.1275</v>
      </c>
      <c r="G139" s="161" t="n">
        <f aca="false">VLOOKUP($B139,curvesettle,3,FALSE())</f>
        <v>0.185</v>
      </c>
      <c r="H139" s="161" t="n">
        <v>0</v>
      </c>
      <c r="I139" s="161" t="n">
        <f aca="false">G139+H139</f>
        <v>0.185</v>
      </c>
      <c r="J139" s="31"/>
      <c r="K139" s="161" t="n">
        <v>0</v>
      </c>
      <c r="L139" s="161" t="n">
        <f aca="false">'GAS DAILY VOL DOWNLOAD'!B117+K139</f>
        <v>1</v>
      </c>
      <c r="M139" s="5" t="n">
        <f aca="false">A139</f>
        <v>109</v>
      </c>
      <c r="N139" s="162" t="n">
        <f aca="false">VLOOKUP(B139,expiration,3,FALSE())</f>
        <v>40539</v>
      </c>
      <c r="O139" s="101" t="n">
        <f aca="false">VLOOKUP($B139,curvesettle,4,FALSE())</f>
        <v>0.0580665067563584</v>
      </c>
      <c r="U139" s="161" t="n">
        <v>0</v>
      </c>
      <c r="Y139" s="0"/>
      <c r="Z139" s="0"/>
      <c r="AA139" s="0"/>
      <c r="AB139" s="0"/>
      <c r="AC139" s="0"/>
      <c r="AD139" s="0"/>
      <c r="AE139" s="0"/>
      <c r="AF139" s="0"/>
      <c r="AG139" s="0"/>
      <c r="AH139" s="0"/>
      <c r="AI139" s="0"/>
      <c r="AJ139" s="0"/>
      <c r="AK139" s="0"/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</row>
    <row r="140" customFormat="false" ht="12.75" hidden="false" customHeight="false" outlineLevel="0" collapsed="false">
      <c r="A140" s="110" t="n">
        <f aca="false">A139+1</f>
        <v>110</v>
      </c>
      <c r="B140" s="158" t="n">
        <f aca="false">DATE(YEAR(B139),MONTH(B139)+1,1)</f>
        <v>40575</v>
      </c>
      <c r="C140" s="0"/>
      <c r="D140" s="110" t="n">
        <f aca="false">VLOOKUP($B140,curvesettle,2,FALSE())</f>
        <v>4.0425</v>
      </c>
      <c r="E140" s="159" t="n">
        <f aca="false">Q$29</f>
        <v>0.139416666666667</v>
      </c>
      <c r="F140" s="160" t="n">
        <f aca="false">IF(C$1="settle",D140,IF(C$1="EOL",D140+E140,IF(ISNUMBER(C140),C140,D140)))</f>
        <v>4.0425</v>
      </c>
      <c r="G140" s="161" t="n">
        <f aca="false">VLOOKUP($B140,curvesettle,3,FALSE())</f>
        <v>0.185</v>
      </c>
      <c r="H140" s="161" t="n">
        <v>0</v>
      </c>
      <c r="I140" s="161" t="n">
        <f aca="false">G140+H140</f>
        <v>0.185</v>
      </c>
      <c r="J140" s="31"/>
      <c r="K140" s="161" t="n">
        <v>0</v>
      </c>
      <c r="L140" s="161" t="n">
        <f aca="false">'GAS DAILY VOL DOWNLOAD'!B118+K140</f>
        <v>1</v>
      </c>
      <c r="M140" s="5" t="n">
        <f aca="false">A140</f>
        <v>110</v>
      </c>
      <c r="N140" s="162" t="n">
        <f aca="false">VLOOKUP(B140,expiration,3,FALSE())</f>
        <v>40569</v>
      </c>
      <c r="O140" s="101" t="n">
        <f aca="false">VLOOKUP($B140,curvesettle,4,FALSE())</f>
        <v>0.0581700052238889</v>
      </c>
      <c r="U140" s="161" t="n">
        <v>0</v>
      </c>
      <c r="Y140" s="0"/>
      <c r="Z140" s="0"/>
      <c r="AA140" s="0"/>
      <c r="AB140" s="0"/>
      <c r="AC140" s="0"/>
      <c r="AD140" s="0"/>
      <c r="AE140" s="0"/>
      <c r="AF140" s="0"/>
      <c r="AG140" s="0"/>
      <c r="AH140" s="0"/>
      <c r="AI140" s="0"/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</row>
    <row r="141" customFormat="false" ht="12.75" hidden="false" customHeight="false" outlineLevel="0" collapsed="false">
      <c r="A141" s="110" t="n">
        <f aca="false">A140+1</f>
        <v>111</v>
      </c>
      <c r="B141" s="158" t="n">
        <f aca="false">DATE(YEAR(B140),MONTH(B140)+1,1)</f>
        <v>40603</v>
      </c>
      <c r="C141" s="0"/>
      <c r="D141" s="110" t="n">
        <f aca="false">VLOOKUP($B141,curvesettle,2,FALSE())</f>
        <v>3.9125</v>
      </c>
      <c r="E141" s="159" t="n">
        <f aca="false">Q$29</f>
        <v>0.139416666666667</v>
      </c>
      <c r="F141" s="160" t="n">
        <f aca="false">IF(C$1="settle",D141,IF(C$1="EOL",D141+E141,IF(ISNUMBER(C141),C141,D141)))</f>
        <v>3.9125</v>
      </c>
      <c r="G141" s="161" t="n">
        <f aca="false">VLOOKUP($B141,curvesettle,3,FALSE())</f>
        <v>0.18</v>
      </c>
      <c r="H141" s="161" t="n">
        <v>0</v>
      </c>
      <c r="I141" s="161" t="n">
        <f aca="false">G141+H141</f>
        <v>0.18</v>
      </c>
      <c r="J141" s="31"/>
      <c r="K141" s="161" t="n">
        <v>0</v>
      </c>
      <c r="L141" s="161" t="n">
        <f aca="false">'GAS DAILY VOL DOWNLOAD'!B119+K141</f>
        <v>1</v>
      </c>
      <c r="M141" s="5" t="n">
        <f aca="false">A141</f>
        <v>111</v>
      </c>
      <c r="N141" s="162" t="n">
        <f aca="false">VLOOKUP(B141,expiration,3,FALSE())</f>
        <v>40597</v>
      </c>
      <c r="O141" s="101" t="n">
        <f aca="false">VLOOKUP($B141,curvesettle,4,FALSE())</f>
        <v>0.0582634877137527</v>
      </c>
      <c r="U141" s="161" t="n">
        <v>0</v>
      </c>
      <c r="Y141" s="0"/>
      <c r="Z141" s="0"/>
      <c r="AA141" s="0"/>
      <c r="AB141" s="0"/>
      <c r="AC141" s="0"/>
      <c r="AD141" s="0"/>
      <c r="AE141" s="0"/>
      <c r="AF141" s="0"/>
      <c r="AG141" s="0"/>
      <c r="AH141" s="0"/>
      <c r="AI141" s="0"/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</row>
    <row r="142" customFormat="false" ht="12.75" hidden="false" customHeight="false" outlineLevel="0" collapsed="false">
      <c r="A142" s="110" t="n">
        <f aca="false">A141+1</f>
        <v>112</v>
      </c>
      <c r="B142" s="158" t="n">
        <f aca="false">DATE(YEAR(B141),MONTH(B141)+1,1)</f>
        <v>40634</v>
      </c>
      <c r="C142" s="0"/>
      <c r="D142" s="110" t="n">
        <f aca="false">VLOOKUP($B142,curvesettle,2,FALSE())</f>
        <v>3.7275</v>
      </c>
      <c r="E142" s="159" t="n">
        <f aca="false">Q$29</f>
        <v>0.139416666666667</v>
      </c>
      <c r="F142" s="160" t="n">
        <f aca="false">IF(C$1="settle",D142,IF(C$1="EOL",D142+E142,IF(ISNUMBER(C142),C142,D142)))</f>
        <v>3.7275</v>
      </c>
      <c r="G142" s="161" t="n">
        <f aca="false">VLOOKUP($B142,curvesettle,3,FALSE())</f>
        <v>0.18</v>
      </c>
      <c r="H142" s="161" t="n">
        <v>0</v>
      </c>
      <c r="I142" s="161" t="n">
        <f aca="false">G142+H142</f>
        <v>0.18</v>
      </c>
      <c r="J142" s="31"/>
      <c r="K142" s="161" t="n">
        <v>0</v>
      </c>
      <c r="L142" s="161" t="n">
        <f aca="false">'GAS DAILY VOL DOWNLOAD'!B120+K142</f>
        <v>0.75</v>
      </c>
      <c r="M142" s="5" t="n">
        <f aca="false">A142</f>
        <v>112</v>
      </c>
      <c r="N142" s="162" t="n">
        <f aca="false">VLOOKUP(B142,expiration,3,FALSE())</f>
        <v>40630</v>
      </c>
      <c r="O142" s="101" t="n">
        <f aca="false">VLOOKUP($B142,curvesettle,4,FALSE())</f>
        <v>0.0583669861880636</v>
      </c>
      <c r="U142" s="161" t="n">
        <v>0</v>
      </c>
      <c r="Y142" s="0"/>
      <c r="Z142" s="0"/>
      <c r="AA142" s="0"/>
      <c r="AB142" s="0"/>
      <c r="AC142" s="0"/>
      <c r="AD142" s="0"/>
      <c r="AE142" s="0"/>
      <c r="AF142" s="0"/>
      <c r="AG142" s="0"/>
      <c r="AH142" s="0"/>
      <c r="AI142" s="0"/>
      <c r="AJ142" s="0"/>
      <c r="AK142" s="0"/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</row>
    <row r="143" customFormat="false" ht="12.75" hidden="false" customHeight="false" outlineLevel="0" collapsed="false">
      <c r="A143" s="110" t="n">
        <f aca="false">A142+1</f>
        <v>113</v>
      </c>
      <c r="B143" s="158" t="n">
        <f aca="false">DATE(YEAR(B142),MONTH(B142)+1,1)</f>
        <v>40664</v>
      </c>
      <c r="C143" s="0"/>
      <c r="D143" s="110" t="n">
        <f aca="false">VLOOKUP($B143,curvesettle,2,FALSE())</f>
        <v>3.7225</v>
      </c>
      <c r="E143" s="159" t="n">
        <f aca="false">Q$29</f>
        <v>0.139416666666667</v>
      </c>
      <c r="F143" s="160" t="n">
        <f aca="false">IF(C$1="settle",D143,IF(C$1="EOL",D143+E143,IF(ISNUMBER(C143),C143,D143)))</f>
        <v>3.7225</v>
      </c>
      <c r="G143" s="161" t="n">
        <f aca="false">VLOOKUP($B143,curvesettle,3,FALSE())</f>
        <v>0.18</v>
      </c>
      <c r="H143" s="161" t="n">
        <v>0</v>
      </c>
      <c r="I143" s="161" t="n">
        <f aca="false">G143+H143</f>
        <v>0.18</v>
      </c>
      <c r="J143" s="31"/>
      <c r="K143" s="161" t="n">
        <v>0</v>
      </c>
      <c r="L143" s="161" t="n">
        <f aca="false">'GAS DAILY VOL DOWNLOAD'!B121+K143</f>
        <v>0.4</v>
      </c>
      <c r="M143" s="5" t="n">
        <f aca="false">A143</f>
        <v>113</v>
      </c>
      <c r="N143" s="162" t="n">
        <f aca="false">VLOOKUP(B143,expiration,3,FALSE())</f>
        <v>40659</v>
      </c>
      <c r="O143" s="101" t="n">
        <f aca="false">VLOOKUP($B143,curvesettle,4,FALSE())</f>
        <v>0.0584671460053037</v>
      </c>
      <c r="U143" s="161" t="n">
        <v>0</v>
      </c>
      <c r="Y143" s="0"/>
      <c r="Z143" s="0"/>
      <c r="AA143" s="0"/>
      <c r="AB143" s="0"/>
      <c r="AC143" s="0"/>
      <c r="AD143" s="0"/>
      <c r="AE143" s="0"/>
      <c r="AF143" s="0"/>
      <c r="AG143" s="0"/>
      <c r="AH143" s="0"/>
      <c r="AI143" s="0"/>
      <c r="AJ143" s="0"/>
      <c r="AK143" s="0"/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</row>
    <row r="144" customFormat="false" ht="12.75" hidden="false" customHeight="false" outlineLevel="0" collapsed="false">
      <c r="A144" s="110" t="n">
        <f aca="false">A143+1</f>
        <v>114</v>
      </c>
      <c r="B144" s="158" t="n">
        <f aca="false">DATE(YEAR(B143),MONTH(B143)+1,1)</f>
        <v>40695</v>
      </c>
      <c r="C144" s="0"/>
      <c r="D144" s="110" t="n">
        <f aca="false">VLOOKUP($B144,curvesettle,2,FALSE())</f>
        <v>3.7575</v>
      </c>
      <c r="E144" s="159" t="n">
        <f aca="false">Q$29</f>
        <v>0.139416666666667</v>
      </c>
      <c r="F144" s="160" t="n">
        <f aca="false">IF(C$1="settle",D144,IF(C$1="EOL",D144+E144,IF(ISNUMBER(C144),C144,D144)))</f>
        <v>3.7575</v>
      </c>
      <c r="G144" s="161" t="n">
        <f aca="false">VLOOKUP($B144,curvesettle,3,FALSE())</f>
        <v>0.18</v>
      </c>
      <c r="H144" s="161" t="n">
        <v>0</v>
      </c>
      <c r="I144" s="161" t="n">
        <f aca="false">G144+H144</f>
        <v>0.18</v>
      </c>
      <c r="J144" s="31"/>
      <c r="K144" s="161" t="n">
        <v>0</v>
      </c>
      <c r="L144" s="161" t="n">
        <f aca="false">'GAS DAILY VOL DOWNLOAD'!B122+K144</f>
        <v>0.45</v>
      </c>
      <c r="M144" s="5" t="n">
        <f aca="false">A144</f>
        <v>114</v>
      </c>
      <c r="N144" s="162" t="n">
        <f aca="false">VLOOKUP(B144,expiration,3,FALSE())</f>
        <v>40688</v>
      </c>
      <c r="O144" s="101" t="n">
        <f aca="false">VLOOKUP($B144,curvesettle,4,FALSE())</f>
        <v>0.0585706444866236</v>
      </c>
      <c r="U144" s="161" t="n">
        <v>0</v>
      </c>
      <c r="Y144" s="0"/>
      <c r="Z144" s="0"/>
      <c r="AA144" s="0"/>
      <c r="AB144" s="0"/>
      <c r="AC144" s="0"/>
      <c r="AD144" s="0"/>
      <c r="AE144" s="0"/>
      <c r="AF144" s="0"/>
      <c r="AG144" s="0"/>
      <c r="AH144" s="0"/>
      <c r="AI144" s="0"/>
      <c r="AJ144" s="0"/>
      <c r="AK144" s="0"/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</row>
    <row r="145" customFormat="false" ht="12.75" hidden="false" customHeight="false" outlineLevel="0" collapsed="false">
      <c r="A145" s="110" t="n">
        <f aca="false">A144+1</f>
        <v>115</v>
      </c>
      <c r="B145" s="158" t="n">
        <f aca="false">DATE(YEAR(B144),MONTH(B144)+1,1)</f>
        <v>40725</v>
      </c>
      <c r="C145" s="0"/>
      <c r="D145" s="110" t="n">
        <f aca="false">VLOOKUP($B145,curvesettle,2,FALSE())</f>
        <v>3.7975</v>
      </c>
      <c r="E145" s="159" t="n">
        <f aca="false">Q$29</f>
        <v>0.139416666666667</v>
      </c>
      <c r="F145" s="160" t="n">
        <f aca="false">IF(C$1="settle",D145,IF(C$1="EOL",D145+E145,IF(ISNUMBER(C145),C145,D145)))</f>
        <v>3.7975</v>
      </c>
      <c r="G145" s="161" t="n">
        <f aca="false">VLOOKUP($B145,curvesettle,3,FALSE())</f>
        <v>0.18</v>
      </c>
      <c r="H145" s="161" t="n">
        <v>0</v>
      </c>
      <c r="I145" s="161" t="n">
        <f aca="false">G145+H145</f>
        <v>0.18</v>
      </c>
      <c r="J145" s="31"/>
      <c r="K145" s="161" t="n">
        <v>0</v>
      </c>
      <c r="L145" s="161" t="n">
        <f aca="false">'GAS DAILY VOL DOWNLOAD'!B123+K145</f>
        <v>0.45</v>
      </c>
      <c r="M145" s="5" t="n">
        <f aca="false">A145</f>
        <v>115</v>
      </c>
      <c r="N145" s="162" t="n">
        <f aca="false">VLOOKUP(B145,expiration,3,FALSE())</f>
        <v>40721</v>
      </c>
      <c r="O145" s="101" t="n">
        <f aca="false">VLOOKUP($B145,curvesettle,4,FALSE())</f>
        <v>0.0586708043106468</v>
      </c>
      <c r="U145" s="161" t="n">
        <v>0</v>
      </c>
      <c r="Y145" s="0"/>
      <c r="Z145" s="0"/>
      <c r="AA145" s="0"/>
      <c r="AB145" s="0"/>
      <c r="AC145" s="0"/>
      <c r="AD145" s="0"/>
      <c r="AE145" s="0"/>
      <c r="AF145" s="0"/>
      <c r="AG145" s="0"/>
      <c r="AH145" s="0"/>
      <c r="AI145" s="0"/>
      <c r="AJ145" s="0"/>
      <c r="AK145" s="0"/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</row>
    <row r="146" customFormat="false" ht="12.75" hidden="false" customHeight="false" outlineLevel="0" collapsed="false">
      <c r="A146" s="110" t="n">
        <f aca="false">A145+1</f>
        <v>116</v>
      </c>
      <c r="B146" s="158" t="n">
        <f aca="false">DATE(YEAR(B145),MONTH(B145)+1,1)</f>
        <v>40756</v>
      </c>
      <c r="C146" s="0"/>
      <c r="D146" s="110" t="n">
        <f aca="false">VLOOKUP($B146,curvesettle,2,FALSE())</f>
        <v>3.8375</v>
      </c>
      <c r="E146" s="159" t="n">
        <f aca="false">Q$29</f>
        <v>0.139416666666667</v>
      </c>
      <c r="F146" s="160" t="n">
        <f aca="false">IF(C$1="settle",D146,IF(C$1="EOL",D146+E146,IF(ISNUMBER(C146),C146,D146)))</f>
        <v>3.8375</v>
      </c>
      <c r="G146" s="161" t="n">
        <f aca="false">VLOOKUP($B146,curvesettle,3,FALSE())</f>
        <v>0.18</v>
      </c>
      <c r="H146" s="161" t="n">
        <v>0</v>
      </c>
      <c r="I146" s="161" t="n">
        <f aca="false">G146+H146</f>
        <v>0.18</v>
      </c>
      <c r="J146" s="31"/>
      <c r="K146" s="161" t="n">
        <v>0</v>
      </c>
      <c r="L146" s="161" t="n">
        <f aca="false">'GAS DAILY VOL DOWNLOAD'!B124+K146</f>
        <v>0.5</v>
      </c>
      <c r="M146" s="5" t="n">
        <f aca="false">A146</f>
        <v>116</v>
      </c>
      <c r="N146" s="162" t="n">
        <f aca="false">VLOOKUP(B146,expiration,3,FALSE())</f>
        <v>40750</v>
      </c>
      <c r="O146" s="101" t="n">
        <f aca="false">VLOOKUP($B146,curvesettle,4,FALSE())</f>
        <v>0.0587743027989744</v>
      </c>
      <c r="U146" s="161" t="n">
        <v>0</v>
      </c>
      <c r="Y146" s="0"/>
      <c r="Z146" s="0"/>
      <c r="AA146" s="0"/>
      <c r="AB146" s="0"/>
      <c r="AC146" s="0"/>
      <c r="AD146" s="0"/>
      <c r="AE146" s="0"/>
      <c r="AF146" s="0"/>
      <c r="AG146" s="0"/>
      <c r="AH146" s="0"/>
      <c r="AI146" s="0"/>
      <c r="AJ146" s="0"/>
      <c r="AK146" s="0"/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</row>
    <row r="147" customFormat="false" ht="12.75" hidden="false" customHeight="false" outlineLevel="0" collapsed="false">
      <c r="A147" s="110" t="n">
        <f aca="false">A146+1</f>
        <v>117</v>
      </c>
      <c r="B147" s="158" t="n">
        <f aca="false">DATE(YEAR(B146),MONTH(B146)+1,1)</f>
        <v>40787</v>
      </c>
      <c r="C147" s="0"/>
      <c r="D147" s="110" t="n">
        <f aca="false">VLOOKUP($B147,curvesettle,2,FALSE())</f>
        <v>3.8325</v>
      </c>
      <c r="E147" s="159" t="n">
        <f aca="false">Q$29</f>
        <v>0.139416666666667</v>
      </c>
      <c r="F147" s="160" t="n">
        <f aca="false">IF(C$1="settle",D147,IF(C$1="EOL",D147+E147,IF(ISNUMBER(C147),C147,D147)))</f>
        <v>3.8325</v>
      </c>
      <c r="G147" s="161" t="n">
        <f aca="false">VLOOKUP($B147,curvesettle,3,FALSE())</f>
        <v>0.18</v>
      </c>
      <c r="H147" s="161" t="n">
        <v>0</v>
      </c>
      <c r="I147" s="161" t="n">
        <f aca="false">G147+H147</f>
        <v>0.18</v>
      </c>
      <c r="J147" s="31"/>
      <c r="K147" s="161" t="n">
        <v>0</v>
      </c>
      <c r="L147" s="161" t="n">
        <f aca="false">'GAS DAILY VOL DOWNLOAD'!B125+K147</f>
        <v>0.55</v>
      </c>
      <c r="M147" s="5" t="n">
        <f aca="false">A147</f>
        <v>117</v>
      </c>
      <c r="N147" s="162" t="n">
        <f aca="false">VLOOKUP(B147,expiration,3,FALSE())</f>
        <v>40781</v>
      </c>
      <c r="O147" s="101" t="n">
        <f aca="false">VLOOKUP($B147,curvesettle,4,FALSE())</f>
        <v>0.0588778012908637</v>
      </c>
      <c r="U147" s="161" t="n">
        <v>0</v>
      </c>
      <c r="Y147" s="0"/>
      <c r="Z147" s="0"/>
      <c r="AA147" s="0"/>
      <c r="AB147" s="0"/>
      <c r="AC147" s="0"/>
      <c r="AD147" s="0"/>
      <c r="AE147" s="0"/>
      <c r="AF147" s="0"/>
      <c r="AG147" s="0"/>
      <c r="AH147" s="0"/>
      <c r="AI147" s="0"/>
      <c r="AJ147" s="0"/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</row>
    <row r="148" customFormat="false" ht="12.75" hidden="false" customHeight="false" outlineLevel="0" collapsed="false">
      <c r="A148" s="110" t="n">
        <f aca="false">A147+1</f>
        <v>118</v>
      </c>
      <c r="B148" s="158" t="n">
        <f aca="false">DATE(YEAR(B147),MONTH(B147)+1,1)</f>
        <v>40817</v>
      </c>
      <c r="C148" s="0"/>
      <c r="D148" s="110" t="n">
        <f aca="false">VLOOKUP($B148,curvesettle,2,FALSE())</f>
        <v>3.8575</v>
      </c>
      <c r="E148" s="159" t="n">
        <f aca="false">Q$29</f>
        <v>0.139416666666667</v>
      </c>
      <c r="F148" s="160" t="n">
        <f aca="false">IF(C$1="settle",D148,IF(C$1="EOL",D148+E148,IF(ISNUMBER(C148),C148,D148)))</f>
        <v>3.8575</v>
      </c>
      <c r="G148" s="161" t="n">
        <f aca="false">VLOOKUP($B148,curvesettle,3,FALSE())</f>
        <v>0.18</v>
      </c>
      <c r="H148" s="161" t="n">
        <v>0</v>
      </c>
      <c r="I148" s="161" t="n">
        <f aca="false">G148+H148</f>
        <v>0.18</v>
      </c>
      <c r="J148" s="31"/>
      <c r="K148" s="161" t="n">
        <v>0</v>
      </c>
      <c r="L148" s="161" t="n">
        <f aca="false">'GAS DAILY VOL DOWNLOAD'!B126+K148</f>
        <v>0.55</v>
      </c>
      <c r="M148" s="5" t="n">
        <f aca="false">A148</f>
        <v>118</v>
      </c>
      <c r="N148" s="162" t="n">
        <f aca="false">VLOOKUP(B148,expiration,3,FALSE())</f>
        <v>40813</v>
      </c>
      <c r="O148" s="101" t="n">
        <f aca="false">VLOOKUP($B148,curvesettle,4,FALSE())</f>
        <v>0.0589779611251142</v>
      </c>
      <c r="U148" s="161" t="n">
        <v>0</v>
      </c>
      <c r="Y148" s="0"/>
      <c r="Z148" s="0"/>
      <c r="AA148" s="0"/>
      <c r="AB148" s="0"/>
      <c r="AC148" s="0"/>
      <c r="AD148" s="0"/>
      <c r="AE148" s="0"/>
      <c r="AF148" s="0"/>
      <c r="AG148" s="0"/>
      <c r="AH148" s="0"/>
      <c r="AI148" s="0"/>
      <c r="AJ148" s="0"/>
      <c r="AK148" s="0"/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</row>
    <row r="149" customFormat="false" ht="12.75" hidden="false" customHeight="false" outlineLevel="0" collapsed="false">
      <c r="A149" s="110" t="n">
        <f aca="false">A148+1</f>
        <v>119</v>
      </c>
      <c r="B149" s="158" t="n">
        <f aca="false">DATE(YEAR(B148),MONTH(B148)+1,1)</f>
        <v>40848</v>
      </c>
      <c r="C149" s="0"/>
      <c r="D149" s="110" t="n">
        <f aca="false">VLOOKUP($B149,curvesettle,2,FALSE())</f>
        <v>4.0095</v>
      </c>
      <c r="E149" s="159" t="n">
        <f aca="false">Q$29</f>
        <v>0.139416666666667</v>
      </c>
      <c r="F149" s="160" t="n">
        <f aca="false">IF(C$1="settle",D149,IF(C$1="EOL",D149+E149,IF(ISNUMBER(C149),C149,D149)))</f>
        <v>4.0095</v>
      </c>
      <c r="G149" s="161" t="n">
        <f aca="false">VLOOKUP($B149,curvesettle,3,FALSE())</f>
        <v>0.18</v>
      </c>
      <c r="H149" s="161" t="n">
        <v>0</v>
      </c>
      <c r="I149" s="161" t="n">
        <f aca="false">G149+H149</f>
        <v>0.18</v>
      </c>
      <c r="J149" s="31"/>
      <c r="K149" s="161" t="n">
        <v>0</v>
      </c>
      <c r="L149" s="161" t="n">
        <f aca="false">'GAS DAILY VOL DOWNLOAD'!B127+K149</f>
        <v>0.6</v>
      </c>
      <c r="M149" s="5" t="n">
        <f aca="false">A149</f>
        <v>119</v>
      </c>
      <c r="N149" s="162" t="n">
        <f aca="false">VLOOKUP(B149,expiration,3,FALSE())</f>
        <v>40842</v>
      </c>
      <c r="O149" s="101" t="n">
        <f aca="false">VLOOKUP($B149,curvesettle,4,FALSE())</f>
        <v>0.0590814596240108</v>
      </c>
      <c r="U149" s="161" t="n">
        <v>0</v>
      </c>
      <c r="Y149" s="0"/>
      <c r="Z149" s="0"/>
      <c r="AA149" s="0"/>
      <c r="AB149" s="0"/>
      <c r="AC149" s="0"/>
      <c r="AD149" s="0"/>
      <c r="AE149" s="0"/>
      <c r="AF149" s="0"/>
      <c r="AG149" s="0"/>
      <c r="AH149" s="0"/>
      <c r="AI149" s="0"/>
      <c r="AJ149" s="0"/>
      <c r="AK149" s="0"/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</row>
    <row r="150" customFormat="false" ht="12.75" hidden="false" customHeight="false" outlineLevel="0" collapsed="false">
      <c r="A150" s="110" t="n">
        <f aca="false">A149+1</f>
        <v>120</v>
      </c>
      <c r="B150" s="158" t="n">
        <f aca="false">DATE(YEAR(B149),MONTH(B149)+1,1)</f>
        <v>40878</v>
      </c>
      <c r="C150" s="0"/>
      <c r="D150" s="110" t="n">
        <f aca="false">VLOOKUP($B150,curvesettle,2,FALSE())</f>
        <v>4.1525</v>
      </c>
      <c r="E150" s="159" t="n">
        <f aca="false">Q$29</f>
        <v>0.139416666666667</v>
      </c>
      <c r="F150" s="160" t="n">
        <f aca="false">IF(C$1="settle",D150,IF(C$1="EOL",D150+E150,IF(ISNUMBER(C150),C150,D150)))</f>
        <v>4.1525</v>
      </c>
      <c r="G150" s="161" t="n">
        <f aca="false">VLOOKUP($B150,curvesettle,3,FALSE())</f>
        <v>0.18</v>
      </c>
      <c r="H150" s="161" t="n">
        <v>0</v>
      </c>
      <c r="I150" s="161" t="n">
        <f aca="false">G150+H150</f>
        <v>0.18</v>
      </c>
      <c r="J150" s="31"/>
      <c r="K150" s="161" t="n">
        <v>0</v>
      </c>
      <c r="L150" s="161" t="n">
        <f aca="false">'GAS DAILY VOL DOWNLOAD'!B128+K150</f>
        <v>0.8</v>
      </c>
      <c r="M150" s="5" t="n">
        <f aca="false">A150</f>
        <v>120</v>
      </c>
      <c r="N150" s="162" t="n">
        <f aca="false">VLOOKUP(B150,expiration,3,FALSE())</f>
        <v>40872</v>
      </c>
      <c r="O150" s="101" t="n">
        <f aca="false">VLOOKUP($B150,curvesettle,4,FALSE())</f>
        <v>0.0591816194650425</v>
      </c>
      <c r="U150" s="161" t="n">
        <v>0</v>
      </c>
      <c r="Y150" s="0"/>
      <c r="Z150" s="0"/>
      <c r="AA150" s="0"/>
      <c r="AB150" s="0"/>
      <c r="AC150" s="0"/>
      <c r="AD150" s="0"/>
      <c r="AE150" s="0"/>
      <c r="AF150" s="0"/>
      <c r="AG150" s="0"/>
      <c r="AH150" s="0"/>
      <c r="AI150" s="0"/>
      <c r="AJ150" s="0"/>
      <c r="AK150" s="0"/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</row>
    <row r="151" customFormat="false" ht="12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161" t="n">
        <v>0</v>
      </c>
      <c r="I151" s="0"/>
      <c r="J151" s="0"/>
      <c r="K151" s="161" t="n">
        <v>0</v>
      </c>
      <c r="M151" s="0"/>
      <c r="N151" s="0"/>
      <c r="O151" s="0"/>
      <c r="P151" s="0"/>
      <c r="Q151" s="0"/>
      <c r="R151" s="0"/>
      <c r="S151" s="0"/>
      <c r="T151" s="0"/>
      <c r="U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</row>
    <row r="152" customFormat="false" ht="12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161" t="n">
        <v>0</v>
      </c>
      <c r="I152" s="0"/>
      <c r="J152" s="0"/>
      <c r="K152" s="161" t="n">
        <v>0</v>
      </c>
      <c r="M152" s="0"/>
      <c r="N152" s="0"/>
      <c r="O152" s="0"/>
      <c r="P152" s="0"/>
      <c r="Q152" s="0"/>
      <c r="R152" s="0"/>
      <c r="S152" s="0"/>
      <c r="T152" s="0"/>
      <c r="U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</row>
    <row r="153" customFormat="false" ht="12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161" t="n">
        <v>0</v>
      </c>
      <c r="I153" s="0"/>
      <c r="J153" s="0"/>
      <c r="K153" s="161" t="n">
        <v>0</v>
      </c>
      <c r="M153" s="0"/>
      <c r="N153" s="0"/>
      <c r="O153" s="0"/>
      <c r="P153" s="0"/>
      <c r="Q153" s="0"/>
      <c r="R153" s="0"/>
      <c r="S153" s="0"/>
      <c r="T153" s="0"/>
      <c r="U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</row>
    <row r="154" customFormat="false" ht="12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161" t="n">
        <v>0</v>
      </c>
      <c r="I154" s="0"/>
      <c r="J154" s="0"/>
      <c r="K154" s="161" t="n">
        <v>0</v>
      </c>
      <c r="M154" s="0"/>
      <c r="N154" s="0"/>
      <c r="O154" s="0"/>
      <c r="P154" s="0"/>
      <c r="Q154" s="0"/>
      <c r="R154" s="0"/>
      <c r="S154" s="0"/>
      <c r="T154" s="0"/>
      <c r="U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</row>
    <row r="155" customFormat="false" ht="12.75" hidden="false" customHeight="false" outlineLevel="0" collapsed="false">
      <c r="A155" s="0"/>
      <c r="B155" s="0"/>
      <c r="C155" s="0"/>
      <c r="D155" s="0"/>
      <c r="E155" s="0"/>
      <c r="F155" s="0"/>
      <c r="G155" s="0"/>
      <c r="H155" s="161" t="n">
        <v>0</v>
      </c>
      <c r="I155" s="0"/>
      <c r="J155" s="0"/>
      <c r="K155" s="161" t="n">
        <v>0</v>
      </c>
      <c r="M155" s="0"/>
      <c r="N155" s="0"/>
      <c r="O155" s="0"/>
      <c r="P155" s="0"/>
      <c r="Q155" s="0"/>
      <c r="R155" s="0"/>
      <c r="S155" s="0"/>
      <c r="T155" s="0"/>
      <c r="U155" s="0"/>
      <c r="V155" s="0"/>
      <c r="W155" s="0"/>
      <c r="X155" s="0"/>
      <c r="Y155" s="0"/>
      <c r="Z155" s="0"/>
      <c r="AA155" s="0"/>
      <c r="AB155" s="0"/>
      <c r="AC155" s="0"/>
      <c r="AD155" s="0"/>
      <c r="AE155" s="0"/>
      <c r="AF155" s="0"/>
      <c r="AG155" s="0"/>
      <c r="AH155" s="0"/>
      <c r="AI155" s="0"/>
      <c r="AJ155" s="0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</row>
    <row r="156" customFormat="false" ht="12.75" hidden="false" customHeight="false" outlineLevel="0" collapsed="false">
      <c r="A156" s="0"/>
      <c r="B156" s="0"/>
      <c r="C156" s="0"/>
      <c r="D156" s="0"/>
      <c r="E156" s="0"/>
      <c r="F156" s="0"/>
      <c r="G156" s="0"/>
      <c r="H156" s="161" t="n">
        <v>0</v>
      </c>
      <c r="I156" s="0"/>
      <c r="J156" s="0"/>
      <c r="K156" s="161" t="n">
        <v>0</v>
      </c>
      <c r="M156" s="0"/>
      <c r="N156" s="0"/>
      <c r="O156" s="0"/>
      <c r="P156" s="0"/>
      <c r="Q156" s="0"/>
      <c r="R156" s="0"/>
      <c r="S156" s="0"/>
      <c r="T156" s="0"/>
      <c r="U156" s="0"/>
      <c r="V156" s="0"/>
      <c r="W156" s="0"/>
      <c r="X156" s="0"/>
      <c r="Y156" s="0"/>
      <c r="Z156" s="0"/>
      <c r="AA156" s="0"/>
      <c r="AB156" s="0"/>
      <c r="AC156" s="0"/>
      <c r="AD156" s="0"/>
      <c r="AE156" s="0"/>
      <c r="AF156" s="0"/>
      <c r="AG156" s="0"/>
      <c r="AH156" s="0"/>
      <c r="AI156" s="0"/>
      <c r="AJ156" s="0"/>
      <c r="AK156" s="0"/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</row>
    <row r="157" customFormat="false" ht="12.75" hidden="false" customHeight="false" outlineLevel="0" collapsed="false">
      <c r="A157" s="0"/>
      <c r="B157" s="0"/>
      <c r="C157" s="0"/>
      <c r="D157" s="0"/>
      <c r="E157" s="0"/>
      <c r="F157" s="0"/>
      <c r="G157" s="0"/>
      <c r="H157" s="161" t="n">
        <v>0</v>
      </c>
      <c r="I157" s="0"/>
      <c r="J157" s="0"/>
      <c r="K157" s="161" t="n">
        <v>0</v>
      </c>
      <c r="M157" s="0"/>
      <c r="N157" s="0"/>
      <c r="O157" s="0"/>
      <c r="P157" s="0"/>
      <c r="Q157" s="0"/>
      <c r="R157" s="0"/>
      <c r="S157" s="0"/>
      <c r="T157" s="0"/>
      <c r="U157" s="0"/>
      <c r="V157" s="0"/>
      <c r="W157" s="0"/>
      <c r="X157" s="0"/>
      <c r="Y157" s="0"/>
      <c r="Z157" s="0"/>
      <c r="AA157" s="0"/>
      <c r="AB157" s="0"/>
      <c r="AC157" s="0"/>
      <c r="AD157" s="0"/>
      <c r="AE157" s="0"/>
      <c r="AF157" s="0"/>
      <c r="AG157" s="0"/>
      <c r="AH157" s="0"/>
      <c r="AI157" s="0"/>
      <c r="AJ157" s="0"/>
      <c r="AK157" s="0"/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</row>
    <row r="158" customFormat="false" ht="12.75" hidden="false" customHeight="false" outlineLevel="0" collapsed="false">
      <c r="A158" s="0"/>
      <c r="B158" s="0"/>
      <c r="C158" s="0"/>
      <c r="D158" s="0"/>
      <c r="E158" s="0"/>
      <c r="F158" s="0"/>
      <c r="G158" s="0"/>
      <c r="H158" s="161" t="n">
        <v>0</v>
      </c>
      <c r="I158" s="0"/>
      <c r="J158" s="0"/>
      <c r="K158" s="161" t="n">
        <v>0</v>
      </c>
      <c r="M158" s="0"/>
      <c r="N158" s="0"/>
      <c r="O158" s="0"/>
      <c r="P158" s="0"/>
      <c r="Q158" s="0"/>
      <c r="R158" s="0"/>
      <c r="S158" s="0"/>
      <c r="T158" s="0"/>
      <c r="U158" s="0"/>
      <c r="V158" s="0"/>
      <c r="W158" s="0"/>
      <c r="X158" s="0"/>
      <c r="Y158" s="0"/>
      <c r="Z158" s="0"/>
      <c r="AA158" s="0"/>
      <c r="AB158" s="0"/>
      <c r="AC158" s="0"/>
      <c r="AD158" s="0"/>
      <c r="AE158" s="0"/>
      <c r="AF158" s="0"/>
      <c r="AG158" s="0"/>
      <c r="AH158" s="0"/>
      <c r="AI158" s="0"/>
      <c r="AJ158" s="0"/>
      <c r="AK158" s="0"/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0"/>
      <c r="BB158" s="0"/>
    </row>
    <row r="159" customFormat="false" ht="12.75" hidden="false" customHeight="false" outlineLevel="0" collapsed="false">
      <c r="A159" s="0"/>
      <c r="B159" s="0"/>
      <c r="C159" s="0"/>
      <c r="D159" s="0"/>
      <c r="E159" s="0"/>
      <c r="F159" s="0"/>
      <c r="G159" s="0"/>
      <c r="H159" s="161" t="n">
        <v>0</v>
      </c>
      <c r="I159" s="0"/>
      <c r="J159" s="0"/>
      <c r="K159" s="161" t="n">
        <v>0</v>
      </c>
      <c r="M159" s="0"/>
      <c r="N159" s="0"/>
      <c r="O159" s="0"/>
      <c r="P159" s="0"/>
      <c r="Q159" s="0"/>
      <c r="R159" s="0"/>
      <c r="S159" s="0"/>
      <c r="T159" s="0"/>
      <c r="U159" s="0"/>
      <c r="V159" s="0"/>
      <c r="W159" s="0"/>
      <c r="X159" s="0"/>
      <c r="Y159" s="0"/>
      <c r="Z159" s="0"/>
      <c r="AA159" s="0"/>
      <c r="AB159" s="0"/>
      <c r="AC159" s="0"/>
      <c r="AD159" s="0"/>
      <c r="AE159" s="0"/>
      <c r="AF159" s="0"/>
      <c r="AG159" s="0"/>
      <c r="AH159" s="0"/>
      <c r="AI159" s="0"/>
      <c r="AJ159" s="0"/>
      <c r="AK159" s="0"/>
      <c r="AL159" s="0"/>
      <c r="AM159" s="0"/>
      <c r="AN159" s="0"/>
      <c r="AO159" s="0"/>
      <c r="AP159" s="0"/>
      <c r="AQ159" s="0"/>
      <c r="AR159" s="0"/>
      <c r="AS159" s="0"/>
      <c r="AT159" s="0"/>
      <c r="AU159" s="0"/>
      <c r="AV159" s="0"/>
      <c r="AW159" s="0"/>
      <c r="AX159" s="0"/>
      <c r="AY159" s="0"/>
      <c r="AZ159" s="0"/>
      <c r="BA159" s="0"/>
      <c r="BB159" s="0"/>
    </row>
    <row r="160" customFormat="false" ht="12.75" hidden="false" customHeight="false" outlineLevel="0" collapsed="false">
      <c r="A160" s="0"/>
      <c r="B160" s="0"/>
      <c r="C160" s="0"/>
      <c r="D160" s="0"/>
      <c r="E160" s="0"/>
      <c r="F160" s="0"/>
      <c r="G160" s="0"/>
      <c r="H160" s="161" t="n">
        <v>0</v>
      </c>
      <c r="I160" s="0"/>
      <c r="J160" s="0"/>
      <c r="K160" s="161" t="n">
        <v>0</v>
      </c>
      <c r="M160" s="0"/>
      <c r="N160" s="0"/>
      <c r="O160" s="0"/>
      <c r="P160" s="0"/>
      <c r="Q160" s="0"/>
      <c r="R160" s="0"/>
      <c r="S160" s="0"/>
      <c r="T160" s="0"/>
      <c r="U160" s="0"/>
      <c r="V160" s="0"/>
      <c r="W160" s="0"/>
      <c r="X160" s="0"/>
      <c r="Y160" s="0"/>
      <c r="Z160" s="0"/>
      <c r="AA160" s="0"/>
      <c r="AB160" s="0"/>
      <c r="AC160" s="0"/>
      <c r="AD160" s="0"/>
      <c r="AE160" s="0"/>
      <c r="AF160" s="0"/>
      <c r="AG160" s="0"/>
      <c r="AH160" s="0"/>
      <c r="AI160" s="0"/>
      <c r="AJ160" s="0"/>
      <c r="AK160" s="0"/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</row>
    <row r="161" customFormat="false" ht="12.75" hidden="false" customHeight="false" outlineLevel="0" collapsed="false">
      <c r="A161" s="0"/>
      <c r="B161" s="0"/>
      <c r="C161" s="0"/>
      <c r="D161" s="0"/>
      <c r="E161" s="0"/>
      <c r="F161" s="0"/>
      <c r="G161" s="0"/>
      <c r="H161" s="161" t="n">
        <v>0</v>
      </c>
      <c r="I161" s="0"/>
      <c r="J161" s="0"/>
      <c r="K161" s="161" t="n">
        <v>0</v>
      </c>
      <c r="M161" s="0"/>
      <c r="N161" s="0"/>
      <c r="O161" s="0"/>
      <c r="P161" s="0"/>
      <c r="Q161" s="0"/>
      <c r="R161" s="0"/>
      <c r="S161" s="0"/>
      <c r="T161" s="0"/>
      <c r="U161" s="0"/>
      <c r="V161" s="0"/>
      <c r="W161" s="0"/>
      <c r="X161" s="0"/>
      <c r="Y161" s="0"/>
      <c r="Z161" s="0"/>
      <c r="AA161" s="0"/>
      <c r="AB161" s="0"/>
      <c r="AC161" s="0"/>
      <c r="AD161" s="0"/>
      <c r="AE161" s="0"/>
      <c r="AF161" s="0"/>
      <c r="AG161" s="0"/>
      <c r="AH161" s="0"/>
      <c r="AI161" s="0"/>
      <c r="AJ161" s="0"/>
      <c r="AK161" s="0"/>
      <c r="AL161" s="0"/>
      <c r="AM161" s="0"/>
      <c r="AN161" s="0"/>
      <c r="AO161" s="0"/>
      <c r="AP161" s="0"/>
      <c r="AQ161" s="0"/>
      <c r="AR161" s="0"/>
      <c r="AS161" s="0"/>
      <c r="AT161" s="0"/>
      <c r="AU161" s="0"/>
      <c r="AV161" s="0"/>
      <c r="AW161" s="0"/>
      <c r="AX161" s="0"/>
      <c r="AY161" s="0"/>
      <c r="AZ161" s="0"/>
      <c r="BA161" s="0"/>
      <c r="BB161" s="0"/>
    </row>
    <row r="162" customFormat="false" ht="12.75" hidden="false" customHeight="false" outlineLevel="0" collapsed="false">
      <c r="A162" s="0"/>
      <c r="B162" s="0"/>
      <c r="C162" s="0"/>
      <c r="D162" s="0"/>
      <c r="E162" s="0"/>
      <c r="F162" s="0"/>
      <c r="G162" s="0"/>
      <c r="H162" s="161" t="n">
        <v>0</v>
      </c>
      <c r="I162" s="0"/>
      <c r="J162" s="0"/>
      <c r="K162" s="161" t="n">
        <v>0</v>
      </c>
      <c r="L162" s="0"/>
      <c r="M162" s="0"/>
      <c r="N162" s="0"/>
      <c r="O162" s="0"/>
      <c r="P162" s="0"/>
      <c r="Q162" s="0"/>
      <c r="R162" s="0"/>
      <c r="S162" s="0"/>
      <c r="T162" s="0"/>
      <c r="U162" s="0"/>
      <c r="V162" s="0"/>
      <c r="W162" s="0"/>
      <c r="X162" s="0"/>
      <c r="Y162" s="0"/>
      <c r="Z162" s="0"/>
      <c r="AA162" s="0"/>
      <c r="AB162" s="0"/>
      <c r="AC162" s="0"/>
      <c r="AD162" s="0"/>
      <c r="AE162" s="0"/>
      <c r="AF162" s="0"/>
      <c r="AG162" s="0"/>
      <c r="AH162" s="0"/>
      <c r="AI162" s="0"/>
      <c r="AJ162" s="0"/>
      <c r="AK162" s="0"/>
      <c r="AL162" s="0"/>
      <c r="AM162" s="0"/>
      <c r="AN162" s="0"/>
      <c r="AO162" s="0"/>
      <c r="AP162" s="0"/>
      <c r="AQ162" s="0"/>
      <c r="AR162" s="0"/>
      <c r="AS162" s="0"/>
      <c r="AT162" s="0"/>
      <c r="AU162" s="0"/>
      <c r="AV162" s="0"/>
      <c r="AW162" s="0"/>
      <c r="AX162" s="0"/>
      <c r="AY162" s="0"/>
      <c r="AZ162" s="0"/>
      <c r="BA162" s="0"/>
      <c r="BB162" s="0"/>
    </row>
    <row r="163" customFormat="false" ht="12.75" hidden="false" customHeight="false" outlineLevel="0" collapsed="false">
      <c r="A163" s="0"/>
      <c r="B163" s="0"/>
      <c r="C163" s="0"/>
      <c r="D163" s="0"/>
      <c r="E163" s="0"/>
      <c r="F163" s="0"/>
      <c r="G163" s="0"/>
      <c r="H163" s="161" t="n">
        <v>0</v>
      </c>
      <c r="I163" s="0"/>
      <c r="J163" s="0"/>
      <c r="K163" s="161" t="n">
        <v>0</v>
      </c>
      <c r="L163" s="0"/>
      <c r="M163" s="0"/>
      <c r="N163" s="0"/>
      <c r="O163" s="0"/>
      <c r="P163" s="0"/>
      <c r="Q163" s="0"/>
      <c r="R163" s="0"/>
      <c r="S163" s="0"/>
      <c r="T163" s="0"/>
      <c r="U163" s="0"/>
      <c r="V163" s="0"/>
      <c r="W163" s="0"/>
      <c r="X163" s="0"/>
      <c r="Y163" s="0"/>
      <c r="Z163" s="0"/>
      <c r="AA163" s="0"/>
      <c r="AB163" s="0"/>
      <c r="AC163" s="0"/>
      <c r="AD163" s="0"/>
      <c r="AE163" s="0"/>
      <c r="AF163" s="0"/>
      <c r="AG163" s="0"/>
      <c r="AH163" s="0"/>
      <c r="AI163" s="0"/>
      <c r="AJ163" s="0"/>
      <c r="AK163" s="0"/>
      <c r="AL163" s="0"/>
      <c r="AM163" s="0"/>
      <c r="AN163" s="0"/>
      <c r="AO163" s="0"/>
      <c r="AP163" s="0"/>
      <c r="AQ163" s="0"/>
      <c r="AR163" s="0"/>
      <c r="AS163" s="0"/>
      <c r="AT163" s="0"/>
      <c r="AU163" s="0"/>
      <c r="AV163" s="0"/>
      <c r="AW163" s="0"/>
      <c r="AX163" s="0"/>
      <c r="AY163" s="0"/>
      <c r="AZ163" s="0"/>
      <c r="BA163" s="0"/>
      <c r="BB163" s="0"/>
    </row>
    <row r="164" customFormat="false" ht="12.75" hidden="false" customHeight="false" outlineLevel="0" collapsed="false">
      <c r="A164" s="0"/>
      <c r="B164" s="0"/>
      <c r="C164" s="0"/>
      <c r="D164" s="0"/>
      <c r="E164" s="0"/>
      <c r="F164" s="0"/>
      <c r="G164" s="0"/>
      <c r="H164" s="161" t="n">
        <v>0</v>
      </c>
      <c r="I164" s="0"/>
      <c r="J164" s="0"/>
      <c r="K164" s="161" t="n">
        <v>0</v>
      </c>
      <c r="L164" s="0"/>
      <c r="M164" s="0"/>
      <c r="N164" s="0"/>
      <c r="O164" s="0"/>
      <c r="P164" s="0"/>
      <c r="Q164" s="0"/>
      <c r="R164" s="0"/>
      <c r="S164" s="0"/>
      <c r="T164" s="0"/>
      <c r="U164" s="0"/>
      <c r="V164" s="0"/>
      <c r="W164" s="0"/>
      <c r="X164" s="0"/>
      <c r="Y164" s="0"/>
      <c r="Z164" s="0"/>
      <c r="AA164" s="0"/>
      <c r="AB164" s="0"/>
      <c r="AC164" s="0"/>
      <c r="AD164" s="0"/>
      <c r="AE164" s="0"/>
      <c r="AF164" s="0"/>
      <c r="AG164" s="0"/>
      <c r="AH164" s="0"/>
      <c r="AI164" s="0"/>
      <c r="AJ164" s="0"/>
      <c r="AK164" s="0"/>
      <c r="AL164" s="0"/>
      <c r="AM164" s="0"/>
      <c r="AN164" s="0"/>
      <c r="AO164" s="0"/>
      <c r="AP164" s="0"/>
      <c r="AQ164" s="0"/>
      <c r="AR164" s="0"/>
      <c r="AS164" s="0"/>
      <c r="AT164" s="0"/>
      <c r="AU164" s="0"/>
      <c r="AV164" s="0"/>
      <c r="AW164" s="0"/>
      <c r="AX164" s="0"/>
      <c r="AY164" s="0"/>
      <c r="AZ164" s="0"/>
      <c r="BA164" s="0"/>
      <c r="BB164" s="0"/>
    </row>
    <row r="165" customFormat="false" ht="12.75" hidden="false" customHeight="false" outlineLevel="0" collapsed="false">
      <c r="A165" s="0"/>
      <c r="B165" s="0"/>
      <c r="C165" s="0"/>
      <c r="D165" s="0"/>
      <c r="E165" s="0"/>
      <c r="F165" s="0"/>
      <c r="G165" s="0"/>
      <c r="H165" s="161" t="n">
        <v>0</v>
      </c>
      <c r="I165" s="0"/>
      <c r="J165" s="0"/>
      <c r="K165" s="161" t="n">
        <v>0</v>
      </c>
      <c r="L165" s="0"/>
      <c r="M165" s="0"/>
      <c r="N165" s="0"/>
      <c r="O165" s="0"/>
      <c r="P165" s="0"/>
      <c r="Q165" s="0"/>
      <c r="R165" s="0"/>
      <c r="S165" s="0"/>
      <c r="T165" s="0"/>
      <c r="U165" s="0"/>
      <c r="V165" s="0"/>
      <c r="W165" s="0"/>
      <c r="X165" s="0"/>
      <c r="Y165" s="0"/>
      <c r="Z165" s="0"/>
      <c r="AA165" s="0"/>
      <c r="AB165" s="0"/>
      <c r="AC165" s="0"/>
      <c r="AD165" s="0"/>
      <c r="AE165" s="0"/>
      <c r="AF165" s="0"/>
      <c r="AG165" s="0"/>
      <c r="AH165" s="0"/>
      <c r="AI165" s="0"/>
      <c r="AJ165" s="0"/>
      <c r="AK165" s="0"/>
      <c r="AL165" s="0"/>
      <c r="AM165" s="0"/>
      <c r="AN165" s="0"/>
      <c r="AO165" s="0"/>
      <c r="AP165" s="0"/>
      <c r="AQ165" s="0"/>
      <c r="AR165" s="0"/>
      <c r="AS165" s="0"/>
      <c r="AT165" s="0"/>
      <c r="AU165" s="0"/>
      <c r="AV165" s="0"/>
      <c r="AW165" s="0"/>
      <c r="AX165" s="0"/>
      <c r="AY165" s="0"/>
      <c r="AZ165" s="0"/>
      <c r="BA165" s="0"/>
      <c r="BB165" s="0"/>
    </row>
    <row r="166" customFormat="false" ht="12.75" hidden="false" customHeight="false" outlineLevel="0" collapsed="false">
      <c r="A166" s="0"/>
      <c r="B166" s="0"/>
      <c r="C166" s="0"/>
      <c r="D166" s="0"/>
      <c r="E166" s="0"/>
      <c r="F166" s="0"/>
      <c r="G166" s="0"/>
      <c r="H166" s="161" t="n">
        <v>0</v>
      </c>
      <c r="I166" s="0"/>
      <c r="J166" s="0"/>
      <c r="K166" s="161" t="n">
        <v>0</v>
      </c>
      <c r="L166" s="0"/>
      <c r="M166" s="0"/>
      <c r="N166" s="0"/>
      <c r="O166" s="0"/>
      <c r="P166" s="0"/>
      <c r="Q166" s="0"/>
      <c r="R166" s="0"/>
      <c r="S166" s="0"/>
      <c r="T166" s="0"/>
      <c r="U166" s="0"/>
      <c r="V166" s="0"/>
      <c r="W166" s="0"/>
      <c r="X166" s="0"/>
      <c r="Y166" s="0"/>
      <c r="Z166" s="0"/>
      <c r="AA166" s="0"/>
      <c r="AB166" s="0"/>
      <c r="AC166" s="0"/>
      <c r="AD166" s="0"/>
      <c r="AE166" s="0"/>
      <c r="AF166" s="0"/>
      <c r="AG166" s="0"/>
      <c r="AH166" s="0"/>
      <c r="AI166" s="0"/>
      <c r="AJ166" s="0"/>
      <c r="AK166" s="0"/>
      <c r="AL166" s="0"/>
      <c r="AM166" s="0"/>
      <c r="AN166" s="0"/>
      <c r="AO166" s="0"/>
      <c r="AP166" s="0"/>
      <c r="AQ166" s="0"/>
      <c r="AR166" s="0"/>
      <c r="AS166" s="0"/>
      <c r="AT166" s="0"/>
      <c r="AU166" s="0"/>
      <c r="AV166" s="0"/>
      <c r="AW166" s="0"/>
      <c r="AX166" s="0"/>
      <c r="AY166" s="0"/>
      <c r="AZ166" s="0"/>
      <c r="BA166" s="0"/>
      <c r="BB166" s="0"/>
    </row>
    <row r="167" customFormat="false" ht="12.75" hidden="false" customHeight="false" outlineLevel="0" collapsed="false">
      <c r="A167" s="0"/>
      <c r="B167" s="0"/>
      <c r="C167" s="0"/>
      <c r="D167" s="0"/>
      <c r="E167" s="0"/>
      <c r="F167" s="0"/>
      <c r="G167" s="0"/>
      <c r="H167" s="161" t="n">
        <v>0</v>
      </c>
      <c r="I167" s="0"/>
      <c r="J167" s="0"/>
      <c r="K167" s="161" t="n">
        <v>0</v>
      </c>
      <c r="L167" s="0"/>
      <c r="M167" s="0"/>
      <c r="N167" s="0"/>
      <c r="O167" s="0"/>
      <c r="P167" s="0"/>
      <c r="Q167" s="0"/>
      <c r="R167" s="0"/>
      <c r="S167" s="0"/>
      <c r="T167" s="0"/>
      <c r="U167" s="0"/>
      <c r="V167" s="0"/>
      <c r="W167" s="0"/>
      <c r="X167" s="0"/>
      <c r="Y167" s="0"/>
      <c r="Z167" s="0"/>
      <c r="AA167" s="0"/>
      <c r="AB167" s="0"/>
      <c r="AC167" s="0"/>
      <c r="AD167" s="0"/>
      <c r="AE167" s="0"/>
      <c r="AF167" s="0"/>
      <c r="AG167" s="0"/>
      <c r="AH167" s="0"/>
      <c r="AI167" s="0"/>
      <c r="AJ167" s="0"/>
      <c r="AK167" s="0"/>
      <c r="AL167" s="0"/>
      <c r="AM167" s="0"/>
      <c r="AN167" s="0"/>
      <c r="AO167" s="0"/>
      <c r="AP167" s="0"/>
      <c r="AQ167" s="0"/>
      <c r="AR167" s="0"/>
      <c r="AS167" s="0"/>
      <c r="AT167" s="0"/>
      <c r="AU167" s="0"/>
      <c r="AV167" s="0"/>
      <c r="AW167" s="0"/>
      <c r="AX167" s="0"/>
      <c r="AY167" s="0"/>
      <c r="AZ167" s="0"/>
      <c r="BA167" s="0"/>
      <c r="BB167" s="0"/>
    </row>
    <row r="168" customFormat="false" ht="12.75" hidden="false" customHeight="false" outlineLevel="0" collapsed="false">
      <c r="A168" s="0"/>
      <c r="B168" s="0"/>
      <c r="C168" s="0"/>
      <c r="D168" s="0"/>
      <c r="E168" s="0"/>
      <c r="F168" s="0"/>
      <c r="G168" s="0"/>
      <c r="H168" s="161" t="n">
        <v>0</v>
      </c>
      <c r="I168" s="0"/>
      <c r="J168" s="0"/>
      <c r="K168" s="161" t="n">
        <v>0</v>
      </c>
      <c r="L168" s="0"/>
      <c r="M168" s="0"/>
      <c r="N168" s="0"/>
      <c r="O168" s="0"/>
      <c r="P168" s="0"/>
      <c r="Q168" s="0"/>
      <c r="R168" s="0"/>
      <c r="S168" s="0"/>
      <c r="T168" s="0"/>
      <c r="U168" s="0"/>
      <c r="V168" s="0"/>
      <c r="W168" s="0"/>
      <c r="X168" s="0"/>
      <c r="Y168" s="0"/>
      <c r="Z168" s="0"/>
      <c r="AA168" s="0"/>
      <c r="AB168" s="0"/>
      <c r="AC168" s="0"/>
      <c r="AD168" s="0"/>
      <c r="AE168" s="0"/>
      <c r="AF168" s="0"/>
      <c r="AG168" s="0"/>
      <c r="AH168" s="0"/>
      <c r="AI168" s="0"/>
      <c r="AJ168" s="0"/>
      <c r="AK168" s="0"/>
      <c r="AL168" s="0"/>
      <c r="AM168" s="0"/>
      <c r="AN168" s="0"/>
      <c r="AO168" s="0"/>
      <c r="AP168" s="0"/>
      <c r="AQ168" s="0"/>
      <c r="AR168" s="0"/>
      <c r="AS168" s="0"/>
      <c r="AT168" s="0"/>
      <c r="AU168" s="0"/>
      <c r="AV168" s="0"/>
      <c r="AW168" s="0"/>
      <c r="AX168" s="0"/>
      <c r="AY168" s="0"/>
      <c r="AZ168" s="0"/>
      <c r="BA168" s="0"/>
      <c r="BB168" s="0"/>
    </row>
    <row r="169" customFormat="false" ht="12.75" hidden="false" customHeight="false" outlineLevel="0" collapsed="false">
      <c r="A169" s="0"/>
      <c r="B169" s="0"/>
      <c r="C169" s="0"/>
      <c r="D169" s="0"/>
      <c r="E169" s="0"/>
      <c r="F169" s="0"/>
      <c r="G169" s="0"/>
      <c r="H169" s="161" t="n">
        <v>0</v>
      </c>
      <c r="I169" s="0"/>
      <c r="J169" s="0"/>
      <c r="K169" s="161" t="n">
        <v>0</v>
      </c>
      <c r="L169" s="0"/>
      <c r="M169" s="0"/>
      <c r="N169" s="0"/>
      <c r="O169" s="0"/>
      <c r="P169" s="0"/>
      <c r="Q169" s="0"/>
      <c r="R169" s="0"/>
      <c r="S169" s="0"/>
      <c r="T169" s="0"/>
      <c r="U169" s="0"/>
      <c r="V169" s="0"/>
      <c r="W169" s="0"/>
      <c r="X169" s="0"/>
      <c r="Y169" s="0"/>
      <c r="Z169" s="0"/>
      <c r="AA169" s="0"/>
      <c r="AB169" s="0"/>
      <c r="AC169" s="0"/>
      <c r="AD169" s="0"/>
      <c r="AE169" s="0"/>
      <c r="AF169" s="0"/>
      <c r="AG169" s="0"/>
      <c r="AH169" s="0"/>
      <c r="AI169" s="0"/>
      <c r="AJ169" s="0"/>
      <c r="AK169" s="0"/>
      <c r="AL169" s="0"/>
      <c r="AM169" s="0"/>
      <c r="AN169" s="0"/>
      <c r="AO169" s="0"/>
      <c r="AP169" s="0"/>
      <c r="AQ169" s="0"/>
      <c r="AR169" s="0"/>
      <c r="AS169" s="0"/>
      <c r="AT169" s="0"/>
      <c r="AU169" s="0"/>
      <c r="AV169" s="0"/>
      <c r="AW169" s="0"/>
      <c r="AX169" s="0"/>
      <c r="AY169" s="0"/>
      <c r="AZ169" s="0"/>
      <c r="BA169" s="0"/>
      <c r="BB169" s="0"/>
    </row>
    <row r="170" customFormat="false" ht="12.75" hidden="false" customHeight="false" outlineLevel="0" collapsed="false">
      <c r="A170" s="0"/>
      <c r="B170" s="0"/>
      <c r="C170" s="0"/>
      <c r="D170" s="0"/>
      <c r="E170" s="0"/>
      <c r="F170" s="0"/>
      <c r="G170" s="0"/>
      <c r="H170" s="161" t="n">
        <v>0</v>
      </c>
      <c r="I170" s="0"/>
      <c r="J170" s="0"/>
      <c r="K170" s="161" t="n">
        <v>0</v>
      </c>
      <c r="L170" s="0"/>
      <c r="M170" s="0"/>
      <c r="N170" s="0"/>
      <c r="O170" s="0"/>
      <c r="P170" s="0"/>
      <c r="Q170" s="0"/>
      <c r="R170" s="0"/>
      <c r="S170" s="0"/>
      <c r="T170" s="0"/>
      <c r="U170" s="0"/>
      <c r="V170" s="0"/>
      <c r="W170" s="0"/>
      <c r="X170" s="0"/>
      <c r="Y170" s="0"/>
      <c r="Z170" s="0"/>
      <c r="AA170" s="0"/>
      <c r="AB170" s="0"/>
      <c r="AC170" s="0"/>
      <c r="AD170" s="0"/>
      <c r="AE170" s="0"/>
      <c r="AF170" s="0"/>
      <c r="AG170" s="0"/>
      <c r="AH170" s="0"/>
      <c r="AI170" s="0"/>
      <c r="AJ170" s="0"/>
      <c r="AK170" s="0"/>
      <c r="AL170" s="0"/>
      <c r="AM170" s="0"/>
      <c r="AN170" s="0"/>
      <c r="AO170" s="0"/>
      <c r="AP170" s="0"/>
      <c r="AQ170" s="0"/>
      <c r="AR170" s="0"/>
      <c r="AS170" s="0"/>
      <c r="AT170" s="0"/>
      <c r="AU170" s="0"/>
      <c r="AV170" s="0"/>
      <c r="AW170" s="0"/>
      <c r="AX170" s="0"/>
      <c r="AY170" s="0"/>
      <c r="AZ170" s="0"/>
      <c r="BA170" s="0"/>
      <c r="BB170" s="0"/>
    </row>
    <row r="171" customFormat="false" ht="12.75" hidden="false" customHeight="false" outlineLevel="0" collapsed="false">
      <c r="A171" s="0"/>
      <c r="B171" s="0"/>
      <c r="C171" s="0"/>
      <c r="D171" s="0"/>
      <c r="E171" s="0"/>
      <c r="F171" s="0"/>
      <c r="G171" s="0"/>
      <c r="H171" s="161" t="n">
        <v>0</v>
      </c>
      <c r="I171" s="0"/>
      <c r="J171" s="0"/>
      <c r="K171" s="161" t="n">
        <v>0</v>
      </c>
      <c r="L171" s="0"/>
      <c r="M171" s="0"/>
      <c r="N171" s="0"/>
      <c r="O171" s="0"/>
      <c r="P171" s="0"/>
      <c r="Q171" s="0"/>
      <c r="R171" s="0"/>
      <c r="S171" s="0"/>
      <c r="T171" s="0"/>
      <c r="U171" s="0"/>
      <c r="V171" s="0"/>
      <c r="W171" s="0"/>
      <c r="X171" s="0"/>
      <c r="Y171" s="0"/>
      <c r="Z171" s="0"/>
      <c r="AA171" s="0"/>
      <c r="AB171" s="0"/>
      <c r="AC171" s="0"/>
      <c r="AD171" s="0"/>
      <c r="AE171" s="0"/>
      <c r="AF171" s="0"/>
      <c r="AG171" s="0"/>
      <c r="AH171" s="0"/>
      <c r="AI171" s="0"/>
      <c r="AJ171" s="0"/>
      <c r="AK171" s="0"/>
      <c r="AL171" s="0"/>
      <c r="AM171" s="0"/>
      <c r="AN171" s="0"/>
      <c r="AO171" s="0"/>
      <c r="AP171" s="0"/>
      <c r="AQ171" s="0"/>
      <c r="AR171" s="0"/>
      <c r="AS171" s="0"/>
      <c r="AT171" s="0"/>
      <c r="AU171" s="0"/>
      <c r="AV171" s="0"/>
      <c r="AW171" s="0"/>
      <c r="AX171" s="0"/>
      <c r="AY171" s="0"/>
      <c r="AZ171" s="0"/>
      <c r="BA171" s="0"/>
      <c r="BB171" s="0"/>
    </row>
    <row r="172" customFormat="false" ht="12.75" hidden="false" customHeight="false" outlineLevel="0" collapsed="false">
      <c r="A172" s="0"/>
      <c r="B172" s="0"/>
      <c r="C172" s="0"/>
      <c r="D172" s="0"/>
      <c r="E172" s="0"/>
      <c r="F172" s="0"/>
      <c r="G172" s="0"/>
      <c r="H172" s="161" t="n">
        <v>0</v>
      </c>
      <c r="I172" s="0"/>
      <c r="J172" s="0"/>
      <c r="K172" s="161" t="n">
        <v>0</v>
      </c>
      <c r="L172" s="0"/>
      <c r="M172" s="0"/>
      <c r="N172" s="0"/>
      <c r="O172" s="0"/>
      <c r="P172" s="0"/>
      <c r="Q172" s="0"/>
      <c r="R172" s="0"/>
      <c r="S172" s="0"/>
      <c r="T172" s="0"/>
      <c r="U172" s="0"/>
      <c r="V172" s="0"/>
      <c r="W172" s="0"/>
      <c r="X172" s="0"/>
      <c r="Y172" s="0"/>
      <c r="Z172" s="0"/>
      <c r="AA172" s="0"/>
      <c r="AB172" s="0"/>
      <c r="AC172" s="0"/>
      <c r="AD172" s="0"/>
      <c r="AE172" s="0"/>
      <c r="AF172" s="0"/>
      <c r="AG172" s="0"/>
      <c r="AH172" s="0"/>
      <c r="AI172" s="0"/>
      <c r="AJ172" s="0"/>
      <c r="AK172" s="0"/>
      <c r="AL172" s="0"/>
      <c r="AM172" s="0"/>
      <c r="AN172" s="0"/>
      <c r="AO172" s="0"/>
      <c r="AP172" s="0"/>
      <c r="AQ172" s="0"/>
      <c r="AR172" s="0"/>
      <c r="AS172" s="0"/>
      <c r="AT172" s="0"/>
      <c r="AU172" s="0"/>
      <c r="AV172" s="0"/>
      <c r="AW172" s="0"/>
      <c r="AX172" s="0"/>
      <c r="AY172" s="0"/>
      <c r="AZ172" s="0"/>
      <c r="BA172" s="0"/>
      <c r="BB172" s="0"/>
    </row>
    <row r="173" customFormat="false" ht="12.75" hidden="false" customHeight="false" outlineLevel="0" collapsed="false">
      <c r="A173" s="0"/>
      <c r="B173" s="0"/>
      <c r="C173" s="0"/>
      <c r="D173" s="0"/>
      <c r="E173" s="0"/>
      <c r="F173" s="0"/>
      <c r="G173" s="0"/>
      <c r="H173" s="161" t="n">
        <v>0</v>
      </c>
      <c r="I173" s="0"/>
      <c r="J173" s="0"/>
      <c r="K173" s="161" t="n">
        <v>0</v>
      </c>
      <c r="L173" s="0"/>
      <c r="M173" s="0"/>
      <c r="N173" s="0"/>
      <c r="O173" s="0"/>
      <c r="P173" s="0"/>
      <c r="Q173" s="0"/>
      <c r="R173" s="0"/>
      <c r="S173" s="0"/>
      <c r="T173" s="0"/>
      <c r="U173" s="0"/>
      <c r="V173" s="0"/>
      <c r="W173" s="0"/>
      <c r="X173" s="0"/>
      <c r="Y173" s="0"/>
      <c r="Z173" s="0"/>
      <c r="AA173" s="0"/>
      <c r="AB173" s="0"/>
      <c r="AC173" s="0"/>
      <c r="AD173" s="0"/>
      <c r="AE173" s="0"/>
      <c r="AF173" s="0"/>
      <c r="AG173" s="0"/>
      <c r="AH173" s="0"/>
      <c r="AI173" s="0"/>
      <c r="AJ173" s="0"/>
      <c r="AK173" s="0"/>
      <c r="AL173" s="0"/>
      <c r="AM173" s="0"/>
      <c r="AN173" s="0"/>
      <c r="AO173" s="0"/>
      <c r="AP173" s="0"/>
      <c r="AQ173" s="0"/>
      <c r="AR173" s="0"/>
      <c r="AS173" s="0"/>
      <c r="AT173" s="0"/>
      <c r="AU173" s="0"/>
      <c r="AV173" s="0"/>
      <c r="AW173" s="0"/>
      <c r="AX173" s="0"/>
      <c r="AY173" s="0"/>
      <c r="AZ173" s="0"/>
      <c r="BA173" s="0"/>
      <c r="BB173" s="0"/>
    </row>
    <row r="174" customFormat="false" ht="12.75" hidden="false" customHeight="false" outlineLevel="0" collapsed="false">
      <c r="A174" s="0"/>
      <c r="B174" s="0"/>
      <c r="C174" s="0"/>
      <c r="D174" s="0"/>
      <c r="E174" s="0"/>
      <c r="F174" s="0"/>
      <c r="G174" s="0"/>
      <c r="H174" s="161" t="n">
        <v>0</v>
      </c>
      <c r="I174" s="0"/>
      <c r="J174" s="0"/>
      <c r="K174" s="161" t="n">
        <v>0</v>
      </c>
      <c r="L174" s="0"/>
      <c r="M174" s="0"/>
      <c r="N174" s="0"/>
      <c r="O174" s="0"/>
      <c r="P174" s="0"/>
      <c r="Q174" s="0"/>
      <c r="R174" s="0"/>
      <c r="S174" s="0"/>
      <c r="T174" s="0"/>
      <c r="U174" s="0"/>
      <c r="V174" s="0"/>
      <c r="W174" s="0"/>
      <c r="X174" s="0"/>
      <c r="Y174" s="0"/>
      <c r="Z174" s="0"/>
      <c r="AA174" s="0"/>
      <c r="AB174" s="0"/>
      <c r="AC174" s="0"/>
      <c r="AD174" s="0"/>
      <c r="AE174" s="0"/>
      <c r="AF174" s="0"/>
      <c r="AG174" s="0"/>
      <c r="AH174" s="0"/>
      <c r="AI174" s="0"/>
      <c r="AJ174" s="0"/>
      <c r="AK174" s="0"/>
      <c r="AL174" s="0"/>
      <c r="AM174" s="0"/>
      <c r="AN174" s="0"/>
      <c r="AO174" s="0"/>
      <c r="AP174" s="0"/>
      <c r="AQ174" s="0"/>
      <c r="AR174" s="0"/>
      <c r="AS174" s="0"/>
      <c r="AT174" s="0"/>
      <c r="AU174" s="0"/>
      <c r="AV174" s="0"/>
      <c r="AW174" s="0"/>
      <c r="AX174" s="0"/>
      <c r="AY174" s="0"/>
      <c r="AZ174" s="0"/>
      <c r="BA174" s="0"/>
      <c r="BB174" s="0"/>
    </row>
    <row r="175" customFormat="false" ht="12.75" hidden="false" customHeight="false" outlineLevel="0" collapsed="false">
      <c r="A175" s="0"/>
      <c r="B175" s="0"/>
      <c r="C175" s="0"/>
      <c r="D175" s="0"/>
      <c r="E175" s="0"/>
      <c r="F175" s="0"/>
      <c r="G175" s="0"/>
      <c r="H175" s="161" t="n">
        <v>0</v>
      </c>
      <c r="I175" s="0"/>
      <c r="J175" s="0"/>
      <c r="K175" s="161" t="n">
        <v>0</v>
      </c>
      <c r="L175" s="0"/>
      <c r="M175" s="0"/>
      <c r="N175" s="0"/>
      <c r="O175" s="0"/>
      <c r="P175" s="0"/>
      <c r="Q175" s="0"/>
      <c r="R175" s="0"/>
      <c r="S175" s="0"/>
      <c r="T175" s="0"/>
      <c r="U175" s="0"/>
      <c r="V175" s="0"/>
      <c r="W175" s="0"/>
      <c r="X175" s="0"/>
      <c r="Y175" s="0"/>
      <c r="Z175" s="0"/>
      <c r="AA175" s="0"/>
      <c r="AB175" s="0"/>
      <c r="AC175" s="0"/>
      <c r="AD175" s="0"/>
      <c r="AE175" s="0"/>
      <c r="AF175" s="0"/>
      <c r="AG175" s="0"/>
      <c r="AH175" s="0"/>
      <c r="AI175" s="0"/>
      <c r="AJ175" s="0"/>
      <c r="AK175" s="0"/>
      <c r="AL175" s="0"/>
      <c r="AM175" s="0"/>
      <c r="AN175" s="0"/>
      <c r="AO175" s="0"/>
      <c r="AP175" s="0"/>
      <c r="AQ175" s="0"/>
      <c r="AR175" s="0"/>
      <c r="AS175" s="0"/>
      <c r="AT175" s="0"/>
      <c r="AU175" s="0"/>
      <c r="AV175" s="0"/>
      <c r="AW175" s="0"/>
      <c r="AX175" s="0"/>
      <c r="AY175" s="0"/>
      <c r="AZ175" s="0"/>
      <c r="BA175" s="0"/>
      <c r="BB175" s="0"/>
    </row>
    <row r="176" customFormat="false" ht="12.75" hidden="false" customHeight="false" outlineLevel="0" collapsed="false">
      <c r="A176" s="0"/>
      <c r="B176" s="0"/>
      <c r="C176" s="0"/>
      <c r="D176" s="0"/>
      <c r="E176" s="0"/>
      <c r="F176" s="0"/>
      <c r="G176" s="0"/>
      <c r="H176" s="161" t="n">
        <v>0</v>
      </c>
      <c r="I176" s="0"/>
      <c r="J176" s="0"/>
      <c r="K176" s="161" t="n">
        <v>0</v>
      </c>
      <c r="L176" s="0"/>
      <c r="M176" s="0"/>
      <c r="N176" s="0"/>
      <c r="O176" s="0"/>
      <c r="P176" s="0"/>
      <c r="Q176" s="0"/>
      <c r="R176" s="0"/>
      <c r="S176" s="0"/>
      <c r="T176" s="0"/>
      <c r="U176" s="0"/>
      <c r="V176" s="0"/>
      <c r="W176" s="0"/>
      <c r="X176" s="0"/>
      <c r="Y176" s="0"/>
      <c r="Z176" s="0"/>
      <c r="AA176" s="0"/>
      <c r="AB176" s="0"/>
      <c r="AC176" s="0"/>
      <c r="AD176" s="0"/>
      <c r="AE176" s="0"/>
      <c r="AF176" s="0"/>
      <c r="AG176" s="0"/>
      <c r="AH176" s="0"/>
      <c r="AI176" s="0"/>
      <c r="AJ176" s="0"/>
      <c r="AK176" s="0"/>
      <c r="AL176" s="0"/>
      <c r="AM176" s="0"/>
      <c r="AN176" s="0"/>
      <c r="AO176" s="0"/>
      <c r="AP176" s="0"/>
      <c r="AQ176" s="0"/>
      <c r="AR176" s="0"/>
      <c r="AS176" s="0"/>
      <c r="AT176" s="0"/>
      <c r="AU176" s="0"/>
      <c r="AV176" s="0"/>
      <c r="AW176" s="0"/>
      <c r="AX176" s="0"/>
      <c r="AY176" s="0"/>
      <c r="AZ176" s="0"/>
      <c r="BA176" s="0"/>
      <c r="BB176" s="0"/>
    </row>
    <row r="177" customFormat="false" ht="12.75" hidden="false" customHeight="false" outlineLevel="0" collapsed="false">
      <c r="A177" s="0"/>
      <c r="B177" s="0"/>
      <c r="C177" s="0"/>
      <c r="D177" s="0"/>
      <c r="E177" s="0"/>
      <c r="F177" s="0"/>
      <c r="G177" s="0"/>
      <c r="H177" s="161" t="n">
        <v>0</v>
      </c>
      <c r="I177" s="0"/>
      <c r="J177" s="0"/>
      <c r="K177" s="161" t="n">
        <v>0</v>
      </c>
      <c r="L177" s="0"/>
      <c r="M177" s="0"/>
      <c r="N177" s="0"/>
      <c r="O177" s="0"/>
      <c r="P177" s="0"/>
      <c r="Q177" s="0"/>
      <c r="R177" s="0"/>
      <c r="S177" s="0"/>
      <c r="T177" s="0"/>
      <c r="U177" s="0"/>
      <c r="V177" s="0"/>
      <c r="W177" s="0"/>
      <c r="X177" s="0"/>
      <c r="Y177" s="0"/>
      <c r="Z177" s="0"/>
      <c r="AA177" s="0"/>
      <c r="AB177" s="0"/>
      <c r="AC177" s="0"/>
      <c r="AD177" s="0"/>
      <c r="AE177" s="0"/>
      <c r="AF177" s="0"/>
      <c r="AG177" s="0"/>
      <c r="AH177" s="0"/>
      <c r="AI177" s="0"/>
      <c r="AJ177" s="0"/>
      <c r="AK177" s="0"/>
      <c r="AL177" s="0"/>
      <c r="AM177" s="0"/>
      <c r="AN177" s="0"/>
      <c r="AO177" s="0"/>
      <c r="AP177" s="0"/>
      <c r="AQ177" s="0"/>
      <c r="AR177" s="0"/>
      <c r="AS177" s="0"/>
      <c r="AT177" s="0"/>
      <c r="AU177" s="0"/>
      <c r="AV177" s="0"/>
      <c r="AW177" s="0"/>
      <c r="AX177" s="0"/>
      <c r="AY177" s="0"/>
      <c r="AZ177" s="0"/>
      <c r="BA177" s="0"/>
      <c r="BB177" s="0"/>
    </row>
    <row r="178" customFormat="false" ht="12.75" hidden="false" customHeight="false" outlineLevel="0" collapsed="false">
      <c r="A178" s="0"/>
      <c r="B178" s="0"/>
      <c r="C178" s="0"/>
      <c r="D178" s="0"/>
      <c r="E178" s="0"/>
      <c r="F178" s="0"/>
      <c r="G178" s="0"/>
      <c r="H178" s="161" t="n">
        <v>0</v>
      </c>
      <c r="I178" s="0"/>
      <c r="J178" s="0"/>
      <c r="K178" s="161" t="n">
        <v>0</v>
      </c>
      <c r="L178" s="0"/>
      <c r="M178" s="0"/>
      <c r="N178" s="0"/>
      <c r="O178" s="0"/>
      <c r="P178" s="0"/>
      <c r="Q178" s="0"/>
      <c r="R178" s="0"/>
      <c r="S178" s="0"/>
      <c r="T178" s="0"/>
      <c r="U178" s="0"/>
      <c r="V178" s="0"/>
      <c r="W178" s="0"/>
      <c r="X178" s="0"/>
      <c r="Y178" s="0"/>
      <c r="Z178" s="0"/>
      <c r="AA178" s="0"/>
      <c r="AB178" s="0"/>
      <c r="AC178" s="0"/>
      <c r="AD178" s="0"/>
      <c r="AE178" s="0"/>
      <c r="AF178" s="0"/>
      <c r="AG178" s="0"/>
      <c r="AH178" s="0"/>
      <c r="AI178" s="0"/>
      <c r="AJ178" s="0"/>
      <c r="AK178" s="0"/>
      <c r="AL178" s="0"/>
      <c r="AM178" s="0"/>
      <c r="AN178" s="0"/>
      <c r="AO178" s="0"/>
      <c r="AP178" s="0"/>
      <c r="AQ178" s="0"/>
      <c r="AR178" s="0"/>
      <c r="AS178" s="0"/>
      <c r="AT178" s="0"/>
      <c r="AU178" s="0"/>
      <c r="AV178" s="0"/>
      <c r="AW178" s="0"/>
      <c r="AX178" s="0"/>
      <c r="AY178" s="0"/>
      <c r="AZ178" s="0"/>
      <c r="BA178" s="0"/>
      <c r="BB178" s="0"/>
    </row>
    <row r="179" customFormat="false" ht="12.75" hidden="false" customHeight="false" outlineLevel="0" collapsed="false">
      <c r="A179" s="0"/>
      <c r="B179" s="0"/>
      <c r="C179" s="0"/>
      <c r="D179" s="0"/>
      <c r="E179" s="0"/>
      <c r="F179" s="0"/>
      <c r="G179" s="0"/>
      <c r="H179" s="161" t="n">
        <v>0</v>
      </c>
      <c r="I179" s="0"/>
      <c r="J179" s="0"/>
      <c r="K179" s="161" t="n">
        <v>0</v>
      </c>
      <c r="L179" s="0"/>
      <c r="M179" s="0"/>
      <c r="N179" s="0"/>
      <c r="O179" s="0"/>
      <c r="P179" s="0"/>
      <c r="Q179" s="0"/>
      <c r="R179" s="0"/>
      <c r="S179" s="0"/>
      <c r="T179" s="0"/>
      <c r="U179" s="0"/>
      <c r="V179" s="0"/>
      <c r="W179" s="0"/>
      <c r="X179" s="0"/>
      <c r="Y179" s="0"/>
      <c r="Z179" s="0"/>
      <c r="AA179" s="0"/>
      <c r="AB179" s="0"/>
      <c r="AC179" s="0"/>
      <c r="AD179" s="0"/>
      <c r="AE179" s="0"/>
      <c r="AF179" s="0"/>
      <c r="AG179" s="0"/>
      <c r="AH179" s="0"/>
      <c r="AI179" s="0"/>
      <c r="AJ179" s="0"/>
      <c r="AK179" s="0"/>
      <c r="AL179" s="0"/>
      <c r="AM179" s="0"/>
      <c r="AN179" s="0"/>
      <c r="AO179" s="0"/>
      <c r="AP179" s="0"/>
      <c r="AQ179" s="0"/>
      <c r="AR179" s="0"/>
      <c r="AS179" s="0"/>
      <c r="AT179" s="0"/>
      <c r="AU179" s="0"/>
      <c r="AV179" s="0"/>
      <c r="AW179" s="0"/>
      <c r="AX179" s="0"/>
      <c r="AY179" s="0"/>
      <c r="AZ179" s="0"/>
      <c r="BA179" s="0"/>
      <c r="BB179" s="0"/>
    </row>
    <row r="180" customFormat="false" ht="12.75" hidden="false" customHeight="false" outlineLevel="0" collapsed="false">
      <c r="A180" s="0"/>
      <c r="B180" s="0"/>
      <c r="C180" s="0"/>
      <c r="D180" s="0"/>
      <c r="E180" s="0"/>
      <c r="F180" s="0"/>
      <c r="G180" s="0"/>
      <c r="H180" s="161" t="n">
        <v>0</v>
      </c>
      <c r="I180" s="0"/>
      <c r="J180" s="0"/>
      <c r="K180" s="161" t="n">
        <v>0</v>
      </c>
      <c r="L180" s="0"/>
      <c r="M180" s="0"/>
      <c r="N180" s="0"/>
      <c r="O180" s="0"/>
      <c r="P180" s="0"/>
      <c r="Q180" s="0"/>
      <c r="R180" s="0"/>
      <c r="S180" s="0"/>
      <c r="T180" s="0"/>
      <c r="U180" s="0"/>
      <c r="V180" s="0"/>
      <c r="W180" s="0"/>
      <c r="X180" s="0"/>
      <c r="Y180" s="0"/>
      <c r="Z180" s="0"/>
      <c r="AA180" s="0"/>
      <c r="AB180" s="0"/>
      <c r="AC180" s="0"/>
      <c r="AD180" s="0"/>
      <c r="AE180" s="0"/>
      <c r="AF180" s="0"/>
      <c r="AG180" s="0"/>
      <c r="AH180" s="0"/>
      <c r="AI180" s="0"/>
      <c r="AJ180" s="0"/>
      <c r="AK180" s="0"/>
      <c r="AL180" s="0"/>
      <c r="AM180" s="0"/>
      <c r="AN180" s="0"/>
      <c r="AO180" s="0"/>
      <c r="AP180" s="0"/>
      <c r="AQ180" s="0"/>
      <c r="AR180" s="0"/>
      <c r="AS180" s="0"/>
      <c r="AT180" s="0"/>
      <c r="AU180" s="0"/>
      <c r="AV180" s="0"/>
      <c r="AW180" s="0"/>
      <c r="AX180" s="0"/>
      <c r="AY180" s="0"/>
      <c r="AZ180" s="0"/>
      <c r="BA180" s="0"/>
      <c r="BB180" s="0"/>
    </row>
    <row r="181" customFormat="false" ht="12.75" hidden="false" customHeight="false" outlineLevel="0" collapsed="false">
      <c r="A181" s="0"/>
      <c r="B181" s="0"/>
      <c r="C181" s="0"/>
      <c r="D181" s="0"/>
      <c r="E181" s="0"/>
      <c r="F181" s="0"/>
      <c r="G181" s="0"/>
      <c r="H181" s="161" t="n">
        <v>0</v>
      </c>
      <c r="I181" s="0"/>
      <c r="J181" s="0"/>
      <c r="K181" s="161" t="n">
        <v>0</v>
      </c>
      <c r="L181" s="0"/>
      <c r="M181" s="0"/>
      <c r="N181" s="0"/>
      <c r="O181" s="0"/>
      <c r="P181" s="0"/>
      <c r="Q181" s="0"/>
      <c r="R181" s="0"/>
      <c r="S181" s="0"/>
      <c r="T181" s="0"/>
      <c r="U181" s="0"/>
      <c r="V181" s="0"/>
      <c r="W181" s="0"/>
      <c r="X181" s="0"/>
      <c r="Y181" s="0"/>
      <c r="Z181" s="0"/>
      <c r="AA181" s="0"/>
      <c r="AB181" s="0"/>
      <c r="AC181" s="0"/>
      <c r="AD181" s="0"/>
      <c r="AE181" s="0"/>
      <c r="AF181" s="0"/>
      <c r="AG181" s="0"/>
      <c r="AH181" s="0"/>
      <c r="AI181" s="0"/>
      <c r="AJ181" s="0"/>
      <c r="AK181" s="0"/>
      <c r="AL181" s="0"/>
      <c r="AM181" s="0"/>
      <c r="AN181" s="0"/>
      <c r="AO181" s="0"/>
      <c r="AP181" s="0"/>
      <c r="AQ181" s="0"/>
      <c r="AR181" s="0"/>
      <c r="AS181" s="0"/>
      <c r="AT181" s="0"/>
      <c r="AU181" s="0"/>
      <c r="AV181" s="0"/>
      <c r="AW181" s="0"/>
      <c r="AX181" s="0"/>
      <c r="AY181" s="0"/>
      <c r="AZ181" s="0"/>
      <c r="BA181" s="0"/>
      <c r="BB181" s="0"/>
    </row>
    <row r="182" customFormat="false" ht="12.75" hidden="false" customHeight="false" outlineLevel="0" collapsed="false">
      <c r="A182" s="0"/>
      <c r="B182" s="0"/>
      <c r="C182" s="0"/>
      <c r="D182" s="0"/>
      <c r="E182" s="0"/>
      <c r="F182" s="0"/>
      <c r="G182" s="0"/>
      <c r="H182" s="161" t="n">
        <v>0</v>
      </c>
      <c r="I182" s="0"/>
      <c r="J182" s="0"/>
      <c r="K182" s="161" t="n">
        <v>0</v>
      </c>
      <c r="L182" s="0"/>
      <c r="M182" s="0"/>
      <c r="N182" s="0"/>
      <c r="O182" s="0"/>
      <c r="P182" s="0"/>
      <c r="Q182" s="0"/>
      <c r="R182" s="0"/>
      <c r="S182" s="0"/>
      <c r="T182" s="0"/>
      <c r="U182" s="0"/>
      <c r="V182" s="0"/>
      <c r="W182" s="0"/>
      <c r="X182" s="0"/>
      <c r="Y182" s="0"/>
      <c r="Z182" s="0"/>
      <c r="AA182" s="0"/>
      <c r="AB182" s="0"/>
      <c r="AC182" s="0"/>
      <c r="AD182" s="0"/>
      <c r="AE182" s="0"/>
      <c r="AF182" s="0"/>
      <c r="AG182" s="0"/>
      <c r="AH182" s="0"/>
      <c r="AI182" s="0"/>
      <c r="AJ182" s="0"/>
      <c r="AK182" s="0"/>
      <c r="AL182" s="0"/>
      <c r="AM182" s="0"/>
      <c r="AN182" s="0"/>
      <c r="AO182" s="0"/>
      <c r="AP182" s="0"/>
      <c r="AQ182" s="0"/>
      <c r="AR182" s="0"/>
      <c r="AS182" s="0"/>
      <c r="AT182" s="0"/>
      <c r="AU182" s="0"/>
      <c r="AV182" s="0"/>
      <c r="AW182" s="0"/>
      <c r="AX182" s="0"/>
      <c r="AY182" s="0"/>
      <c r="AZ182" s="0"/>
      <c r="BA182" s="0"/>
      <c r="BB182" s="0"/>
    </row>
    <row r="183" customFormat="false" ht="12.75" hidden="false" customHeight="false" outlineLevel="0" collapsed="false">
      <c r="A183" s="0"/>
      <c r="B183" s="0"/>
      <c r="C183" s="0"/>
      <c r="D183" s="0"/>
      <c r="E183" s="0"/>
      <c r="F183" s="0"/>
      <c r="G183" s="0"/>
      <c r="H183" s="161" t="n">
        <v>0</v>
      </c>
      <c r="I183" s="0"/>
      <c r="J183" s="0"/>
      <c r="K183" s="161" t="n">
        <v>0</v>
      </c>
      <c r="L183" s="0"/>
      <c r="M183" s="0"/>
      <c r="N183" s="0"/>
      <c r="O183" s="0"/>
      <c r="P183" s="0"/>
      <c r="Q183" s="0"/>
      <c r="R183" s="0"/>
      <c r="S183" s="0"/>
      <c r="T183" s="0"/>
      <c r="U183" s="0"/>
      <c r="V183" s="0"/>
      <c r="W183" s="0"/>
      <c r="X183" s="0"/>
      <c r="Y183" s="0"/>
      <c r="Z183" s="0"/>
      <c r="AA183" s="0"/>
      <c r="AB183" s="0"/>
      <c r="AC183" s="0"/>
      <c r="AD183" s="0"/>
      <c r="AE183" s="0"/>
      <c r="AF183" s="0"/>
      <c r="AG183" s="0"/>
      <c r="AH183" s="0"/>
      <c r="AI183" s="0"/>
      <c r="AJ183" s="0"/>
      <c r="AK183" s="0"/>
      <c r="AL183" s="0"/>
      <c r="AM183" s="0"/>
      <c r="AN183" s="0"/>
      <c r="AO183" s="0"/>
      <c r="AP183" s="0"/>
      <c r="AQ183" s="0"/>
      <c r="AR183" s="0"/>
      <c r="AS183" s="0"/>
      <c r="AT183" s="0"/>
      <c r="AU183" s="0"/>
      <c r="AV183" s="0"/>
      <c r="AW183" s="0"/>
      <c r="AX183" s="0"/>
      <c r="AY183" s="0"/>
      <c r="AZ183" s="0"/>
      <c r="BA183" s="0"/>
      <c r="BB183" s="0"/>
    </row>
    <row r="184" customFormat="false" ht="12.75" hidden="false" customHeight="false" outlineLevel="0" collapsed="false">
      <c r="A184" s="0"/>
      <c r="B184" s="0"/>
      <c r="C184" s="0"/>
      <c r="D184" s="0"/>
      <c r="E184" s="0"/>
      <c r="F184" s="0"/>
      <c r="G184" s="0"/>
      <c r="H184" s="161" t="n">
        <v>0</v>
      </c>
      <c r="I184" s="0"/>
      <c r="J184" s="0"/>
      <c r="K184" s="161" t="n">
        <v>0</v>
      </c>
      <c r="L184" s="0"/>
      <c r="M184" s="0"/>
      <c r="N184" s="0"/>
      <c r="O184" s="0"/>
      <c r="P184" s="0"/>
      <c r="Q184" s="0"/>
      <c r="R184" s="0"/>
      <c r="S184" s="0"/>
      <c r="T184" s="0"/>
      <c r="U184" s="0"/>
      <c r="V184" s="0"/>
      <c r="W184" s="0"/>
      <c r="X184" s="0"/>
      <c r="Y184" s="0"/>
      <c r="Z184" s="0"/>
      <c r="AA184" s="0"/>
      <c r="AB184" s="0"/>
      <c r="AC184" s="0"/>
      <c r="AD184" s="0"/>
      <c r="AE184" s="0"/>
      <c r="AF184" s="0"/>
      <c r="AG184" s="0"/>
      <c r="AH184" s="0"/>
      <c r="AI184" s="0"/>
      <c r="AJ184" s="0"/>
      <c r="AK184" s="0"/>
      <c r="AL184" s="0"/>
      <c r="AM184" s="0"/>
      <c r="AN184" s="0"/>
      <c r="AO184" s="0"/>
      <c r="AP184" s="0"/>
      <c r="AQ184" s="0"/>
      <c r="AR184" s="0"/>
      <c r="AS184" s="0"/>
      <c r="AT184" s="0"/>
      <c r="AU184" s="0"/>
      <c r="AV184" s="0"/>
      <c r="AW184" s="0"/>
      <c r="AX184" s="0"/>
      <c r="AY184" s="0"/>
      <c r="AZ184" s="0"/>
      <c r="BA184" s="0"/>
      <c r="BB184" s="0"/>
    </row>
    <row r="185" customFormat="false" ht="12.75" hidden="false" customHeight="false" outlineLevel="0" collapsed="false">
      <c r="A185" s="0"/>
      <c r="B185" s="0"/>
      <c r="C185" s="0"/>
      <c r="D185" s="0"/>
      <c r="E185" s="0"/>
      <c r="F185" s="0"/>
      <c r="G185" s="0"/>
      <c r="H185" s="161" t="n">
        <v>0</v>
      </c>
      <c r="I185" s="0"/>
      <c r="J185" s="0"/>
      <c r="K185" s="161" t="n">
        <v>0</v>
      </c>
      <c r="L185" s="0"/>
      <c r="M185" s="0"/>
      <c r="N185" s="0"/>
      <c r="O185" s="0"/>
      <c r="P185" s="0"/>
      <c r="Q185" s="0"/>
      <c r="R185" s="0"/>
      <c r="S185" s="0"/>
      <c r="T185" s="0"/>
      <c r="U185" s="0"/>
      <c r="V185" s="0"/>
      <c r="W185" s="0"/>
      <c r="X185" s="0"/>
      <c r="Y185" s="0"/>
      <c r="Z185" s="0"/>
      <c r="AA185" s="0"/>
      <c r="AB185" s="0"/>
      <c r="AC185" s="0"/>
      <c r="AD185" s="0"/>
      <c r="AE185" s="0"/>
      <c r="AF185" s="0"/>
      <c r="AG185" s="0"/>
      <c r="AH185" s="0"/>
      <c r="AI185" s="0"/>
      <c r="AJ185" s="0"/>
      <c r="AK185" s="0"/>
      <c r="AL185" s="0"/>
      <c r="AM185" s="0"/>
      <c r="AN185" s="0"/>
      <c r="AO185" s="0"/>
      <c r="AP185" s="0"/>
      <c r="AQ185" s="0"/>
      <c r="AR185" s="0"/>
      <c r="AS185" s="0"/>
      <c r="AT185" s="0"/>
      <c r="AU185" s="0"/>
      <c r="AV185" s="0"/>
      <c r="AW185" s="0"/>
      <c r="AX185" s="0"/>
      <c r="AY185" s="0"/>
      <c r="AZ185" s="0"/>
      <c r="BA185" s="0"/>
      <c r="BB185" s="0"/>
    </row>
    <row r="186" customFormat="false" ht="12.75" hidden="false" customHeight="false" outlineLevel="0" collapsed="false">
      <c r="A186" s="0"/>
      <c r="B186" s="0"/>
      <c r="C186" s="0"/>
      <c r="D186" s="0"/>
      <c r="E186" s="0"/>
      <c r="F186" s="0"/>
      <c r="G186" s="0"/>
      <c r="H186" s="161" t="n">
        <v>0</v>
      </c>
      <c r="I186" s="0"/>
      <c r="J186" s="0"/>
      <c r="K186" s="161" t="n">
        <v>0</v>
      </c>
      <c r="L186" s="0"/>
      <c r="M186" s="0"/>
      <c r="N186" s="0"/>
      <c r="O186" s="0"/>
      <c r="P186" s="0"/>
      <c r="Q186" s="0"/>
      <c r="R186" s="0"/>
      <c r="S186" s="0"/>
      <c r="T186" s="0"/>
      <c r="U186" s="0"/>
      <c r="V186" s="0"/>
      <c r="W186" s="0"/>
      <c r="X186" s="0"/>
      <c r="Y186" s="0"/>
      <c r="Z186" s="0"/>
      <c r="AA186" s="0"/>
      <c r="AB186" s="0"/>
      <c r="AC186" s="0"/>
      <c r="AD186" s="0"/>
      <c r="AE186" s="0"/>
      <c r="AF186" s="0"/>
      <c r="AG186" s="0"/>
      <c r="AH186" s="0"/>
      <c r="AI186" s="0"/>
      <c r="AJ186" s="0"/>
      <c r="AK186" s="0"/>
      <c r="AL186" s="0"/>
      <c r="AM186" s="0"/>
      <c r="AN186" s="0"/>
      <c r="AO186" s="0"/>
      <c r="AP186" s="0"/>
      <c r="AQ186" s="0"/>
      <c r="AR186" s="0"/>
      <c r="AS186" s="0"/>
      <c r="AT186" s="0"/>
      <c r="AU186" s="0"/>
      <c r="AV186" s="0"/>
      <c r="AW186" s="0"/>
      <c r="AX186" s="0"/>
      <c r="AY186" s="0"/>
      <c r="AZ186" s="0"/>
      <c r="BA186" s="0"/>
      <c r="BB186" s="0"/>
    </row>
    <row r="187" customFormat="false" ht="12.75" hidden="false" customHeight="false" outlineLevel="0" collapsed="false">
      <c r="A187" s="0"/>
      <c r="B187" s="0"/>
      <c r="C187" s="0"/>
      <c r="D187" s="0"/>
      <c r="E187" s="0"/>
      <c r="F187" s="0"/>
      <c r="G187" s="0"/>
      <c r="H187" s="161" t="n">
        <v>0</v>
      </c>
      <c r="I187" s="0"/>
      <c r="J187" s="0"/>
      <c r="K187" s="161" t="n">
        <v>0</v>
      </c>
      <c r="L187" s="0"/>
      <c r="M187" s="0"/>
      <c r="N187" s="0"/>
      <c r="O187" s="0"/>
      <c r="P187" s="0"/>
      <c r="Q187" s="0"/>
      <c r="R187" s="0"/>
      <c r="S187" s="0"/>
      <c r="T187" s="0"/>
      <c r="U187" s="0"/>
      <c r="V187" s="0"/>
      <c r="W187" s="0"/>
      <c r="X187" s="0"/>
      <c r="Y187" s="0"/>
      <c r="Z187" s="0"/>
      <c r="AA187" s="0"/>
      <c r="AB187" s="0"/>
      <c r="AC187" s="0"/>
      <c r="AD187" s="0"/>
      <c r="AE187" s="0"/>
      <c r="AF187" s="0"/>
      <c r="AG187" s="0"/>
      <c r="AH187" s="0"/>
      <c r="AI187" s="0"/>
      <c r="AJ187" s="0"/>
      <c r="AK187" s="0"/>
      <c r="AL187" s="0"/>
      <c r="AM187" s="0"/>
      <c r="AN187" s="0"/>
      <c r="AO187" s="0"/>
      <c r="AP187" s="0"/>
      <c r="AQ187" s="0"/>
      <c r="AR187" s="0"/>
      <c r="AS187" s="0"/>
      <c r="AT187" s="0"/>
      <c r="AU187" s="0"/>
      <c r="AV187" s="0"/>
      <c r="AW187" s="0"/>
      <c r="AX187" s="0"/>
      <c r="AY187" s="0"/>
      <c r="AZ187" s="0"/>
      <c r="BA187" s="0"/>
      <c r="BB187" s="0"/>
    </row>
    <row r="188" customFormat="false" ht="12.75" hidden="false" customHeight="false" outlineLevel="0" collapsed="false">
      <c r="A188" s="0"/>
      <c r="B188" s="0"/>
      <c r="C188" s="0"/>
      <c r="D188" s="0"/>
      <c r="E188" s="0"/>
      <c r="F188" s="0"/>
      <c r="G188" s="0"/>
      <c r="H188" s="161" t="n">
        <v>0</v>
      </c>
      <c r="I188" s="0"/>
      <c r="J188" s="0"/>
      <c r="K188" s="161" t="n">
        <v>0</v>
      </c>
      <c r="L188" s="0"/>
      <c r="M188" s="0"/>
      <c r="N188" s="0"/>
      <c r="O188" s="0"/>
      <c r="P188" s="0"/>
      <c r="Q188" s="0"/>
      <c r="R188" s="0"/>
      <c r="S188" s="0"/>
      <c r="T188" s="0"/>
      <c r="U188" s="0"/>
      <c r="V188" s="0"/>
      <c r="W188" s="0"/>
      <c r="X188" s="0"/>
      <c r="Y188" s="0"/>
      <c r="Z188" s="0"/>
      <c r="AA188" s="0"/>
      <c r="AB188" s="0"/>
      <c r="AC188" s="0"/>
      <c r="AD188" s="0"/>
      <c r="AE188" s="0"/>
      <c r="AF188" s="0"/>
      <c r="AG188" s="0"/>
      <c r="AH188" s="0"/>
      <c r="AI188" s="0"/>
      <c r="AJ188" s="0"/>
      <c r="AK188" s="0"/>
      <c r="AL188" s="0"/>
      <c r="AM188" s="0"/>
      <c r="AN188" s="0"/>
      <c r="AO188" s="0"/>
      <c r="AP188" s="0"/>
      <c r="AQ188" s="0"/>
      <c r="AR188" s="0"/>
      <c r="AS188" s="0"/>
      <c r="AT188" s="0"/>
      <c r="AU188" s="0"/>
      <c r="AV188" s="0"/>
      <c r="AW188" s="0"/>
      <c r="AX188" s="0"/>
      <c r="AY188" s="0"/>
      <c r="AZ188" s="0"/>
      <c r="BA188" s="0"/>
      <c r="BB188" s="0"/>
    </row>
    <row r="189" customFormat="false" ht="12.75" hidden="false" customHeight="false" outlineLevel="0" collapsed="false">
      <c r="A189" s="0"/>
      <c r="B189" s="0"/>
      <c r="C189" s="0"/>
      <c r="D189" s="0"/>
      <c r="E189" s="0"/>
      <c r="F189" s="0"/>
      <c r="G189" s="0"/>
      <c r="H189" s="161" t="n">
        <v>0</v>
      </c>
      <c r="I189" s="0"/>
      <c r="J189" s="0"/>
      <c r="K189" s="161" t="n">
        <v>0</v>
      </c>
      <c r="L189" s="0"/>
      <c r="M189" s="0"/>
      <c r="N189" s="0"/>
      <c r="O189" s="0"/>
      <c r="P189" s="0"/>
      <c r="Q189" s="0"/>
      <c r="R189" s="0"/>
      <c r="S189" s="0"/>
      <c r="T189" s="0"/>
      <c r="U189" s="0"/>
      <c r="V189" s="0"/>
      <c r="W189" s="0"/>
      <c r="X189" s="0"/>
      <c r="Y189" s="0"/>
      <c r="Z189" s="0"/>
      <c r="AA189" s="0"/>
      <c r="AB189" s="0"/>
      <c r="AC189" s="0"/>
      <c r="AD189" s="0"/>
      <c r="AE189" s="0"/>
      <c r="AF189" s="0"/>
      <c r="AG189" s="0"/>
      <c r="AH189" s="0"/>
      <c r="AI189" s="0"/>
      <c r="AJ189" s="0"/>
      <c r="AK189" s="0"/>
      <c r="AL189" s="0"/>
      <c r="AM189" s="0"/>
      <c r="AN189" s="0"/>
      <c r="AO189" s="0"/>
      <c r="AP189" s="0"/>
      <c r="AQ189" s="0"/>
      <c r="AR189" s="0"/>
      <c r="AS189" s="0"/>
      <c r="AT189" s="0"/>
      <c r="AU189" s="0"/>
      <c r="AV189" s="0"/>
      <c r="AW189" s="0"/>
      <c r="AX189" s="0"/>
      <c r="AY189" s="0"/>
      <c r="AZ189" s="0"/>
      <c r="BA189" s="0"/>
      <c r="BB189" s="0"/>
    </row>
    <row r="190" customFormat="false" ht="12.75" hidden="false" customHeight="false" outlineLevel="0" collapsed="false">
      <c r="A190" s="0"/>
      <c r="B190" s="0"/>
      <c r="C190" s="0"/>
      <c r="D190" s="0"/>
      <c r="E190" s="0"/>
      <c r="F190" s="0"/>
      <c r="G190" s="0"/>
      <c r="H190" s="161" t="n">
        <v>0</v>
      </c>
      <c r="I190" s="0"/>
      <c r="J190" s="0"/>
      <c r="K190" s="161" t="n">
        <v>0</v>
      </c>
      <c r="L190" s="0"/>
      <c r="M190" s="0"/>
      <c r="N190" s="0"/>
      <c r="O190" s="0"/>
      <c r="P190" s="0"/>
      <c r="Q190" s="0"/>
      <c r="R190" s="0"/>
      <c r="S190" s="0"/>
      <c r="T190" s="0"/>
      <c r="U190" s="0"/>
      <c r="V190" s="0"/>
      <c r="W190" s="0"/>
      <c r="X190" s="0"/>
      <c r="Y190" s="0"/>
      <c r="Z190" s="0"/>
      <c r="AA190" s="0"/>
      <c r="AB190" s="0"/>
      <c r="AC190" s="0"/>
      <c r="AD190" s="0"/>
      <c r="AE190" s="0"/>
      <c r="AF190" s="0"/>
      <c r="AG190" s="0"/>
      <c r="AH190" s="0"/>
      <c r="AI190" s="0"/>
      <c r="AJ190" s="0"/>
      <c r="AK190" s="0"/>
      <c r="AL190" s="0"/>
      <c r="AM190" s="0"/>
      <c r="AN190" s="0"/>
      <c r="AO190" s="0"/>
      <c r="AP190" s="0"/>
      <c r="AQ190" s="0"/>
      <c r="AR190" s="0"/>
      <c r="AS190" s="0"/>
      <c r="AT190" s="0"/>
      <c r="AU190" s="0"/>
      <c r="AV190" s="0"/>
      <c r="AW190" s="0"/>
      <c r="AX190" s="0"/>
      <c r="AY190" s="0"/>
      <c r="AZ190" s="0"/>
      <c r="BA190" s="0"/>
      <c r="BB190" s="0"/>
    </row>
    <row r="191" customFormat="false" ht="12.75" hidden="false" customHeight="false" outlineLevel="0" collapsed="false">
      <c r="A191" s="0"/>
      <c r="B191" s="0"/>
      <c r="C191" s="0"/>
      <c r="D191" s="0"/>
      <c r="E191" s="0"/>
      <c r="F191" s="0"/>
      <c r="G191" s="0"/>
      <c r="H191" s="161" t="n">
        <v>0</v>
      </c>
      <c r="I191" s="0"/>
      <c r="J191" s="0"/>
      <c r="K191" s="161" t="n">
        <v>0</v>
      </c>
      <c r="L191" s="0"/>
      <c r="M191" s="0"/>
      <c r="N191" s="0"/>
      <c r="O191" s="0"/>
      <c r="P191" s="0"/>
      <c r="Q191" s="0"/>
      <c r="R191" s="0"/>
      <c r="S191" s="0"/>
      <c r="T191" s="0"/>
      <c r="U191" s="0"/>
      <c r="V191" s="0"/>
      <c r="W191" s="0"/>
      <c r="X191" s="0"/>
      <c r="Y191" s="0"/>
      <c r="Z191" s="0"/>
      <c r="AA191" s="0"/>
      <c r="AB191" s="0"/>
      <c r="AC191" s="0"/>
      <c r="AD191" s="0"/>
      <c r="AE191" s="0"/>
      <c r="AF191" s="0"/>
      <c r="AG191" s="0"/>
      <c r="AH191" s="0"/>
      <c r="AI191" s="0"/>
      <c r="AJ191" s="0"/>
      <c r="AK191" s="0"/>
      <c r="AL191" s="0"/>
      <c r="AM191" s="0"/>
      <c r="AN191" s="0"/>
      <c r="AO191" s="0"/>
      <c r="AP191" s="0"/>
      <c r="AQ191" s="0"/>
      <c r="AR191" s="0"/>
      <c r="AS191" s="0"/>
      <c r="AT191" s="0"/>
      <c r="AU191" s="0"/>
      <c r="AV191" s="0"/>
      <c r="AW191" s="0"/>
      <c r="AX191" s="0"/>
      <c r="AY191" s="0"/>
      <c r="AZ191" s="0"/>
      <c r="BA191" s="0"/>
      <c r="BB191" s="0"/>
    </row>
    <row r="192" customFormat="false" ht="12.75" hidden="false" customHeight="false" outlineLevel="0" collapsed="false">
      <c r="A192" s="0"/>
      <c r="B192" s="0"/>
      <c r="C192" s="0"/>
      <c r="D192" s="0"/>
      <c r="E192" s="0"/>
      <c r="F192" s="0"/>
      <c r="G192" s="0"/>
      <c r="H192" s="161" t="n">
        <v>0</v>
      </c>
      <c r="I192" s="0"/>
      <c r="J192" s="0"/>
      <c r="K192" s="161" t="n">
        <v>0</v>
      </c>
      <c r="L192" s="0"/>
      <c r="M192" s="0"/>
      <c r="N192" s="0"/>
      <c r="O192" s="0"/>
      <c r="P192" s="0"/>
      <c r="Q192" s="0"/>
      <c r="R192" s="0"/>
      <c r="S192" s="0"/>
      <c r="T192" s="0"/>
      <c r="U192" s="0"/>
      <c r="V192" s="0"/>
      <c r="W192" s="0"/>
      <c r="X192" s="0"/>
      <c r="Y192" s="0"/>
      <c r="Z192" s="0"/>
      <c r="AA192" s="0"/>
      <c r="AB192" s="0"/>
      <c r="AC192" s="0"/>
      <c r="AD192" s="0"/>
      <c r="AE192" s="0"/>
      <c r="AF192" s="0"/>
      <c r="AG192" s="0"/>
      <c r="AH192" s="0"/>
      <c r="AI192" s="0"/>
      <c r="AJ192" s="0"/>
      <c r="AK192" s="0"/>
      <c r="AL192" s="0"/>
      <c r="AM192" s="0"/>
      <c r="AN192" s="0"/>
      <c r="AO192" s="0"/>
      <c r="AP192" s="0"/>
      <c r="AQ192" s="0"/>
      <c r="AR192" s="0"/>
      <c r="AS192" s="0"/>
      <c r="AT192" s="0"/>
      <c r="AU192" s="0"/>
      <c r="AV192" s="0"/>
      <c r="AW192" s="0"/>
      <c r="AX192" s="0"/>
      <c r="AY192" s="0"/>
      <c r="AZ192" s="0"/>
      <c r="BA192" s="0"/>
      <c r="BB192" s="0"/>
    </row>
    <row r="193" customFormat="false" ht="12.75" hidden="false" customHeight="false" outlineLevel="0" collapsed="false">
      <c r="A193" s="0"/>
      <c r="B193" s="0"/>
      <c r="C193" s="0"/>
      <c r="D193" s="0"/>
      <c r="E193" s="0"/>
      <c r="F193" s="0"/>
      <c r="G193" s="0"/>
      <c r="H193" s="161" t="n">
        <v>0</v>
      </c>
      <c r="I193" s="0"/>
      <c r="J193" s="0"/>
      <c r="K193" s="161" t="n">
        <v>0</v>
      </c>
      <c r="L193" s="0"/>
      <c r="M193" s="0"/>
      <c r="N193" s="0"/>
      <c r="O193" s="0"/>
      <c r="P193" s="0"/>
      <c r="Q193" s="0"/>
      <c r="R193" s="0"/>
      <c r="S193" s="0"/>
      <c r="T193" s="0"/>
      <c r="U193" s="0"/>
      <c r="V193" s="0"/>
      <c r="W193" s="0"/>
      <c r="X193" s="0"/>
      <c r="Y193" s="0"/>
      <c r="Z193" s="0"/>
      <c r="AA193" s="0"/>
      <c r="AB193" s="0"/>
      <c r="AC193" s="0"/>
      <c r="AD193" s="0"/>
      <c r="AE193" s="0"/>
      <c r="AF193" s="0"/>
      <c r="AG193" s="0"/>
      <c r="AH193" s="0"/>
      <c r="AI193" s="0"/>
      <c r="AJ193" s="0"/>
      <c r="AK193" s="0"/>
      <c r="AL193" s="0"/>
      <c r="AM193" s="0"/>
      <c r="AN193" s="0"/>
      <c r="AO193" s="0"/>
      <c r="AP193" s="0"/>
      <c r="AQ193" s="0"/>
      <c r="AR193" s="0"/>
      <c r="AS193" s="0"/>
      <c r="AT193" s="0"/>
      <c r="AU193" s="0"/>
      <c r="AV193" s="0"/>
      <c r="AW193" s="0"/>
      <c r="AX193" s="0"/>
      <c r="AY193" s="0"/>
      <c r="AZ193" s="0"/>
      <c r="BA193" s="0"/>
      <c r="BB193" s="0"/>
    </row>
    <row r="194" customFormat="false" ht="12.75" hidden="false" customHeight="false" outlineLevel="0" collapsed="false">
      <c r="A194" s="0"/>
      <c r="B194" s="0"/>
      <c r="C194" s="0"/>
      <c r="D194" s="0"/>
      <c r="E194" s="0"/>
      <c r="F194" s="0"/>
      <c r="G194" s="0"/>
      <c r="H194" s="161" t="n">
        <v>0</v>
      </c>
      <c r="I194" s="0"/>
      <c r="J194" s="0"/>
      <c r="K194" s="161" t="n">
        <v>0</v>
      </c>
      <c r="L194" s="0"/>
      <c r="M194" s="0"/>
      <c r="N194" s="0"/>
      <c r="O194" s="0"/>
      <c r="P194" s="0"/>
      <c r="Q194" s="0"/>
      <c r="R194" s="0"/>
      <c r="S194" s="0"/>
      <c r="T194" s="0"/>
      <c r="U194" s="0"/>
      <c r="V194" s="0"/>
      <c r="W194" s="0"/>
      <c r="X194" s="0"/>
      <c r="Y194" s="0"/>
      <c r="Z194" s="0"/>
      <c r="AA194" s="0"/>
      <c r="AB194" s="0"/>
      <c r="AC194" s="0"/>
      <c r="AD194" s="0"/>
      <c r="AE194" s="0"/>
      <c r="AF194" s="0"/>
      <c r="AG194" s="0"/>
      <c r="AH194" s="0"/>
      <c r="AI194" s="0"/>
      <c r="AJ194" s="0"/>
      <c r="AK194" s="0"/>
      <c r="AL194" s="0"/>
      <c r="AM194" s="0"/>
      <c r="AN194" s="0"/>
      <c r="AO194" s="0"/>
      <c r="AP194" s="0"/>
      <c r="AQ194" s="0"/>
      <c r="AR194" s="0"/>
      <c r="AS194" s="0"/>
      <c r="AT194" s="0"/>
      <c r="AU194" s="0"/>
      <c r="AV194" s="0"/>
      <c r="AW194" s="0"/>
      <c r="AX194" s="0"/>
      <c r="AY194" s="0"/>
      <c r="AZ194" s="0"/>
      <c r="BA194" s="0"/>
      <c r="BB194" s="0"/>
    </row>
    <row r="195" customFormat="false" ht="12.75" hidden="false" customHeight="false" outlineLevel="0" collapsed="false">
      <c r="A195" s="0"/>
      <c r="B195" s="0"/>
      <c r="C195" s="0"/>
      <c r="D195" s="0"/>
      <c r="E195" s="0"/>
      <c r="F195" s="0"/>
      <c r="G195" s="0"/>
      <c r="H195" s="161" t="n">
        <v>0</v>
      </c>
      <c r="I195" s="0"/>
      <c r="J195" s="0"/>
      <c r="K195" s="161" t="n">
        <v>0</v>
      </c>
      <c r="L195" s="0"/>
      <c r="M195" s="0"/>
      <c r="N195" s="0"/>
      <c r="O195" s="0"/>
      <c r="P195" s="0"/>
      <c r="Q195" s="0"/>
      <c r="R195" s="0"/>
      <c r="S195" s="0"/>
      <c r="T195" s="0"/>
      <c r="U195" s="0"/>
      <c r="V195" s="0"/>
      <c r="W195" s="0"/>
      <c r="X195" s="0"/>
      <c r="Y195" s="0"/>
      <c r="Z195" s="0"/>
      <c r="AA195" s="0"/>
      <c r="AB195" s="0"/>
      <c r="AC195" s="0"/>
      <c r="AD195" s="0"/>
      <c r="AE195" s="0"/>
      <c r="AF195" s="0"/>
      <c r="AG195" s="0"/>
      <c r="AH195" s="0"/>
      <c r="AI195" s="0"/>
      <c r="AJ195" s="0"/>
      <c r="AK195" s="0"/>
      <c r="AL195" s="0"/>
      <c r="AM195" s="0"/>
      <c r="AN195" s="0"/>
      <c r="AO195" s="0"/>
      <c r="AP195" s="0"/>
      <c r="AQ195" s="0"/>
      <c r="AR195" s="0"/>
      <c r="AS195" s="0"/>
      <c r="AT195" s="0"/>
      <c r="AU195" s="0"/>
      <c r="AV195" s="0"/>
      <c r="AW195" s="0"/>
      <c r="AX195" s="0"/>
      <c r="AY195" s="0"/>
      <c r="AZ195" s="0"/>
      <c r="BA195" s="0"/>
      <c r="BB195" s="0"/>
    </row>
    <row r="196" customFormat="false" ht="12.75" hidden="false" customHeight="false" outlineLevel="0" collapsed="false">
      <c r="A196" s="0"/>
      <c r="B196" s="0"/>
      <c r="C196" s="0"/>
      <c r="D196" s="0"/>
      <c r="E196" s="0"/>
      <c r="F196" s="0"/>
      <c r="G196" s="0"/>
      <c r="H196" s="161" t="n">
        <v>0</v>
      </c>
      <c r="I196" s="0"/>
      <c r="J196" s="0"/>
      <c r="K196" s="161" t="n">
        <v>0</v>
      </c>
      <c r="L196" s="0"/>
      <c r="M196" s="0"/>
      <c r="N196" s="0"/>
      <c r="O196" s="0"/>
      <c r="P196" s="0"/>
      <c r="Q196" s="0"/>
      <c r="R196" s="0"/>
      <c r="S196" s="0"/>
      <c r="T196" s="0"/>
      <c r="U196" s="0"/>
      <c r="V196" s="0"/>
      <c r="W196" s="0"/>
      <c r="X196" s="0"/>
      <c r="Y196" s="0"/>
      <c r="Z196" s="0"/>
      <c r="AA196" s="0"/>
      <c r="AB196" s="0"/>
      <c r="AC196" s="0"/>
      <c r="AD196" s="0"/>
      <c r="AE196" s="0"/>
      <c r="AF196" s="0"/>
      <c r="AG196" s="0"/>
      <c r="AH196" s="0"/>
      <c r="AI196" s="0"/>
      <c r="AJ196" s="0"/>
      <c r="AK196" s="0"/>
      <c r="AL196" s="0"/>
      <c r="AM196" s="0"/>
      <c r="AN196" s="0"/>
      <c r="AO196" s="0"/>
      <c r="AP196" s="0"/>
      <c r="AQ196" s="0"/>
      <c r="AR196" s="0"/>
      <c r="AS196" s="0"/>
      <c r="AT196" s="0"/>
      <c r="AU196" s="0"/>
      <c r="AV196" s="0"/>
      <c r="AW196" s="0"/>
      <c r="AX196" s="0"/>
      <c r="AY196" s="0"/>
      <c r="AZ196" s="0"/>
      <c r="BA196" s="0"/>
      <c r="BB196" s="0"/>
    </row>
    <row r="197" customFormat="false" ht="12.75" hidden="false" customHeight="false" outlineLevel="0" collapsed="false">
      <c r="A197" s="0"/>
      <c r="B197" s="0"/>
      <c r="C197" s="0"/>
      <c r="D197" s="0"/>
      <c r="E197" s="0"/>
      <c r="F197" s="0"/>
      <c r="G197" s="0"/>
      <c r="H197" s="161" t="n">
        <v>0</v>
      </c>
      <c r="I197" s="0"/>
      <c r="J197" s="0"/>
      <c r="K197" s="161" t="n">
        <v>0</v>
      </c>
      <c r="L197" s="0"/>
      <c r="M197" s="0"/>
      <c r="N197" s="0"/>
      <c r="O197" s="0"/>
      <c r="P197" s="0"/>
      <c r="Q197" s="0"/>
      <c r="R197" s="0"/>
      <c r="S197" s="0"/>
      <c r="T197" s="0"/>
      <c r="U197" s="0"/>
      <c r="V197" s="0"/>
      <c r="W197" s="0"/>
      <c r="X197" s="0"/>
      <c r="Y197" s="0"/>
      <c r="Z197" s="0"/>
      <c r="AA197" s="0"/>
      <c r="AB197" s="0"/>
      <c r="AC197" s="0"/>
      <c r="AD197" s="0"/>
      <c r="AE197" s="0"/>
      <c r="AF197" s="0"/>
      <c r="AG197" s="0"/>
      <c r="AH197" s="0"/>
      <c r="AI197" s="0"/>
      <c r="AJ197" s="0"/>
      <c r="AK197" s="0"/>
      <c r="AL197" s="0"/>
      <c r="AM197" s="0"/>
      <c r="AN197" s="0"/>
      <c r="AO197" s="0"/>
      <c r="AP197" s="0"/>
      <c r="AQ197" s="0"/>
      <c r="AR197" s="0"/>
      <c r="AS197" s="0"/>
      <c r="AT197" s="0"/>
      <c r="AU197" s="0"/>
      <c r="AV197" s="0"/>
      <c r="AW197" s="0"/>
      <c r="AX197" s="0"/>
      <c r="AY197" s="0"/>
      <c r="AZ197" s="0"/>
      <c r="BA197" s="0"/>
      <c r="BB197" s="0"/>
    </row>
    <row r="198" customFormat="false" ht="12.75" hidden="false" customHeight="false" outlineLevel="0" collapsed="false">
      <c r="A198" s="0"/>
      <c r="B198" s="0"/>
      <c r="C198" s="0"/>
      <c r="D198" s="0"/>
      <c r="E198" s="0"/>
      <c r="F198" s="0"/>
      <c r="G198" s="0"/>
      <c r="H198" s="161" t="n">
        <v>0</v>
      </c>
      <c r="I198" s="0"/>
      <c r="J198" s="0"/>
      <c r="K198" s="161" t="n">
        <v>0</v>
      </c>
      <c r="L198" s="0"/>
      <c r="M198" s="0"/>
      <c r="N198" s="0"/>
      <c r="O198" s="0"/>
      <c r="P198" s="0"/>
      <c r="Q198" s="0"/>
      <c r="R198" s="0"/>
      <c r="S198" s="0"/>
      <c r="T198" s="0"/>
      <c r="U198" s="0"/>
      <c r="V198" s="0"/>
      <c r="W198" s="0"/>
      <c r="X198" s="0"/>
      <c r="Y198" s="0"/>
      <c r="Z198" s="0"/>
      <c r="AA198" s="0"/>
      <c r="AB198" s="0"/>
      <c r="AC198" s="0"/>
      <c r="AD198" s="0"/>
      <c r="AE198" s="0"/>
      <c r="AF198" s="0"/>
      <c r="AG198" s="0"/>
      <c r="AH198" s="0"/>
      <c r="AI198" s="0"/>
      <c r="AJ198" s="0"/>
      <c r="AK198" s="0"/>
      <c r="AL198" s="0"/>
      <c r="AM198" s="0"/>
      <c r="AN198" s="0"/>
      <c r="AO198" s="0"/>
      <c r="AP198" s="0"/>
      <c r="AQ198" s="0"/>
      <c r="AR198" s="0"/>
      <c r="AS198" s="0"/>
      <c r="AT198" s="0"/>
      <c r="AU198" s="0"/>
      <c r="AV198" s="0"/>
      <c r="AW198" s="0"/>
      <c r="AX198" s="0"/>
      <c r="AY198" s="0"/>
      <c r="AZ198" s="0"/>
      <c r="BA198" s="0"/>
      <c r="BB198" s="0"/>
    </row>
    <row r="199" customFormat="false" ht="12.75" hidden="false" customHeight="false" outlineLevel="0" collapsed="false">
      <c r="A199" s="0"/>
      <c r="B199" s="0"/>
      <c r="C199" s="0"/>
      <c r="D199" s="0"/>
      <c r="E199" s="0"/>
      <c r="F199" s="0"/>
      <c r="G199" s="0"/>
      <c r="H199" s="161" t="n">
        <v>0</v>
      </c>
      <c r="I199" s="0"/>
      <c r="J199" s="0"/>
      <c r="K199" s="161" t="n">
        <v>0</v>
      </c>
      <c r="L199" s="0"/>
      <c r="M199" s="0"/>
      <c r="N199" s="0"/>
      <c r="O199" s="0"/>
      <c r="P199" s="0"/>
      <c r="Q199" s="0"/>
      <c r="R199" s="0"/>
      <c r="S199" s="0"/>
      <c r="T199" s="0"/>
      <c r="U199" s="0"/>
      <c r="V199" s="0"/>
      <c r="W199" s="0"/>
      <c r="X199" s="0"/>
      <c r="Y199" s="0"/>
      <c r="Z199" s="0"/>
      <c r="AA199" s="0"/>
      <c r="AB199" s="0"/>
      <c r="AC199" s="0"/>
      <c r="AD199" s="0"/>
      <c r="AE199" s="0"/>
      <c r="AF199" s="0"/>
      <c r="AG199" s="0"/>
      <c r="AH199" s="0"/>
      <c r="AI199" s="0"/>
      <c r="AJ199" s="0"/>
      <c r="AK199" s="0"/>
      <c r="AL199" s="0"/>
      <c r="AM199" s="0"/>
      <c r="AN199" s="0"/>
      <c r="AO199" s="0"/>
      <c r="AP199" s="0"/>
      <c r="AQ199" s="0"/>
      <c r="AR199" s="0"/>
      <c r="AS199" s="0"/>
      <c r="AT199" s="0"/>
      <c r="AU199" s="0"/>
      <c r="AV199" s="0"/>
      <c r="AW199" s="0"/>
      <c r="AX199" s="0"/>
      <c r="AY199" s="0"/>
      <c r="AZ199" s="0"/>
      <c r="BA199" s="0"/>
      <c r="BB199" s="0"/>
    </row>
    <row r="200" customFormat="false" ht="12.75" hidden="false" customHeight="false" outlineLevel="0" collapsed="false">
      <c r="A200" s="0"/>
      <c r="B200" s="0"/>
      <c r="C200" s="0"/>
      <c r="D200" s="0"/>
      <c r="E200" s="0"/>
      <c r="F200" s="0"/>
      <c r="G200" s="0"/>
      <c r="H200" s="161" t="n">
        <v>0</v>
      </c>
      <c r="I200" s="0"/>
      <c r="J200" s="0"/>
      <c r="K200" s="161" t="n">
        <v>0</v>
      </c>
      <c r="L200" s="0"/>
      <c r="M200" s="0"/>
      <c r="N200" s="0"/>
      <c r="O200" s="0"/>
      <c r="P200" s="0"/>
      <c r="Q200" s="0"/>
      <c r="R200" s="0"/>
      <c r="S200" s="0"/>
      <c r="T200" s="0"/>
      <c r="U200" s="0"/>
      <c r="V200" s="0"/>
      <c r="W200" s="0"/>
      <c r="X200" s="0"/>
      <c r="Y200" s="0"/>
      <c r="Z200" s="0"/>
      <c r="AA200" s="0"/>
      <c r="AB200" s="0"/>
      <c r="AC200" s="0"/>
      <c r="AD200" s="0"/>
      <c r="AE200" s="0"/>
      <c r="AF200" s="0"/>
      <c r="AG200" s="0"/>
      <c r="AH200" s="0"/>
      <c r="AI200" s="0"/>
      <c r="AJ200" s="0"/>
      <c r="AK200" s="0"/>
      <c r="AL200" s="0"/>
      <c r="AM200" s="0"/>
      <c r="AN200" s="0"/>
      <c r="AO200" s="0"/>
      <c r="AP200" s="0"/>
      <c r="AQ200" s="0"/>
      <c r="AR200" s="0"/>
      <c r="AS200" s="0"/>
      <c r="AT200" s="0"/>
      <c r="AU200" s="0"/>
      <c r="AV200" s="0"/>
      <c r="AW200" s="0"/>
      <c r="AX200" s="0"/>
      <c r="AY200" s="0"/>
      <c r="AZ200" s="0"/>
      <c r="BA200" s="0"/>
      <c r="BB200" s="0"/>
    </row>
    <row r="201" customFormat="false" ht="12.75" hidden="false" customHeight="false" outlineLevel="0" collapsed="false">
      <c r="A201" s="0"/>
      <c r="B201" s="0"/>
      <c r="C201" s="0"/>
      <c r="D201" s="0"/>
      <c r="E201" s="0"/>
      <c r="F201" s="0"/>
      <c r="G201" s="0"/>
      <c r="H201" s="161" t="n">
        <v>0</v>
      </c>
      <c r="I201" s="0"/>
      <c r="J201" s="0"/>
      <c r="K201" s="161" t="n">
        <v>0</v>
      </c>
      <c r="L201" s="0"/>
      <c r="M201" s="0"/>
      <c r="N201" s="0"/>
      <c r="O201" s="0"/>
      <c r="P201" s="0"/>
      <c r="Q201" s="0"/>
      <c r="R201" s="0"/>
      <c r="S201" s="0"/>
      <c r="T201" s="0"/>
      <c r="U201" s="0"/>
      <c r="V201" s="0"/>
      <c r="W201" s="0"/>
      <c r="X201" s="0"/>
      <c r="Y201" s="0"/>
      <c r="Z201" s="0"/>
      <c r="AA201" s="0"/>
      <c r="AB201" s="0"/>
      <c r="AC201" s="0"/>
      <c r="AD201" s="0"/>
      <c r="AE201" s="0"/>
      <c r="AF201" s="0"/>
      <c r="AG201" s="0"/>
      <c r="AH201" s="0"/>
      <c r="AI201" s="0"/>
      <c r="AJ201" s="0"/>
      <c r="AK201" s="0"/>
      <c r="AL201" s="0"/>
      <c r="AM201" s="0"/>
      <c r="AN201" s="0"/>
      <c r="AO201" s="0"/>
      <c r="AP201" s="0"/>
      <c r="AQ201" s="0"/>
      <c r="AR201" s="0"/>
      <c r="AS201" s="0"/>
      <c r="AT201" s="0"/>
      <c r="AU201" s="0"/>
      <c r="AV201" s="0"/>
      <c r="AW201" s="0"/>
      <c r="AX201" s="0"/>
      <c r="AY201" s="0"/>
      <c r="AZ201" s="0"/>
      <c r="BA201" s="0"/>
      <c r="BB201" s="0"/>
    </row>
    <row r="202" customFormat="false" ht="12.75" hidden="false" customHeight="false" outlineLevel="0" collapsed="false">
      <c r="A202" s="0"/>
      <c r="B202" s="0"/>
      <c r="C202" s="0"/>
      <c r="D202" s="0"/>
      <c r="E202" s="0"/>
      <c r="F202" s="0"/>
      <c r="G202" s="0"/>
      <c r="H202" s="161" t="n">
        <v>0</v>
      </c>
      <c r="I202" s="0"/>
      <c r="J202" s="0"/>
      <c r="K202" s="161" t="n">
        <v>0</v>
      </c>
      <c r="L202" s="0"/>
      <c r="M202" s="0"/>
      <c r="N202" s="0"/>
      <c r="O202" s="0"/>
      <c r="P202" s="0"/>
      <c r="Q202" s="0"/>
      <c r="R202" s="0"/>
      <c r="S202" s="0"/>
      <c r="T202" s="0"/>
      <c r="U202" s="0"/>
      <c r="V202" s="0"/>
      <c r="W202" s="0"/>
      <c r="X202" s="0"/>
      <c r="Y202" s="0"/>
      <c r="Z202" s="0"/>
      <c r="AA202" s="0"/>
      <c r="AB202" s="0"/>
      <c r="AC202" s="0"/>
      <c r="AD202" s="0"/>
      <c r="AE202" s="0"/>
      <c r="AF202" s="0"/>
      <c r="AG202" s="0"/>
      <c r="AH202" s="0"/>
      <c r="AI202" s="0"/>
      <c r="AJ202" s="0"/>
      <c r="AK202" s="0"/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A202" s="0"/>
      <c r="BB202" s="0"/>
    </row>
    <row r="203" customFormat="false" ht="12.75" hidden="false" customHeight="false" outlineLevel="0" collapsed="false">
      <c r="A203" s="0"/>
      <c r="B203" s="0"/>
      <c r="C203" s="0"/>
      <c r="D203" s="0"/>
      <c r="E203" s="0"/>
      <c r="F203" s="0"/>
      <c r="G203" s="0"/>
      <c r="H203" s="161" t="n">
        <v>0</v>
      </c>
      <c r="I203" s="0"/>
      <c r="J203" s="0"/>
      <c r="K203" s="161" t="n">
        <v>0</v>
      </c>
      <c r="L203" s="0"/>
      <c r="M203" s="0"/>
      <c r="N203" s="0"/>
      <c r="O203" s="0"/>
      <c r="P203" s="0"/>
      <c r="Q203" s="0"/>
      <c r="R203" s="0"/>
      <c r="S203" s="0"/>
      <c r="T203" s="0"/>
      <c r="U203" s="0"/>
      <c r="V203" s="0"/>
      <c r="W203" s="0"/>
      <c r="X203" s="0"/>
      <c r="Y203" s="0"/>
      <c r="Z203" s="0"/>
      <c r="AA203" s="0"/>
      <c r="AB203" s="0"/>
      <c r="AC203" s="0"/>
      <c r="AD203" s="0"/>
      <c r="AE203" s="0"/>
      <c r="AF203" s="0"/>
      <c r="AG203" s="0"/>
      <c r="AH203" s="0"/>
      <c r="AI203" s="0"/>
      <c r="AJ203" s="0"/>
      <c r="AK203" s="0"/>
      <c r="AL203" s="0"/>
      <c r="AM203" s="0"/>
      <c r="AN203" s="0"/>
      <c r="AO203" s="0"/>
      <c r="AP203" s="0"/>
      <c r="AQ203" s="0"/>
      <c r="AR203" s="0"/>
      <c r="AS203" s="0"/>
      <c r="AT203" s="0"/>
      <c r="AU203" s="0"/>
      <c r="AV203" s="0"/>
      <c r="AW203" s="0"/>
      <c r="AX203" s="0"/>
      <c r="AY203" s="0"/>
      <c r="AZ203" s="0"/>
      <c r="BA203" s="0"/>
      <c r="BB203" s="0"/>
    </row>
    <row r="204" customFormat="false" ht="12.75" hidden="false" customHeight="false" outlineLevel="0" collapsed="false">
      <c r="A204" s="0"/>
      <c r="B204" s="0"/>
      <c r="C204" s="0"/>
      <c r="D204" s="0"/>
      <c r="E204" s="0"/>
      <c r="F204" s="0"/>
      <c r="G204" s="0"/>
      <c r="H204" s="161" t="n">
        <v>0</v>
      </c>
      <c r="I204" s="0"/>
      <c r="J204" s="0"/>
      <c r="K204" s="161" t="n">
        <v>0</v>
      </c>
      <c r="L204" s="0"/>
      <c r="M204" s="0"/>
      <c r="N204" s="0"/>
      <c r="O204" s="0"/>
      <c r="P204" s="0"/>
      <c r="Q204" s="0"/>
      <c r="R204" s="0"/>
      <c r="S204" s="0"/>
      <c r="T204" s="0"/>
      <c r="U204" s="0"/>
      <c r="V204" s="0"/>
      <c r="W204" s="0"/>
      <c r="X204" s="0"/>
      <c r="Y204" s="0"/>
      <c r="Z204" s="0"/>
      <c r="AA204" s="0"/>
      <c r="AB204" s="0"/>
      <c r="AC204" s="0"/>
      <c r="AD204" s="0"/>
      <c r="AE204" s="0"/>
      <c r="AF204" s="0"/>
      <c r="AG204" s="0"/>
      <c r="AH204" s="0"/>
      <c r="AI204" s="0"/>
      <c r="AJ204" s="0"/>
      <c r="AK204" s="0"/>
      <c r="AL204" s="0"/>
      <c r="AM204" s="0"/>
      <c r="AN204" s="0"/>
      <c r="AO204" s="0"/>
      <c r="AP204" s="0"/>
      <c r="AQ204" s="0"/>
      <c r="AR204" s="0"/>
      <c r="AS204" s="0"/>
      <c r="AT204" s="0"/>
      <c r="AU204" s="0"/>
      <c r="AV204" s="0"/>
      <c r="AW204" s="0"/>
      <c r="AX204" s="0"/>
      <c r="AY204" s="0"/>
      <c r="AZ204" s="0"/>
      <c r="BA204" s="0"/>
      <c r="BB204" s="0"/>
    </row>
    <row r="205" customFormat="false" ht="12.75" hidden="false" customHeight="false" outlineLevel="0" collapsed="false">
      <c r="A205" s="0"/>
      <c r="B205" s="0"/>
      <c r="C205" s="0"/>
      <c r="D205" s="0"/>
      <c r="E205" s="0"/>
      <c r="F205" s="0"/>
      <c r="G205" s="0"/>
      <c r="H205" s="161" t="n">
        <v>0</v>
      </c>
      <c r="I205" s="0"/>
      <c r="J205" s="0"/>
      <c r="K205" s="161" t="n">
        <v>0</v>
      </c>
      <c r="L205" s="0"/>
      <c r="M205" s="0"/>
      <c r="N205" s="0"/>
      <c r="O205" s="0"/>
      <c r="P205" s="0"/>
      <c r="Q205" s="0"/>
      <c r="R205" s="0"/>
      <c r="S205" s="0"/>
      <c r="T205" s="0"/>
      <c r="U205" s="0"/>
      <c r="V205" s="0"/>
      <c r="W205" s="0"/>
      <c r="X205" s="0"/>
      <c r="Y205" s="0"/>
      <c r="Z205" s="0"/>
      <c r="AA205" s="0"/>
      <c r="AB205" s="0"/>
      <c r="AC205" s="0"/>
      <c r="AD205" s="0"/>
      <c r="AE205" s="0"/>
      <c r="AF205" s="0"/>
      <c r="AG205" s="0"/>
      <c r="AH205" s="0"/>
      <c r="AI205" s="0"/>
      <c r="AJ205" s="0"/>
      <c r="AK205" s="0"/>
      <c r="AL205" s="0"/>
      <c r="AM205" s="0"/>
      <c r="AN205" s="0"/>
      <c r="AO205" s="0"/>
      <c r="AP205" s="0"/>
      <c r="AQ205" s="0"/>
      <c r="AR205" s="0"/>
      <c r="AS205" s="0"/>
      <c r="AT205" s="0"/>
      <c r="AU205" s="0"/>
      <c r="AV205" s="0"/>
      <c r="AW205" s="0"/>
      <c r="AX205" s="0"/>
      <c r="AY205" s="0"/>
      <c r="AZ205" s="0"/>
      <c r="BA205" s="0"/>
      <c r="BB205" s="0"/>
    </row>
    <row r="206" customFormat="false" ht="12.75" hidden="false" customHeight="false" outlineLevel="0" collapsed="false">
      <c r="A206" s="0"/>
      <c r="B206" s="0"/>
      <c r="C206" s="0"/>
      <c r="D206" s="0"/>
      <c r="E206" s="0"/>
      <c r="F206" s="0"/>
      <c r="G206" s="0"/>
      <c r="H206" s="161" t="n">
        <v>0</v>
      </c>
      <c r="I206" s="0"/>
      <c r="J206" s="0"/>
      <c r="K206" s="161" t="n">
        <v>0</v>
      </c>
      <c r="L206" s="0"/>
      <c r="M206" s="0"/>
      <c r="N206" s="0"/>
      <c r="O206" s="0"/>
      <c r="P206" s="0"/>
      <c r="Q206" s="0"/>
      <c r="R206" s="0"/>
      <c r="S206" s="0"/>
      <c r="T206" s="0"/>
      <c r="U206" s="0"/>
      <c r="V206" s="0"/>
      <c r="W206" s="0"/>
      <c r="X206" s="0"/>
      <c r="Y206" s="0"/>
      <c r="Z206" s="0"/>
      <c r="AA206" s="0"/>
      <c r="AB206" s="0"/>
      <c r="AC206" s="0"/>
      <c r="AD206" s="0"/>
      <c r="AE206" s="0"/>
      <c r="AF206" s="0"/>
      <c r="AG206" s="0"/>
      <c r="AH206" s="0"/>
      <c r="AI206" s="0"/>
      <c r="AJ206" s="0"/>
      <c r="AK206" s="0"/>
      <c r="AL206" s="0"/>
      <c r="AM206" s="0"/>
      <c r="AN206" s="0"/>
      <c r="AO206" s="0"/>
      <c r="AP206" s="0"/>
      <c r="AQ206" s="0"/>
      <c r="AR206" s="0"/>
      <c r="AS206" s="0"/>
      <c r="AT206" s="0"/>
      <c r="AU206" s="0"/>
      <c r="AV206" s="0"/>
      <c r="AW206" s="0"/>
      <c r="AX206" s="0"/>
      <c r="AY206" s="0"/>
      <c r="AZ206" s="0"/>
      <c r="BA206" s="0"/>
      <c r="BB206" s="0"/>
    </row>
    <row r="207" customFormat="false" ht="12.75" hidden="false" customHeight="false" outlineLevel="0" collapsed="false">
      <c r="A207" s="0"/>
      <c r="B207" s="0"/>
      <c r="C207" s="0"/>
      <c r="D207" s="0"/>
      <c r="E207" s="0"/>
      <c r="F207" s="0"/>
      <c r="G207" s="0"/>
      <c r="H207" s="161" t="n">
        <v>0</v>
      </c>
      <c r="I207" s="0"/>
      <c r="J207" s="0"/>
      <c r="K207" s="161" t="n">
        <v>0</v>
      </c>
      <c r="L207" s="0"/>
      <c r="M207" s="0"/>
      <c r="N207" s="0"/>
      <c r="O207" s="0"/>
      <c r="P207" s="0"/>
      <c r="Q207" s="0"/>
      <c r="R207" s="0"/>
      <c r="S207" s="0"/>
      <c r="T207" s="0"/>
      <c r="U207" s="0"/>
      <c r="V207" s="0"/>
      <c r="W207" s="0"/>
      <c r="X207" s="0"/>
      <c r="Y207" s="0"/>
      <c r="Z207" s="0"/>
      <c r="AA207" s="0"/>
      <c r="AB207" s="0"/>
      <c r="AC207" s="0"/>
      <c r="AD207" s="0"/>
      <c r="AE207" s="0"/>
      <c r="AF207" s="0"/>
      <c r="AG207" s="0"/>
      <c r="AH207" s="0"/>
      <c r="AI207" s="0"/>
      <c r="AJ207" s="0"/>
      <c r="AK207" s="0"/>
      <c r="AL207" s="0"/>
      <c r="AM207" s="0"/>
      <c r="AN207" s="0"/>
      <c r="AO207" s="0"/>
      <c r="AP207" s="0"/>
      <c r="AQ207" s="0"/>
      <c r="AR207" s="0"/>
      <c r="AS207" s="0"/>
      <c r="AT207" s="0"/>
      <c r="AU207" s="0"/>
      <c r="AV207" s="0"/>
      <c r="AW207" s="0"/>
      <c r="AX207" s="0"/>
      <c r="AY207" s="0"/>
      <c r="AZ207" s="0"/>
      <c r="BA207" s="0"/>
      <c r="BB207" s="0"/>
    </row>
    <row r="208" customFormat="false" ht="12.75" hidden="false" customHeight="false" outlineLevel="0" collapsed="false">
      <c r="A208" s="0"/>
      <c r="B208" s="0"/>
      <c r="C208" s="0"/>
      <c r="D208" s="0"/>
      <c r="E208" s="0"/>
      <c r="F208" s="0"/>
      <c r="G208" s="0"/>
      <c r="H208" s="161" t="n">
        <v>0</v>
      </c>
      <c r="I208" s="0"/>
      <c r="J208" s="0"/>
      <c r="K208" s="161" t="n">
        <v>0</v>
      </c>
      <c r="L208" s="0"/>
      <c r="M208" s="0"/>
      <c r="N208" s="0"/>
      <c r="O208" s="0"/>
      <c r="P208" s="0"/>
      <c r="Q208" s="0"/>
      <c r="R208" s="0"/>
      <c r="S208" s="0"/>
      <c r="T208" s="0"/>
      <c r="U208" s="0"/>
      <c r="V208" s="0"/>
      <c r="W208" s="0"/>
      <c r="X208" s="0"/>
      <c r="Y208" s="0"/>
      <c r="Z208" s="0"/>
      <c r="AA208" s="0"/>
      <c r="AB208" s="0"/>
      <c r="AC208" s="0"/>
      <c r="AD208" s="0"/>
      <c r="AE208" s="0"/>
      <c r="AF208" s="0"/>
      <c r="AG208" s="0"/>
      <c r="AH208" s="0"/>
      <c r="AI208" s="0"/>
      <c r="AJ208" s="0"/>
      <c r="AK208" s="0"/>
      <c r="AL208" s="0"/>
      <c r="AM208" s="0"/>
      <c r="AN208" s="0"/>
      <c r="AO208" s="0"/>
      <c r="AP208" s="0"/>
      <c r="AQ208" s="0"/>
      <c r="AR208" s="0"/>
      <c r="AS208" s="0"/>
      <c r="AT208" s="0"/>
      <c r="AU208" s="0"/>
      <c r="AV208" s="0"/>
      <c r="AW208" s="0"/>
      <c r="AX208" s="0"/>
      <c r="AY208" s="0"/>
      <c r="AZ208" s="0"/>
      <c r="BA208" s="0"/>
      <c r="BB208" s="0"/>
    </row>
    <row r="209" customFormat="false" ht="12.75" hidden="false" customHeight="false" outlineLevel="0" collapsed="false">
      <c r="A209" s="0"/>
      <c r="B209" s="0"/>
      <c r="C209" s="0"/>
      <c r="D209" s="0"/>
      <c r="E209" s="0"/>
      <c r="F209" s="0"/>
      <c r="G209" s="0"/>
      <c r="H209" s="161" t="n">
        <v>0</v>
      </c>
      <c r="I209" s="0"/>
      <c r="J209" s="0"/>
      <c r="K209" s="161" t="n">
        <v>0</v>
      </c>
      <c r="L209" s="0"/>
      <c r="M209" s="0"/>
      <c r="N209" s="0"/>
      <c r="O209" s="0"/>
      <c r="P209" s="0"/>
      <c r="Q209" s="0"/>
      <c r="R209" s="0"/>
      <c r="S209" s="0"/>
      <c r="T209" s="0"/>
      <c r="U209" s="0"/>
      <c r="V209" s="0"/>
      <c r="W209" s="0"/>
      <c r="X209" s="0"/>
      <c r="Y209" s="0"/>
      <c r="Z209" s="0"/>
      <c r="AA209" s="0"/>
      <c r="AB209" s="0"/>
      <c r="AC209" s="0"/>
      <c r="AD209" s="0"/>
      <c r="AE209" s="0"/>
      <c r="AF209" s="0"/>
      <c r="AG209" s="0"/>
      <c r="AH209" s="0"/>
      <c r="AI209" s="0"/>
      <c r="AJ209" s="0"/>
      <c r="AK209" s="0"/>
      <c r="AL209" s="0"/>
      <c r="AM209" s="0"/>
      <c r="AN209" s="0"/>
      <c r="AO209" s="0"/>
      <c r="AP209" s="0"/>
      <c r="AQ209" s="0"/>
      <c r="AR209" s="0"/>
      <c r="AS209" s="0"/>
      <c r="AT209" s="0"/>
      <c r="AU209" s="0"/>
      <c r="AV209" s="0"/>
      <c r="AW209" s="0"/>
      <c r="AX209" s="0"/>
      <c r="AY209" s="0"/>
      <c r="AZ209" s="0"/>
      <c r="BA209" s="0"/>
      <c r="BB209" s="0"/>
    </row>
    <row r="210" customFormat="false" ht="12.75" hidden="false" customHeight="false" outlineLevel="0" collapsed="false">
      <c r="A210" s="0"/>
      <c r="B210" s="0"/>
      <c r="C210" s="0"/>
      <c r="D210" s="0"/>
      <c r="E210" s="0"/>
      <c r="F210" s="0"/>
      <c r="G210" s="0"/>
      <c r="H210" s="161" t="n">
        <v>0</v>
      </c>
      <c r="I210" s="0"/>
      <c r="J210" s="0"/>
      <c r="K210" s="161" t="n">
        <v>0</v>
      </c>
      <c r="L210" s="0"/>
      <c r="M210" s="0"/>
      <c r="N210" s="0"/>
      <c r="O210" s="0"/>
      <c r="P210" s="0"/>
      <c r="Q210" s="0"/>
      <c r="R210" s="0"/>
      <c r="S210" s="0"/>
      <c r="T210" s="0"/>
      <c r="U210" s="0"/>
      <c r="V210" s="0"/>
      <c r="W210" s="0"/>
      <c r="X210" s="0"/>
      <c r="Y210" s="0"/>
      <c r="Z210" s="0"/>
      <c r="AA210" s="0"/>
      <c r="AB210" s="0"/>
      <c r="AC210" s="0"/>
      <c r="AD210" s="0"/>
      <c r="AE210" s="0"/>
      <c r="AF210" s="0"/>
      <c r="AG210" s="0"/>
      <c r="AH210" s="0"/>
      <c r="AI210" s="0"/>
      <c r="AJ210" s="0"/>
      <c r="AK210" s="0"/>
      <c r="AL210" s="0"/>
      <c r="AM210" s="0"/>
      <c r="AN210" s="0"/>
      <c r="AO210" s="0"/>
      <c r="AP210" s="0"/>
      <c r="AQ210" s="0"/>
      <c r="AR210" s="0"/>
      <c r="AS210" s="0"/>
      <c r="AT210" s="0"/>
      <c r="AU210" s="0"/>
      <c r="AV210" s="0"/>
      <c r="AW210" s="0"/>
      <c r="AX210" s="0"/>
      <c r="AY210" s="0"/>
      <c r="AZ210" s="0"/>
      <c r="BA210" s="0"/>
      <c r="BB210" s="0"/>
    </row>
    <row r="211" customFormat="false" ht="12.75" hidden="false" customHeight="false" outlineLevel="0" collapsed="false">
      <c r="A211" s="0"/>
      <c r="B211" s="0"/>
      <c r="C211" s="0"/>
      <c r="D211" s="0"/>
      <c r="E211" s="0"/>
      <c r="F211" s="0"/>
      <c r="G211" s="0"/>
      <c r="H211" s="161" t="n">
        <v>0</v>
      </c>
      <c r="I211" s="0"/>
      <c r="J211" s="0"/>
      <c r="K211" s="161" t="n">
        <v>0</v>
      </c>
      <c r="L211" s="0"/>
      <c r="M211" s="0"/>
      <c r="N211" s="0"/>
      <c r="O211" s="0"/>
      <c r="P211" s="0"/>
      <c r="Q211" s="0"/>
      <c r="R211" s="0"/>
      <c r="S211" s="0"/>
      <c r="T211" s="0"/>
      <c r="U211" s="0"/>
      <c r="V211" s="0"/>
      <c r="W211" s="0"/>
      <c r="X211" s="0"/>
      <c r="Y211" s="0"/>
      <c r="Z211" s="0"/>
      <c r="AA211" s="0"/>
      <c r="AB211" s="0"/>
      <c r="AC211" s="0"/>
      <c r="AD211" s="0"/>
      <c r="AE211" s="0"/>
      <c r="AF211" s="0"/>
      <c r="AG211" s="0"/>
      <c r="AH211" s="0"/>
      <c r="AI211" s="0"/>
      <c r="AJ211" s="0"/>
      <c r="AK211" s="0"/>
      <c r="AL211" s="0"/>
      <c r="AM211" s="0"/>
      <c r="AN211" s="0"/>
      <c r="AO211" s="0"/>
      <c r="AP211" s="0"/>
      <c r="AQ211" s="0"/>
      <c r="AR211" s="0"/>
      <c r="AS211" s="0"/>
      <c r="AT211" s="0"/>
      <c r="AU211" s="0"/>
      <c r="AV211" s="0"/>
      <c r="AW211" s="0"/>
      <c r="AX211" s="0"/>
      <c r="AY211" s="0"/>
      <c r="AZ211" s="0"/>
      <c r="BA211" s="0"/>
      <c r="BB211" s="0"/>
    </row>
    <row r="212" customFormat="false" ht="12.75" hidden="false" customHeight="false" outlineLevel="0" collapsed="false">
      <c r="A212" s="0"/>
      <c r="B212" s="0"/>
      <c r="C212" s="0"/>
      <c r="D212" s="0"/>
      <c r="E212" s="0"/>
      <c r="F212" s="0"/>
      <c r="G212" s="0"/>
      <c r="H212" s="161" t="n">
        <v>0</v>
      </c>
      <c r="I212" s="0"/>
      <c r="J212" s="0"/>
      <c r="K212" s="161" t="n">
        <v>0</v>
      </c>
      <c r="L212" s="0"/>
      <c r="M212" s="0"/>
      <c r="N212" s="0"/>
      <c r="O212" s="0"/>
      <c r="P212" s="0"/>
      <c r="Q212" s="0"/>
      <c r="R212" s="0"/>
      <c r="S212" s="0"/>
      <c r="T212" s="0"/>
      <c r="U212" s="0"/>
      <c r="V212" s="0"/>
      <c r="W212" s="0"/>
      <c r="X212" s="0"/>
      <c r="Y212" s="0"/>
      <c r="Z212" s="0"/>
      <c r="AA212" s="0"/>
      <c r="AB212" s="0"/>
      <c r="AC212" s="0"/>
      <c r="AD212" s="0"/>
      <c r="AE212" s="0"/>
      <c r="AF212" s="0"/>
      <c r="AG212" s="0"/>
      <c r="AH212" s="0"/>
      <c r="AI212" s="0"/>
      <c r="AJ212" s="0"/>
      <c r="AK212" s="0"/>
      <c r="AL212" s="0"/>
      <c r="AM212" s="0"/>
      <c r="AN212" s="0"/>
      <c r="AO212" s="0"/>
      <c r="AP212" s="0"/>
      <c r="AQ212" s="0"/>
      <c r="AR212" s="0"/>
      <c r="AS212" s="0"/>
      <c r="AT212" s="0"/>
      <c r="AU212" s="0"/>
      <c r="AV212" s="0"/>
      <c r="AW212" s="0"/>
      <c r="AX212" s="0"/>
      <c r="AY212" s="0"/>
      <c r="AZ212" s="0"/>
      <c r="BA212" s="0"/>
      <c r="BB212" s="0"/>
    </row>
    <row r="213" customFormat="false" ht="12.75" hidden="false" customHeight="false" outlineLevel="0" collapsed="false">
      <c r="A213" s="0"/>
      <c r="B213" s="0"/>
      <c r="C213" s="0"/>
      <c r="D213" s="0"/>
      <c r="E213" s="0"/>
      <c r="F213" s="0"/>
      <c r="G213" s="0"/>
      <c r="H213" s="161" t="n">
        <v>0</v>
      </c>
      <c r="I213" s="0"/>
      <c r="J213" s="0"/>
      <c r="K213" s="161" t="n">
        <v>0</v>
      </c>
      <c r="L213" s="0"/>
      <c r="M213" s="0"/>
      <c r="N213" s="0"/>
      <c r="O213" s="0"/>
      <c r="P213" s="0"/>
      <c r="Q213" s="0"/>
      <c r="R213" s="0"/>
      <c r="S213" s="0"/>
      <c r="T213" s="0"/>
      <c r="U213" s="0"/>
      <c r="V213" s="0"/>
      <c r="W213" s="0"/>
      <c r="X213" s="0"/>
      <c r="Y213" s="0"/>
      <c r="Z213" s="0"/>
      <c r="AA213" s="0"/>
      <c r="AB213" s="0"/>
      <c r="AC213" s="0"/>
      <c r="AD213" s="0"/>
      <c r="AE213" s="0"/>
      <c r="AF213" s="0"/>
      <c r="AG213" s="0"/>
      <c r="AH213" s="0"/>
      <c r="AI213" s="0"/>
      <c r="AJ213" s="0"/>
      <c r="AK213" s="0"/>
      <c r="AL213" s="0"/>
      <c r="AM213" s="0"/>
      <c r="AN213" s="0"/>
      <c r="AO213" s="0"/>
      <c r="AP213" s="0"/>
      <c r="AQ213" s="0"/>
      <c r="AR213" s="0"/>
      <c r="AS213" s="0"/>
      <c r="AT213" s="0"/>
      <c r="AU213" s="0"/>
      <c r="AV213" s="0"/>
      <c r="AW213" s="0"/>
      <c r="AX213" s="0"/>
      <c r="AY213" s="0"/>
      <c r="AZ213" s="0"/>
      <c r="BA213" s="0"/>
      <c r="BB213" s="0"/>
    </row>
    <row r="214" customFormat="false" ht="12.75" hidden="false" customHeight="false" outlineLevel="0" collapsed="false">
      <c r="A214" s="0"/>
      <c r="B214" s="0"/>
      <c r="C214" s="0"/>
      <c r="D214" s="0"/>
      <c r="E214" s="0"/>
      <c r="F214" s="0"/>
      <c r="G214" s="0"/>
      <c r="H214" s="161" t="n">
        <v>0</v>
      </c>
      <c r="I214" s="0"/>
      <c r="J214" s="0"/>
      <c r="K214" s="161" t="n">
        <v>0</v>
      </c>
      <c r="L214" s="0"/>
      <c r="M214" s="0"/>
      <c r="N214" s="0"/>
      <c r="O214" s="0"/>
      <c r="P214" s="0"/>
      <c r="Q214" s="0"/>
      <c r="R214" s="0"/>
      <c r="S214" s="0"/>
      <c r="T214" s="0"/>
      <c r="U214" s="0"/>
      <c r="V214" s="0"/>
      <c r="W214" s="0"/>
      <c r="X214" s="0"/>
      <c r="Y214" s="0"/>
      <c r="Z214" s="0"/>
      <c r="AA214" s="0"/>
      <c r="AB214" s="0"/>
      <c r="AC214" s="0"/>
      <c r="AD214" s="0"/>
      <c r="AE214" s="0"/>
      <c r="AF214" s="0"/>
      <c r="AG214" s="0"/>
      <c r="AH214" s="0"/>
      <c r="AI214" s="0"/>
      <c r="AJ214" s="0"/>
      <c r="AK214" s="0"/>
      <c r="AL214" s="0"/>
      <c r="AM214" s="0"/>
      <c r="AN214" s="0"/>
      <c r="AO214" s="0"/>
      <c r="AP214" s="0"/>
      <c r="AQ214" s="0"/>
      <c r="AR214" s="0"/>
      <c r="AS214" s="0"/>
      <c r="AT214" s="0"/>
      <c r="AU214" s="0"/>
      <c r="AV214" s="0"/>
      <c r="AW214" s="0"/>
      <c r="AX214" s="0"/>
      <c r="AY214" s="0"/>
      <c r="AZ214" s="0"/>
      <c r="BA214" s="0"/>
      <c r="BB214" s="0"/>
    </row>
    <row r="215" customFormat="false" ht="12.75" hidden="false" customHeight="false" outlineLevel="0" collapsed="false">
      <c r="A215" s="0"/>
      <c r="B215" s="0"/>
      <c r="C215" s="0"/>
      <c r="D215" s="0"/>
      <c r="E215" s="0"/>
      <c r="F215" s="0"/>
      <c r="G215" s="0"/>
      <c r="H215" s="161" t="n">
        <v>0</v>
      </c>
      <c r="I215" s="0"/>
      <c r="J215" s="0"/>
      <c r="K215" s="161" t="n">
        <v>0</v>
      </c>
      <c r="L215" s="0"/>
      <c r="M215" s="0"/>
      <c r="N215" s="0"/>
      <c r="O215" s="0"/>
      <c r="P215" s="0"/>
      <c r="Q215" s="0"/>
      <c r="R215" s="0"/>
      <c r="S215" s="0"/>
      <c r="T215" s="0"/>
      <c r="U215" s="0"/>
      <c r="V215" s="0"/>
      <c r="W215" s="0"/>
      <c r="X215" s="0"/>
      <c r="Y215" s="0"/>
      <c r="Z215" s="0"/>
      <c r="AA215" s="0"/>
      <c r="AB215" s="0"/>
      <c r="AC215" s="0"/>
      <c r="AD215" s="0"/>
      <c r="AE215" s="0"/>
      <c r="AF215" s="0"/>
      <c r="AG215" s="0"/>
      <c r="AH215" s="0"/>
      <c r="AI215" s="0"/>
      <c r="AJ215" s="0"/>
      <c r="AK215" s="0"/>
      <c r="AL215" s="0"/>
      <c r="AM215" s="0"/>
      <c r="AN215" s="0"/>
      <c r="AO215" s="0"/>
      <c r="AP215" s="0"/>
      <c r="AQ215" s="0"/>
      <c r="AR215" s="0"/>
      <c r="AS215" s="0"/>
      <c r="AT215" s="0"/>
      <c r="AU215" s="0"/>
      <c r="AV215" s="0"/>
      <c r="AW215" s="0"/>
      <c r="AX215" s="0"/>
      <c r="AY215" s="0"/>
      <c r="AZ215" s="0"/>
      <c r="BA215" s="0"/>
      <c r="BB215" s="0"/>
    </row>
    <row r="216" customFormat="false" ht="12.75" hidden="false" customHeight="false" outlineLevel="0" collapsed="false">
      <c r="A216" s="0"/>
      <c r="B216" s="0"/>
      <c r="C216" s="0"/>
      <c r="D216" s="0"/>
      <c r="E216" s="0"/>
      <c r="F216" s="0"/>
      <c r="G216" s="0"/>
      <c r="H216" s="161" t="n">
        <v>0</v>
      </c>
      <c r="I216" s="0"/>
      <c r="J216" s="0"/>
      <c r="K216" s="161" t="n">
        <v>0</v>
      </c>
      <c r="L216" s="0"/>
      <c r="M216" s="0"/>
      <c r="N216" s="0"/>
      <c r="O216" s="0"/>
      <c r="P216" s="0"/>
      <c r="Q216" s="0"/>
      <c r="R216" s="0"/>
      <c r="S216" s="0"/>
      <c r="T216" s="0"/>
      <c r="U216" s="0"/>
      <c r="V216" s="0"/>
      <c r="W216" s="0"/>
      <c r="X216" s="0"/>
      <c r="Y216" s="0"/>
      <c r="Z216" s="0"/>
      <c r="AA216" s="0"/>
      <c r="AB216" s="0"/>
      <c r="AC216" s="0"/>
      <c r="AD216" s="0"/>
      <c r="AE216" s="0"/>
      <c r="AF216" s="0"/>
      <c r="AG216" s="0"/>
      <c r="AH216" s="0"/>
      <c r="AI216" s="0"/>
      <c r="AJ216" s="0"/>
      <c r="AK216" s="0"/>
      <c r="AL216" s="0"/>
      <c r="AM216" s="0"/>
      <c r="AN216" s="0"/>
      <c r="AO216" s="0"/>
      <c r="AP216" s="0"/>
      <c r="AQ216" s="0"/>
      <c r="AR216" s="0"/>
      <c r="AS216" s="0"/>
      <c r="AT216" s="0"/>
      <c r="AU216" s="0"/>
      <c r="AV216" s="0"/>
      <c r="AW216" s="0"/>
      <c r="AX216" s="0"/>
      <c r="AY216" s="0"/>
      <c r="AZ216" s="0"/>
      <c r="BA216" s="0"/>
      <c r="BB216" s="0"/>
    </row>
    <row r="217" customFormat="false" ht="12.75" hidden="false" customHeight="false" outlineLevel="0" collapsed="false">
      <c r="A217" s="0"/>
      <c r="B217" s="0"/>
      <c r="C217" s="0"/>
      <c r="D217" s="0"/>
      <c r="E217" s="0"/>
      <c r="F217" s="0"/>
      <c r="G217" s="0"/>
      <c r="H217" s="161" t="n">
        <v>0</v>
      </c>
      <c r="I217" s="0"/>
      <c r="J217" s="0"/>
      <c r="K217" s="161" t="n">
        <v>0</v>
      </c>
      <c r="L217" s="0"/>
      <c r="M217" s="0"/>
      <c r="N217" s="0"/>
      <c r="O217" s="0"/>
      <c r="P217" s="0"/>
      <c r="Q217" s="0"/>
      <c r="R217" s="0"/>
      <c r="S217" s="0"/>
      <c r="T217" s="0"/>
      <c r="U217" s="0"/>
      <c r="V217" s="0"/>
      <c r="W217" s="0"/>
      <c r="X217" s="0"/>
      <c r="Y217" s="0"/>
      <c r="Z217" s="0"/>
      <c r="AA217" s="0"/>
      <c r="AB217" s="0"/>
      <c r="AC217" s="0"/>
      <c r="AD217" s="0"/>
      <c r="AE217" s="0"/>
      <c r="AF217" s="0"/>
      <c r="AG217" s="0"/>
      <c r="AH217" s="0"/>
      <c r="AI217" s="0"/>
      <c r="AJ217" s="0"/>
      <c r="AK217" s="0"/>
      <c r="AL217" s="0"/>
      <c r="AM217" s="0"/>
      <c r="AN217" s="0"/>
      <c r="AO217" s="0"/>
      <c r="AP217" s="0"/>
      <c r="AQ217" s="0"/>
      <c r="AR217" s="0"/>
      <c r="AS217" s="0"/>
      <c r="AT217" s="0"/>
      <c r="AU217" s="0"/>
      <c r="AV217" s="0"/>
      <c r="AW217" s="0"/>
      <c r="AX217" s="0"/>
      <c r="AY217" s="0"/>
      <c r="AZ217" s="0"/>
      <c r="BA217" s="0"/>
      <c r="BB217" s="0"/>
    </row>
    <row r="218" customFormat="false" ht="12.75" hidden="false" customHeight="false" outlineLevel="0" collapsed="false">
      <c r="A218" s="0"/>
      <c r="B218" s="0"/>
      <c r="C218" s="0"/>
      <c r="D218" s="0"/>
      <c r="E218" s="0"/>
      <c r="F218" s="0"/>
      <c r="G218" s="0"/>
      <c r="H218" s="161" t="n">
        <v>0</v>
      </c>
      <c r="I218" s="0"/>
      <c r="J218" s="0"/>
      <c r="K218" s="161" t="n">
        <v>0</v>
      </c>
      <c r="L218" s="0"/>
      <c r="M218" s="0"/>
      <c r="N218" s="0"/>
      <c r="O218" s="0"/>
      <c r="P218" s="0"/>
      <c r="Q218" s="0"/>
      <c r="R218" s="0"/>
      <c r="S218" s="0"/>
      <c r="T218" s="0"/>
      <c r="U218" s="0"/>
      <c r="V218" s="0"/>
      <c r="W218" s="0"/>
      <c r="X218" s="0"/>
      <c r="Y218" s="0"/>
      <c r="Z218" s="0"/>
      <c r="AA218" s="0"/>
      <c r="AB218" s="0"/>
      <c r="AC218" s="0"/>
      <c r="AD218" s="0"/>
      <c r="AE218" s="0"/>
      <c r="AF218" s="0"/>
      <c r="AG218" s="0"/>
      <c r="AH218" s="0"/>
      <c r="AI218" s="0"/>
      <c r="AJ218" s="0"/>
      <c r="AK218" s="0"/>
      <c r="AL218" s="0"/>
      <c r="AM218" s="0"/>
      <c r="AN218" s="0"/>
      <c r="AO218" s="0"/>
      <c r="AP218" s="0"/>
      <c r="AQ218" s="0"/>
      <c r="AR218" s="0"/>
      <c r="AS218" s="0"/>
      <c r="AT218" s="0"/>
      <c r="AU218" s="0"/>
      <c r="AV218" s="0"/>
      <c r="AW218" s="0"/>
      <c r="AX218" s="0"/>
      <c r="AY218" s="0"/>
      <c r="AZ218" s="0"/>
      <c r="BA218" s="0"/>
      <c r="BB218" s="0"/>
    </row>
    <row r="219" customFormat="false" ht="12.75" hidden="false" customHeight="false" outlineLevel="0" collapsed="false">
      <c r="A219" s="0"/>
      <c r="B219" s="0"/>
      <c r="C219" s="0"/>
      <c r="D219" s="0"/>
      <c r="E219" s="0"/>
      <c r="F219" s="0"/>
      <c r="G219" s="0"/>
      <c r="H219" s="161" t="n">
        <v>0</v>
      </c>
      <c r="I219" s="0"/>
      <c r="J219" s="0"/>
      <c r="K219" s="161" t="n">
        <v>0</v>
      </c>
      <c r="L219" s="0"/>
      <c r="M219" s="0"/>
      <c r="N219" s="0"/>
      <c r="O219" s="0"/>
      <c r="P219" s="0"/>
      <c r="Q219" s="0"/>
      <c r="R219" s="0"/>
      <c r="S219" s="0"/>
      <c r="T219" s="0"/>
      <c r="U219" s="0"/>
      <c r="V219" s="0"/>
      <c r="W219" s="0"/>
      <c r="X219" s="0"/>
      <c r="Y219" s="0"/>
      <c r="Z219" s="0"/>
      <c r="AA219" s="0"/>
      <c r="AB219" s="0"/>
      <c r="AC219" s="0"/>
      <c r="AD219" s="0"/>
      <c r="AE219" s="0"/>
      <c r="AF219" s="0"/>
      <c r="AG219" s="0"/>
      <c r="AH219" s="0"/>
      <c r="AI219" s="0"/>
      <c r="AJ219" s="0"/>
      <c r="AK219" s="0"/>
      <c r="AL219" s="0"/>
      <c r="AM219" s="0"/>
      <c r="AN219" s="0"/>
      <c r="AO219" s="0"/>
      <c r="AP219" s="0"/>
      <c r="AQ219" s="0"/>
      <c r="AR219" s="0"/>
      <c r="AS219" s="0"/>
      <c r="AT219" s="0"/>
      <c r="AU219" s="0"/>
      <c r="AV219" s="0"/>
      <c r="AW219" s="0"/>
      <c r="AX219" s="0"/>
      <c r="AY219" s="0"/>
      <c r="AZ219" s="0"/>
      <c r="BA219" s="0"/>
      <c r="BB219" s="0"/>
    </row>
    <row r="220" customFormat="false" ht="12.75" hidden="false" customHeight="false" outlineLevel="0" collapsed="false">
      <c r="A220" s="0"/>
      <c r="B220" s="0"/>
      <c r="C220" s="0"/>
      <c r="D220" s="0"/>
      <c r="E220" s="0"/>
      <c r="F220" s="0"/>
      <c r="G220" s="0"/>
      <c r="H220" s="161" t="n">
        <v>0</v>
      </c>
      <c r="I220" s="0"/>
      <c r="J220" s="0"/>
      <c r="K220" s="161" t="n">
        <v>0</v>
      </c>
      <c r="L220" s="0"/>
      <c r="M220" s="0"/>
      <c r="N220" s="0"/>
      <c r="O220" s="0"/>
      <c r="P220" s="0"/>
      <c r="Q220" s="0"/>
      <c r="R220" s="0"/>
      <c r="S220" s="0"/>
      <c r="T220" s="0"/>
      <c r="U220" s="0"/>
      <c r="V220" s="0"/>
      <c r="W220" s="0"/>
      <c r="X220" s="0"/>
      <c r="Y220" s="0"/>
      <c r="Z220" s="0"/>
      <c r="AA220" s="0"/>
      <c r="AB220" s="0"/>
      <c r="AC220" s="0"/>
      <c r="AD220" s="0"/>
      <c r="AE220" s="0"/>
      <c r="AF220" s="0"/>
      <c r="AG220" s="0"/>
      <c r="AH220" s="0"/>
      <c r="AI220" s="0"/>
      <c r="AJ220" s="0"/>
      <c r="AK220" s="0"/>
      <c r="AL220" s="0"/>
      <c r="AM220" s="0"/>
      <c r="AN220" s="0"/>
      <c r="AO220" s="0"/>
      <c r="AP220" s="0"/>
      <c r="AQ220" s="0"/>
      <c r="AR220" s="0"/>
      <c r="AS220" s="0"/>
      <c r="AT220" s="0"/>
      <c r="AU220" s="0"/>
      <c r="AV220" s="0"/>
      <c r="AW220" s="0"/>
      <c r="AX220" s="0"/>
      <c r="AY220" s="0"/>
      <c r="AZ220" s="0"/>
      <c r="BA220" s="0"/>
      <c r="BB220" s="0"/>
    </row>
    <row r="221" customFormat="false" ht="12.75" hidden="false" customHeight="false" outlineLevel="0" collapsed="false">
      <c r="A221" s="0"/>
      <c r="B221" s="0"/>
      <c r="C221" s="0"/>
      <c r="D221" s="0"/>
      <c r="E221" s="0"/>
      <c r="F221" s="0"/>
      <c r="G221" s="0"/>
      <c r="H221" s="161" t="n">
        <v>0</v>
      </c>
      <c r="I221" s="0"/>
      <c r="J221" s="0"/>
      <c r="K221" s="161" t="n">
        <v>0</v>
      </c>
      <c r="L221" s="0"/>
      <c r="M221" s="0"/>
      <c r="N221" s="0"/>
      <c r="O221" s="0"/>
      <c r="P221" s="0"/>
      <c r="Q221" s="0"/>
      <c r="R221" s="0"/>
      <c r="S221" s="0"/>
      <c r="T221" s="0"/>
      <c r="U221" s="0"/>
      <c r="V221" s="0"/>
      <c r="W221" s="0"/>
      <c r="X221" s="0"/>
      <c r="Y221" s="0"/>
      <c r="Z221" s="0"/>
      <c r="AA221" s="0"/>
      <c r="AB221" s="0"/>
      <c r="AC221" s="0"/>
      <c r="AD221" s="0"/>
      <c r="AE221" s="0"/>
      <c r="AF221" s="0"/>
      <c r="AG221" s="0"/>
      <c r="AH221" s="0"/>
      <c r="AI221" s="0"/>
      <c r="AJ221" s="0"/>
      <c r="AK221" s="0"/>
      <c r="AL221" s="0"/>
      <c r="AM221" s="0"/>
      <c r="AN221" s="0"/>
      <c r="AO221" s="0"/>
      <c r="AP221" s="0"/>
      <c r="AQ221" s="0"/>
      <c r="AR221" s="0"/>
      <c r="AS221" s="0"/>
      <c r="AT221" s="0"/>
      <c r="AU221" s="0"/>
      <c r="AV221" s="0"/>
      <c r="AW221" s="0"/>
      <c r="AX221" s="0"/>
      <c r="AY221" s="0"/>
      <c r="AZ221" s="0"/>
      <c r="BA221" s="0"/>
      <c r="BB221" s="0"/>
    </row>
    <row r="222" customFormat="false" ht="12.75" hidden="false" customHeight="false" outlineLevel="0" collapsed="false">
      <c r="A222" s="0"/>
      <c r="B222" s="0"/>
      <c r="C222" s="0"/>
      <c r="D222" s="0"/>
      <c r="E222" s="0"/>
      <c r="F222" s="0"/>
      <c r="G222" s="0"/>
      <c r="H222" s="161" t="n">
        <v>0</v>
      </c>
      <c r="I222" s="0"/>
      <c r="J222" s="0"/>
      <c r="K222" s="161" t="n">
        <v>0</v>
      </c>
      <c r="L222" s="0"/>
      <c r="M222" s="0"/>
      <c r="N222" s="0"/>
      <c r="O222" s="0"/>
      <c r="P222" s="0"/>
      <c r="Q222" s="0"/>
      <c r="R222" s="0"/>
      <c r="S222" s="0"/>
      <c r="T222" s="0"/>
      <c r="U222" s="0"/>
      <c r="V222" s="0"/>
      <c r="W222" s="0"/>
      <c r="X222" s="0"/>
      <c r="Y222" s="0"/>
      <c r="Z222" s="0"/>
      <c r="AA222" s="0"/>
      <c r="AB222" s="0"/>
      <c r="AC222" s="0"/>
      <c r="AD222" s="0"/>
      <c r="AE222" s="0"/>
      <c r="AF222" s="0"/>
      <c r="AG222" s="0"/>
      <c r="AH222" s="0"/>
      <c r="AI222" s="0"/>
      <c r="AJ222" s="0"/>
      <c r="AK222" s="0"/>
      <c r="AL222" s="0"/>
      <c r="AM222" s="0"/>
      <c r="AN222" s="0"/>
      <c r="AO222" s="0"/>
      <c r="AP222" s="0"/>
      <c r="AQ222" s="0"/>
      <c r="AR222" s="0"/>
      <c r="AS222" s="0"/>
      <c r="AT222" s="0"/>
      <c r="AU222" s="0"/>
      <c r="AV222" s="0"/>
      <c r="AW222" s="0"/>
      <c r="AX222" s="0"/>
      <c r="AY222" s="0"/>
      <c r="AZ222" s="0"/>
      <c r="BA222" s="0"/>
      <c r="BB222" s="0"/>
    </row>
    <row r="223" customFormat="false" ht="12.75" hidden="false" customHeight="false" outlineLevel="0" collapsed="false">
      <c r="A223" s="0"/>
      <c r="B223" s="0"/>
      <c r="C223" s="0"/>
      <c r="D223" s="0"/>
      <c r="E223" s="0"/>
      <c r="F223" s="0"/>
      <c r="G223" s="0"/>
      <c r="H223" s="161" t="n">
        <v>0</v>
      </c>
      <c r="I223" s="0"/>
      <c r="J223" s="0"/>
      <c r="K223" s="161" t="n">
        <v>0</v>
      </c>
      <c r="L223" s="0"/>
      <c r="M223" s="0"/>
      <c r="N223" s="0"/>
      <c r="O223" s="0"/>
      <c r="P223" s="0"/>
      <c r="Q223" s="0"/>
      <c r="R223" s="0"/>
      <c r="S223" s="0"/>
      <c r="T223" s="0"/>
      <c r="U223" s="0"/>
      <c r="V223" s="0"/>
      <c r="W223" s="0"/>
      <c r="X223" s="0"/>
      <c r="Y223" s="0"/>
      <c r="Z223" s="0"/>
      <c r="AA223" s="0"/>
      <c r="AB223" s="0"/>
      <c r="AC223" s="0"/>
      <c r="AD223" s="0"/>
      <c r="AE223" s="0"/>
      <c r="AF223" s="0"/>
      <c r="AG223" s="0"/>
      <c r="AH223" s="0"/>
      <c r="AI223" s="0"/>
      <c r="AJ223" s="0"/>
      <c r="AK223" s="0"/>
      <c r="AL223" s="0"/>
      <c r="AM223" s="0"/>
      <c r="AN223" s="0"/>
      <c r="AO223" s="0"/>
      <c r="AP223" s="0"/>
      <c r="AQ223" s="0"/>
      <c r="AR223" s="0"/>
      <c r="AS223" s="0"/>
      <c r="AT223" s="0"/>
      <c r="AU223" s="0"/>
      <c r="AV223" s="0"/>
      <c r="AW223" s="0"/>
      <c r="AX223" s="0"/>
      <c r="AY223" s="0"/>
      <c r="AZ223" s="0"/>
      <c r="BA223" s="0"/>
      <c r="BB223" s="0"/>
    </row>
    <row r="224" customFormat="false" ht="12.75" hidden="false" customHeight="false" outlineLevel="0" collapsed="false">
      <c r="A224" s="0"/>
      <c r="B224" s="0"/>
      <c r="C224" s="0"/>
      <c r="D224" s="0"/>
      <c r="E224" s="0"/>
      <c r="F224" s="0"/>
      <c r="G224" s="0"/>
      <c r="H224" s="161" t="n">
        <v>0</v>
      </c>
      <c r="I224" s="0"/>
      <c r="J224" s="0"/>
      <c r="K224" s="161" t="n">
        <v>0</v>
      </c>
      <c r="L224" s="0"/>
      <c r="M224" s="0"/>
      <c r="N224" s="0"/>
      <c r="O224" s="0"/>
      <c r="P224" s="0"/>
      <c r="Q224" s="0"/>
      <c r="R224" s="0"/>
      <c r="S224" s="0"/>
      <c r="T224" s="0"/>
      <c r="U224" s="0"/>
      <c r="V224" s="0"/>
      <c r="W224" s="0"/>
      <c r="X224" s="0"/>
      <c r="Y224" s="0"/>
      <c r="Z224" s="0"/>
      <c r="AA224" s="0"/>
      <c r="AB224" s="0"/>
      <c r="AC224" s="0"/>
      <c r="AD224" s="0"/>
      <c r="AE224" s="0"/>
      <c r="AF224" s="0"/>
      <c r="AG224" s="0"/>
      <c r="AH224" s="0"/>
      <c r="AI224" s="0"/>
      <c r="AJ224" s="0"/>
      <c r="AK224" s="0"/>
      <c r="AL224" s="0"/>
      <c r="AM224" s="0"/>
      <c r="AN224" s="0"/>
      <c r="AO224" s="0"/>
      <c r="AP224" s="0"/>
      <c r="AQ224" s="0"/>
      <c r="AR224" s="0"/>
      <c r="AS224" s="0"/>
      <c r="AT224" s="0"/>
      <c r="AU224" s="0"/>
      <c r="AV224" s="0"/>
      <c r="AW224" s="0"/>
      <c r="AX224" s="0"/>
      <c r="AY224" s="0"/>
      <c r="AZ224" s="0"/>
      <c r="BA224" s="0"/>
      <c r="BB224" s="0"/>
    </row>
    <row r="225" customFormat="false" ht="12.75" hidden="false" customHeight="false" outlineLevel="0" collapsed="false">
      <c r="A225" s="0"/>
      <c r="B225" s="0"/>
      <c r="C225" s="0"/>
      <c r="D225" s="0"/>
      <c r="E225" s="0"/>
      <c r="F225" s="0"/>
      <c r="G225" s="0"/>
      <c r="H225" s="161" t="n">
        <v>0</v>
      </c>
      <c r="I225" s="0"/>
      <c r="J225" s="0"/>
      <c r="K225" s="161" t="n">
        <v>0</v>
      </c>
      <c r="L225" s="0"/>
      <c r="M225" s="0"/>
      <c r="N225" s="0"/>
      <c r="O225" s="0"/>
      <c r="P225" s="0"/>
      <c r="Q225" s="0"/>
      <c r="R225" s="0"/>
      <c r="S225" s="0"/>
      <c r="T225" s="0"/>
      <c r="U225" s="0"/>
      <c r="V225" s="0"/>
      <c r="W225" s="0"/>
      <c r="X225" s="0"/>
      <c r="Y225" s="0"/>
      <c r="Z225" s="0"/>
      <c r="AA225" s="0"/>
      <c r="AB225" s="0"/>
      <c r="AC225" s="0"/>
      <c r="AD225" s="0"/>
      <c r="AE225" s="0"/>
      <c r="AF225" s="0"/>
      <c r="AG225" s="0"/>
      <c r="AH225" s="0"/>
      <c r="AI225" s="0"/>
      <c r="AJ225" s="0"/>
      <c r="AK225" s="0"/>
      <c r="AL225" s="0"/>
      <c r="AM225" s="0"/>
      <c r="AN225" s="0"/>
      <c r="AO225" s="0"/>
      <c r="AP225" s="0"/>
      <c r="AQ225" s="0"/>
      <c r="AR225" s="0"/>
      <c r="AS225" s="0"/>
      <c r="AT225" s="0"/>
      <c r="AU225" s="0"/>
      <c r="AV225" s="0"/>
      <c r="AW225" s="0"/>
      <c r="AX225" s="0"/>
      <c r="AY225" s="0"/>
      <c r="AZ225" s="0"/>
      <c r="BA225" s="0"/>
      <c r="BB225" s="0"/>
    </row>
    <row r="226" customFormat="false" ht="12.75" hidden="false" customHeight="false" outlineLevel="0" collapsed="false">
      <c r="A226" s="0"/>
      <c r="B226" s="0"/>
      <c r="C226" s="0"/>
      <c r="D226" s="0"/>
      <c r="E226" s="0"/>
      <c r="F226" s="0"/>
      <c r="G226" s="0"/>
      <c r="H226" s="161" t="n">
        <v>0</v>
      </c>
      <c r="I226" s="0"/>
      <c r="J226" s="0"/>
      <c r="K226" s="161" t="n">
        <v>0</v>
      </c>
      <c r="L226" s="0"/>
      <c r="M226" s="0"/>
      <c r="N226" s="0"/>
      <c r="O226" s="0"/>
      <c r="P226" s="0"/>
      <c r="Q226" s="0"/>
      <c r="R226" s="0"/>
      <c r="S226" s="0"/>
      <c r="T226" s="0"/>
      <c r="U226" s="0"/>
      <c r="V226" s="0"/>
      <c r="W226" s="0"/>
      <c r="X226" s="0"/>
      <c r="Y226" s="0"/>
      <c r="Z226" s="0"/>
      <c r="AA226" s="0"/>
      <c r="AB226" s="0"/>
      <c r="AC226" s="0"/>
      <c r="AD226" s="0"/>
      <c r="AE226" s="0"/>
      <c r="AF226" s="0"/>
      <c r="AG226" s="0"/>
      <c r="AH226" s="0"/>
      <c r="AI226" s="0"/>
      <c r="AJ226" s="0"/>
      <c r="AK226" s="0"/>
      <c r="AL226" s="0"/>
      <c r="AM226" s="0"/>
      <c r="AN226" s="0"/>
      <c r="AO226" s="0"/>
      <c r="AP226" s="0"/>
      <c r="AQ226" s="0"/>
      <c r="AR226" s="0"/>
      <c r="AS226" s="0"/>
      <c r="AT226" s="0"/>
      <c r="AU226" s="0"/>
      <c r="AV226" s="0"/>
      <c r="AW226" s="0"/>
      <c r="AX226" s="0"/>
      <c r="AY226" s="0"/>
      <c r="AZ226" s="0"/>
      <c r="BA226" s="0"/>
      <c r="BB226" s="0"/>
    </row>
    <row r="227" customFormat="false" ht="12.75" hidden="false" customHeight="false" outlineLevel="0" collapsed="false">
      <c r="A227" s="0"/>
      <c r="B227" s="0"/>
      <c r="C227" s="0"/>
      <c r="D227" s="0"/>
      <c r="E227" s="0"/>
      <c r="F227" s="0"/>
      <c r="G227" s="0"/>
      <c r="H227" s="161" t="n">
        <v>0</v>
      </c>
      <c r="I227" s="0"/>
      <c r="J227" s="0"/>
      <c r="K227" s="161" t="n">
        <v>0</v>
      </c>
      <c r="L227" s="0"/>
      <c r="M227" s="0"/>
      <c r="N227" s="0"/>
      <c r="O227" s="0"/>
      <c r="P227" s="0"/>
      <c r="Q227" s="0"/>
      <c r="R227" s="0"/>
      <c r="S227" s="0"/>
      <c r="T227" s="0"/>
      <c r="U227" s="0"/>
      <c r="V227" s="0"/>
      <c r="W227" s="0"/>
      <c r="X227" s="0"/>
      <c r="Y227" s="0"/>
      <c r="Z227" s="0"/>
      <c r="AA227" s="0"/>
      <c r="AB227" s="0"/>
      <c r="AC227" s="0"/>
      <c r="AD227" s="0"/>
      <c r="AE227" s="0"/>
      <c r="AF227" s="0"/>
      <c r="AG227" s="0"/>
      <c r="AH227" s="0"/>
      <c r="AI227" s="0"/>
      <c r="AJ227" s="0"/>
      <c r="AK227" s="0"/>
      <c r="AL227" s="0"/>
      <c r="AM227" s="0"/>
      <c r="AN227" s="0"/>
      <c r="AO227" s="0"/>
      <c r="AP227" s="0"/>
      <c r="AQ227" s="0"/>
      <c r="AR227" s="0"/>
      <c r="AS227" s="0"/>
      <c r="AT227" s="0"/>
      <c r="AU227" s="0"/>
      <c r="AV227" s="0"/>
      <c r="AW227" s="0"/>
      <c r="AX227" s="0"/>
      <c r="AY227" s="0"/>
      <c r="AZ227" s="0"/>
      <c r="BA227" s="0"/>
      <c r="BB227" s="0"/>
    </row>
    <row r="228" customFormat="false" ht="12.75" hidden="false" customHeight="false" outlineLevel="0" collapsed="false">
      <c r="A228" s="0"/>
      <c r="B228" s="0"/>
      <c r="C228" s="0"/>
      <c r="D228" s="0"/>
      <c r="E228" s="0"/>
      <c r="F228" s="0"/>
      <c r="G228" s="0"/>
      <c r="H228" s="161" t="n">
        <v>0</v>
      </c>
      <c r="I228" s="0"/>
      <c r="J228" s="0"/>
      <c r="K228" s="161" t="n">
        <v>0</v>
      </c>
      <c r="L228" s="0"/>
      <c r="M228" s="0"/>
      <c r="N228" s="0"/>
      <c r="O228" s="0"/>
      <c r="P228" s="0"/>
      <c r="Q228" s="0"/>
      <c r="R228" s="0"/>
      <c r="S228" s="0"/>
      <c r="T228" s="0"/>
      <c r="U228" s="0"/>
      <c r="V228" s="0"/>
      <c r="W228" s="0"/>
      <c r="X228" s="0"/>
      <c r="Y228" s="0"/>
      <c r="Z228" s="0"/>
      <c r="AA228" s="0"/>
      <c r="AB228" s="0"/>
      <c r="AC228" s="0"/>
      <c r="AD228" s="0"/>
      <c r="AE228" s="0"/>
      <c r="AF228" s="0"/>
      <c r="AG228" s="0"/>
      <c r="AH228" s="0"/>
      <c r="AI228" s="0"/>
      <c r="AJ228" s="0"/>
      <c r="AK228" s="0"/>
      <c r="AL228" s="0"/>
      <c r="AM228" s="0"/>
      <c r="AN228" s="0"/>
      <c r="AO228" s="0"/>
      <c r="AP228" s="0"/>
      <c r="AQ228" s="0"/>
      <c r="AR228" s="0"/>
      <c r="AS228" s="0"/>
      <c r="AT228" s="0"/>
      <c r="AU228" s="0"/>
      <c r="AV228" s="0"/>
      <c r="AW228" s="0"/>
      <c r="AX228" s="0"/>
      <c r="AY228" s="0"/>
      <c r="AZ228" s="0"/>
      <c r="BA228" s="0"/>
      <c r="BB228" s="0"/>
    </row>
    <row r="229" customFormat="false" ht="12.75" hidden="false" customHeight="false" outlineLevel="0" collapsed="false">
      <c r="A229" s="0"/>
      <c r="B229" s="0"/>
      <c r="C229" s="0"/>
      <c r="D229" s="0"/>
      <c r="E229" s="0"/>
      <c r="F229" s="0"/>
      <c r="G229" s="0"/>
      <c r="H229" s="161" t="n">
        <v>0</v>
      </c>
      <c r="I229" s="0"/>
      <c r="J229" s="0"/>
      <c r="K229" s="161" t="n">
        <v>0</v>
      </c>
      <c r="L229" s="0"/>
      <c r="M229" s="0"/>
      <c r="N229" s="0"/>
      <c r="O229" s="0"/>
      <c r="P229" s="0"/>
      <c r="Q229" s="0"/>
      <c r="R229" s="0"/>
      <c r="S229" s="0"/>
      <c r="T229" s="0"/>
      <c r="U229" s="0"/>
      <c r="V229" s="0"/>
      <c r="W229" s="0"/>
      <c r="X229" s="0"/>
      <c r="Y229" s="0"/>
      <c r="Z229" s="0"/>
      <c r="AA229" s="0"/>
      <c r="AB229" s="0"/>
      <c r="AC229" s="0"/>
      <c r="AD229" s="0"/>
      <c r="AE229" s="0"/>
      <c r="AF229" s="0"/>
      <c r="AG229" s="0"/>
      <c r="AH229" s="0"/>
      <c r="AI229" s="0"/>
      <c r="AJ229" s="0"/>
      <c r="AK229" s="0"/>
      <c r="AL229" s="0"/>
      <c r="AM229" s="0"/>
      <c r="AN229" s="0"/>
      <c r="AO229" s="0"/>
      <c r="AP229" s="0"/>
      <c r="AQ229" s="0"/>
      <c r="AR229" s="0"/>
      <c r="AS229" s="0"/>
      <c r="AT229" s="0"/>
      <c r="AU229" s="0"/>
      <c r="AV229" s="0"/>
      <c r="AW229" s="0"/>
      <c r="AX229" s="0"/>
      <c r="AY229" s="0"/>
      <c r="AZ229" s="0"/>
      <c r="BA229" s="0"/>
      <c r="BB229" s="0"/>
    </row>
    <row r="230" customFormat="false" ht="12.75" hidden="false" customHeight="false" outlineLevel="0" collapsed="false">
      <c r="A230" s="0"/>
      <c r="B230" s="0"/>
      <c r="C230" s="0"/>
      <c r="D230" s="0"/>
      <c r="E230" s="0"/>
      <c r="F230" s="0"/>
      <c r="G230" s="0"/>
      <c r="H230" s="161" t="n">
        <v>0</v>
      </c>
      <c r="I230" s="0"/>
      <c r="J230" s="0"/>
      <c r="K230" s="161" t="n">
        <v>0</v>
      </c>
      <c r="L230" s="0"/>
      <c r="M230" s="0"/>
      <c r="N230" s="0"/>
      <c r="O230" s="0"/>
      <c r="P230" s="0"/>
      <c r="Q230" s="0"/>
      <c r="R230" s="0"/>
      <c r="S230" s="0"/>
      <c r="T230" s="0"/>
      <c r="U230" s="0"/>
      <c r="V230" s="0"/>
      <c r="W230" s="0"/>
      <c r="X230" s="0"/>
      <c r="Y230" s="0"/>
      <c r="Z230" s="0"/>
      <c r="AA230" s="0"/>
      <c r="AB230" s="0"/>
      <c r="AC230" s="0"/>
      <c r="AD230" s="0"/>
      <c r="AE230" s="0"/>
      <c r="AF230" s="0"/>
      <c r="AG230" s="0"/>
      <c r="AH230" s="0"/>
      <c r="AI230" s="0"/>
      <c r="AJ230" s="0"/>
      <c r="AK230" s="0"/>
      <c r="AL230" s="0"/>
      <c r="AM230" s="0"/>
      <c r="AN230" s="0"/>
      <c r="AO230" s="0"/>
      <c r="AP230" s="0"/>
      <c r="AQ230" s="0"/>
      <c r="AR230" s="0"/>
      <c r="AS230" s="0"/>
      <c r="AT230" s="0"/>
      <c r="AU230" s="0"/>
      <c r="AV230" s="0"/>
      <c r="AW230" s="0"/>
      <c r="AX230" s="0"/>
      <c r="AY230" s="0"/>
      <c r="AZ230" s="0"/>
      <c r="BA230" s="0"/>
      <c r="BB230" s="0"/>
    </row>
    <row r="231" customFormat="false" ht="12.75" hidden="false" customHeight="false" outlineLevel="0" collapsed="false">
      <c r="A231" s="0"/>
      <c r="B231" s="0"/>
      <c r="C231" s="0"/>
      <c r="D231" s="0"/>
      <c r="E231" s="0"/>
      <c r="F231" s="0"/>
      <c r="G231" s="0"/>
      <c r="H231" s="161" t="n">
        <v>0</v>
      </c>
      <c r="I231" s="0"/>
      <c r="J231" s="0"/>
      <c r="K231" s="161" t="n">
        <v>0</v>
      </c>
      <c r="L231" s="0"/>
      <c r="M231" s="0"/>
      <c r="N231" s="0"/>
      <c r="O231" s="0"/>
      <c r="P231" s="0"/>
      <c r="Q231" s="0"/>
      <c r="R231" s="0"/>
      <c r="S231" s="0"/>
      <c r="T231" s="0"/>
      <c r="U231" s="0"/>
      <c r="V231" s="0"/>
      <c r="W231" s="0"/>
      <c r="X231" s="0"/>
      <c r="Y231" s="0"/>
      <c r="Z231" s="0"/>
      <c r="AA231" s="0"/>
      <c r="AB231" s="0"/>
      <c r="AC231" s="0"/>
      <c r="AD231" s="0"/>
      <c r="AE231" s="0"/>
      <c r="AF231" s="0"/>
      <c r="AG231" s="0"/>
      <c r="AH231" s="0"/>
      <c r="AI231" s="0"/>
      <c r="AJ231" s="0"/>
      <c r="AK231" s="0"/>
      <c r="AL231" s="0"/>
      <c r="AM231" s="0"/>
      <c r="AN231" s="0"/>
      <c r="AO231" s="0"/>
      <c r="AP231" s="0"/>
      <c r="AQ231" s="0"/>
      <c r="AR231" s="0"/>
      <c r="AS231" s="0"/>
      <c r="AT231" s="0"/>
      <c r="AU231" s="0"/>
      <c r="AV231" s="0"/>
      <c r="AW231" s="0"/>
      <c r="AX231" s="0"/>
      <c r="AY231" s="0"/>
      <c r="AZ231" s="0"/>
      <c r="BA231" s="0"/>
      <c r="BB231" s="0"/>
    </row>
    <row r="232" customFormat="false" ht="12.75" hidden="false" customHeight="false" outlineLevel="0" collapsed="false">
      <c r="A232" s="0"/>
      <c r="B232" s="0"/>
      <c r="C232" s="0"/>
      <c r="D232" s="0"/>
      <c r="E232" s="0"/>
      <c r="F232" s="0"/>
      <c r="G232" s="0"/>
      <c r="H232" s="161" t="n">
        <v>0</v>
      </c>
      <c r="I232" s="0"/>
      <c r="J232" s="0"/>
      <c r="K232" s="161" t="n">
        <v>0</v>
      </c>
      <c r="L232" s="0"/>
      <c r="M232" s="0"/>
      <c r="N232" s="0"/>
      <c r="O232" s="0"/>
      <c r="P232" s="0"/>
      <c r="Q232" s="0"/>
      <c r="R232" s="0"/>
      <c r="S232" s="0"/>
      <c r="T232" s="0"/>
      <c r="U232" s="0"/>
      <c r="V232" s="0"/>
      <c r="W232" s="0"/>
      <c r="X232" s="0"/>
      <c r="Y232" s="0"/>
      <c r="Z232" s="0"/>
      <c r="AA232" s="0"/>
      <c r="AB232" s="0"/>
      <c r="AC232" s="0"/>
      <c r="AD232" s="0"/>
      <c r="AE232" s="0"/>
      <c r="AF232" s="0"/>
      <c r="AG232" s="0"/>
      <c r="AH232" s="0"/>
      <c r="AI232" s="0"/>
      <c r="AJ232" s="0"/>
      <c r="AK232" s="0"/>
      <c r="AL232" s="0"/>
      <c r="AM232" s="0"/>
      <c r="AN232" s="0"/>
      <c r="AO232" s="0"/>
      <c r="AP232" s="0"/>
      <c r="AQ232" s="0"/>
      <c r="AR232" s="0"/>
      <c r="AS232" s="0"/>
      <c r="AT232" s="0"/>
      <c r="AU232" s="0"/>
      <c r="AV232" s="0"/>
      <c r="AW232" s="0"/>
      <c r="AX232" s="0"/>
      <c r="AY232" s="0"/>
      <c r="AZ232" s="0"/>
      <c r="BA232" s="0"/>
      <c r="BB232" s="0"/>
    </row>
    <row r="233" customFormat="false" ht="12.75" hidden="false" customHeight="false" outlineLevel="0" collapsed="false">
      <c r="A233" s="0"/>
      <c r="B233" s="0"/>
      <c r="C233" s="0"/>
      <c r="D233" s="0"/>
      <c r="E233" s="0"/>
      <c r="F233" s="0"/>
      <c r="G233" s="0"/>
      <c r="H233" s="161" t="n">
        <v>0</v>
      </c>
      <c r="I233" s="0"/>
      <c r="J233" s="0"/>
      <c r="K233" s="161" t="n">
        <v>0</v>
      </c>
      <c r="L233" s="0"/>
      <c r="M233" s="0"/>
      <c r="N233" s="0"/>
      <c r="O233" s="0"/>
      <c r="P233" s="0"/>
      <c r="Q233" s="0"/>
      <c r="R233" s="0"/>
      <c r="S233" s="0"/>
      <c r="T233" s="0"/>
      <c r="U233" s="0"/>
      <c r="V233" s="0"/>
      <c r="W233" s="0"/>
      <c r="X233" s="0"/>
      <c r="Y233" s="0"/>
      <c r="Z233" s="0"/>
      <c r="AA233" s="0"/>
      <c r="AB233" s="0"/>
      <c r="AC233" s="0"/>
      <c r="AD233" s="0"/>
      <c r="AE233" s="0"/>
      <c r="AF233" s="0"/>
      <c r="AG233" s="0"/>
      <c r="AH233" s="0"/>
      <c r="AI233" s="0"/>
      <c r="AJ233" s="0"/>
      <c r="AK233" s="0"/>
      <c r="AL233" s="0"/>
      <c r="AM233" s="0"/>
      <c r="AN233" s="0"/>
      <c r="AO233" s="0"/>
      <c r="AP233" s="0"/>
      <c r="AQ233" s="0"/>
      <c r="AR233" s="0"/>
      <c r="AS233" s="0"/>
      <c r="AT233" s="0"/>
      <c r="AU233" s="0"/>
      <c r="AV233" s="0"/>
      <c r="AW233" s="0"/>
      <c r="AX233" s="0"/>
      <c r="AY233" s="0"/>
      <c r="AZ233" s="0"/>
      <c r="BA233" s="0"/>
      <c r="BB233" s="0"/>
    </row>
    <row r="234" customFormat="false" ht="12.75" hidden="false" customHeight="false" outlineLevel="0" collapsed="false">
      <c r="A234" s="0"/>
      <c r="B234" s="0"/>
      <c r="C234" s="0"/>
      <c r="D234" s="0"/>
      <c r="E234" s="0"/>
      <c r="F234" s="0"/>
      <c r="G234" s="0"/>
      <c r="H234" s="161" t="n">
        <v>0</v>
      </c>
      <c r="I234" s="0"/>
      <c r="J234" s="0"/>
      <c r="K234" s="161" t="n">
        <v>0</v>
      </c>
      <c r="L234" s="0"/>
      <c r="M234" s="0"/>
      <c r="N234" s="0"/>
      <c r="O234" s="0"/>
      <c r="P234" s="0"/>
      <c r="Q234" s="0"/>
      <c r="R234" s="0"/>
      <c r="S234" s="0"/>
      <c r="T234" s="0"/>
      <c r="U234" s="0"/>
      <c r="V234" s="0"/>
      <c r="W234" s="0"/>
      <c r="X234" s="0"/>
      <c r="Y234" s="0"/>
      <c r="Z234" s="0"/>
      <c r="AA234" s="0"/>
      <c r="AB234" s="0"/>
      <c r="AC234" s="0"/>
      <c r="AD234" s="0"/>
      <c r="AE234" s="0"/>
      <c r="AF234" s="0"/>
      <c r="AG234" s="0"/>
      <c r="AH234" s="0"/>
      <c r="AI234" s="0"/>
      <c r="AJ234" s="0"/>
      <c r="AK234" s="0"/>
      <c r="AL234" s="0"/>
      <c r="AM234" s="0"/>
      <c r="AN234" s="0"/>
      <c r="AO234" s="0"/>
      <c r="AP234" s="0"/>
      <c r="AQ234" s="0"/>
      <c r="AR234" s="0"/>
      <c r="AS234" s="0"/>
      <c r="AT234" s="0"/>
      <c r="AU234" s="0"/>
      <c r="AV234" s="0"/>
      <c r="AW234" s="0"/>
      <c r="AX234" s="0"/>
      <c r="AY234" s="0"/>
      <c r="AZ234" s="0"/>
      <c r="BA234" s="0"/>
      <c r="BB234" s="0"/>
    </row>
    <row r="235" customFormat="false" ht="12.75" hidden="false" customHeight="false" outlineLevel="0" collapsed="false">
      <c r="A235" s="0"/>
      <c r="B235" s="0"/>
      <c r="C235" s="0"/>
      <c r="D235" s="0"/>
      <c r="E235" s="0"/>
      <c r="F235" s="0"/>
      <c r="G235" s="0"/>
      <c r="H235" s="161" t="n">
        <v>0</v>
      </c>
      <c r="I235" s="0"/>
      <c r="J235" s="0"/>
      <c r="K235" s="161" t="n">
        <v>0</v>
      </c>
      <c r="L235" s="0"/>
      <c r="M235" s="0"/>
      <c r="N235" s="0"/>
      <c r="O235" s="0"/>
      <c r="P235" s="0"/>
      <c r="Q235" s="0"/>
      <c r="R235" s="0"/>
      <c r="S235" s="0"/>
      <c r="T235" s="0"/>
      <c r="U235" s="0"/>
      <c r="V235" s="0"/>
      <c r="W235" s="0"/>
      <c r="X235" s="0"/>
      <c r="Y235" s="0"/>
      <c r="Z235" s="0"/>
      <c r="AA235" s="0"/>
      <c r="AB235" s="0"/>
      <c r="AC235" s="0"/>
      <c r="AD235" s="0"/>
      <c r="AE235" s="0"/>
      <c r="AF235" s="0"/>
      <c r="AG235" s="0"/>
      <c r="AH235" s="0"/>
      <c r="AI235" s="0"/>
      <c r="AJ235" s="0"/>
      <c r="AK235" s="0"/>
      <c r="AL235" s="0"/>
      <c r="AM235" s="0"/>
      <c r="AN235" s="0"/>
      <c r="AO235" s="0"/>
      <c r="AP235" s="0"/>
      <c r="AQ235" s="0"/>
      <c r="AR235" s="0"/>
      <c r="AS235" s="0"/>
      <c r="AT235" s="0"/>
      <c r="AU235" s="0"/>
      <c r="AV235" s="0"/>
      <c r="AW235" s="0"/>
      <c r="AX235" s="0"/>
      <c r="AY235" s="0"/>
      <c r="AZ235" s="0"/>
      <c r="BA235" s="0"/>
      <c r="BB235" s="0"/>
    </row>
    <row r="236" customFormat="false" ht="12.75" hidden="false" customHeight="false" outlineLevel="0" collapsed="false">
      <c r="A236" s="0"/>
      <c r="B236" s="0"/>
      <c r="C236" s="0"/>
      <c r="D236" s="0"/>
      <c r="E236" s="0"/>
      <c r="F236" s="0"/>
      <c r="G236" s="0"/>
      <c r="H236" s="161" t="n">
        <v>0</v>
      </c>
      <c r="I236" s="0"/>
      <c r="J236" s="0"/>
      <c r="K236" s="161" t="n">
        <v>0</v>
      </c>
      <c r="L236" s="0"/>
      <c r="M236" s="0"/>
      <c r="N236" s="0"/>
      <c r="O236" s="0"/>
      <c r="P236" s="0"/>
      <c r="Q236" s="0"/>
      <c r="R236" s="0"/>
      <c r="S236" s="0"/>
      <c r="T236" s="0"/>
      <c r="U236" s="0"/>
      <c r="V236" s="0"/>
      <c r="W236" s="0"/>
      <c r="X236" s="0"/>
      <c r="Y236" s="0"/>
      <c r="Z236" s="0"/>
      <c r="AA236" s="0"/>
      <c r="AB236" s="0"/>
      <c r="AC236" s="0"/>
      <c r="AD236" s="0"/>
      <c r="AE236" s="0"/>
      <c r="AF236" s="0"/>
      <c r="AG236" s="0"/>
      <c r="AH236" s="0"/>
      <c r="AI236" s="0"/>
      <c r="AJ236" s="0"/>
      <c r="AK236" s="0"/>
      <c r="AL236" s="0"/>
      <c r="AM236" s="0"/>
      <c r="AN236" s="0"/>
      <c r="AO236" s="0"/>
      <c r="AP236" s="0"/>
      <c r="AQ236" s="0"/>
      <c r="AR236" s="0"/>
      <c r="AS236" s="0"/>
      <c r="AT236" s="0"/>
      <c r="AU236" s="0"/>
      <c r="AV236" s="0"/>
      <c r="AW236" s="0"/>
      <c r="AX236" s="0"/>
      <c r="AY236" s="0"/>
      <c r="AZ236" s="0"/>
      <c r="BA236" s="0"/>
      <c r="BB236" s="0"/>
    </row>
    <row r="237" customFormat="false" ht="12.75" hidden="false" customHeight="false" outlineLevel="0" collapsed="false">
      <c r="A237" s="0"/>
      <c r="B237" s="0"/>
      <c r="C237" s="0"/>
      <c r="D237" s="0"/>
      <c r="E237" s="0"/>
      <c r="F237" s="0"/>
      <c r="G237" s="0"/>
      <c r="H237" s="161" t="n">
        <v>0</v>
      </c>
      <c r="I237" s="0"/>
      <c r="J237" s="0"/>
      <c r="K237" s="161" t="n">
        <v>0</v>
      </c>
      <c r="L237" s="0"/>
      <c r="M237" s="0"/>
      <c r="N237" s="0"/>
      <c r="O237" s="0"/>
      <c r="P237" s="0"/>
      <c r="Q237" s="0"/>
      <c r="R237" s="0"/>
      <c r="S237" s="0"/>
      <c r="T237" s="0"/>
      <c r="U237" s="0"/>
      <c r="V237" s="0"/>
      <c r="W237" s="0"/>
      <c r="X237" s="0"/>
      <c r="Y237" s="0"/>
      <c r="Z237" s="0"/>
      <c r="AA237" s="0"/>
      <c r="AB237" s="0"/>
      <c r="AC237" s="0"/>
      <c r="AD237" s="0"/>
      <c r="AE237" s="0"/>
      <c r="AF237" s="0"/>
      <c r="AG237" s="0"/>
      <c r="AH237" s="0"/>
      <c r="AI237" s="0"/>
      <c r="AJ237" s="0"/>
      <c r="AK237" s="0"/>
      <c r="AL237" s="0"/>
      <c r="AM237" s="0"/>
      <c r="AN237" s="0"/>
      <c r="AO237" s="0"/>
      <c r="AP237" s="0"/>
      <c r="AQ237" s="0"/>
      <c r="AR237" s="0"/>
      <c r="AS237" s="0"/>
      <c r="AT237" s="0"/>
      <c r="AU237" s="0"/>
      <c r="AV237" s="0"/>
      <c r="AW237" s="0"/>
      <c r="AX237" s="0"/>
      <c r="AY237" s="0"/>
      <c r="AZ237" s="0"/>
      <c r="BA237" s="0"/>
      <c r="BB237" s="0"/>
    </row>
    <row r="238" customFormat="false" ht="12.75" hidden="false" customHeight="false" outlineLevel="0" collapsed="false">
      <c r="A238" s="0"/>
      <c r="B238" s="0"/>
      <c r="C238" s="0"/>
      <c r="D238" s="0"/>
      <c r="E238" s="0"/>
      <c r="F238" s="0"/>
      <c r="G238" s="0"/>
      <c r="H238" s="161" t="n">
        <v>0</v>
      </c>
      <c r="I238" s="0"/>
      <c r="J238" s="0"/>
      <c r="K238" s="161" t="n">
        <v>0</v>
      </c>
      <c r="L238" s="0"/>
      <c r="M238" s="0"/>
      <c r="N238" s="0"/>
      <c r="O238" s="0"/>
      <c r="P238" s="0"/>
      <c r="Q238" s="0"/>
      <c r="R238" s="0"/>
      <c r="S238" s="0"/>
      <c r="T238" s="0"/>
      <c r="U238" s="0"/>
      <c r="V238" s="0"/>
      <c r="W238" s="0"/>
      <c r="X238" s="0"/>
      <c r="Y238" s="0"/>
      <c r="Z238" s="0"/>
      <c r="AA238" s="0"/>
      <c r="AB238" s="0"/>
      <c r="AC238" s="0"/>
      <c r="AD238" s="0"/>
      <c r="AE238" s="0"/>
      <c r="AF238" s="0"/>
      <c r="AG238" s="0"/>
      <c r="AH238" s="0"/>
      <c r="AI238" s="0"/>
      <c r="AJ238" s="0"/>
      <c r="AK238" s="0"/>
      <c r="AL238" s="0"/>
      <c r="AM238" s="0"/>
      <c r="AN238" s="0"/>
      <c r="AO238" s="0"/>
      <c r="AP238" s="0"/>
      <c r="AQ238" s="0"/>
      <c r="AR238" s="0"/>
      <c r="AS238" s="0"/>
      <c r="AT238" s="0"/>
      <c r="AU238" s="0"/>
      <c r="AV238" s="0"/>
      <c r="AW238" s="0"/>
      <c r="AX238" s="0"/>
      <c r="AY238" s="0"/>
      <c r="AZ238" s="0"/>
      <c r="BA238" s="0"/>
      <c r="BB238" s="0"/>
    </row>
    <row r="239" customFormat="false" ht="12.75" hidden="false" customHeight="false" outlineLevel="0" collapsed="false">
      <c r="A239" s="0"/>
      <c r="B239" s="0"/>
      <c r="C239" s="0"/>
      <c r="D239" s="0"/>
      <c r="E239" s="0"/>
      <c r="F239" s="0"/>
      <c r="G239" s="0"/>
      <c r="H239" s="161" t="n">
        <v>0</v>
      </c>
      <c r="I239" s="0"/>
      <c r="J239" s="0"/>
      <c r="K239" s="161" t="n">
        <v>0</v>
      </c>
      <c r="L239" s="0"/>
      <c r="M239" s="0"/>
      <c r="N239" s="0"/>
      <c r="O239" s="0"/>
      <c r="P239" s="0"/>
      <c r="Q239" s="0"/>
      <c r="R239" s="0"/>
      <c r="S239" s="0"/>
      <c r="T239" s="0"/>
      <c r="U239" s="0"/>
      <c r="V239" s="0"/>
      <c r="W239" s="0"/>
      <c r="X239" s="0"/>
      <c r="Y239" s="0"/>
      <c r="Z239" s="0"/>
      <c r="AA239" s="0"/>
      <c r="AB239" s="0"/>
      <c r="AC239" s="0"/>
      <c r="AD239" s="0"/>
      <c r="AE239" s="0"/>
      <c r="AF239" s="0"/>
      <c r="AG239" s="0"/>
      <c r="AH239" s="0"/>
      <c r="AI239" s="0"/>
      <c r="AJ239" s="0"/>
      <c r="AK239" s="0"/>
      <c r="AL239" s="0"/>
      <c r="AM239" s="0"/>
      <c r="AN239" s="0"/>
      <c r="AO239" s="0"/>
      <c r="AP239" s="0"/>
      <c r="AQ239" s="0"/>
      <c r="AR239" s="0"/>
      <c r="AS239" s="0"/>
      <c r="AT239" s="0"/>
      <c r="AU239" s="0"/>
      <c r="AV239" s="0"/>
      <c r="AW239" s="0"/>
      <c r="AX239" s="0"/>
      <c r="AY239" s="0"/>
      <c r="AZ239" s="0"/>
      <c r="BA239" s="0"/>
      <c r="BB239" s="0"/>
    </row>
    <row r="240" customFormat="false" ht="12.75" hidden="false" customHeight="false" outlineLevel="0" collapsed="false">
      <c r="A240" s="0"/>
      <c r="B240" s="0"/>
      <c r="C240" s="0"/>
      <c r="D240" s="0"/>
      <c r="E240" s="0"/>
      <c r="F240" s="0"/>
      <c r="G240" s="0"/>
      <c r="H240" s="161" t="n">
        <v>0</v>
      </c>
      <c r="I240" s="0"/>
      <c r="J240" s="0"/>
      <c r="K240" s="161" t="n">
        <v>0</v>
      </c>
      <c r="L240" s="0"/>
      <c r="M240" s="0"/>
      <c r="N240" s="0"/>
      <c r="O240" s="0"/>
      <c r="P240" s="0"/>
      <c r="Q240" s="0"/>
      <c r="R240" s="0"/>
      <c r="S240" s="0"/>
      <c r="T240" s="0"/>
      <c r="U240" s="0"/>
      <c r="V240" s="0"/>
      <c r="W240" s="0"/>
      <c r="X240" s="0"/>
      <c r="Y240" s="0"/>
      <c r="Z240" s="0"/>
      <c r="AA240" s="0"/>
      <c r="AB240" s="0"/>
      <c r="AC240" s="0"/>
      <c r="AD240" s="0"/>
      <c r="AE240" s="0"/>
      <c r="AF240" s="0"/>
      <c r="AG240" s="0"/>
      <c r="AH240" s="0"/>
      <c r="AI240" s="0"/>
      <c r="AJ240" s="0"/>
      <c r="AK240" s="0"/>
      <c r="AL240" s="0"/>
      <c r="AM240" s="0"/>
      <c r="AN240" s="0"/>
      <c r="AO240" s="0"/>
      <c r="AP240" s="0"/>
      <c r="AQ240" s="0"/>
      <c r="AR240" s="0"/>
      <c r="AS240" s="0"/>
      <c r="AT240" s="0"/>
      <c r="AU240" s="0"/>
      <c r="AV240" s="0"/>
      <c r="AW240" s="0"/>
      <c r="AX240" s="0"/>
      <c r="AY240" s="0"/>
      <c r="AZ240" s="0"/>
      <c r="BA240" s="0"/>
      <c r="BB240" s="0"/>
    </row>
    <row r="241" customFormat="false" ht="12.75" hidden="false" customHeight="false" outlineLevel="0" collapsed="false">
      <c r="A241" s="0"/>
      <c r="B241" s="0"/>
      <c r="C241" s="0"/>
      <c r="D241" s="0"/>
      <c r="E241" s="0"/>
      <c r="F241" s="0"/>
      <c r="G241" s="0"/>
      <c r="H241" s="161" t="n">
        <v>0</v>
      </c>
      <c r="I241" s="0"/>
      <c r="J241" s="0"/>
      <c r="K241" s="161" t="n">
        <v>0</v>
      </c>
      <c r="L241" s="0"/>
      <c r="M241" s="0"/>
      <c r="N241" s="0"/>
      <c r="O241" s="0"/>
      <c r="P241" s="0"/>
      <c r="Q241" s="0"/>
      <c r="R241" s="0"/>
      <c r="S241" s="0"/>
      <c r="T241" s="0"/>
      <c r="U241" s="0"/>
      <c r="V241" s="0"/>
      <c r="W241" s="0"/>
      <c r="X241" s="0"/>
      <c r="Y241" s="0"/>
      <c r="Z241" s="0"/>
      <c r="AA241" s="0"/>
      <c r="AB241" s="0"/>
      <c r="AC241" s="0"/>
      <c r="AD241" s="0"/>
      <c r="AE241" s="0"/>
      <c r="AF241" s="0"/>
      <c r="AG241" s="0"/>
      <c r="AH241" s="0"/>
      <c r="AI241" s="0"/>
      <c r="AJ241" s="0"/>
      <c r="AK241" s="0"/>
      <c r="AL241" s="0"/>
      <c r="AM241" s="0"/>
      <c r="AN241" s="0"/>
      <c r="AO241" s="0"/>
      <c r="AP241" s="0"/>
      <c r="AQ241" s="0"/>
      <c r="AR241" s="0"/>
      <c r="AS241" s="0"/>
      <c r="AT241" s="0"/>
      <c r="AU241" s="0"/>
      <c r="AV241" s="0"/>
      <c r="AW241" s="0"/>
      <c r="AX241" s="0"/>
      <c r="AY241" s="0"/>
      <c r="AZ241" s="0"/>
      <c r="BA241" s="0"/>
      <c r="BB241" s="0"/>
    </row>
    <row r="242" customFormat="false" ht="12.75" hidden="false" customHeight="false" outlineLevel="0" collapsed="false">
      <c r="A242" s="0"/>
      <c r="B242" s="0"/>
      <c r="C242" s="0"/>
      <c r="D242" s="0"/>
      <c r="E242" s="0"/>
      <c r="F242" s="0"/>
      <c r="G242" s="0"/>
      <c r="H242" s="161" t="n">
        <v>0</v>
      </c>
      <c r="I242" s="0"/>
      <c r="J242" s="0"/>
      <c r="K242" s="161" t="n">
        <v>0</v>
      </c>
      <c r="L242" s="0"/>
      <c r="M242" s="0"/>
      <c r="N242" s="0"/>
      <c r="O242" s="0"/>
      <c r="P242" s="0"/>
      <c r="Q242" s="0"/>
      <c r="R242" s="0"/>
      <c r="S242" s="0"/>
      <c r="T242" s="0"/>
      <c r="U242" s="0"/>
      <c r="V242" s="0"/>
      <c r="W242" s="0"/>
      <c r="X242" s="0"/>
      <c r="Y242" s="0"/>
      <c r="Z242" s="0"/>
      <c r="AA242" s="0"/>
      <c r="AB242" s="0"/>
      <c r="AC242" s="0"/>
      <c r="AD242" s="0"/>
      <c r="AE242" s="0"/>
      <c r="AF242" s="0"/>
      <c r="AG242" s="0"/>
      <c r="AH242" s="0"/>
      <c r="AI242" s="0"/>
      <c r="AJ242" s="0"/>
      <c r="AK242" s="0"/>
      <c r="AL242" s="0"/>
      <c r="AM242" s="0"/>
      <c r="AN242" s="0"/>
      <c r="AO242" s="0"/>
      <c r="AP242" s="0"/>
      <c r="AQ242" s="0"/>
      <c r="AR242" s="0"/>
      <c r="AS242" s="0"/>
      <c r="AT242" s="0"/>
      <c r="AU242" s="0"/>
      <c r="AV242" s="0"/>
      <c r="AW242" s="0"/>
      <c r="AX242" s="0"/>
      <c r="AY242" s="0"/>
      <c r="AZ242" s="0"/>
      <c r="BA242" s="0"/>
      <c r="BB242" s="0"/>
    </row>
    <row r="243" customFormat="false" ht="12.75" hidden="false" customHeight="false" outlineLevel="0" collapsed="false">
      <c r="A243" s="0"/>
      <c r="B243" s="0"/>
      <c r="C243" s="0"/>
      <c r="D243" s="0"/>
      <c r="E243" s="0"/>
      <c r="F243" s="0"/>
      <c r="G243" s="0"/>
      <c r="H243" s="161" t="n">
        <v>0</v>
      </c>
      <c r="I243" s="0"/>
      <c r="J243" s="0"/>
      <c r="K243" s="161" t="n">
        <v>0</v>
      </c>
      <c r="L243" s="0"/>
      <c r="M243" s="0"/>
      <c r="N243" s="0"/>
      <c r="O243" s="0"/>
      <c r="P243" s="0"/>
      <c r="Q243" s="0"/>
      <c r="R243" s="0"/>
      <c r="S243" s="0"/>
      <c r="T243" s="0"/>
      <c r="U243" s="0"/>
      <c r="V243" s="0"/>
      <c r="W243" s="0"/>
      <c r="X243" s="0"/>
      <c r="Y243" s="0"/>
      <c r="Z243" s="0"/>
      <c r="AA243" s="0"/>
      <c r="AB243" s="0"/>
      <c r="AC243" s="0"/>
      <c r="AD243" s="0"/>
      <c r="AE243" s="0"/>
      <c r="AF243" s="0"/>
      <c r="AG243" s="0"/>
      <c r="AH243" s="0"/>
      <c r="AI243" s="0"/>
      <c r="AJ243" s="0"/>
      <c r="AK243" s="0"/>
      <c r="AL243" s="0"/>
      <c r="AM243" s="0"/>
      <c r="AN243" s="0"/>
      <c r="AO243" s="0"/>
      <c r="AP243" s="0"/>
      <c r="AQ243" s="0"/>
      <c r="AR243" s="0"/>
      <c r="AS243" s="0"/>
      <c r="AT243" s="0"/>
      <c r="AU243" s="0"/>
      <c r="AV243" s="0"/>
      <c r="AW243" s="0"/>
      <c r="AX243" s="0"/>
      <c r="AY243" s="0"/>
      <c r="AZ243" s="0"/>
      <c r="BA243" s="0"/>
      <c r="BB243" s="0"/>
    </row>
    <row r="244" customFormat="false" ht="12.75" hidden="false" customHeight="false" outlineLevel="0" collapsed="false">
      <c r="A244" s="0"/>
      <c r="B244" s="0"/>
      <c r="C244" s="0"/>
      <c r="D244" s="0"/>
      <c r="E244" s="0"/>
      <c r="F244" s="0"/>
      <c r="G244" s="0"/>
      <c r="H244" s="161" t="n">
        <v>0</v>
      </c>
      <c r="I244" s="0"/>
      <c r="J244" s="0"/>
      <c r="K244" s="161" t="n">
        <v>0</v>
      </c>
      <c r="L244" s="0"/>
      <c r="M244" s="0"/>
      <c r="N244" s="0"/>
      <c r="O244" s="0"/>
      <c r="P244" s="0"/>
      <c r="Q244" s="0"/>
      <c r="R244" s="0"/>
      <c r="S244" s="0"/>
      <c r="T244" s="0"/>
      <c r="U244" s="0"/>
      <c r="V244" s="0"/>
      <c r="W244" s="0"/>
      <c r="X244" s="0"/>
      <c r="Y244" s="0"/>
      <c r="Z244" s="0"/>
      <c r="AA244" s="0"/>
      <c r="AB244" s="0"/>
      <c r="AC244" s="0"/>
      <c r="AD244" s="0"/>
      <c r="AE244" s="0"/>
      <c r="AF244" s="0"/>
      <c r="AG244" s="0"/>
      <c r="AH244" s="0"/>
      <c r="AI244" s="0"/>
      <c r="AJ244" s="0"/>
      <c r="AK244" s="0"/>
      <c r="AL244" s="0"/>
      <c r="AM244" s="0"/>
      <c r="AN244" s="0"/>
      <c r="AO244" s="0"/>
      <c r="AP244" s="0"/>
      <c r="AQ244" s="0"/>
      <c r="AR244" s="0"/>
      <c r="AS244" s="0"/>
      <c r="AT244" s="0"/>
      <c r="AU244" s="0"/>
      <c r="AV244" s="0"/>
      <c r="AW244" s="0"/>
      <c r="AX244" s="0"/>
      <c r="AY244" s="0"/>
      <c r="AZ244" s="0"/>
      <c r="BA244" s="0"/>
      <c r="BB244" s="0"/>
    </row>
    <row r="245" customFormat="false" ht="12.75" hidden="false" customHeight="false" outlineLevel="0" collapsed="false">
      <c r="A245" s="0"/>
      <c r="B245" s="0"/>
      <c r="C245" s="0"/>
      <c r="D245" s="0"/>
      <c r="E245" s="0"/>
      <c r="F245" s="0"/>
      <c r="G245" s="0"/>
      <c r="H245" s="161" t="n">
        <v>0</v>
      </c>
      <c r="I245" s="0"/>
      <c r="J245" s="0"/>
      <c r="K245" s="161" t="n">
        <v>0</v>
      </c>
      <c r="L245" s="0"/>
      <c r="M245" s="0"/>
      <c r="N245" s="0"/>
      <c r="O245" s="0"/>
      <c r="P245" s="0"/>
      <c r="Q245" s="0"/>
      <c r="R245" s="0"/>
      <c r="S245" s="0"/>
      <c r="T245" s="0"/>
      <c r="U245" s="0"/>
      <c r="V245" s="0"/>
      <c r="W245" s="0"/>
      <c r="X245" s="0"/>
      <c r="Y245" s="0"/>
      <c r="Z245" s="0"/>
      <c r="AA245" s="0"/>
      <c r="AB245" s="0"/>
      <c r="AC245" s="0"/>
      <c r="AD245" s="0"/>
      <c r="AE245" s="0"/>
      <c r="AF245" s="0"/>
      <c r="AG245" s="0"/>
      <c r="AH245" s="0"/>
      <c r="AI245" s="0"/>
      <c r="AJ245" s="0"/>
      <c r="AK245" s="0"/>
      <c r="AL245" s="0"/>
      <c r="AM245" s="0"/>
      <c r="AN245" s="0"/>
      <c r="AO245" s="0"/>
      <c r="AP245" s="0"/>
      <c r="AQ245" s="0"/>
      <c r="AR245" s="0"/>
      <c r="AS245" s="0"/>
      <c r="AT245" s="0"/>
      <c r="AU245" s="0"/>
      <c r="AV245" s="0"/>
      <c r="AW245" s="0"/>
      <c r="AX245" s="0"/>
      <c r="AY245" s="0"/>
      <c r="AZ245" s="0"/>
      <c r="BA245" s="0"/>
      <c r="BB245" s="0"/>
    </row>
    <row r="246" customFormat="false" ht="12.75" hidden="false" customHeight="false" outlineLevel="0" collapsed="false">
      <c r="A246" s="0"/>
      <c r="B246" s="0"/>
      <c r="C246" s="0"/>
      <c r="D246" s="0"/>
      <c r="E246" s="0"/>
      <c r="F246" s="0"/>
      <c r="G246" s="0"/>
      <c r="H246" s="161" t="n">
        <v>0</v>
      </c>
      <c r="I246" s="0"/>
      <c r="J246" s="0"/>
      <c r="K246" s="161" t="n">
        <v>0</v>
      </c>
      <c r="L246" s="0"/>
      <c r="M246" s="0"/>
      <c r="N246" s="0"/>
      <c r="O246" s="0"/>
      <c r="P246" s="0"/>
      <c r="Q246" s="0"/>
      <c r="R246" s="0"/>
      <c r="S246" s="0"/>
      <c r="T246" s="0"/>
      <c r="U246" s="0"/>
      <c r="V246" s="0"/>
      <c r="W246" s="0"/>
      <c r="X246" s="0"/>
      <c r="Y246" s="0"/>
      <c r="Z246" s="0"/>
      <c r="AA246" s="0"/>
      <c r="AB246" s="0"/>
      <c r="AC246" s="0"/>
      <c r="AD246" s="0"/>
      <c r="AE246" s="0"/>
      <c r="AF246" s="0"/>
      <c r="AG246" s="0"/>
      <c r="AH246" s="0"/>
      <c r="AI246" s="0"/>
      <c r="AJ246" s="0"/>
      <c r="AK246" s="0"/>
      <c r="AL246" s="0"/>
      <c r="AM246" s="0"/>
      <c r="AN246" s="0"/>
      <c r="AO246" s="0"/>
      <c r="AP246" s="0"/>
      <c r="AQ246" s="0"/>
      <c r="AR246" s="0"/>
      <c r="AS246" s="0"/>
      <c r="AT246" s="0"/>
      <c r="AU246" s="0"/>
      <c r="AV246" s="0"/>
      <c r="AW246" s="0"/>
      <c r="AX246" s="0"/>
      <c r="AY246" s="0"/>
      <c r="AZ246" s="0"/>
      <c r="BA246" s="0"/>
      <c r="BB246" s="0"/>
    </row>
    <row r="247" customFormat="false" ht="12.75" hidden="false" customHeight="false" outlineLevel="0" collapsed="false">
      <c r="A247" s="0"/>
      <c r="B247" s="0"/>
      <c r="C247" s="0"/>
      <c r="D247" s="0"/>
      <c r="E247" s="0"/>
      <c r="F247" s="0"/>
      <c r="G247" s="0"/>
      <c r="H247" s="161" t="n">
        <v>0</v>
      </c>
      <c r="I247" s="0"/>
      <c r="J247" s="0"/>
      <c r="K247" s="161" t="n">
        <v>0</v>
      </c>
      <c r="L247" s="0"/>
      <c r="M247" s="0"/>
      <c r="N247" s="0"/>
      <c r="O247" s="0"/>
      <c r="P247" s="0"/>
      <c r="Q247" s="0"/>
      <c r="R247" s="0"/>
      <c r="S247" s="0"/>
      <c r="T247" s="0"/>
      <c r="U247" s="0"/>
      <c r="V247" s="0"/>
      <c r="W247" s="0"/>
      <c r="X247" s="0"/>
      <c r="Y247" s="0"/>
      <c r="Z247" s="0"/>
      <c r="AA247" s="0"/>
      <c r="AB247" s="0"/>
      <c r="AC247" s="0"/>
      <c r="AD247" s="0"/>
      <c r="AE247" s="0"/>
      <c r="AF247" s="0"/>
      <c r="AG247" s="0"/>
      <c r="AH247" s="0"/>
      <c r="AI247" s="0"/>
      <c r="AJ247" s="0"/>
      <c r="AK247" s="0"/>
      <c r="AL247" s="0"/>
      <c r="AM247" s="0"/>
      <c r="AN247" s="0"/>
      <c r="AO247" s="0"/>
      <c r="AP247" s="0"/>
      <c r="AQ247" s="0"/>
      <c r="AR247" s="0"/>
      <c r="AS247" s="0"/>
      <c r="AT247" s="0"/>
      <c r="AU247" s="0"/>
      <c r="AV247" s="0"/>
      <c r="AW247" s="0"/>
      <c r="AX247" s="0"/>
      <c r="AY247" s="0"/>
      <c r="AZ247" s="0"/>
      <c r="BA247" s="0"/>
      <c r="BB247" s="0"/>
    </row>
    <row r="248" customFormat="false" ht="12.75" hidden="false" customHeight="false" outlineLevel="0" collapsed="false">
      <c r="A248" s="0"/>
      <c r="B248" s="0"/>
      <c r="C248" s="0"/>
      <c r="D248" s="0"/>
      <c r="E248" s="0"/>
      <c r="F248" s="0"/>
      <c r="G248" s="0"/>
      <c r="H248" s="161" t="n">
        <v>0</v>
      </c>
      <c r="I248" s="0"/>
      <c r="J248" s="0"/>
      <c r="K248" s="161" t="n">
        <v>0</v>
      </c>
      <c r="L248" s="0"/>
      <c r="M248" s="0"/>
      <c r="N248" s="0"/>
      <c r="O248" s="0"/>
      <c r="P248" s="0"/>
      <c r="Q248" s="0"/>
      <c r="R248" s="0"/>
      <c r="S248" s="0"/>
      <c r="T248" s="0"/>
      <c r="U248" s="0"/>
      <c r="V248" s="0"/>
      <c r="W248" s="0"/>
      <c r="X248" s="0"/>
      <c r="Y248" s="0"/>
      <c r="Z248" s="0"/>
      <c r="AA248" s="0"/>
      <c r="AB248" s="0"/>
      <c r="AC248" s="0"/>
      <c r="AD248" s="0"/>
      <c r="AE248" s="0"/>
      <c r="AF248" s="0"/>
      <c r="AG248" s="0"/>
      <c r="AH248" s="0"/>
      <c r="AI248" s="0"/>
      <c r="AJ248" s="0"/>
      <c r="AK248" s="0"/>
      <c r="AL248" s="0"/>
      <c r="AM248" s="0"/>
      <c r="AN248" s="0"/>
      <c r="AO248" s="0"/>
      <c r="AP248" s="0"/>
      <c r="AQ248" s="0"/>
      <c r="AR248" s="0"/>
      <c r="AS248" s="0"/>
      <c r="AT248" s="0"/>
      <c r="AU248" s="0"/>
      <c r="AV248" s="0"/>
      <c r="AW248" s="0"/>
      <c r="AX248" s="0"/>
      <c r="AY248" s="0"/>
      <c r="AZ248" s="0"/>
      <c r="BA248" s="0"/>
      <c r="BB248" s="0"/>
    </row>
    <row r="249" customFormat="false" ht="12.75" hidden="false" customHeight="false" outlineLevel="0" collapsed="false">
      <c r="A249" s="0"/>
      <c r="B249" s="0"/>
      <c r="C249" s="0"/>
      <c r="D249" s="0"/>
      <c r="E249" s="0"/>
      <c r="F249" s="0"/>
      <c r="G249" s="0"/>
      <c r="H249" s="161" t="n">
        <v>0</v>
      </c>
      <c r="I249" s="0"/>
      <c r="J249" s="0"/>
      <c r="K249" s="161" t="n">
        <v>0</v>
      </c>
      <c r="L249" s="0"/>
      <c r="M249" s="0"/>
      <c r="N249" s="0"/>
      <c r="O249" s="0"/>
      <c r="P249" s="0"/>
      <c r="Q249" s="0"/>
      <c r="R249" s="0"/>
      <c r="S249" s="0"/>
      <c r="T249" s="0"/>
      <c r="U249" s="0"/>
      <c r="V249" s="0"/>
      <c r="W249" s="0"/>
      <c r="X249" s="0"/>
      <c r="Y249" s="0"/>
      <c r="Z249" s="0"/>
      <c r="AA249" s="0"/>
      <c r="AB249" s="0"/>
      <c r="AC249" s="0"/>
      <c r="AD249" s="0"/>
      <c r="AE249" s="0"/>
      <c r="AF249" s="0"/>
      <c r="AG249" s="0"/>
      <c r="AH249" s="0"/>
      <c r="AI249" s="0"/>
      <c r="AJ249" s="0"/>
      <c r="AK249" s="0"/>
      <c r="AL249" s="0"/>
      <c r="AM249" s="0"/>
      <c r="AN249" s="0"/>
      <c r="AO249" s="0"/>
      <c r="AP249" s="0"/>
      <c r="AQ249" s="0"/>
      <c r="AR249" s="0"/>
      <c r="AS249" s="0"/>
      <c r="AT249" s="0"/>
      <c r="AU249" s="0"/>
      <c r="AV249" s="0"/>
      <c r="AW249" s="0"/>
      <c r="AX249" s="0"/>
      <c r="AY249" s="0"/>
      <c r="AZ249" s="0"/>
      <c r="BA249" s="0"/>
      <c r="BB249" s="0"/>
    </row>
    <row r="250" customFormat="false" ht="12.75" hidden="false" customHeight="false" outlineLevel="0" collapsed="false">
      <c r="A250" s="0"/>
      <c r="B250" s="0"/>
      <c r="C250" s="0"/>
      <c r="D250" s="0"/>
      <c r="E250" s="0"/>
      <c r="F250" s="0"/>
      <c r="G250" s="0"/>
      <c r="H250" s="161" t="n">
        <v>0</v>
      </c>
      <c r="I250" s="0"/>
      <c r="J250" s="0"/>
      <c r="K250" s="161" t="n">
        <v>0</v>
      </c>
      <c r="L250" s="0"/>
      <c r="M250" s="0"/>
      <c r="N250" s="0"/>
      <c r="O250" s="0"/>
      <c r="P250" s="0"/>
      <c r="Q250" s="0"/>
      <c r="R250" s="0"/>
      <c r="S250" s="0"/>
      <c r="T250" s="0"/>
      <c r="U250" s="0"/>
      <c r="V250" s="0"/>
      <c r="W250" s="0"/>
      <c r="X250" s="0"/>
      <c r="Y250" s="0"/>
      <c r="Z250" s="0"/>
      <c r="AA250" s="0"/>
      <c r="AB250" s="0"/>
      <c r="AC250" s="0"/>
      <c r="AD250" s="0"/>
      <c r="AE250" s="0"/>
      <c r="AF250" s="0"/>
      <c r="AG250" s="0"/>
      <c r="AH250" s="0"/>
      <c r="AI250" s="0"/>
      <c r="AJ250" s="0"/>
      <c r="AK250" s="0"/>
      <c r="AL250" s="0"/>
      <c r="AM250" s="0"/>
      <c r="AN250" s="0"/>
      <c r="AO250" s="0"/>
      <c r="AP250" s="0"/>
      <c r="AQ250" s="0"/>
      <c r="AR250" s="0"/>
      <c r="AS250" s="0"/>
      <c r="AT250" s="0"/>
      <c r="AU250" s="0"/>
      <c r="AV250" s="0"/>
      <c r="AW250" s="0"/>
      <c r="AX250" s="0"/>
      <c r="AY250" s="0"/>
      <c r="AZ250" s="0"/>
      <c r="BA250" s="0"/>
      <c r="BB250" s="0"/>
    </row>
    <row r="251" customFormat="false" ht="12.75" hidden="false" customHeight="false" outlineLevel="0" collapsed="false">
      <c r="A251" s="0"/>
      <c r="B251" s="0"/>
      <c r="C251" s="0"/>
      <c r="D251" s="0"/>
      <c r="E251" s="0"/>
      <c r="F251" s="0"/>
      <c r="G251" s="0"/>
      <c r="H251" s="161" t="n">
        <v>0</v>
      </c>
      <c r="I251" s="0"/>
      <c r="J251" s="0"/>
      <c r="K251" s="161" t="n">
        <v>0</v>
      </c>
      <c r="L251" s="0"/>
      <c r="M251" s="0"/>
      <c r="N251" s="0"/>
      <c r="O251" s="0"/>
      <c r="P251" s="0"/>
      <c r="Q251" s="0"/>
      <c r="R251" s="0"/>
      <c r="S251" s="0"/>
      <c r="T251" s="0"/>
      <c r="U251" s="0"/>
      <c r="V251" s="0"/>
      <c r="W251" s="0"/>
      <c r="X251" s="0"/>
      <c r="Y251" s="0"/>
      <c r="Z251" s="0"/>
      <c r="AA251" s="0"/>
      <c r="AB251" s="0"/>
      <c r="AC251" s="0"/>
      <c r="AD251" s="0"/>
      <c r="AE251" s="0"/>
      <c r="AF251" s="0"/>
      <c r="AG251" s="0"/>
      <c r="AH251" s="0"/>
      <c r="AI251" s="0"/>
      <c r="AJ251" s="0"/>
      <c r="AK251" s="0"/>
      <c r="AL251" s="0"/>
      <c r="AM251" s="0"/>
      <c r="AN251" s="0"/>
      <c r="AO251" s="0"/>
      <c r="AP251" s="0"/>
      <c r="AQ251" s="0"/>
      <c r="AR251" s="0"/>
      <c r="AS251" s="0"/>
      <c r="AT251" s="0"/>
      <c r="AU251" s="0"/>
      <c r="AV251" s="0"/>
      <c r="AW251" s="0"/>
      <c r="AX251" s="0"/>
      <c r="AY251" s="0"/>
      <c r="AZ251" s="0"/>
      <c r="BA251" s="0"/>
      <c r="BB251" s="0"/>
    </row>
    <row r="252" customFormat="false" ht="12.75" hidden="false" customHeight="false" outlineLevel="0" collapsed="false">
      <c r="A252" s="0"/>
      <c r="B252" s="0"/>
      <c r="C252" s="0"/>
      <c r="D252" s="0"/>
      <c r="E252" s="0"/>
      <c r="F252" s="0"/>
      <c r="G252" s="0"/>
      <c r="H252" s="161" t="n">
        <v>0</v>
      </c>
      <c r="I252" s="0"/>
      <c r="J252" s="0"/>
      <c r="K252" s="161" t="n">
        <v>0</v>
      </c>
      <c r="L252" s="0"/>
      <c r="M252" s="0"/>
      <c r="N252" s="0"/>
      <c r="O252" s="0"/>
      <c r="P252" s="0"/>
      <c r="Q252" s="0"/>
      <c r="R252" s="0"/>
      <c r="S252" s="0"/>
      <c r="T252" s="0"/>
      <c r="U252" s="0"/>
      <c r="V252" s="0"/>
      <c r="W252" s="0"/>
      <c r="X252" s="0"/>
      <c r="Y252" s="0"/>
      <c r="Z252" s="0"/>
      <c r="AA252" s="0"/>
      <c r="AB252" s="0"/>
      <c r="AC252" s="0"/>
      <c r="AD252" s="0"/>
      <c r="AE252" s="0"/>
      <c r="AF252" s="0"/>
      <c r="AG252" s="0"/>
      <c r="AH252" s="0"/>
      <c r="AI252" s="0"/>
      <c r="AJ252" s="0"/>
      <c r="AK252" s="0"/>
      <c r="AL252" s="0"/>
      <c r="AM252" s="0"/>
      <c r="AN252" s="0"/>
      <c r="AO252" s="0"/>
      <c r="AP252" s="0"/>
      <c r="AQ252" s="0"/>
      <c r="AR252" s="0"/>
      <c r="AS252" s="0"/>
      <c r="AT252" s="0"/>
      <c r="AU252" s="0"/>
      <c r="AV252" s="0"/>
      <c r="AW252" s="0"/>
      <c r="AX252" s="0"/>
      <c r="AY252" s="0"/>
      <c r="AZ252" s="0"/>
      <c r="BA252" s="0"/>
      <c r="BB252" s="0"/>
    </row>
    <row r="253" customFormat="false" ht="12.75" hidden="false" customHeight="false" outlineLevel="0" collapsed="false">
      <c r="A253" s="0"/>
      <c r="B253" s="0"/>
      <c r="C253" s="0"/>
      <c r="D253" s="0"/>
      <c r="E253" s="0"/>
      <c r="F253" s="0"/>
      <c r="G253" s="0"/>
      <c r="H253" s="161" t="n">
        <v>0</v>
      </c>
      <c r="I253" s="0"/>
      <c r="J253" s="0"/>
      <c r="K253" s="161" t="n">
        <v>0</v>
      </c>
      <c r="L253" s="0"/>
      <c r="M253" s="0"/>
      <c r="N253" s="0"/>
      <c r="O253" s="0"/>
      <c r="P253" s="0"/>
      <c r="Q253" s="0"/>
      <c r="R253" s="0"/>
      <c r="S253" s="0"/>
      <c r="T253" s="0"/>
      <c r="U253" s="0"/>
      <c r="V253" s="0"/>
      <c r="W253" s="0"/>
      <c r="X253" s="0"/>
      <c r="Y253" s="0"/>
      <c r="Z253" s="0"/>
      <c r="AA253" s="0"/>
      <c r="AB253" s="0"/>
      <c r="AC253" s="0"/>
      <c r="AD253" s="0"/>
      <c r="AE253" s="0"/>
      <c r="AF253" s="0"/>
      <c r="AG253" s="0"/>
      <c r="AH253" s="0"/>
      <c r="AI253" s="0"/>
      <c r="AJ253" s="0"/>
      <c r="AK253" s="0"/>
      <c r="AL253" s="0"/>
      <c r="AM253" s="0"/>
      <c r="AN253" s="0"/>
      <c r="AO253" s="0"/>
      <c r="AP253" s="0"/>
      <c r="AQ253" s="0"/>
      <c r="AR253" s="0"/>
      <c r="AS253" s="0"/>
      <c r="AT253" s="0"/>
      <c r="AU253" s="0"/>
      <c r="AV253" s="0"/>
      <c r="AW253" s="0"/>
      <c r="AX253" s="0"/>
      <c r="AY253" s="0"/>
      <c r="AZ253" s="0"/>
      <c r="BA253" s="0"/>
      <c r="BB253" s="0"/>
    </row>
    <row r="254" customFormat="false" ht="12.75" hidden="false" customHeight="false" outlineLevel="0" collapsed="false">
      <c r="A254" s="0"/>
      <c r="B254" s="0"/>
      <c r="C254" s="0"/>
      <c r="D254" s="0"/>
      <c r="E254" s="0"/>
      <c r="F254" s="0"/>
      <c r="G254" s="0"/>
      <c r="H254" s="161" t="n">
        <v>0</v>
      </c>
      <c r="I254" s="0"/>
      <c r="J254" s="0"/>
      <c r="K254" s="161" t="n">
        <v>0</v>
      </c>
      <c r="L254" s="0"/>
      <c r="M254" s="0"/>
      <c r="N254" s="0"/>
      <c r="O254" s="0"/>
      <c r="P254" s="0"/>
      <c r="Q254" s="0"/>
      <c r="R254" s="0"/>
      <c r="S254" s="0"/>
      <c r="T254" s="0"/>
      <c r="U254" s="0"/>
      <c r="V254" s="0"/>
      <c r="W254" s="0"/>
      <c r="X254" s="0"/>
      <c r="Y254" s="0"/>
      <c r="Z254" s="0"/>
      <c r="AA254" s="0"/>
      <c r="AB254" s="0"/>
      <c r="AC254" s="0"/>
      <c r="AD254" s="0"/>
      <c r="AE254" s="0"/>
      <c r="AF254" s="0"/>
      <c r="AG254" s="0"/>
      <c r="AH254" s="0"/>
      <c r="AI254" s="0"/>
      <c r="AJ254" s="0"/>
      <c r="AK254" s="0"/>
      <c r="AL254" s="0"/>
      <c r="AM254" s="0"/>
      <c r="AN254" s="0"/>
      <c r="AO254" s="0"/>
      <c r="AP254" s="0"/>
      <c r="AQ254" s="0"/>
      <c r="AR254" s="0"/>
      <c r="AS254" s="0"/>
      <c r="AT254" s="0"/>
      <c r="AU254" s="0"/>
      <c r="AV254" s="0"/>
      <c r="AW254" s="0"/>
      <c r="AX254" s="0"/>
      <c r="AY254" s="0"/>
      <c r="AZ254" s="0"/>
      <c r="BA254" s="0"/>
      <c r="BB254" s="0"/>
    </row>
    <row r="255" customFormat="false" ht="12.75" hidden="false" customHeight="false" outlineLevel="0" collapsed="false">
      <c r="A255" s="0"/>
      <c r="B255" s="0"/>
      <c r="C255" s="0"/>
      <c r="D255" s="0"/>
      <c r="E255" s="0"/>
      <c r="F255" s="0"/>
      <c r="G255" s="0"/>
      <c r="H255" s="161" t="n">
        <v>0</v>
      </c>
      <c r="I255" s="0"/>
      <c r="J255" s="0"/>
      <c r="K255" s="161" t="n">
        <v>0</v>
      </c>
      <c r="L255" s="0"/>
      <c r="M255" s="0"/>
      <c r="N255" s="0"/>
      <c r="O255" s="0"/>
      <c r="P255" s="0"/>
      <c r="Q255" s="0"/>
      <c r="R255" s="0"/>
      <c r="S255" s="0"/>
      <c r="T255" s="0"/>
      <c r="U255" s="0"/>
      <c r="V255" s="0"/>
      <c r="W255" s="0"/>
      <c r="X255" s="0"/>
      <c r="Y255" s="0"/>
      <c r="Z255" s="0"/>
      <c r="AA255" s="0"/>
      <c r="AB255" s="0"/>
      <c r="AC255" s="0"/>
      <c r="AD255" s="0"/>
      <c r="AE255" s="0"/>
      <c r="AF255" s="0"/>
      <c r="AG255" s="0"/>
      <c r="AH255" s="0"/>
      <c r="AI255" s="0"/>
      <c r="AJ255" s="0"/>
      <c r="AK255" s="0"/>
      <c r="AL255" s="0"/>
      <c r="AM255" s="0"/>
      <c r="AN255" s="0"/>
      <c r="AO255" s="0"/>
      <c r="AP255" s="0"/>
      <c r="AQ255" s="0"/>
      <c r="AR255" s="0"/>
      <c r="AS255" s="0"/>
      <c r="AT255" s="0"/>
      <c r="AU255" s="0"/>
      <c r="AV255" s="0"/>
      <c r="AW255" s="0"/>
      <c r="AX255" s="0"/>
      <c r="AY255" s="0"/>
      <c r="AZ255" s="0"/>
      <c r="BA255" s="0"/>
      <c r="BB255" s="0"/>
    </row>
    <row r="256" customFormat="false" ht="12.75" hidden="false" customHeight="false" outlineLevel="0" collapsed="false">
      <c r="A256" s="0"/>
      <c r="B256" s="0"/>
      <c r="C256" s="0"/>
      <c r="D256" s="0"/>
      <c r="E256" s="0"/>
      <c r="F256" s="0"/>
      <c r="G256" s="0"/>
      <c r="H256" s="161" t="n">
        <v>0</v>
      </c>
      <c r="I256" s="0"/>
      <c r="J256" s="0"/>
      <c r="K256" s="161" t="n">
        <v>0</v>
      </c>
      <c r="L256" s="0"/>
      <c r="M256" s="0"/>
      <c r="N256" s="0"/>
      <c r="O256" s="0"/>
      <c r="P256" s="0"/>
      <c r="Q256" s="0"/>
      <c r="R256" s="0"/>
      <c r="S256" s="0"/>
      <c r="T256" s="0"/>
      <c r="U256" s="0"/>
      <c r="V256" s="0"/>
      <c r="W256" s="0"/>
      <c r="X256" s="0"/>
      <c r="Y256" s="0"/>
      <c r="Z256" s="0"/>
      <c r="AA256" s="0"/>
      <c r="AB256" s="0"/>
      <c r="AC256" s="0"/>
      <c r="AD256" s="0"/>
      <c r="AE256" s="0"/>
      <c r="AF256" s="0"/>
      <c r="AG256" s="0"/>
      <c r="AH256" s="0"/>
      <c r="AI256" s="0"/>
      <c r="AJ256" s="0"/>
      <c r="AK256" s="0"/>
      <c r="AL256" s="0"/>
      <c r="AM256" s="0"/>
      <c r="AN256" s="0"/>
      <c r="AO256" s="0"/>
      <c r="AP256" s="0"/>
      <c r="AQ256" s="0"/>
      <c r="AR256" s="0"/>
      <c r="AS256" s="0"/>
      <c r="AT256" s="0"/>
      <c r="AU256" s="0"/>
      <c r="AV256" s="0"/>
      <c r="AW256" s="0"/>
      <c r="AX256" s="0"/>
      <c r="AY256" s="0"/>
      <c r="AZ256" s="0"/>
      <c r="BA256" s="0"/>
      <c r="BB256" s="0"/>
    </row>
    <row r="257" customFormat="false" ht="12.75" hidden="false" customHeight="false" outlineLevel="0" collapsed="false">
      <c r="A257" s="0"/>
      <c r="B257" s="0"/>
      <c r="C257" s="0"/>
      <c r="D257" s="0"/>
      <c r="E257" s="0"/>
      <c r="F257" s="0"/>
      <c r="G257" s="0"/>
      <c r="H257" s="161" t="n">
        <v>0</v>
      </c>
      <c r="I257" s="0"/>
      <c r="J257" s="0"/>
      <c r="K257" s="161" t="n">
        <v>0</v>
      </c>
      <c r="L257" s="0"/>
      <c r="M257" s="0"/>
      <c r="N257" s="0"/>
      <c r="O257" s="0"/>
      <c r="P257" s="0"/>
      <c r="Q257" s="0"/>
      <c r="R257" s="0"/>
      <c r="S257" s="0"/>
      <c r="T257" s="0"/>
      <c r="U257" s="0"/>
      <c r="V257" s="0"/>
      <c r="W257" s="0"/>
      <c r="X257" s="0"/>
      <c r="Y257" s="0"/>
      <c r="Z257" s="0"/>
      <c r="AA257" s="0"/>
      <c r="AB257" s="0"/>
      <c r="AC257" s="0"/>
      <c r="AD257" s="0"/>
      <c r="AE257" s="0"/>
      <c r="AF257" s="0"/>
      <c r="AG257" s="0"/>
      <c r="AH257" s="0"/>
      <c r="AI257" s="0"/>
      <c r="AJ257" s="0"/>
      <c r="AK257" s="0"/>
      <c r="AL257" s="0"/>
      <c r="AM257" s="0"/>
      <c r="AN257" s="0"/>
      <c r="AO257" s="0"/>
      <c r="AP257" s="0"/>
      <c r="AQ257" s="0"/>
      <c r="AR257" s="0"/>
      <c r="AS257" s="0"/>
      <c r="AT257" s="0"/>
      <c r="AU257" s="0"/>
      <c r="AV257" s="0"/>
      <c r="AW257" s="0"/>
      <c r="AX257" s="0"/>
      <c r="AY257" s="0"/>
      <c r="AZ257" s="0"/>
      <c r="BA257" s="0"/>
      <c r="BB257" s="0"/>
    </row>
    <row r="258" customFormat="false" ht="12.75" hidden="false" customHeight="false" outlineLevel="0" collapsed="false">
      <c r="A258" s="0"/>
      <c r="B258" s="0"/>
      <c r="C258" s="0"/>
      <c r="D258" s="0"/>
      <c r="E258" s="0"/>
      <c r="F258" s="0"/>
      <c r="G258" s="0"/>
      <c r="H258" s="161" t="n">
        <v>0</v>
      </c>
      <c r="I258" s="0"/>
      <c r="J258" s="0"/>
      <c r="K258" s="161" t="n">
        <v>0</v>
      </c>
      <c r="L258" s="0"/>
      <c r="M258" s="0"/>
      <c r="N258" s="0"/>
      <c r="O258" s="0"/>
      <c r="P258" s="0"/>
      <c r="Q258" s="0"/>
      <c r="R258" s="0"/>
      <c r="S258" s="0"/>
      <c r="T258" s="0"/>
      <c r="U258" s="0"/>
      <c r="V258" s="0"/>
      <c r="W258" s="0"/>
      <c r="X258" s="0"/>
      <c r="Y258" s="0"/>
      <c r="Z258" s="0"/>
      <c r="AA258" s="0"/>
      <c r="AB258" s="0"/>
      <c r="AC258" s="0"/>
      <c r="AD258" s="0"/>
      <c r="AE258" s="0"/>
      <c r="AF258" s="0"/>
      <c r="AG258" s="0"/>
      <c r="AH258" s="0"/>
      <c r="AI258" s="0"/>
      <c r="AJ258" s="0"/>
      <c r="AK258" s="0"/>
      <c r="AL258" s="0"/>
      <c r="AM258" s="0"/>
      <c r="AN258" s="0"/>
      <c r="AO258" s="0"/>
      <c r="AP258" s="0"/>
      <c r="AQ258" s="0"/>
      <c r="AR258" s="0"/>
      <c r="AS258" s="0"/>
      <c r="AT258" s="0"/>
      <c r="AU258" s="0"/>
      <c r="AV258" s="0"/>
      <c r="AW258" s="0"/>
      <c r="AX258" s="0"/>
      <c r="AY258" s="0"/>
      <c r="AZ258" s="0"/>
      <c r="BA258" s="0"/>
      <c r="BB258" s="0"/>
    </row>
    <row r="259" customFormat="false" ht="12.75" hidden="false" customHeight="false" outlineLevel="0" collapsed="false">
      <c r="A259" s="0"/>
      <c r="B259" s="0"/>
      <c r="C259" s="0"/>
      <c r="D259" s="0"/>
      <c r="E259" s="0"/>
      <c r="F259" s="0"/>
      <c r="G259" s="0"/>
      <c r="H259" s="161" t="n">
        <v>0</v>
      </c>
      <c r="I259" s="0"/>
      <c r="J259" s="0"/>
      <c r="K259" s="161" t="n">
        <v>0</v>
      </c>
      <c r="L259" s="0"/>
      <c r="M259" s="0"/>
      <c r="N259" s="0"/>
      <c r="O259" s="0"/>
      <c r="P259" s="0"/>
      <c r="Q259" s="0"/>
      <c r="R259" s="0"/>
      <c r="S259" s="0"/>
      <c r="T259" s="0"/>
      <c r="U259" s="0"/>
      <c r="V259" s="0"/>
      <c r="W259" s="0"/>
      <c r="X259" s="0"/>
      <c r="Y259" s="0"/>
      <c r="Z259" s="0"/>
      <c r="AA259" s="0"/>
      <c r="AB259" s="0"/>
      <c r="AC259" s="0"/>
      <c r="AD259" s="0"/>
      <c r="AE259" s="0"/>
      <c r="AF259" s="0"/>
      <c r="AG259" s="0"/>
      <c r="AH259" s="0"/>
      <c r="AI259" s="0"/>
      <c r="AJ259" s="0"/>
      <c r="AK259" s="0"/>
      <c r="AL259" s="0"/>
      <c r="AM259" s="0"/>
      <c r="AN259" s="0"/>
      <c r="AO259" s="0"/>
      <c r="AP259" s="0"/>
      <c r="AQ259" s="0"/>
      <c r="AR259" s="0"/>
      <c r="AS259" s="0"/>
      <c r="AT259" s="0"/>
      <c r="AU259" s="0"/>
      <c r="AV259" s="0"/>
      <c r="AW259" s="0"/>
      <c r="AX259" s="0"/>
      <c r="AY259" s="0"/>
      <c r="AZ259" s="0"/>
      <c r="BA259" s="0"/>
      <c r="BB259" s="0"/>
    </row>
    <row r="260" customFormat="false" ht="12.75" hidden="false" customHeight="false" outlineLevel="0" collapsed="false">
      <c r="A260" s="0"/>
      <c r="B260" s="0"/>
      <c r="C260" s="0"/>
      <c r="D260" s="0"/>
      <c r="E260" s="0"/>
      <c r="F260" s="0"/>
      <c r="G260" s="0"/>
      <c r="H260" s="161" t="n">
        <v>0</v>
      </c>
      <c r="I260" s="0"/>
      <c r="J260" s="0"/>
      <c r="K260" s="161" t="n">
        <v>0</v>
      </c>
      <c r="L260" s="0"/>
      <c r="M260" s="0"/>
      <c r="N260" s="0"/>
      <c r="O260" s="0"/>
      <c r="P260" s="0"/>
      <c r="Q260" s="0"/>
      <c r="R260" s="0"/>
      <c r="S260" s="0"/>
      <c r="T260" s="0"/>
      <c r="U260" s="0"/>
      <c r="V260" s="0"/>
      <c r="W260" s="0"/>
      <c r="X260" s="0"/>
      <c r="Y260" s="0"/>
      <c r="Z260" s="0"/>
      <c r="AA260" s="0"/>
      <c r="AB260" s="0"/>
      <c r="AC260" s="0"/>
      <c r="AD260" s="0"/>
      <c r="AE260" s="0"/>
      <c r="AF260" s="0"/>
      <c r="AG260" s="0"/>
      <c r="AH260" s="0"/>
      <c r="AI260" s="0"/>
      <c r="AJ260" s="0"/>
      <c r="AK260" s="0"/>
      <c r="AL260" s="0"/>
      <c r="AM260" s="0"/>
      <c r="AN260" s="0"/>
      <c r="AO260" s="0"/>
      <c r="AP260" s="0"/>
      <c r="AQ260" s="0"/>
      <c r="AR260" s="0"/>
      <c r="AS260" s="0"/>
      <c r="AT260" s="0"/>
      <c r="AU260" s="0"/>
      <c r="AV260" s="0"/>
      <c r="AW260" s="0"/>
      <c r="AX260" s="0"/>
      <c r="AY260" s="0"/>
      <c r="AZ260" s="0"/>
      <c r="BA260" s="0"/>
      <c r="BB260" s="0"/>
    </row>
    <row r="261" customFormat="false" ht="12.75" hidden="false" customHeight="false" outlineLevel="0" collapsed="false">
      <c r="A261" s="0"/>
      <c r="B261" s="0"/>
      <c r="C261" s="0"/>
      <c r="D261" s="0"/>
      <c r="E261" s="0"/>
      <c r="F261" s="0"/>
      <c r="G261" s="0"/>
      <c r="H261" s="161" t="n">
        <v>0</v>
      </c>
      <c r="I261" s="0"/>
      <c r="J261" s="0"/>
      <c r="K261" s="161" t="n">
        <v>0</v>
      </c>
      <c r="L261" s="0"/>
      <c r="M261" s="0"/>
      <c r="N261" s="0"/>
      <c r="O261" s="0"/>
      <c r="P261" s="0"/>
      <c r="Q261" s="0"/>
      <c r="R261" s="0"/>
      <c r="S261" s="0"/>
      <c r="T261" s="0"/>
      <c r="U261" s="0"/>
      <c r="V261" s="0"/>
      <c r="W261" s="0"/>
      <c r="X261" s="0"/>
      <c r="Y261" s="0"/>
      <c r="Z261" s="0"/>
      <c r="AA261" s="0"/>
      <c r="AB261" s="0"/>
      <c r="AC261" s="0"/>
      <c r="AD261" s="0"/>
      <c r="AE261" s="0"/>
      <c r="AF261" s="0"/>
      <c r="AG261" s="0"/>
      <c r="AH261" s="0"/>
      <c r="AI261" s="0"/>
      <c r="AJ261" s="0"/>
      <c r="AK261" s="0"/>
      <c r="AL261" s="0"/>
      <c r="AM261" s="0"/>
      <c r="AN261" s="0"/>
      <c r="AO261" s="0"/>
      <c r="AP261" s="0"/>
      <c r="AQ261" s="0"/>
      <c r="AR261" s="0"/>
      <c r="AS261" s="0"/>
      <c r="AT261" s="0"/>
      <c r="AU261" s="0"/>
      <c r="AV261" s="0"/>
      <c r="AW261" s="0"/>
      <c r="AX261" s="0"/>
      <c r="AY261" s="0"/>
      <c r="AZ261" s="0"/>
      <c r="BA261" s="0"/>
      <c r="BB261" s="0"/>
    </row>
    <row r="262" customFormat="false" ht="12.75" hidden="false" customHeight="false" outlineLevel="0" collapsed="false">
      <c r="A262" s="0"/>
      <c r="B262" s="0"/>
      <c r="C262" s="0"/>
      <c r="D262" s="0"/>
      <c r="E262" s="0"/>
      <c r="F262" s="0"/>
      <c r="G262" s="0"/>
      <c r="H262" s="161" t="n">
        <v>0</v>
      </c>
      <c r="I262" s="0"/>
      <c r="J262" s="0"/>
      <c r="K262" s="161" t="n">
        <v>0</v>
      </c>
      <c r="L262" s="0"/>
      <c r="M262" s="0"/>
      <c r="N262" s="0"/>
      <c r="O262" s="0"/>
      <c r="P262" s="0"/>
      <c r="Q262" s="0"/>
      <c r="R262" s="0"/>
      <c r="S262" s="0"/>
      <c r="T262" s="0"/>
      <c r="U262" s="0"/>
      <c r="V262" s="0"/>
      <c r="W262" s="0"/>
      <c r="X262" s="0"/>
      <c r="Y262" s="0"/>
      <c r="Z262" s="0"/>
      <c r="AA262" s="0"/>
      <c r="AB262" s="0"/>
      <c r="AC262" s="0"/>
      <c r="AD262" s="0"/>
      <c r="AE262" s="0"/>
      <c r="AF262" s="0"/>
      <c r="AG262" s="0"/>
      <c r="AH262" s="0"/>
      <c r="AI262" s="0"/>
      <c r="AJ262" s="0"/>
      <c r="AK262" s="0"/>
      <c r="AL262" s="0"/>
      <c r="AM262" s="0"/>
      <c r="AN262" s="0"/>
      <c r="AO262" s="0"/>
      <c r="AP262" s="0"/>
      <c r="AQ262" s="0"/>
      <c r="AR262" s="0"/>
      <c r="AS262" s="0"/>
      <c r="AT262" s="0"/>
      <c r="AU262" s="0"/>
      <c r="AV262" s="0"/>
      <c r="AW262" s="0"/>
      <c r="AX262" s="0"/>
      <c r="AY262" s="0"/>
      <c r="AZ262" s="0"/>
      <c r="BA262" s="0"/>
      <c r="BB262" s="0"/>
    </row>
    <row r="263" customFormat="false" ht="12.75" hidden="false" customHeight="false" outlineLevel="0" collapsed="false">
      <c r="A263" s="0"/>
      <c r="B263" s="0"/>
      <c r="C263" s="0"/>
      <c r="D263" s="0"/>
      <c r="E263" s="0"/>
      <c r="F263" s="0"/>
      <c r="G263" s="0"/>
      <c r="H263" s="161" t="n">
        <v>0</v>
      </c>
      <c r="I263" s="0"/>
      <c r="J263" s="0"/>
      <c r="K263" s="161" t="n">
        <v>0</v>
      </c>
      <c r="L263" s="0"/>
      <c r="M263" s="0"/>
      <c r="N263" s="0"/>
      <c r="O263" s="0"/>
      <c r="P263" s="0"/>
      <c r="Q263" s="0"/>
      <c r="R263" s="0"/>
      <c r="S263" s="0"/>
      <c r="T263" s="0"/>
      <c r="U263" s="0"/>
      <c r="V263" s="0"/>
      <c r="W263" s="0"/>
      <c r="X263" s="0"/>
      <c r="Y263" s="0"/>
      <c r="Z263" s="0"/>
      <c r="AA263" s="0"/>
      <c r="AB263" s="0"/>
      <c r="AC263" s="0"/>
      <c r="AD263" s="0"/>
      <c r="AE263" s="0"/>
      <c r="AF263" s="0"/>
      <c r="AG263" s="0"/>
      <c r="AH263" s="0"/>
      <c r="AI263" s="0"/>
      <c r="AJ263" s="0"/>
      <c r="AK263" s="0"/>
      <c r="AL263" s="0"/>
      <c r="AM263" s="0"/>
      <c r="AN263" s="0"/>
      <c r="AO263" s="0"/>
      <c r="AP263" s="0"/>
      <c r="AQ263" s="0"/>
      <c r="AR263" s="0"/>
      <c r="AS263" s="0"/>
      <c r="AT263" s="0"/>
      <c r="AU263" s="0"/>
      <c r="AV263" s="0"/>
      <c r="AW263" s="0"/>
      <c r="AX263" s="0"/>
      <c r="AY263" s="0"/>
      <c r="AZ263" s="0"/>
      <c r="BA263" s="0"/>
      <c r="BB263" s="0"/>
    </row>
    <row r="264" customFormat="false" ht="12.75" hidden="false" customHeight="false" outlineLevel="0" collapsed="false">
      <c r="A264" s="0"/>
      <c r="B264" s="0"/>
      <c r="C264" s="0"/>
      <c r="D264" s="0"/>
      <c r="E264" s="0"/>
      <c r="F264" s="0"/>
      <c r="G264" s="0"/>
      <c r="H264" s="161" t="n">
        <v>0</v>
      </c>
      <c r="I264" s="0"/>
      <c r="J264" s="0"/>
      <c r="K264" s="161" t="n">
        <v>0</v>
      </c>
      <c r="L264" s="0"/>
      <c r="M264" s="0"/>
      <c r="N264" s="0"/>
      <c r="O264" s="0"/>
      <c r="P264" s="0"/>
      <c r="Q264" s="0"/>
      <c r="R264" s="0"/>
      <c r="S264" s="0"/>
      <c r="T264" s="0"/>
      <c r="U264" s="0"/>
      <c r="V264" s="0"/>
      <c r="W264" s="0"/>
      <c r="X264" s="0"/>
      <c r="Y264" s="0"/>
      <c r="Z264" s="0"/>
      <c r="AA264" s="0"/>
      <c r="AB264" s="0"/>
      <c r="AC264" s="0"/>
      <c r="AD264" s="0"/>
      <c r="AE264" s="0"/>
      <c r="AF264" s="0"/>
      <c r="AG264" s="0"/>
      <c r="AH264" s="0"/>
      <c r="AI264" s="0"/>
      <c r="AJ264" s="0"/>
      <c r="AK264" s="0"/>
      <c r="AL264" s="0"/>
      <c r="AM264" s="0"/>
      <c r="AN264" s="0"/>
      <c r="AO264" s="0"/>
      <c r="AP264" s="0"/>
      <c r="AQ264" s="0"/>
      <c r="AR264" s="0"/>
      <c r="AS264" s="0"/>
      <c r="AT264" s="0"/>
      <c r="AU264" s="0"/>
      <c r="AV264" s="0"/>
      <c r="AW264" s="0"/>
      <c r="AX264" s="0"/>
      <c r="AY264" s="0"/>
      <c r="AZ264" s="0"/>
      <c r="BA264" s="0"/>
      <c r="BB264" s="0"/>
    </row>
    <row r="265" customFormat="false" ht="12.75" hidden="false" customHeight="false" outlineLevel="0" collapsed="false">
      <c r="A265" s="0"/>
      <c r="B265" s="0"/>
      <c r="C265" s="0"/>
      <c r="D265" s="0"/>
      <c r="E265" s="0"/>
      <c r="F265" s="0"/>
      <c r="G265" s="0"/>
      <c r="H265" s="161" t="n">
        <v>0</v>
      </c>
      <c r="I265" s="0"/>
      <c r="J265" s="0"/>
      <c r="K265" s="161" t="n">
        <v>0</v>
      </c>
      <c r="L265" s="0"/>
      <c r="M265" s="0"/>
      <c r="N265" s="0"/>
      <c r="O265" s="0"/>
      <c r="P265" s="0"/>
      <c r="Q265" s="0"/>
      <c r="R265" s="0"/>
      <c r="S265" s="0"/>
      <c r="T265" s="0"/>
      <c r="U265" s="0"/>
      <c r="V265" s="0"/>
      <c r="W265" s="0"/>
      <c r="X265" s="0"/>
      <c r="Y265" s="0"/>
      <c r="Z265" s="0"/>
      <c r="AA265" s="0"/>
      <c r="AB265" s="0"/>
      <c r="AC265" s="0"/>
      <c r="AD265" s="0"/>
      <c r="AE265" s="0"/>
      <c r="AF265" s="0"/>
      <c r="AG265" s="0"/>
      <c r="AH265" s="0"/>
      <c r="AI265" s="0"/>
      <c r="AJ265" s="0"/>
      <c r="AK265" s="0"/>
      <c r="AL265" s="0"/>
      <c r="AM265" s="0"/>
      <c r="AN265" s="0"/>
      <c r="AO265" s="0"/>
      <c r="AP265" s="0"/>
      <c r="AQ265" s="0"/>
      <c r="AR265" s="0"/>
      <c r="AS265" s="0"/>
      <c r="AT265" s="0"/>
      <c r="AU265" s="0"/>
      <c r="AV265" s="0"/>
      <c r="AW265" s="0"/>
      <c r="AX265" s="0"/>
      <c r="AY265" s="0"/>
      <c r="AZ265" s="0"/>
      <c r="BA265" s="0"/>
      <c r="BB265" s="0"/>
    </row>
    <row r="266" customFormat="false" ht="12.75" hidden="false" customHeight="false" outlineLevel="0" collapsed="false">
      <c r="A266" s="0"/>
      <c r="B266" s="0"/>
      <c r="C266" s="0"/>
      <c r="D266" s="0"/>
      <c r="E266" s="0"/>
      <c r="F266" s="0"/>
      <c r="G266" s="0"/>
      <c r="H266" s="161" t="n">
        <v>0</v>
      </c>
      <c r="I266" s="0"/>
      <c r="J266" s="0"/>
      <c r="K266" s="161" t="n">
        <v>0</v>
      </c>
      <c r="L266" s="0"/>
      <c r="M266" s="0"/>
      <c r="N266" s="0"/>
      <c r="O266" s="0"/>
      <c r="P266" s="0"/>
      <c r="Q266" s="0"/>
      <c r="R266" s="0"/>
      <c r="S266" s="0"/>
      <c r="T266" s="0"/>
      <c r="U266" s="0"/>
      <c r="V266" s="0"/>
      <c r="W266" s="0"/>
      <c r="X266" s="0"/>
      <c r="Y266" s="0"/>
      <c r="Z266" s="0"/>
      <c r="AA266" s="0"/>
      <c r="AB266" s="0"/>
      <c r="AC266" s="0"/>
      <c r="AD266" s="0"/>
      <c r="AE266" s="0"/>
      <c r="AF266" s="0"/>
      <c r="AG266" s="0"/>
      <c r="AH266" s="0"/>
      <c r="AI266" s="0"/>
      <c r="AJ266" s="0"/>
      <c r="AK266" s="0"/>
      <c r="AL266" s="0"/>
      <c r="AM266" s="0"/>
      <c r="AN266" s="0"/>
      <c r="AO266" s="0"/>
      <c r="AP266" s="0"/>
      <c r="AQ266" s="0"/>
      <c r="AR266" s="0"/>
      <c r="AS266" s="0"/>
      <c r="AT266" s="0"/>
      <c r="AU266" s="0"/>
      <c r="AV266" s="0"/>
      <c r="AW266" s="0"/>
      <c r="AX266" s="0"/>
      <c r="AY266" s="0"/>
      <c r="AZ266" s="0"/>
      <c r="BA266" s="0"/>
      <c r="BB266" s="0"/>
    </row>
    <row r="267" customFormat="false" ht="12.75" hidden="false" customHeight="false" outlineLevel="0" collapsed="false">
      <c r="A267" s="0"/>
      <c r="B267" s="0"/>
      <c r="C267" s="0"/>
      <c r="D267" s="0"/>
      <c r="E267" s="0"/>
      <c r="F267" s="0"/>
      <c r="G267" s="0"/>
      <c r="H267" s="161" t="n">
        <v>0</v>
      </c>
      <c r="I267" s="0"/>
      <c r="J267" s="0"/>
      <c r="K267" s="161" t="n">
        <v>0</v>
      </c>
      <c r="L267" s="0"/>
      <c r="M267" s="0"/>
      <c r="N267" s="0"/>
      <c r="O267" s="0"/>
      <c r="P267" s="0"/>
      <c r="Q267" s="0"/>
      <c r="R267" s="0"/>
      <c r="S267" s="0"/>
      <c r="T267" s="0"/>
      <c r="U267" s="0"/>
      <c r="V267" s="0"/>
      <c r="W267" s="0"/>
      <c r="X267" s="0"/>
      <c r="Y267" s="0"/>
      <c r="Z267" s="0"/>
      <c r="AA267" s="0"/>
      <c r="AB267" s="0"/>
      <c r="AC267" s="0"/>
      <c r="AD267" s="0"/>
      <c r="AE267" s="0"/>
      <c r="AF267" s="0"/>
      <c r="AG267" s="0"/>
      <c r="AH267" s="0"/>
      <c r="AI267" s="0"/>
      <c r="AJ267" s="0"/>
      <c r="AK267" s="0"/>
      <c r="AL267" s="0"/>
      <c r="AM267" s="0"/>
      <c r="AN267" s="0"/>
      <c r="AO267" s="0"/>
      <c r="AP267" s="0"/>
      <c r="AQ267" s="0"/>
      <c r="AR267" s="0"/>
      <c r="AS267" s="0"/>
      <c r="AT267" s="0"/>
      <c r="AU267" s="0"/>
      <c r="AV267" s="0"/>
      <c r="AW267" s="0"/>
      <c r="AX267" s="0"/>
      <c r="AY267" s="0"/>
      <c r="AZ267" s="0"/>
      <c r="BA267" s="0"/>
      <c r="BB267" s="0"/>
    </row>
    <row r="268" customFormat="false" ht="12.75" hidden="false" customHeight="false" outlineLevel="0" collapsed="false">
      <c r="A268" s="0"/>
      <c r="B268" s="0"/>
      <c r="C268" s="0"/>
      <c r="D268" s="0"/>
      <c r="E268" s="0"/>
      <c r="F268" s="0"/>
      <c r="G268" s="0"/>
      <c r="H268" s="161" t="n">
        <v>0</v>
      </c>
      <c r="I268" s="0"/>
      <c r="J268" s="0"/>
      <c r="K268" s="161" t="n">
        <v>0</v>
      </c>
      <c r="L268" s="0"/>
      <c r="M268" s="0"/>
      <c r="N268" s="0"/>
      <c r="O268" s="0"/>
      <c r="P268" s="0"/>
      <c r="Q268" s="0"/>
      <c r="R268" s="0"/>
      <c r="S268" s="0"/>
      <c r="T268" s="0"/>
      <c r="U268" s="0"/>
      <c r="V268" s="0"/>
      <c r="W268" s="0"/>
      <c r="X268" s="0"/>
      <c r="Y268" s="0"/>
      <c r="Z268" s="0"/>
      <c r="AA268" s="0"/>
      <c r="AB268" s="0"/>
      <c r="AC268" s="0"/>
      <c r="AD268" s="0"/>
      <c r="AE268" s="0"/>
      <c r="AF268" s="0"/>
      <c r="AG268" s="0"/>
      <c r="AH268" s="0"/>
      <c r="AI268" s="0"/>
      <c r="AJ268" s="0"/>
      <c r="AK268" s="0"/>
      <c r="AL268" s="0"/>
      <c r="AM268" s="0"/>
      <c r="AN268" s="0"/>
      <c r="AO268" s="0"/>
      <c r="AP268" s="0"/>
      <c r="AQ268" s="0"/>
      <c r="AR268" s="0"/>
      <c r="AS268" s="0"/>
      <c r="AT268" s="0"/>
      <c r="AU268" s="0"/>
      <c r="AV268" s="0"/>
      <c r="AW268" s="0"/>
      <c r="AX268" s="0"/>
      <c r="AY268" s="0"/>
      <c r="AZ268" s="0"/>
      <c r="BA268" s="0"/>
      <c r="BB268" s="0"/>
    </row>
    <row r="269" customFormat="false" ht="12.75" hidden="false" customHeight="false" outlineLevel="0" collapsed="false">
      <c r="A269" s="0"/>
      <c r="B269" s="0"/>
      <c r="C269" s="0"/>
      <c r="D269" s="0"/>
      <c r="E269" s="0"/>
      <c r="F269" s="0"/>
      <c r="G269" s="0"/>
      <c r="H269" s="161" t="n">
        <v>0</v>
      </c>
      <c r="I269" s="0"/>
      <c r="J269" s="0"/>
      <c r="K269" s="161" t="n">
        <v>0</v>
      </c>
      <c r="L269" s="0"/>
      <c r="M269" s="0"/>
      <c r="N269" s="0"/>
      <c r="O269" s="0"/>
      <c r="P269" s="0"/>
      <c r="Q269" s="0"/>
      <c r="R269" s="0"/>
      <c r="S269" s="0"/>
      <c r="T269" s="0"/>
      <c r="U269" s="0"/>
      <c r="V269" s="0"/>
      <c r="W269" s="0"/>
      <c r="X269" s="0"/>
      <c r="Y269" s="0"/>
      <c r="Z269" s="0"/>
      <c r="AA269" s="0"/>
      <c r="AB269" s="0"/>
      <c r="AC269" s="0"/>
      <c r="AD269" s="0"/>
      <c r="AE269" s="0"/>
      <c r="AF269" s="0"/>
      <c r="AG269" s="0"/>
      <c r="AH269" s="0"/>
      <c r="AI269" s="0"/>
      <c r="AJ269" s="0"/>
      <c r="AK269" s="0"/>
      <c r="AL269" s="0"/>
      <c r="AM269" s="0"/>
      <c r="AN269" s="0"/>
      <c r="AO269" s="0"/>
      <c r="AP269" s="0"/>
      <c r="AQ269" s="0"/>
      <c r="AR269" s="0"/>
      <c r="AS269" s="0"/>
      <c r="AT269" s="0"/>
      <c r="AU269" s="0"/>
      <c r="AV269" s="0"/>
      <c r="AW269" s="0"/>
      <c r="AX269" s="0"/>
      <c r="AY269" s="0"/>
      <c r="AZ269" s="0"/>
      <c r="BA269" s="0"/>
      <c r="BB269" s="0"/>
    </row>
    <row r="270" customFormat="false" ht="12.75" hidden="false" customHeight="false" outlineLevel="0" collapsed="false">
      <c r="A270" s="0"/>
      <c r="B270" s="0"/>
      <c r="C270" s="0"/>
      <c r="D270" s="0"/>
      <c r="E270" s="0"/>
      <c r="F270" s="0"/>
      <c r="G270" s="0"/>
      <c r="H270" s="161" t="n">
        <v>0</v>
      </c>
      <c r="I270" s="0"/>
      <c r="J270" s="0"/>
      <c r="K270" s="161" t="n">
        <v>0</v>
      </c>
      <c r="L270" s="0"/>
      <c r="M270" s="0"/>
      <c r="N270" s="0"/>
      <c r="O270" s="0"/>
      <c r="P270" s="0"/>
      <c r="Q270" s="0"/>
      <c r="R270" s="0"/>
      <c r="S270" s="0"/>
      <c r="T270" s="0"/>
      <c r="U270" s="0"/>
      <c r="V270" s="0"/>
      <c r="W270" s="0"/>
      <c r="X270" s="0"/>
      <c r="Y270" s="0"/>
      <c r="Z270" s="0"/>
      <c r="AA270" s="0"/>
      <c r="AB270" s="0"/>
      <c r="AC270" s="0"/>
      <c r="AD270" s="0"/>
      <c r="AE270" s="0"/>
      <c r="AF270" s="0"/>
      <c r="AG270" s="0"/>
      <c r="AH270" s="0"/>
      <c r="AI270" s="0"/>
      <c r="AJ270" s="0"/>
      <c r="AK270" s="0"/>
      <c r="AL270" s="0"/>
      <c r="AM270" s="0"/>
      <c r="AN270" s="0"/>
      <c r="AO270" s="0"/>
      <c r="AP270" s="0"/>
      <c r="AQ270" s="0"/>
      <c r="AR270" s="0"/>
      <c r="AS270" s="0"/>
      <c r="AT270" s="0"/>
      <c r="AU270" s="0"/>
      <c r="AV270" s="0"/>
      <c r="AW270" s="0"/>
      <c r="AX270" s="0"/>
      <c r="AY270" s="0"/>
      <c r="AZ270" s="0"/>
      <c r="BA270" s="0"/>
      <c r="BB270" s="0"/>
    </row>
    <row r="271" customFormat="false" ht="12.75" hidden="false" customHeight="false" outlineLevel="0" collapsed="false">
      <c r="A271" s="0"/>
      <c r="B271" s="0"/>
      <c r="C271" s="0"/>
      <c r="D271" s="0"/>
      <c r="E271" s="0"/>
      <c r="F271" s="0"/>
      <c r="G271" s="0"/>
      <c r="H271" s="161" t="n">
        <v>0</v>
      </c>
      <c r="I271" s="0"/>
      <c r="J271" s="0"/>
      <c r="K271" s="161" t="n">
        <v>0</v>
      </c>
      <c r="L271" s="0"/>
      <c r="M271" s="0"/>
      <c r="N271" s="0"/>
      <c r="O271" s="0"/>
      <c r="P271" s="0"/>
      <c r="Q271" s="0"/>
      <c r="R271" s="0"/>
      <c r="S271" s="0"/>
      <c r="T271" s="0"/>
      <c r="U271" s="0"/>
      <c r="V271" s="0"/>
      <c r="W271" s="0"/>
      <c r="X271" s="0"/>
      <c r="Y271" s="0"/>
      <c r="Z271" s="0"/>
      <c r="AA271" s="0"/>
      <c r="AB271" s="0"/>
      <c r="AC271" s="0"/>
      <c r="AD271" s="0"/>
      <c r="AE271" s="0"/>
      <c r="AF271" s="0"/>
      <c r="AG271" s="0"/>
      <c r="AH271" s="0"/>
      <c r="AI271" s="0"/>
      <c r="AJ271" s="0"/>
      <c r="AK271" s="0"/>
      <c r="AL271" s="0"/>
      <c r="AM271" s="0"/>
      <c r="AN271" s="0"/>
      <c r="AO271" s="0"/>
      <c r="AP271" s="0"/>
      <c r="AQ271" s="0"/>
      <c r="AR271" s="0"/>
      <c r="AS271" s="0"/>
      <c r="AT271" s="0"/>
      <c r="AU271" s="0"/>
      <c r="AV271" s="0"/>
      <c r="AW271" s="0"/>
      <c r="AX271" s="0"/>
      <c r="AY271" s="0"/>
      <c r="AZ271" s="0"/>
      <c r="BA271" s="0"/>
      <c r="BB271" s="0"/>
    </row>
    <row r="272" customFormat="false" ht="12.75" hidden="false" customHeight="false" outlineLevel="0" collapsed="false">
      <c r="A272" s="0"/>
      <c r="B272" s="0"/>
      <c r="C272" s="0"/>
      <c r="D272" s="0"/>
      <c r="E272" s="0"/>
      <c r="F272" s="0"/>
      <c r="G272" s="0"/>
      <c r="H272" s="161" t="n">
        <v>0</v>
      </c>
      <c r="I272" s="0"/>
      <c r="J272" s="0"/>
      <c r="K272" s="161" t="n">
        <v>0</v>
      </c>
      <c r="L272" s="0"/>
      <c r="M272" s="0"/>
      <c r="N272" s="0"/>
      <c r="O272" s="0"/>
      <c r="P272" s="0"/>
      <c r="Q272" s="0"/>
      <c r="R272" s="0"/>
      <c r="S272" s="0"/>
      <c r="T272" s="0"/>
      <c r="U272" s="0"/>
      <c r="V272" s="0"/>
      <c r="W272" s="0"/>
      <c r="X272" s="0"/>
      <c r="Y272" s="0"/>
      <c r="Z272" s="0"/>
      <c r="AA272" s="0"/>
      <c r="AB272" s="0"/>
      <c r="AC272" s="0"/>
      <c r="AD272" s="0"/>
      <c r="AE272" s="0"/>
      <c r="AF272" s="0"/>
      <c r="AG272" s="0"/>
      <c r="AH272" s="0"/>
      <c r="AI272" s="0"/>
      <c r="AJ272" s="0"/>
      <c r="AK272" s="0"/>
      <c r="AL272" s="0"/>
      <c r="AM272" s="0"/>
      <c r="AN272" s="0"/>
      <c r="AO272" s="0"/>
      <c r="AP272" s="0"/>
      <c r="AQ272" s="0"/>
      <c r="AR272" s="0"/>
      <c r="AS272" s="0"/>
      <c r="AT272" s="0"/>
      <c r="AU272" s="0"/>
      <c r="AV272" s="0"/>
      <c r="AW272" s="0"/>
      <c r="AX272" s="0"/>
      <c r="AY272" s="0"/>
      <c r="AZ272" s="0"/>
      <c r="BA272" s="0"/>
      <c r="BB272" s="0"/>
    </row>
    <row r="273" customFormat="false" ht="12.75" hidden="false" customHeight="false" outlineLevel="0" collapsed="false">
      <c r="A273" s="0"/>
      <c r="B273" s="0"/>
      <c r="C273" s="0"/>
      <c r="D273" s="0"/>
      <c r="E273" s="0"/>
      <c r="F273" s="0"/>
      <c r="G273" s="0"/>
      <c r="H273" s="161" t="n">
        <v>0</v>
      </c>
      <c r="I273" s="0"/>
      <c r="J273" s="0"/>
      <c r="K273" s="161" t="n">
        <v>0</v>
      </c>
      <c r="L273" s="0"/>
      <c r="M273" s="0"/>
      <c r="N273" s="0"/>
      <c r="O273" s="0"/>
      <c r="P273" s="0"/>
      <c r="Q273" s="0"/>
      <c r="R273" s="0"/>
      <c r="S273" s="0"/>
      <c r="T273" s="0"/>
      <c r="U273" s="0"/>
      <c r="V273" s="0"/>
      <c r="W273" s="0"/>
      <c r="X273" s="0"/>
      <c r="Y273" s="0"/>
      <c r="Z273" s="0"/>
      <c r="AA273" s="0"/>
      <c r="AB273" s="0"/>
      <c r="AC273" s="0"/>
      <c r="AD273" s="0"/>
      <c r="AE273" s="0"/>
      <c r="AF273" s="0"/>
      <c r="AG273" s="0"/>
      <c r="AH273" s="0"/>
      <c r="AI273" s="0"/>
      <c r="AJ273" s="0"/>
      <c r="AK273" s="0"/>
      <c r="AL273" s="0"/>
      <c r="AM273" s="0"/>
      <c r="AN273" s="0"/>
      <c r="AO273" s="0"/>
      <c r="AP273" s="0"/>
      <c r="AQ273" s="0"/>
      <c r="AR273" s="0"/>
      <c r="AS273" s="0"/>
      <c r="AT273" s="0"/>
      <c r="AU273" s="0"/>
      <c r="AV273" s="0"/>
      <c r="AW273" s="0"/>
      <c r="AX273" s="0"/>
      <c r="AY273" s="0"/>
      <c r="AZ273" s="0"/>
      <c r="BA273" s="0"/>
      <c r="BB273" s="0"/>
    </row>
    <row r="274" customFormat="false" ht="12.75" hidden="false" customHeight="false" outlineLevel="0" collapsed="false">
      <c r="A274" s="0"/>
      <c r="B274" s="0"/>
      <c r="C274" s="0"/>
      <c r="D274" s="0"/>
      <c r="E274" s="0"/>
      <c r="F274" s="0"/>
      <c r="G274" s="0"/>
      <c r="H274" s="161" t="n">
        <v>0</v>
      </c>
      <c r="I274" s="0"/>
      <c r="J274" s="0"/>
      <c r="K274" s="161" t="n">
        <v>0</v>
      </c>
      <c r="L274" s="0"/>
      <c r="M274" s="0"/>
      <c r="N274" s="0"/>
      <c r="O274" s="0"/>
      <c r="P274" s="0"/>
      <c r="Q274" s="0"/>
      <c r="R274" s="0"/>
      <c r="S274" s="0"/>
      <c r="T274" s="0"/>
      <c r="U274" s="0"/>
      <c r="V274" s="0"/>
      <c r="W274" s="0"/>
      <c r="X274" s="0"/>
      <c r="Y274" s="0"/>
      <c r="Z274" s="0"/>
      <c r="AA274" s="0"/>
      <c r="AB274" s="0"/>
      <c r="AC274" s="0"/>
      <c r="AD274" s="0"/>
      <c r="AE274" s="0"/>
      <c r="AF274" s="0"/>
      <c r="AG274" s="0"/>
      <c r="AH274" s="0"/>
      <c r="AI274" s="0"/>
      <c r="AJ274" s="0"/>
      <c r="AK274" s="0"/>
      <c r="AL274" s="0"/>
      <c r="AM274" s="0"/>
      <c r="AN274" s="0"/>
      <c r="AO274" s="0"/>
      <c r="AP274" s="0"/>
      <c r="AQ274" s="0"/>
      <c r="AR274" s="0"/>
      <c r="AS274" s="0"/>
      <c r="AT274" s="0"/>
      <c r="AU274" s="0"/>
      <c r="AV274" s="0"/>
      <c r="AW274" s="0"/>
      <c r="AX274" s="0"/>
      <c r="AY274" s="0"/>
      <c r="AZ274" s="0"/>
      <c r="BA274" s="0"/>
      <c r="BB274" s="0"/>
    </row>
    <row r="275" customFormat="false" ht="12.75" hidden="false" customHeight="false" outlineLevel="0" collapsed="false">
      <c r="A275" s="0"/>
      <c r="B275" s="0"/>
      <c r="C275" s="0"/>
      <c r="D275" s="0"/>
      <c r="E275" s="0"/>
      <c r="F275" s="0"/>
      <c r="G275" s="0"/>
      <c r="H275" s="161" t="n">
        <v>0</v>
      </c>
      <c r="I275" s="0"/>
      <c r="J275" s="0"/>
      <c r="K275" s="161" t="n">
        <v>0</v>
      </c>
      <c r="L275" s="0"/>
      <c r="M275" s="0"/>
      <c r="N275" s="0"/>
      <c r="O275" s="0"/>
      <c r="P275" s="0"/>
      <c r="Q275" s="0"/>
      <c r="R275" s="0"/>
      <c r="S275" s="0"/>
      <c r="T275" s="0"/>
      <c r="U275" s="0"/>
      <c r="V275" s="0"/>
      <c r="W275" s="0"/>
      <c r="X275" s="0"/>
      <c r="Y275" s="0"/>
      <c r="Z275" s="0"/>
      <c r="AA275" s="0"/>
      <c r="AB275" s="0"/>
      <c r="AC275" s="0"/>
      <c r="AD275" s="0"/>
      <c r="AE275" s="0"/>
      <c r="AF275" s="0"/>
      <c r="AG275" s="0"/>
      <c r="AH275" s="0"/>
      <c r="AI275" s="0"/>
      <c r="AJ275" s="0"/>
      <c r="AK275" s="0"/>
      <c r="AL275" s="0"/>
      <c r="AM275" s="0"/>
      <c r="AN275" s="0"/>
      <c r="AO275" s="0"/>
      <c r="AP275" s="0"/>
      <c r="AQ275" s="0"/>
      <c r="AR275" s="0"/>
      <c r="AS275" s="0"/>
      <c r="AT275" s="0"/>
      <c r="AU275" s="0"/>
      <c r="AV275" s="0"/>
      <c r="AW275" s="0"/>
      <c r="AX275" s="0"/>
      <c r="AY275" s="0"/>
      <c r="AZ275" s="0"/>
      <c r="BA275" s="0"/>
      <c r="BB275" s="0"/>
    </row>
    <row r="276" customFormat="false" ht="12.75" hidden="false" customHeight="false" outlineLevel="0" collapsed="false">
      <c r="A276" s="0"/>
      <c r="B276" s="0"/>
      <c r="C276" s="0"/>
      <c r="D276" s="0"/>
      <c r="E276" s="0"/>
      <c r="F276" s="0"/>
      <c r="G276" s="0"/>
      <c r="H276" s="161" t="n">
        <v>0</v>
      </c>
      <c r="I276" s="0"/>
      <c r="J276" s="0"/>
      <c r="K276" s="161" t="n">
        <v>0</v>
      </c>
      <c r="L276" s="0"/>
      <c r="M276" s="0"/>
      <c r="N276" s="0"/>
      <c r="O276" s="0"/>
      <c r="P276" s="0"/>
      <c r="Q276" s="0"/>
      <c r="R276" s="0"/>
      <c r="S276" s="0"/>
      <c r="T276" s="0"/>
      <c r="U276" s="0"/>
      <c r="V276" s="0"/>
      <c r="W276" s="0"/>
      <c r="X276" s="0"/>
      <c r="Y276" s="0"/>
      <c r="Z276" s="0"/>
      <c r="AA276" s="0"/>
      <c r="AB276" s="0"/>
      <c r="AC276" s="0"/>
      <c r="AD276" s="0"/>
      <c r="AE276" s="0"/>
      <c r="AF276" s="0"/>
      <c r="AG276" s="0"/>
      <c r="AH276" s="0"/>
      <c r="AI276" s="0"/>
      <c r="AJ276" s="0"/>
      <c r="AK276" s="0"/>
      <c r="AL276" s="0"/>
      <c r="AM276" s="0"/>
      <c r="AN276" s="0"/>
      <c r="AO276" s="0"/>
      <c r="AP276" s="0"/>
      <c r="AQ276" s="0"/>
      <c r="AR276" s="0"/>
      <c r="AS276" s="0"/>
      <c r="AT276" s="0"/>
      <c r="AU276" s="0"/>
      <c r="AV276" s="0"/>
      <c r="AW276" s="0"/>
      <c r="AX276" s="0"/>
      <c r="AY276" s="0"/>
      <c r="AZ276" s="0"/>
      <c r="BA276" s="0"/>
      <c r="BB276" s="0"/>
    </row>
    <row r="277" customFormat="false" ht="12.75" hidden="false" customHeight="false" outlineLevel="0" collapsed="false">
      <c r="A277" s="0"/>
      <c r="B277" s="0"/>
      <c r="C277" s="0"/>
      <c r="D277" s="0"/>
      <c r="E277" s="0"/>
      <c r="F277" s="0"/>
      <c r="G277" s="0"/>
      <c r="H277" s="161" t="n">
        <v>0</v>
      </c>
      <c r="I277" s="0"/>
      <c r="J277" s="0"/>
      <c r="K277" s="161" t="n">
        <v>0</v>
      </c>
      <c r="L277" s="0"/>
      <c r="M277" s="0"/>
      <c r="N277" s="0"/>
      <c r="O277" s="0"/>
      <c r="P277" s="0"/>
      <c r="Q277" s="0"/>
      <c r="R277" s="0"/>
      <c r="S277" s="0"/>
      <c r="T277" s="0"/>
      <c r="U277" s="0"/>
      <c r="V277" s="0"/>
      <c r="W277" s="0"/>
      <c r="X277" s="0"/>
      <c r="Y277" s="0"/>
      <c r="Z277" s="0"/>
      <c r="AA277" s="0"/>
      <c r="AB277" s="0"/>
      <c r="AC277" s="0"/>
      <c r="AD277" s="0"/>
      <c r="AE277" s="0"/>
      <c r="AF277" s="0"/>
      <c r="AG277" s="0"/>
      <c r="AH277" s="0"/>
      <c r="AI277" s="0"/>
      <c r="AJ277" s="0"/>
      <c r="AK277" s="0"/>
      <c r="AL277" s="0"/>
      <c r="AM277" s="0"/>
      <c r="AN277" s="0"/>
      <c r="AO277" s="0"/>
      <c r="AP277" s="0"/>
      <c r="AQ277" s="0"/>
      <c r="AR277" s="0"/>
      <c r="AS277" s="0"/>
      <c r="AT277" s="0"/>
      <c r="AU277" s="0"/>
      <c r="AV277" s="0"/>
      <c r="AW277" s="0"/>
      <c r="AX277" s="0"/>
      <c r="AY277" s="0"/>
      <c r="AZ277" s="0"/>
      <c r="BA277" s="0"/>
      <c r="BB277" s="0"/>
    </row>
    <row r="278" customFormat="false" ht="12.75" hidden="false" customHeight="false" outlineLevel="0" collapsed="false">
      <c r="A278" s="0"/>
      <c r="B278" s="0"/>
      <c r="C278" s="0"/>
      <c r="D278" s="0"/>
      <c r="E278" s="0"/>
      <c r="F278" s="0"/>
      <c r="G278" s="0"/>
      <c r="H278" s="161" t="n">
        <v>0</v>
      </c>
      <c r="I278" s="0"/>
      <c r="J278" s="0"/>
      <c r="K278" s="161" t="n">
        <v>0</v>
      </c>
      <c r="L278" s="0"/>
      <c r="M278" s="0"/>
      <c r="N278" s="0"/>
      <c r="O278" s="0"/>
      <c r="P278" s="0"/>
      <c r="Q278" s="0"/>
      <c r="R278" s="0"/>
      <c r="S278" s="0"/>
      <c r="T278" s="0"/>
      <c r="U278" s="0"/>
      <c r="V278" s="0"/>
      <c r="W278" s="0"/>
      <c r="X278" s="0"/>
      <c r="Y278" s="0"/>
      <c r="Z278" s="0"/>
      <c r="AA278" s="0"/>
      <c r="AB278" s="0"/>
      <c r="AC278" s="0"/>
      <c r="AD278" s="0"/>
      <c r="AE278" s="0"/>
      <c r="AF278" s="0"/>
      <c r="AG278" s="0"/>
      <c r="AH278" s="0"/>
      <c r="AI278" s="0"/>
      <c r="AJ278" s="0"/>
      <c r="AK278" s="0"/>
      <c r="AL278" s="0"/>
      <c r="AM278" s="0"/>
      <c r="AN278" s="0"/>
      <c r="AO278" s="0"/>
      <c r="AP278" s="0"/>
      <c r="AQ278" s="0"/>
      <c r="AR278" s="0"/>
      <c r="AS278" s="0"/>
      <c r="AT278" s="0"/>
      <c r="AU278" s="0"/>
      <c r="AV278" s="0"/>
      <c r="AW278" s="0"/>
      <c r="AX278" s="0"/>
      <c r="AY278" s="0"/>
      <c r="AZ278" s="0"/>
      <c r="BA278" s="0"/>
      <c r="BB278" s="0"/>
    </row>
    <row r="279" customFormat="false" ht="12.75" hidden="false" customHeight="false" outlineLevel="0" collapsed="false">
      <c r="A279" s="0"/>
      <c r="B279" s="0"/>
      <c r="C279" s="0"/>
      <c r="D279" s="0"/>
      <c r="E279" s="0"/>
      <c r="F279" s="0"/>
      <c r="G279" s="0"/>
      <c r="H279" s="161" t="n">
        <v>0</v>
      </c>
      <c r="I279" s="0"/>
      <c r="J279" s="0"/>
      <c r="K279" s="161" t="n">
        <v>0</v>
      </c>
      <c r="L279" s="0"/>
      <c r="M279" s="0"/>
      <c r="N279" s="0"/>
      <c r="O279" s="0"/>
      <c r="P279" s="0"/>
      <c r="Q279" s="0"/>
      <c r="R279" s="0"/>
      <c r="S279" s="0"/>
      <c r="T279" s="0"/>
      <c r="U279" s="0"/>
      <c r="V279" s="0"/>
      <c r="W279" s="0"/>
      <c r="X279" s="0"/>
      <c r="Y279" s="0"/>
      <c r="Z279" s="0"/>
      <c r="AA279" s="0"/>
      <c r="AB279" s="0"/>
      <c r="AC279" s="0"/>
      <c r="AD279" s="0"/>
      <c r="AE279" s="0"/>
      <c r="AF279" s="0"/>
      <c r="AG279" s="0"/>
      <c r="AH279" s="0"/>
      <c r="AI279" s="0"/>
      <c r="AJ279" s="0"/>
      <c r="AK279" s="0"/>
      <c r="AL279" s="0"/>
      <c r="AM279" s="0"/>
      <c r="AN279" s="0"/>
      <c r="AO279" s="0"/>
      <c r="AP279" s="0"/>
      <c r="AQ279" s="0"/>
      <c r="AR279" s="0"/>
      <c r="AS279" s="0"/>
      <c r="AT279" s="0"/>
      <c r="AU279" s="0"/>
      <c r="AV279" s="0"/>
      <c r="AW279" s="0"/>
      <c r="AX279" s="0"/>
      <c r="AY279" s="0"/>
      <c r="AZ279" s="0"/>
      <c r="BA279" s="0"/>
      <c r="BB279" s="0"/>
    </row>
    <row r="280" customFormat="false" ht="12.75" hidden="false" customHeight="false" outlineLevel="0" collapsed="false">
      <c r="A280" s="0"/>
      <c r="B280" s="0"/>
      <c r="C280" s="0"/>
      <c r="D280" s="0"/>
      <c r="E280" s="0"/>
      <c r="F280" s="0"/>
      <c r="G280" s="0"/>
      <c r="H280" s="161" t="n">
        <v>0</v>
      </c>
      <c r="I280" s="0"/>
      <c r="J280" s="0"/>
      <c r="K280" s="161" t="n">
        <v>0</v>
      </c>
      <c r="L280" s="0"/>
      <c r="M280" s="0"/>
      <c r="N280" s="0"/>
      <c r="O280" s="0"/>
      <c r="P280" s="0"/>
      <c r="Q280" s="0"/>
      <c r="R280" s="0"/>
      <c r="S280" s="0"/>
      <c r="T280" s="0"/>
      <c r="U280" s="0"/>
      <c r="V280" s="0"/>
      <c r="W280" s="0"/>
      <c r="X280" s="0"/>
      <c r="Y280" s="0"/>
      <c r="Z280" s="0"/>
      <c r="AA280" s="0"/>
      <c r="AB280" s="0"/>
      <c r="AC280" s="0"/>
      <c r="AD280" s="0"/>
      <c r="AE280" s="0"/>
      <c r="AF280" s="0"/>
      <c r="AG280" s="0"/>
      <c r="AH280" s="0"/>
      <c r="AI280" s="0"/>
      <c r="AJ280" s="0"/>
      <c r="AK280" s="0"/>
      <c r="AL280" s="0"/>
      <c r="AM280" s="0"/>
      <c r="AN280" s="0"/>
      <c r="AO280" s="0"/>
      <c r="AP280" s="0"/>
      <c r="AQ280" s="0"/>
      <c r="AR280" s="0"/>
      <c r="AS280" s="0"/>
      <c r="AT280" s="0"/>
      <c r="AU280" s="0"/>
      <c r="AV280" s="0"/>
      <c r="AW280" s="0"/>
      <c r="AX280" s="0"/>
      <c r="AY280" s="0"/>
      <c r="AZ280" s="0"/>
      <c r="BA280" s="0"/>
      <c r="BB280" s="0"/>
    </row>
    <row r="281" customFormat="false" ht="12.75" hidden="false" customHeight="false" outlineLevel="0" collapsed="false">
      <c r="A281" s="0"/>
      <c r="B281" s="0"/>
      <c r="C281" s="0"/>
      <c r="D281" s="0"/>
      <c r="E281" s="0"/>
      <c r="F281" s="0"/>
      <c r="G281" s="0"/>
      <c r="H281" s="161" t="n">
        <v>0</v>
      </c>
      <c r="I281" s="0"/>
      <c r="J281" s="0"/>
      <c r="K281" s="161" t="n">
        <v>0</v>
      </c>
      <c r="L281" s="0"/>
      <c r="M281" s="0"/>
      <c r="N281" s="0"/>
      <c r="O281" s="0"/>
      <c r="P281" s="0"/>
      <c r="Q281" s="0"/>
      <c r="R281" s="0"/>
      <c r="S281" s="0"/>
      <c r="T281" s="0"/>
      <c r="U281" s="0"/>
      <c r="V281" s="0"/>
      <c r="W281" s="0"/>
      <c r="X281" s="0"/>
      <c r="Y281" s="0"/>
      <c r="Z281" s="0"/>
      <c r="AA281" s="0"/>
      <c r="AB281" s="0"/>
      <c r="AC281" s="0"/>
      <c r="AD281" s="0"/>
      <c r="AE281" s="0"/>
      <c r="AF281" s="0"/>
      <c r="AG281" s="0"/>
      <c r="AH281" s="0"/>
      <c r="AI281" s="0"/>
      <c r="AJ281" s="0"/>
      <c r="AK281" s="0"/>
      <c r="AL281" s="0"/>
      <c r="AM281" s="0"/>
      <c r="AN281" s="0"/>
      <c r="AO281" s="0"/>
      <c r="AP281" s="0"/>
      <c r="AQ281" s="0"/>
      <c r="AR281" s="0"/>
      <c r="AS281" s="0"/>
      <c r="AT281" s="0"/>
      <c r="AU281" s="0"/>
      <c r="AV281" s="0"/>
      <c r="AW281" s="0"/>
      <c r="AX281" s="0"/>
      <c r="AY281" s="0"/>
      <c r="AZ281" s="0"/>
      <c r="BA281" s="0"/>
      <c r="BB281" s="0"/>
    </row>
    <row r="282" customFormat="false" ht="12.75" hidden="false" customHeight="false" outlineLevel="0" collapsed="false">
      <c r="A282" s="0"/>
      <c r="B282" s="0"/>
      <c r="C282" s="0"/>
      <c r="D282" s="0"/>
      <c r="E282" s="0"/>
      <c r="F282" s="0"/>
      <c r="G282" s="0"/>
      <c r="H282" s="161" t="n">
        <v>0</v>
      </c>
      <c r="I282" s="0"/>
      <c r="J282" s="0"/>
      <c r="K282" s="161" t="n">
        <v>0</v>
      </c>
      <c r="L282" s="0"/>
      <c r="M282" s="0"/>
      <c r="N282" s="0"/>
      <c r="O282" s="0"/>
      <c r="P282" s="0"/>
      <c r="Q282" s="0"/>
      <c r="R282" s="0"/>
      <c r="S282" s="0"/>
      <c r="T282" s="0"/>
      <c r="U282" s="0"/>
      <c r="V282" s="0"/>
      <c r="W282" s="0"/>
      <c r="X282" s="0"/>
      <c r="Y282" s="0"/>
      <c r="Z282" s="0"/>
      <c r="AA282" s="0"/>
      <c r="AB282" s="0"/>
      <c r="AC282" s="0"/>
      <c r="AD282" s="0"/>
      <c r="AE282" s="0"/>
      <c r="AF282" s="0"/>
      <c r="AG282" s="0"/>
      <c r="AH282" s="0"/>
      <c r="AI282" s="0"/>
      <c r="AJ282" s="0"/>
      <c r="AK282" s="0"/>
      <c r="AL282" s="0"/>
      <c r="AM282" s="0"/>
      <c r="AN282" s="0"/>
      <c r="AO282" s="0"/>
      <c r="AP282" s="0"/>
      <c r="AQ282" s="0"/>
      <c r="AR282" s="0"/>
      <c r="AS282" s="0"/>
      <c r="AT282" s="0"/>
      <c r="AU282" s="0"/>
      <c r="AV282" s="0"/>
      <c r="AW282" s="0"/>
      <c r="AX282" s="0"/>
      <c r="AY282" s="0"/>
      <c r="AZ282" s="0"/>
      <c r="BA282" s="0"/>
      <c r="BB282" s="0"/>
    </row>
    <row r="283" customFormat="false" ht="12.75" hidden="false" customHeight="false" outlineLevel="0" collapsed="false">
      <c r="A283" s="0"/>
      <c r="B283" s="0"/>
      <c r="C283" s="0"/>
      <c r="D283" s="0"/>
      <c r="E283" s="0"/>
      <c r="F283" s="0"/>
      <c r="G283" s="0"/>
      <c r="H283" s="161" t="n">
        <v>0</v>
      </c>
      <c r="I283" s="0"/>
      <c r="J283" s="0"/>
      <c r="K283" s="161" t="n">
        <v>0</v>
      </c>
      <c r="L283" s="0"/>
      <c r="M283" s="0"/>
      <c r="N283" s="0"/>
      <c r="O283" s="0"/>
      <c r="P283" s="0"/>
      <c r="Q283" s="0"/>
      <c r="R283" s="0"/>
      <c r="S283" s="0"/>
      <c r="T283" s="0"/>
      <c r="U283" s="0"/>
      <c r="V283" s="0"/>
      <c r="W283" s="0"/>
      <c r="X283" s="0"/>
      <c r="Y283" s="0"/>
      <c r="Z283" s="0"/>
      <c r="AA283" s="0"/>
      <c r="AB283" s="0"/>
      <c r="AC283" s="0"/>
      <c r="AD283" s="0"/>
      <c r="AE283" s="0"/>
      <c r="AF283" s="0"/>
      <c r="AG283" s="0"/>
      <c r="AH283" s="0"/>
      <c r="AI283" s="0"/>
      <c r="AJ283" s="0"/>
      <c r="AK283" s="0"/>
      <c r="AL283" s="0"/>
      <c r="AM283" s="0"/>
      <c r="AN283" s="0"/>
      <c r="AO283" s="0"/>
      <c r="AP283" s="0"/>
      <c r="AQ283" s="0"/>
      <c r="AR283" s="0"/>
      <c r="AS283" s="0"/>
      <c r="AT283" s="0"/>
      <c r="AU283" s="0"/>
      <c r="AV283" s="0"/>
      <c r="AW283" s="0"/>
      <c r="AX283" s="0"/>
      <c r="AY283" s="0"/>
      <c r="AZ283" s="0"/>
      <c r="BA283" s="0"/>
      <c r="BB283" s="0"/>
    </row>
    <row r="284" customFormat="false" ht="12.75" hidden="false" customHeight="false" outlineLevel="0" collapsed="false">
      <c r="A284" s="0"/>
      <c r="B284" s="0"/>
      <c r="C284" s="0"/>
      <c r="D284" s="0"/>
      <c r="E284" s="0"/>
      <c r="F284" s="0"/>
      <c r="G284" s="0"/>
      <c r="H284" s="161" t="n">
        <v>0</v>
      </c>
      <c r="I284" s="0"/>
      <c r="J284" s="0"/>
      <c r="K284" s="161" t="n">
        <v>0</v>
      </c>
      <c r="L284" s="0"/>
      <c r="M284" s="0"/>
      <c r="N284" s="0"/>
      <c r="O284" s="0"/>
      <c r="P284" s="0"/>
      <c r="Q284" s="0"/>
      <c r="R284" s="0"/>
      <c r="S284" s="0"/>
      <c r="T284" s="0"/>
      <c r="U284" s="0"/>
      <c r="V284" s="0"/>
      <c r="W284" s="0"/>
      <c r="X284" s="0"/>
      <c r="Y284" s="0"/>
      <c r="Z284" s="0"/>
      <c r="AA284" s="0"/>
      <c r="AB284" s="0"/>
      <c r="AC284" s="0"/>
      <c r="AD284" s="0"/>
      <c r="AE284" s="0"/>
      <c r="AF284" s="0"/>
      <c r="AG284" s="0"/>
      <c r="AH284" s="0"/>
      <c r="AI284" s="0"/>
      <c r="AJ284" s="0"/>
      <c r="AK284" s="0"/>
      <c r="AL284" s="0"/>
      <c r="AM284" s="0"/>
      <c r="AN284" s="0"/>
      <c r="AO284" s="0"/>
      <c r="AP284" s="0"/>
      <c r="AQ284" s="0"/>
      <c r="AR284" s="0"/>
      <c r="AS284" s="0"/>
      <c r="AT284" s="0"/>
      <c r="AU284" s="0"/>
      <c r="AV284" s="0"/>
      <c r="AW284" s="0"/>
      <c r="AX284" s="0"/>
      <c r="AY284" s="0"/>
      <c r="AZ284" s="0"/>
      <c r="BA284" s="0"/>
      <c r="BB284" s="0"/>
    </row>
    <row r="285" customFormat="false" ht="12.75" hidden="false" customHeight="false" outlineLevel="0" collapsed="false">
      <c r="A285" s="0"/>
      <c r="B285" s="0"/>
      <c r="C285" s="0"/>
      <c r="D285" s="0"/>
      <c r="E285" s="0"/>
      <c r="F285" s="0"/>
      <c r="G285" s="0"/>
      <c r="H285" s="161" t="n">
        <v>0</v>
      </c>
      <c r="I285" s="0"/>
      <c r="J285" s="0"/>
      <c r="K285" s="161" t="n">
        <v>0</v>
      </c>
      <c r="L285" s="0"/>
      <c r="M285" s="0"/>
      <c r="N285" s="0"/>
      <c r="O285" s="0"/>
      <c r="P285" s="0"/>
      <c r="Q285" s="0"/>
      <c r="R285" s="0"/>
      <c r="S285" s="0"/>
      <c r="T285" s="0"/>
      <c r="U285" s="0"/>
      <c r="V285" s="0"/>
      <c r="W285" s="0"/>
      <c r="X285" s="0"/>
      <c r="Y285" s="0"/>
      <c r="Z285" s="0"/>
      <c r="AA285" s="0"/>
      <c r="AB285" s="0"/>
      <c r="AC285" s="0"/>
      <c r="AD285" s="0"/>
      <c r="AE285" s="0"/>
      <c r="AF285" s="0"/>
      <c r="AG285" s="0"/>
      <c r="AH285" s="0"/>
      <c r="AI285" s="0"/>
      <c r="AJ285" s="0"/>
      <c r="AK285" s="0"/>
      <c r="AL285" s="0"/>
      <c r="AM285" s="0"/>
      <c r="AN285" s="0"/>
      <c r="AO285" s="0"/>
      <c r="AP285" s="0"/>
      <c r="AQ285" s="0"/>
      <c r="AR285" s="0"/>
      <c r="AS285" s="0"/>
      <c r="AT285" s="0"/>
      <c r="AU285" s="0"/>
      <c r="AV285" s="0"/>
      <c r="AW285" s="0"/>
      <c r="AX285" s="0"/>
      <c r="AY285" s="0"/>
      <c r="AZ285" s="0"/>
      <c r="BA285" s="0"/>
      <c r="BB285" s="0"/>
    </row>
    <row r="286" customFormat="false" ht="12.75" hidden="false" customHeight="false" outlineLevel="0" collapsed="false">
      <c r="A286" s="0"/>
      <c r="B286" s="0"/>
      <c r="C286" s="0"/>
      <c r="D286" s="0"/>
      <c r="E286" s="0"/>
      <c r="F286" s="0"/>
      <c r="G286" s="0"/>
      <c r="H286" s="161" t="n">
        <v>0</v>
      </c>
      <c r="I286" s="0"/>
      <c r="J286" s="0"/>
      <c r="K286" s="161" t="n">
        <v>0</v>
      </c>
      <c r="L286" s="0"/>
      <c r="M286" s="0"/>
      <c r="N286" s="0"/>
      <c r="O286" s="0"/>
      <c r="P286" s="0"/>
      <c r="Q286" s="0"/>
      <c r="R286" s="0"/>
      <c r="S286" s="0"/>
      <c r="T286" s="0"/>
      <c r="U286" s="0"/>
      <c r="V286" s="0"/>
      <c r="W286" s="0"/>
      <c r="X286" s="0"/>
      <c r="Y286" s="0"/>
      <c r="Z286" s="0"/>
      <c r="AA286" s="0"/>
      <c r="AB286" s="0"/>
      <c r="AC286" s="0"/>
      <c r="AD286" s="0"/>
      <c r="AE286" s="0"/>
      <c r="AF286" s="0"/>
      <c r="AG286" s="0"/>
      <c r="AH286" s="0"/>
      <c r="AI286" s="0"/>
      <c r="AJ286" s="0"/>
      <c r="AK286" s="0"/>
      <c r="AL286" s="0"/>
      <c r="AM286" s="0"/>
      <c r="AN286" s="0"/>
      <c r="AO286" s="0"/>
      <c r="AP286" s="0"/>
      <c r="AQ286" s="0"/>
      <c r="AR286" s="0"/>
      <c r="AS286" s="0"/>
      <c r="AT286" s="0"/>
      <c r="AU286" s="0"/>
      <c r="AV286" s="0"/>
      <c r="AW286" s="0"/>
      <c r="AX286" s="0"/>
      <c r="AY286" s="0"/>
      <c r="AZ286" s="0"/>
      <c r="BA286" s="0"/>
      <c r="BB286" s="0"/>
    </row>
    <row r="287" customFormat="false" ht="12.75" hidden="false" customHeight="false" outlineLevel="0" collapsed="false">
      <c r="A287" s="0"/>
      <c r="B287" s="0"/>
      <c r="C287" s="0"/>
      <c r="D287" s="0"/>
      <c r="E287" s="0"/>
      <c r="F287" s="0"/>
      <c r="G287" s="0"/>
      <c r="H287" s="161" t="n">
        <v>0</v>
      </c>
      <c r="I287" s="0"/>
      <c r="J287" s="0"/>
      <c r="K287" s="161" t="n">
        <v>0</v>
      </c>
      <c r="L287" s="0"/>
      <c r="M287" s="0"/>
      <c r="N287" s="0"/>
      <c r="O287" s="0"/>
      <c r="P287" s="0"/>
      <c r="Q287" s="0"/>
      <c r="R287" s="0"/>
      <c r="S287" s="0"/>
      <c r="T287" s="0"/>
      <c r="U287" s="0"/>
      <c r="V287" s="0"/>
      <c r="W287" s="0"/>
      <c r="X287" s="0"/>
      <c r="Y287" s="0"/>
      <c r="Z287" s="0"/>
      <c r="AA287" s="0"/>
      <c r="AB287" s="0"/>
      <c r="AC287" s="0"/>
      <c r="AD287" s="0"/>
      <c r="AE287" s="0"/>
      <c r="AF287" s="0"/>
      <c r="AG287" s="0"/>
      <c r="AH287" s="0"/>
      <c r="AI287" s="0"/>
      <c r="AJ287" s="0"/>
      <c r="AK287" s="0"/>
      <c r="AL287" s="0"/>
      <c r="AM287" s="0"/>
      <c r="AN287" s="0"/>
      <c r="AO287" s="0"/>
      <c r="AP287" s="0"/>
      <c r="AQ287" s="0"/>
      <c r="AR287" s="0"/>
      <c r="AS287" s="0"/>
      <c r="AT287" s="0"/>
      <c r="AU287" s="0"/>
      <c r="AV287" s="0"/>
      <c r="AW287" s="0"/>
      <c r="AX287" s="0"/>
      <c r="AY287" s="0"/>
      <c r="AZ287" s="0"/>
      <c r="BA287" s="0"/>
      <c r="BB287" s="0"/>
    </row>
    <row r="288" customFormat="false" ht="12.75" hidden="false" customHeight="false" outlineLevel="0" collapsed="false">
      <c r="A288" s="0"/>
      <c r="B288" s="0"/>
      <c r="C288" s="0"/>
      <c r="D288" s="0"/>
      <c r="E288" s="0"/>
      <c r="F288" s="0"/>
      <c r="G288" s="0"/>
      <c r="H288" s="161" t="n">
        <v>0</v>
      </c>
      <c r="I288" s="0"/>
      <c r="J288" s="0"/>
      <c r="K288" s="161" t="n">
        <v>0</v>
      </c>
      <c r="L288" s="0"/>
      <c r="M288" s="0"/>
      <c r="N288" s="0"/>
      <c r="O288" s="0"/>
      <c r="P288" s="0"/>
      <c r="Q288" s="0"/>
      <c r="R288" s="0"/>
      <c r="S288" s="0"/>
      <c r="T288" s="0"/>
      <c r="U288" s="0"/>
      <c r="V288" s="0"/>
      <c r="W288" s="0"/>
      <c r="X288" s="0"/>
      <c r="Y288" s="0"/>
      <c r="Z288" s="0"/>
      <c r="AA288" s="0"/>
      <c r="AB288" s="0"/>
      <c r="AC288" s="0"/>
      <c r="AD288" s="0"/>
      <c r="AE288" s="0"/>
      <c r="AF288" s="0"/>
      <c r="AG288" s="0"/>
      <c r="AH288" s="0"/>
      <c r="AI288" s="0"/>
      <c r="AJ288" s="0"/>
      <c r="AK288" s="0"/>
      <c r="AL288" s="0"/>
      <c r="AM288" s="0"/>
      <c r="AN288" s="0"/>
      <c r="AO288" s="0"/>
      <c r="AP288" s="0"/>
      <c r="AQ288" s="0"/>
      <c r="AR288" s="0"/>
      <c r="AS288" s="0"/>
      <c r="AT288" s="0"/>
      <c r="AU288" s="0"/>
      <c r="AV288" s="0"/>
      <c r="AW288" s="0"/>
      <c r="AX288" s="0"/>
      <c r="AY288" s="0"/>
      <c r="AZ288" s="0"/>
      <c r="BA288" s="0"/>
      <c r="BB288" s="0"/>
    </row>
    <row r="289" customFormat="false" ht="12.75" hidden="false" customHeight="false" outlineLevel="0" collapsed="false">
      <c r="A289" s="0"/>
      <c r="B289" s="0"/>
      <c r="C289" s="0"/>
      <c r="D289" s="0"/>
      <c r="E289" s="0"/>
      <c r="F289" s="0"/>
      <c r="G289" s="0"/>
      <c r="H289" s="161" t="n">
        <v>0</v>
      </c>
      <c r="I289" s="0"/>
      <c r="J289" s="0"/>
      <c r="K289" s="161" t="n">
        <v>0</v>
      </c>
      <c r="L289" s="0"/>
      <c r="M289" s="0"/>
      <c r="N289" s="0"/>
      <c r="O289" s="0"/>
      <c r="P289" s="0"/>
      <c r="Q289" s="0"/>
      <c r="R289" s="0"/>
      <c r="S289" s="0"/>
      <c r="T289" s="0"/>
      <c r="U289" s="0"/>
      <c r="V289" s="0"/>
      <c r="W289" s="0"/>
      <c r="X289" s="0"/>
      <c r="Y289" s="0"/>
      <c r="Z289" s="0"/>
      <c r="AA289" s="0"/>
      <c r="AB289" s="0"/>
      <c r="AC289" s="0"/>
      <c r="AD289" s="0"/>
      <c r="AE289" s="0"/>
      <c r="AF289" s="0"/>
      <c r="AG289" s="0"/>
      <c r="AH289" s="0"/>
      <c r="AI289" s="0"/>
      <c r="AJ289" s="0"/>
      <c r="AK289" s="0"/>
      <c r="AL289" s="0"/>
      <c r="AM289" s="0"/>
      <c r="AN289" s="0"/>
      <c r="AO289" s="0"/>
      <c r="AP289" s="0"/>
      <c r="AQ289" s="0"/>
      <c r="AR289" s="0"/>
      <c r="AS289" s="0"/>
      <c r="AT289" s="0"/>
      <c r="AU289" s="0"/>
      <c r="AV289" s="0"/>
      <c r="AW289" s="0"/>
      <c r="AX289" s="0"/>
      <c r="AY289" s="0"/>
      <c r="AZ289" s="0"/>
      <c r="BA289" s="0"/>
      <c r="BB289" s="0"/>
    </row>
    <row r="290" customFormat="false" ht="12.75" hidden="false" customHeight="false" outlineLevel="0" collapsed="false">
      <c r="A290" s="0"/>
      <c r="B290" s="0"/>
      <c r="C290" s="0"/>
      <c r="D290" s="0"/>
      <c r="E290" s="0"/>
      <c r="F290" s="0"/>
      <c r="G290" s="0"/>
      <c r="H290" s="161" t="n">
        <v>0</v>
      </c>
      <c r="I290" s="0"/>
      <c r="J290" s="0"/>
      <c r="K290" s="161" t="n">
        <v>0</v>
      </c>
      <c r="L290" s="0"/>
      <c r="M290" s="0"/>
      <c r="N290" s="0"/>
      <c r="O290" s="0"/>
      <c r="P290" s="0"/>
      <c r="Q290" s="0"/>
      <c r="R290" s="0"/>
      <c r="S290" s="0"/>
      <c r="T290" s="0"/>
      <c r="U290" s="0"/>
      <c r="V290" s="0"/>
      <c r="W290" s="0"/>
      <c r="X290" s="0"/>
      <c r="Y290" s="0"/>
      <c r="Z290" s="0"/>
      <c r="AA290" s="0"/>
      <c r="AB290" s="0"/>
      <c r="AC290" s="0"/>
      <c r="AD290" s="0"/>
      <c r="AE290" s="0"/>
      <c r="AF290" s="0"/>
      <c r="AG290" s="0"/>
      <c r="AH290" s="0"/>
      <c r="AI290" s="0"/>
      <c r="AJ290" s="0"/>
      <c r="AK290" s="0"/>
      <c r="AL290" s="0"/>
      <c r="AM290" s="0"/>
      <c r="AN290" s="0"/>
      <c r="AO290" s="0"/>
      <c r="AP290" s="0"/>
      <c r="AQ290" s="0"/>
      <c r="AR290" s="0"/>
      <c r="AS290" s="0"/>
      <c r="AT290" s="0"/>
      <c r="AU290" s="0"/>
      <c r="AV290" s="0"/>
      <c r="AW290" s="0"/>
      <c r="AX290" s="0"/>
      <c r="AY290" s="0"/>
      <c r="AZ290" s="0"/>
      <c r="BA290" s="0"/>
      <c r="BB290" s="0"/>
    </row>
    <row r="291" customFormat="false" ht="12.75" hidden="false" customHeight="false" outlineLevel="0" collapsed="false">
      <c r="A291" s="0"/>
      <c r="B291" s="0"/>
      <c r="C291" s="0"/>
      <c r="D291" s="0"/>
      <c r="E291" s="0"/>
      <c r="F291" s="0"/>
      <c r="G291" s="0"/>
      <c r="H291" s="161" t="n">
        <v>0</v>
      </c>
      <c r="I291" s="0"/>
      <c r="J291" s="0"/>
      <c r="K291" s="161" t="n">
        <v>0</v>
      </c>
      <c r="L291" s="0"/>
      <c r="M291" s="0"/>
      <c r="N291" s="0"/>
      <c r="O291" s="0"/>
      <c r="P291" s="0"/>
      <c r="Q291" s="0"/>
      <c r="R291" s="0"/>
      <c r="S291" s="0"/>
      <c r="T291" s="0"/>
      <c r="U291" s="0"/>
      <c r="V291" s="0"/>
      <c r="W291" s="0"/>
      <c r="X291" s="0"/>
      <c r="Y291" s="0"/>
      <c r="Z291" s="0"/>
      <c r="AA291" s="0"/>
      <c r="AB291" s="0"/>
      <c r="AC291" s="0"/>
      <c r="AD291" s="0"/>
      <c r="AE291" s="0"/>
      <c r="AF291" s="0"/>
      <c r="AG291" s="0"/>
      <c r="AH291" s="0"/>
      <c r="AI291" s="0"/>
      <c r="AJ291" s="0"/>
      <c r="AK291" s="0"/>
      <c r="AL291" s="0"/>
      <c r="AM291" s="0"/>
      <c r="AN291" s="0"/>
      <c r="AO291" s="0"/>
      <c r="AP291" s="0"/>
      <c r="AQ291" s="0"/>
      <c r="AR291" s="0"/>
      <c r="AS291" s="0"/>
      <c r="AT291" s="0"/>
      <c r="AU291" s="0"/>
      <c r="AV291" s="0"/>
      <c r="AW291" s="0"/>
      <c r="AX291" s="0"/>
      <c r="AY291" s="0"/>
      <c r="AZ291" s="0"/>
      <c r="BA291" s="0"/>
      <c r="BB291" s="0"/>
    </row>
    <row r="292" customFormat="false" ht="12.75" hidden="false" customHeight="false" outlineLevel="0" collapsed="false">
      <c r="A292" s="0"/>
      <c r="B292" s="0"/>
      <c r="C292" s="0"/>
      <c r="D292" s="0"/>
      <c r="E292" s="0"/>
      <c r="F292" s="0"/>
      <c r="G292" s="0"/>
      <c r="H292" s="161" t="n">
        <v>0</v>
      </c>
      <c r="I292" s="0"/>
      <c r="J292" s="0"/>
      <c r="K292" s="161" t="n">
        <v>0</v>
      </c>
      <c r="L292" s="0"/>
      <c r="M292" s="0"/>
      <c r="N292" s="0"/>
      <c r="O292" s="0"/>
      <c r="P292" s="0"/>
      <c r="Q292" s="0"/>
      <c r="R292" s="0"/>
      <c r="S292" s="0"/>
      <c r="T292" s="0"/>
      <c r="U292" s="0"/>
      <c r="V292" s="0"/>
      <c r="W292" s="0"/>
      <c r="X292" s="0"/>
      <c r="Y292" s="0"/>
      <c r="Z292" s="0"/>
      <c r="AA292" s="0"/>
      <c r="AB292" s="0"/>
      <c r="AC292" s="0"/>
      <c r="AD292" s="0"/>
      <c r="AE292" s="0"/>
      <c r="AF292" s="0"/>
      <c r="AG292" s="0"/>
      <c r="AH292" s="0"/>
      <c r="AI292" s="0"/>
      <c r="AJ292" s="0"/>
      <c r="AK292" s="0"/>
      <c r="AL292" s="0"/>
      <c r="AM292" s="0"/>
      <c r="AN292" s="0"/>
      <c r="AO292" s="0"/>
      <c r="AP292" s="0"/>
      <c r="AQ292" s="0"/>
      <c r="AR292" s="0"/>
      <c r="AS292" s="0"/>
      <c r="AT292" s="0"/>
      <c r="AU292" s="0"/>
      <c r="AV292" s="0"/>
      <c r="AW292" s="0"/>
      <c r="AX292" s="0"/>
      <c r="AY292" s="0"/>
      <c r="AZ292" s="0"/>
      <c r="BA292" s="0"/>
      <c r="BB292" s="0"/>
    </row>
    <row r="293" customFormat="false" ht="12.75" hidden="false" customHeight="false" outlineLevel="0" collapsed="false">
      <c r="A293" s="0"/>
      <c r="B293" s="0"/>
      <c r="C293" s="0"/>
      <c r="D293" s="0"/>
      <c r="E293" s="0"/>
      <c r="F293" s="0"/>
      <c r="G293" s="0"/>
      <c r="H293" s="161" t="n">
        <v>0</v>
      </c>
      <c r="I293" s="0"/>
      <c r="J293" s="0"/>
      <c r="K293" s="161" t="n">
        <v>0</v>
      </c>
      <c r="L293" s="0"/>
      <c r="M293" s="0"/>
      <c r="N293" s="0"/>
      <c r="O293" s="0"/>
      <c r="P293" s="0"/>
      <c r="Q293" s="0"/>
      <c r="R293" s="0"/>
      <c r="S293" s="0"/>
      <c r="T293" s="0"/>
      <c r="U293" s="0"/>
      <c r="V293" s="0"/>
      <c r="W293" s="0"/>
      <c r="X293" s="0"/>
      <c r="Y293" s="0"/>
      <c r="Z293" s="0"/>
      <c r="AA293" s="0"/>
      <c r="AB293" s="0"/>
      <c r="AC293" s="0"/>
      <c r="AD293" s="0"/>
      <c r="AE293" s="0"/>
      <c r="AF293" s="0"/>
      <c r="AG293" s="0"/>
      <c r="AH293" s="0"/>
      <c r="AI293" s="0"/>
      <c r="AJ293" s="0"/>
      <c r="AK293" s="0"/>
      <c r="AL293" s="0"/>
      <c r="AM293" s="0"/>
      <c r="AN293" s="0"/>
      <c r="AO293" s="0"/>
      <c r="AP293" s="0"/>
      <c r="AQ293" s="0"/>
      <c r="AR293" s="0"/>
      <c r="AS293" s="0"/>
      <c r="AT293" s="0"/>
      <c r="AU293" s="0"/>
      <c r="AV293" s="0"/>
      <c r="AW293" s="0"/>
      <c r="AX293" s="0"/>
      <c r="AY293" s="0"/>
      <c r="AZ293" s="0"/>
      <c r="BA293" s="0"/>
      <c r="BB293" s="0"/>
    </row>
    <row r="294" customFormat="false" ht="12.75" hidden="false" customHeight="false" outlineLevel="0" collapsed="false">
      <c r="A294" s="0"/>
      <c r="B294" s="0"/>
      <c r="C294" s="0"/>
      <c r="D294" s="0"/>
      <c r="E294" s="0"/>
      <c r="F294" s="0"/>
      <c r="G294" s="0"/>
      <c r="H294" s="161" t="n">
        <v>0</v>
      </c>
      <c r="I294" s="0"/>
      <c r="J294" s="0"/>
      <c r="K294" s="161" t="n">
        <v>0</v>
      </c>
      <c r="L294" s="0"/>
      <c r="M294" s="0"/>
      <c r="N294" s="0"/>
      <c r="O294" s="0"/>
      <c r="P294" s="0"/>
      <c r="Q294" s="0"/>
      <c r="R294" s="0"/>
      <c r="S294" s="0"/>
      <c r="T294" s="0"/>
      <c r="U294" s="0"/>
      <c r="V294" s="0"/>
      <c r="W294" s="0"/>
      <c r="X294" s="0"/>
      <c r="Y294" s="0"/>
      <c r="Z294" s="0"/>
      <c r="AA294" s="0"/>
      <c r="AB294" s="0"/>
      <c r="AC294" s="0"/>
      <c r="AD294" s="0"/>
      <c r="AE294" s="0"/>
      <c r="AF294" s="0"/>
      <c r="AG294" s="0"/>
      <c r="AH294" s="0"/>
      <c r="AI294" s="0"/>
      <c r="AJ294" s="0"/>
      <c r="AK294" s="0"/>
      <c r="AL294" s="0"/>
      <c r="AM294" s="0"/>
      <c r="AN294" s="0"/>
      <c r="AO294" s="0"/>
      <c r="AP294" s="0"/>
      <c r="AQ294" s="0"/>
      <c r="AR294" s="0"/>
      <c r="AS294" s="0"/>
      <c r="AT294" s="0"/>
      <c r="AU294" s="0"/>
      <c r="AV294" s="0"/>
      <c r="AW294" s="0"/>
      <c r="AX294" s="0"/>
      <c r="AY294" s="0"/>
      <c r="AZ294" s="0"/>
      <c r="BA294" s="0"/>
      <c r="BB294" s="0"/>
    </row>
    <row r="295" customFormat="false" ht="12.75" hidden="false" customHeight="false" outlineLevel="0" collapsed="false">
      <c r="A295" s="0"/>
      <c r="B295" s="0"/>
      <c r="C295" s="0"/>
      <c r="D295" s="0"/>
      <c r="E295" s="0"/>
      <c r="F295" s="0"/>
      <c r="G295" s="0"/>
      <c r="H295" s="161" t="n">
        <v>0</v>
      </c>
      <c r="I295" s="0"/>
      <c r="J295" s="0"/>
      <c r="K295" s="161" t="n">
        <v>0</v>
      </c>
      <c r="L295" s="0"/>
      <c r="M295" s="0"/>
      <c r="N295" s="0"/>
      <c r="O295" s="0"/>
      <c r="P295" s="0"/>
      <c r="Q295" s="0"/>
      <c r="R295" s="0"/>
      <c r="S295" s="0"/>
      <c r="T295" s="0"/>
      <c r="U295" s="0"/>
      <c r="V295" s="0"/>
      <c r="W295" s="0"/>
      <c r="X295" s="0"/>
      <c r="Y295" s="0"/>
      <c r="Z295" s="0"/>
      <c r="AA295" s="0"/>
      <c r="AB295" s="0"/>
      <c r="AC295" s="0"/>
      <c r="AD295" s="0"/>
      <c r="AE295" s="0"/>
      <c r="AF295" s="0"/>
      <c r="AG295" s="0"/>
      <c r="AH295" s="0"/>
      <c r="AI295" s="0"/>
      <c r="AJ295" s="0"/>
      <c r="AK295" s="0"/>
      <c r="AL295" s="0"/>
      <c r="AM295" s="0"/>
      <c r="AN295" s="0"/>
      <c r="AO295" s="0"/>
      <c r="AP295" s="0"/>
      <c r="AQ295" s="0"/>
      <c r="AR295" s="0"/>
      <c r="AS295" s="0"/>
      <c r="AT295" s="0"/>
      <c r="AU295" s="0"/>
      <c r="AV295" s="0"/>
      <c r="AW295" s="0"/>
      <c r="AX295" s="0"/>
      <c r="AY295" s="0"/>
      <c r="AZ295" s="0"/>
      <c r="BA295" s="0"/>
      <c r="BB295" s="0"/>
    </row>
    <row r="296" customFormat="false" ht="12.75" hidden="false" customHeight="false" outlineLevel="0" collapsed="false">
      <c r="A296" s="0"/>
      <c r="B296" s="0"/>
      <c r="C296" s="0"/>
      <c r="D296" s="0"/>
      <c r="E296" s="0"/>
      <c r="F296" s="0"/>
      <c r="G296" s="0"/>
      <c r="H296" s="161" t="n">
        <v>0</v>
      </c>
      <c r="I296" s="0"/>
      <c r="J296" s="0"/>
      <c r="K296" s="161" t="n">
        <v>0</v>
      </c>
      <c r="L296" s="0"/>
      <c r="M296" s="0"/>
      <c r="N296" s="0"/>
      <c r="O296" s="0"/>
      <c r="P296" s="0"/>
      <c r="Q296" s="0"/>
      <c r="R296" s="0"/>
      <c r="S296" s="0"/>
      <c r="T296" s="0"/>
      <c r="U296" s="0"/>
      <c r="V296" s="0"/>
      <c r="W296" s="0"/>
      <c r="X296" s="0"/>
      <c r="Y296" s="0"/>
      <c r="Z296" s="0"/>
      <c r="AA296" s="0"/>
      <c r="AB296" s="0"/>
      <c r="AC296" s="0"/>
      <c r="AD296" s="0"/>
      <c r="AE296" s="0"/>
      <c r="AF296" s="0"/>
      <c r="AG296" s="0"/>
      <c r="AH296" s="0"/>
      <c r="AI296" s="0"/>
      <c r="AJ296" s="0"/>
      <c r="AK296" s="0"/>
      <c r="AL296" s="0"/>
      <c r="AM296" s="0"/>
      <c r="AN296" s="0"/>
      <c r="AO296" s="0"/>
      <c r="AP296" s="0"/>
      <c r="AQ296" s="0"/>
      <c r="AR296" s="0"/>
      <c r="AS296" s="0"/>
      <c r="AT296" s="0"/>
      <c r="AU296" s="0"/>
      <c r="AV296" s="0"/>
      <c r="AW296" s="0"/>
      <c r="AX296" s="0"/>
      <c r="AY296" s="0"/>
      <c r="AZ296" s="0"/>
      <c r="BA296" s="0"/>
      <c r="BB296" s="0"/>
    </row>
    <row r="297" customFormat="false" ht="12.75" hidden="false" customHeight="false" outlineLevel="0" collapsed="false">
      <c r="A297" s="0"/>
      <c r="B297" s="0"/>
      <c r="C297" s="0"/>
      <c r="D297" s="0"/>
      <c r="E297" s="0"/>
      <c r="F297" s="0"/>
      <c r="G297" s="0"/>
      <c r="H297" s="161" t="n">
        <v>0</v>
      </c>
      <c r="I297" s="0"/>
      <c r="J297" s="0"/>
      <c r="K297" s="161" t="n">
        <v>0</v>
      </c>
      <c r="L297" s="0"/>
      <c r="M297" s="0"/>
      <c r="N297" s="0"/>
      <c r="O297" s="0"/>
      <c r="P297" s="0"/>
      <c r="Q297" s="0"/>
      <c r="R297" s="0"/>
      <c r="S297" s="0"/>
      <c r="T297" s="0"/>
      <c r="U297" s="0"/>
      <c r="V297" s="0"/>
      <c r="W297" s="0"/>
      <c r="X297" s="0"/>
      <c r="Y297" s="0"/>
      <c r="Z297" s="0"/>
      <c r="AA297" s="0"/>
      <c r="AB297" s="0"/>
      <c r="AC297" s="0"/>
      <c r="AD297" s="0"/>
      <c r="AE297" s="0"/>
      <c r="AF297" s="0"/>
      <c r="AG297" s="0"/>
      <c r="AH297" s="0"/>
      <c r="AI297" s="0"/>
      <c r="AJ297" s="0"/>
      <c r="AK297" s="0"/>
      <c r="AL297" s="0"/>
      <c r="AM297" s="0"/>
      <c r="AN297" s="0"/>
      <c r="AO297" s="0"/>
      <c r="AP297" s="0"/>
      <c r="AQ297" s="0"/>
      <c r="AR297" s="0"/>
      <c r="AS297" s="0"/>
      <c r="AT297" s="0"/>
      <c r="AU297" s="0"/>
      <c r="AV297" s="0"/>
      <c r="AW297" s="0"/>
      <c r="AX297" s="0"/>
      <c r="AY297" s="0"/>
      <c r="AZ297" s="0"/>
      <c r="BA297" s="0"/>
      <c r="BB297" s="0"/>
    </row>
    <row r="298" customFormat="false" ht="12.75" hidden="false" customHeight="false" outlineLevel="0" collapsed="false">
      <c r="A298" s="0"/>
      <c r="B298" s="0"/>
      <c r="C298" s="0"/>
      <c r="D298" s="0"/>
      <c r="E298" s="0"/>
      <c r="F298" s="0"/>
      <c r="G298" s="0"/>
      <c r="H298" s="161" t="n">
        <v>0</v>
      </c>
      <c r="I298" s="0"/>
      <c r="J298" s="0"/>
      <c r="K298" s="161" t="n">
        <v>0</v>
      </c>
      <c r="L298" s="0"/>
      <c r="M298" s="0"/>
      <c r="N298" s="0"/>
      <c r="O298" s="0"/>
      <c r="P298" s="0"/>
      <c r="Q298" s="0"/>
      <c r="R298" s="0"/>
      <c r="S298" s="0"/>
      <c r="T298" s="0"/>
      <c r="U298" s="0"/>
      <c r="V298" s="0"/>
      <c r="W298" s="0"/>
      <c r="X298" s="0"/>
      <c r="Y298" s="0"/>
      <c r="Z298" s="0"/>
      <c r="AA298" s="0"/>
      <c r="AB298" s="0"/>
      <c r="AC298" s="0"/>
      <c r="AD298" s="0"/>
      <c r="AE298" s="0"/>
      <c r="AF298" s="0"/>
      <c r="AG298" s="0"/>
      <c r="AH298" s="0"/>
      <c r="AI298" s="0"/>
      <c r="AJ298" s="0"/>
      <c r="AK298" s="0"/>
      <c r="AL298" s="0"/>
      <c r="AM298" s="0"/>
      <c r="AN298" s="0"/>
      <c r="AO298" s="0"/>
      <c r="AP298" s="0"/>
      <c r="AQ298" s="0"/>
      <c r="AR298" s="0"/>
      <c r="AS298" s="0"/>
      <c r="AT298" s="0"/>
      <c r="AU298" s="0"/>
      <c r="AV298" s="0"/>
      <c r="AW298" s="0"/>
      <c r="AX298" s="0"/>
      <c r="AY298" s="0"/>
      <c r="AZ298" s="0"/>
      <c r="BA298" s="0"/>
      <c r="BB298" s="0"/>
    </row>
    <row r="299" customFormat="false" ht="12.75" hidden="false" customHeight="false" outlineLevel="0" collapsed="false">
      <c r="A299" s="0"/>
      <c r="B299" s="0"/>
      <c r="C299" s="0"/>
      <c r="D299" s="0"/>
      <c r="E299" s="0"/>
      <c r="F299" s="0"/>
      <c r="G299" s="0"/>
      <c r="H299" s="161" t="n">
        <v>0</v>
      </c>
      <c r="I299" s="0"/>
      <c r="J299" s="0"/>
      <c r="K299" s="161" t="n">
        <v>0</v>
      </c>
      <c r="L299" s="0"/>
      <c r="M299" s="0"/>
      <c r="N299" s="0"/>
      <c r="O299" s="0"/>
      <c r="P299" s="0"/>
      <c r="Q299" s="0"/>
      <c r="R299" s="0"/>
      <c r="S299" s="0"/>
      <c r="T299" s="0"/>
      <c r="U299" s="0"/>
      <c r="V299" s="0"/>
      <c r="W299" s="0"/>
      <c r="X299" s="0"/>
      <c r="Y299" s="0"/>
      <c r="Z299" s="0"/>
      <c r="AA299" s="0"/>
      <c r="AB299" s="0"/>
      <c r="AC299" s="0"/>
      <c r="AD299" s="0"/>
      <c r="AE299" s="0"/>
      <c r="AF299" s="0"/>
      <c r="AG299" s="0"/>
      <c r="AH299" s="0"/>
      <c r="AI299" s="0"/>
      <c r="AJ299" s="0"/>
      <c r="AK299" s="0"/>
      <c r="AL299" s="0"/>
      <c r="AM299" s="0"/>
      <c r="AN299" s="0"/>
      <c r="AO299" s="0"/>
      <c r="AP299" s="0"/>
      <c r="AQ299" s="0"/>
      <c r="AR299" s="0"/>
      <c r="AS299" s="0"/>
      <c r="AT299" s="0"/>
      <c r="AU299" s="0"/>
      <c r="AV299" s="0"/>
      <c r="AW299" s="0"/>
      <c r="AX299" s="0"/>
      <c r="AY299" s="0"/>
      <c r="AZ299" s="0"/>
      <c r="BA299" s="0"/>
      <c r="BB299" s="0"/>
    </row>
    <row r="300" customFormat="false" ht="12.75" hidden="false" customHeight="false" outlineLevel="0" collapsed="false">
      <c r="A300" s="0"/>
      <c r="B300" s="0"/>
      <c r="C300" s="0"/>
      <c r="D300" s="0"/>
      <c r="E300" s="0"/>
      <c r="F300" s="0"/>
      <c r="G300" s="0"/>
      <c r="H300" s="161" t="n">
        <v>0</v>
      </c>
      <c r="I300" s="0"/>
      <c r="J300" s="0"/>
      <c r="K300" s="161" t="n">
        <v>0</v>
      </c>
      <c r="L300" s="0"/>
      <c r="M300" s="0"/>
      <c r="N300" s="0"/>
      <c r="O300" s="0"/>
      <c r="P300" s="0"/>
      <c r="Q300" s="0"/>
      <c r="R300" s="0"/>
      <c r="S300" s="0"/>
      <c r="T300" s="0"/>
      <c r="U300" s="0"/>
      <c r="V300" s="0"/>
      <c r="W300" s="0"/>
      <c r="X300" s="0"/>
      <c r="Y300" s="0"/>
      <c r="Z300" s="0"/>
      <c r="AA300" s="0"/>
      <c r="AB300" s="0"/>
      <c r="AC300" s="0"/>
      <c r="AD300" s="0"/>
      <c r="AE300" s="0"/>
      <c r="AF300" s="0"/>
      <c r="AG300" s="0"/>
      <c r="AH300" s="0"/>
      <c r="AI300" s="0"/>
      <c r="AJ300" s="0"/>
      <c r="AK300" s="0"/>
      <c r="AL300" s="0"/>
      <c r="AM300" s="0"/>
      <c r="AN300" s="0"/>
      <c r="AO300" s="0"/>
      <c r="AP300" s="0"/>
      <c r="AQ300" s="0"/>
      <c r="AR300" s="0"/>
      <c r="AS300" s="0"/>
      <c r="AT300" s="0"/>
      <c r="AU300" s="0"/>
      <c r="AV300" s="0"/>
      <c r="AW300" s="0"/>
      <c r="AX300" s="0"/>
      <c r="AY300" s="0"/>
      <c r="AZ300" s="0"/>
      <c r="BA300" s="0"/>
      <c r="BB300" s="0"/>
    </row>
    <row r="301" customFormat="false" ht="12.75" hidden="false" customHeight="false" outlineLevel="0" collapsed="false">
      <c r="A301" s="0"/>
      <c r="B301" s="0"/>
      <c r="C301" s="0"/>
      <c r="D301" s="0"/>
      <c r="E301" s="0"/>
      <c r="F301" s="0"/>
      <c r="G301" s="0"/>
      <c r="H301" s="161" t="n">
        <v>0</v>
      </c>
      <c r="I301" s="0"/>
      <c r="J301" s="0"/>
      <c r="K301" s="161" t="n">
        <v>0</v>
      </c>
      <c r="L301" s="0"/>
      <c r="M301" s="0"/>
      <c r="N301" s="0"/>
      <c r="O301" s="0"/>
      <c r="P301" s="0"/>
      <c r="Q301" s="0"/>
      <c r="R301" s="0"/>
      <c r="S301" s="0"/>
      <c r="T301" s="0"/>
      <c r="U301" s="0"/>
      <c r="V301" s="0"/>
      <c r="W301" s="0"/>
      <c r="X301" s="0"/>
      <c r="Y301" s="0"/>
      <c r="Z301" s="0"/>
      <c r="AA301" s="0"/>
      <c r="AB301" s="0"/>
      <c r="AC301" s="0"/>
      <c r="AD301" s="0"/>
      <c r="AE301" s="0"/>
      <c r="AF301" s="0"/>
      <c r="AG301" s="0"/>
      <c r="AH301" s="0"/>
      <c r="AI301" s="0"/>
      <c r="AJ301" s="0"/>
      <c r="AK301" s="0"/>
      <c r="AL301" s="0"/>
      <c r="AM301" s="0"/>
      <c r="AN301" s="0"/>
      <c r="AO301" s="0"/>
      <c r="AP301" s="0"/>
      <c r="AQ301" s="0"/>
      <c r="AR301" s="0"/>
      <c r="AS301" s="0"/>
      <c r="AT301" s="0"/>
      <c r="AU301" s="0"/>
      <c r="AV301" s="0"/>
      <c r="AW301" s="0"/>
      <c r="AX301" s="0"/>
      <c r="AY301" s="0"/>
      <c r="AZ301" s="0"/>
      <c r="BA301" s="0"/>
      <c r="BB301" s="0"/>
    </row>
    <row r="302" customFormat="false" ht="12.75" hidden="false" customHeight="false" outlineLevel="0" collapsed="false">
      <c r="A302" s="0"/>
      <c r="B302" s="0"/>
      <c r="C302" s="0"/>
      <c r="D302" s="0"/>
      <c r="E302" s="0"/>
      <c r="F302" s="0"/>
      <c r="G302" s="0"/>
      <c r="H302" s="161" t="n">
        <v>0</v>
      </c>
      <c r="I302" s="0"/>
      <c r="J302" s="0"/>
      <c r="K302" s="161" t="n">
        <v>0</v>
      </c>
      <c r="L302" s="0"/>
      <c r="M302" s="0"/>
      <c r="N302" s="0"/>
      <c r="O302" s="0"/>
      <c r="P302" s="0"/>
      <c r="Q302" s="0"/>
      <c r="R302" s="0"/>
      <c r="S302" s="0"/>
      <c r="T302" s="0"/>
      <c r="U302" s="0"/>
      <c r="V302" s="0"/>
      <c r="W302" s="0"/>
      <c r="X302" s="0"/>
      <c r="Y302" s="0"/>
      <c r="Z302" s="0"/>
      <c r="AA302" s="0"/>
      <c r="AB302" s="0"/>
      <c r="AC302" s="0"/>
      <c r="AD302" s="0"/>
      <c r="AE302" s="0"/>
      <c r="AF302" s="0"/>
      <c r="AG302" s="0"/>
      <c r="AH302" s="0"/>
      <c r="AI302" s="0"/>
      <c r="AJ302" s="0"/>
      <c r="AK302" s="0"/>
      <c r="AL302" s="0"/>
      <c r="AM302" s="0"/>
      <c r="AN302" s="0"/>
      <c r="AO302" s="0"/>
      <c r="AP302" s="0"/>
      <c r="AQ302" s="0"/>
      <c r="AR302" s="0"/>
      <c r="AS302" s="0"/>
      <c r="AT302" s="0"/>
      <c r="AU302" s="0"/>
      <c r="AV302" s="0"/>
      <c r="AW302" s="0"/>
      <c r="AX302" s="0"/>
      <c r="AY302" s="0"/>
      <c r="AZ302" s="0"/>
      <c r="BA302" s="0"/>
      <c r="BB302" s="0"/>
    </row>
    <row r="303" customFormat="false" ht="12.75" hidden="false" customHeight="false" outlineLevel="0" collapsed="false">
      <c r="A303" s="0"/>
      <c r="B303" s="0"/>
      <c r="C303" s="0"/>
      <c r="D303" s="0"/>
      <c r="E303" s="0"/>
      <c r="F303" s="0"/>
      <c r="G303" s="0"/>
      <c r="H303" s="161" t="n">
        <v>0</v>
      </c>
      <c r="I303" s="0"/>
      <c r="J303" s="0"/>
      <c r="K303" s="161" t="n">
        <v>0</v>
      </c>
      <c r="L303" s="0"/>
      <c r="M303" s="0"/>
      <c r="N303" s="0"/>
      <c r="O303" s="0"/>
      <c r="P303" s="0"/>
      <c r="Q303" s="0"/>
      <c r="R303" s="0"/>
      <c r="S303" s="0"/>
      <c r="T303" s="0"/>
      <c r="U303" s="0"/>
      <c r="V303" s="0"/>
      <c r="W303" s="0"/>
      <c r="X303" s="0"/>
      <c r="Y303" s="0"/>
      <c r="Z303" s="0"/>
      <c r="AA303" s="0"/>
      <c r="AB303" s="0"/>
      <c r="AC303" s="0"/>
      <c r="AD303" s="0"/>
      <c r="AE303" s="0"/>
      <c r="AF303" s="0"/>
      <c r="AG303" s="0"/>
      <c r="AH303" s="0"/>
      <c r="AI303" s="0"/>
      <c r="AJ303" s="0"/>
      <c r="AK303" s="0"/>
      <c r="AL303" s="0"/>
      <c r="AM303" s="0"/>
      <c r="AN303" s="0"/>
      <c r="AO303" s="0"/>
      <c r="AP303" s="0"/>
      <c r="AQ303" s="0"/>
      <c r="AR303" s="0"/>
      <c r="AS303" s="0"/>
      <c r="AT303" s="0"/>
      <c r="AU303" s="0"/>
      <c r="AV303" s="0"/>
      <c r="AW303" s="0"/>
      <c r="AX303" s="0"/>
      <c r="AY303" s="0"/>
      <c r="AZ303" s="0"/>
      <c r="BA303" s="0"/>
      <c r="BB303" s="0"/>
    </row>
    <row r="304" customFormat="false" ht="12.75" hidden="false" customHeight="false" outlineLevel="0" collapsed="false">
      <c r="A304" s="0"/>
      <c r="B304" s="0"/>
      <c r="C304" s="0"/>
      <c r="D304" s="0"/>
      <c r="E304" s="0"/>
      <c r="F304" s="0"/>
      <c r="G304" s="0"/>
      <c r="H304" s="161" t="n">
        <v>0</v>
      </c>
      <c r="I304" s="0"/>
      <c r="J304" s="0"/>
      <c r="K304" s="161" t="n">
        <v>0</v>
      </c>
      <c r="L304" s="0"/>
      <c r="M304" s="0"/>
      <c r="N304" s="0"/>
      <c r="O304" s="0"/>
      <c r="P304" s="0"/>
      <c r="Q304" s="0"/>
      <c r="R304" s="0"/>
      <c r="S304" s="0"/>
      <c r="T304" s="0"/>
      <c r="U304" s="0"/>
      <c r="V304" s="0"/>
      <c r="W304" s="0"/>
      <c r="X304" s="0"/>
      <c r="Y304" s="0"/>
      <c r="Z304" s="0"/>
      <c r="AA304" s="0"/>
      <c r="AB304" s="0"/>
      <c r="AC304" s="0"/>
      <c r="AD304" s="0"/>
      <c r="AE304" s="0"/>
      <c r="AF304" s="0"/>
      <c r="AG304" s="0"/>
      <c r="AH304" s="0"/>
      <c r="AI304" s="0"/>
      <c r="AJ304" s="0"/>
      <c r="AK304" s="0"/>
      <c r="AL304" s="0"/>
      <c r="AM304" s="0"/>
      <c r="AN304" s="0"/>
      <c r="AO304" s="0"/>
      <c r="AP304" s="0"/>
      <c r="AQ304" s="0"/>
      <c r="AR304" s="0"/>
      <c r="AS304" s="0"/>
      <c r="AT304" s="0"/>
      <c r="AU304" s="0"/>
      <c r="AV304" s="0"/>
      <c r="AW304" s="0"/>
      <c r="AX304" s="0"/>
      <c r="AY304" s="0"/>
      <c r="AZ304" s="0"/>
      <c r="BA304" s="0"/>
      <c r="BB304" s="0"/>
    </row>
    <row r="305" customFormat="false" ht="12.75" hidden="false" customHeight="false" outlineLevel="0" collapsed="false">
      <c r="A305" s="0"/>
      <c r="B305" s="0"/>
      <c r="C305" s="0"/>
      <c r="D305" s="0"/>
      <c r="E305" s="0"/>
      <c r="F305" s="0"/>
      <c r="G305" s="0"/>
      <c r="H305" s="161" t="n">
        <v>0</v>
      </c>
      <c r="I305" s="0"/>
      <c r="J305" s="0"/>
      <c r="K305" s="161" t="n">
        <v>0</v>
      </c>
      <c r="L305" s="0"/>
      <c r="M305" s="0"/>
      <c r="N305" s="0"/>
      <c r="O305" s="0"/>
      <c r="P305" s="0"/>
      <c r="Q305" s="0"/>
      <c r="R305" s="0"/>
      <c r="S305" s="0"/>
      <c r="T305" s="0"/>
      <c r="U305" s="0"/>
      <c r="V305" s="0"/>
      <c r="W305" s="0"/>
      <c r="X305" s="0"/>
      <c r="Y305" s="0"/>
      <c r="Z305" s="0"/>
      <c r="AA305" s="0"/>
      <c r="AB305" s="0"/>
      <c r="AC305" s="0"/>
      <c r="AD305" s="0"/>
      <c r="AE305" s="0"/>
      <c r="AF305" s="0"/>
      <c r="AG305" s="0"/>
      <c r="AH305" s="0"/>
      <c r="AI305" s="0"/>
      <c r="AJ305" s="0"/>
      <c r="AK305" s="0"/>
      <c r="AL305" s="0"/>
      <c r="AM305" s="0"/>
      <c r="AN305" s="0"/>
      <c r="AO305" s="0"/>
      <c r="AP305" s="0"/>
      <c r="AQ305" s="0"/>
      <c r="AR305" s="0"/>
      <c r="AS305" s="0"/>
      <c r="AT305" s="0"/>
      <c r="AU305" s="0"/>
      <c r="AV305" s="0"/>
      <c r="AW305" s="0"/>
      <c r="AX305" s="0"/>
      <c r="AY305" s="0"/>
      <c r="AZ305" s="0"/>
      <c r="BA305" s="0"/>
      <c r="BB305" s="0"/>
    </row>
    <row r="306" customFormat="false" ht="12.75" hidden="false" customHeight="false" outlineLevel="0" collapsed="false">
      <c r="A306" s="0"/>
      <c r="B306" s="0"/>
      <c r="C306" s="0"/>
      <c r="D306" s="0"/>
      <c r="E306" s="0"/>
      <c r="F306" s="0"/>
      <c r="G306" s="0"/>
      <c r="H306" s="161" t="n">
        <v>0</v>
      </c>
      <c r="I306" s="0"/>
      <c r="J306" s="0"/>
      <c r="K306" s="161" t="n">
        <v>0</v>
      </c>
      <c r="L306" s="0"/>
      <c r="M306" s="0"/>
      <c r="N306" s="0"/>
      <c r="O306" s="0"/>
      <c r="P306" s="0"/>
      <c r="Q306" s="0"/>
      <c r="R306" s="0"/>
      <c r="S306" s="0"/>
      <c r="T306" s="0"/>
      <c r="U306" s="0"/>
      <c r="V306" s="0"/>
      <c r="W306" s="0"/>
      <c r="X306" s="0"/>
      <c r="Y306" s="0"/>
      <c r="Z306" s="0"/>
      <c r="AA306" s="0"/>
      <c r="AB306" s="0"/>
      <c r="AC306" s="0"/>
      <c r="AD306" s="0"/>
      <c r="AE306" s="0"/>
      <c r="AF306" s="0"/>
      <c r="AG306" s="0"/>
      <c r="AH306" s="0"/>
      <c r="AI306" s="0"/>
      <c r="AJ306" s="0"/>
      <c r="AK306" s="0"/>
      <c r="AL306" s="0"/>
      <c r="AM306" s="0"/>
      <c r="AN306" s="0"/>
      <c r="AO306" s="0"/>
      <c r="AP306" s="0"/>
      <c r="AQ306" s="0"/>
      <c r="AR306" s="0"/>
      <c r="AS306" s="0"/>
      <c r="AT306" s="0"/>
      <c r="AU306" s="0"/>
      <c r="AV306" s="0"/>
      <c r="AW306" s="0"/>
      <c r="AX306" s="0"/>
      <c r="AY306" s="0"/>
      <c r="AZ306" s="0"/>
      <c r="BA306" s="0"/>
      <c r="BB306" s="0"/>
    </row>
    <row r="307" customFormat="false" ht="12.75" hidden="false" customHeight="false" outlineLevel="0" collapsed="false">
      <c r="A307" s="0"/>
      <c r="B307" s="0"/>
      <c r="C307" s="0"/>
      <c r="D307" s="0"/>
      <c r="E307" s="0"/>
      <c r="F307" s="0"/>
      <c r="G307" s="0"/>
      <c r="H307" s="161" t="n">
        <v>0</v>
      </c>
      <c r="I307" s="0"/>
      <c r="J307" s="0"/>
      <c r="K307" s="161" t="n">
        <v>0</v>
      </c>
      <c r="L307" s="0"/>
      <c r="M307" s="0"/>
      <c r="N307" s="0"/>
      <c r="O307" s="0"/>
      <c r="P307" s="0"/>
      <c r="Q307" s="0"/>
      <c r="R307" s="0"/>
      <c r="S307" s="0"/>
      <c r="T307" s="0"/>
      <c r="U307" s="0"/>
      <c r="V307" s="0"/>
      <c r="W307" s="0"/>
      <c r="X307" s="0"/>
      <c r="Y307" s="0"/>
      <c r="Z307" s="0"/>
      <c r="AA307" s="0"/>
      <c r="AB307" s="0"/>
      <c r="AC307" s="0"/>
      <c r="AD307" s="0"/>
      <c r="AE307" s="0"/>
      <c r="AF307" s="0"/>
      <c r="AG307" s="0"/>
      <c r="AH307" s="0"/>
      <c r="AI307" s="0"/>
      <c r="AJ307" s="0"/>
      <c r="AK307" s="0"/>
      <c r="AL307" s="0"/>
      <c r="AM307" s="0"/>
      <c r="AN307" s="0"/>
      <c r="AO307" s="0"/>
      <c r="AP307" s="0"/>
      <c r="AQ307" s="0"/>
      <c r="AR307" s="0"/>
      <c r="AS307" s="0"/>
      <c r="AT307" s="0"/>
      <c r="AU307" s="0"/>
      <c r="AV307" s="0"/>
      <c r="AW307" s="0"/>
      <c r="AX307" s="0"/>
      <c r="AY307" s="0"/>
      <c r="AZ307" s="0"/>
      <c r="BA307" s="0"/>
      <c r="BB307" s="0"/>
    </row>
    <row r="308" customFormat="false" ht="12.75" hidden="false" customHeight="false" outlineLevel="0" collapsed="false">
      <c r="A308" s="0"/>
      <c r="B308" s="0"/>
      <c r="C308" s="0"/>
      <c r="D308" s="0"/>
      <c r="E308" s="0"/>
      <c r="F308" s="0"/>
      <c r="G308" s="0"/>
      <c r="H308" s="161" t="n">
        <v>0</v>
      </c>
      <c r="I308" s="0"/>
      <c r="J308" s="0"/>
      <c r="K308" s="161" t="n">
        <v>0</v>
      </c>
      <c r="L308" s="0"/>
      <c r="M308" s="0"/>
      <c r="N308" s="0"/>
      <c r="O308" s="0"/>
      <c r="P308" s="0"/>
      <c r="Q308" s="0"/>
      <c r="R308" s="0"/>
      <c r="S308" s="0"/>
      <c r="T308" s="0"/>
      <c r="U308" s="0"/>
      <c r="V308" s="0"/>
      <c r="W308" s="0"/>
      <c r="X308" s="0"/>
      <c r="Y308" s="0"/>
      <c r="Z308" s="0"/>
      <c r="AA308" s="0"/>
      <c r="AB308" s="0"/>
      <c r="AC308" s="0"/>
      <c r="AD308" s="0"/>
      <c r="AE308" s="0"/>
      <c r="AF308" s="0"/>
      <c r="AG308" s="0"/>
      <c r="AH308" s="0"/>
      <c r="AI308" s="0"/>
      <c r="AJ308" s="0"/>
      <c r="AK308" s="0"/>
      <c r="AL308" s="0"/>
      <c r="AM308" s="0"/>
      <c r="AN308" s="0"/>
      <c r="AO308" s="0"/>
      <c r="AP308" s="0"/>
      <c r="AQ308" s="0"/>
      <c r="AR308" s="0"/>
      <c r="AS308" s="0"/>
      <c r="AT308" s="0"/>
      <c r="AU308" s="0"/>
      <c r="AV308" s="0"/>
      <c r="AW308" s="0"/>
      <c r="AX308" s="0"/>
      <c r="AY308" s="0"/>
      <c r="AZ308" s="0"/>
      <c r="BA308" s="0"/>
      <c r="BB308" s="0"/>
    </row>
    <row r="309" customFormat="false" ht="12.75" hidden="false" customHeight="false" outlineLevel="0" collapsed="false">
      <c r="A309" s="0"/>
      <c r="B309" s="0"/>
      <c r="C309" s="0"/>
      <c r="D309" s="0"/>
      <c r="E309" s="0"/>
      <c r="F309" s="0"/>
      <c r="G309" s="0"/>
      <c r="H309" s="161" t="n">
        <v>0</v>
      </c>
      <c r="I309" s="0"/>
      <c r="J309" s="0"/>
      <c r="K309" s="161" t="n">
        <v>0</v>
      </c>
      <c r="L309" s="0"/>
      <c r="M309" s="0"/>
      <c r="N309" s="0"/>
      <c r="O309" s="0"/>
      <c r="P309" s="0"/>
      <c r="Q309" s="0"/>
      <c r="R309" s="0"/>
      <c r="S309" s="0"/>
      <c r="T309" s="0"/>
      <c r="U309" s="0"/>
      <c r="V309" s="0"/>
      <c r="W309" s="0"/>
      <c r="X309" s="0"/>
      <c r="Y309" s="0"/>
      <c r="Z309" s="0"/>
      <c r="AA309" s="0"/>
      <c r="AB309" s="0"/>
      <c r="AC309" s="0"/>
      <c r="AD309" s="0"/>
      <c r="AE309" s="0"/>
      <c r="AF309" s="0"/>
      <c r="AG309" s="0"/>
      <c r="AH309" s="0"/>
      <c r="AI309" s="0"/>
      <c r="AJ309" s="0"/>
      <c r="AK309" s="0"/>
      <c r="AL309" s="0"/>
      <c r="AM309" s="0"/>
      <c r="AN309" s="0"/>
      <c r="AO309" s="0"/>
      <c r="AP309" s="0"/>
      <c r="AQ309" s="0"/>
      <c r="AR309" s="0"/>
      <c r="AS309" s="0"/>
      <c r="AT309" s="0"/>
      <c r="AU309" s="0"/>
      <c r="AV309" s="0"/>
      <c r="AW309" s="0"/>
      <c r="AX309" s="0"/>
      <c r="AY309" s="0"/>
      <c r="AZ309" s="0"/>
      <c r="BA309" s="0"/>
      <c r="BB309" s="0"/>
    </row>
    <row r="310" customFormat="false" ht="12.75" hidden="false" customHeight="false" outlineLevel="0" collapsed="false">
      <c r="A310" s="0"/>
      <c r="B310" s="0"/>
      <c r="C310" s="0"/>
      <c r="D310" s="0"/>
      <c r="E310" s="0"/>
      <c r="F310" s="0"/>
      <c r="G310" s="0"/>
      <c r="H310" s="161" t="n">
        <v>0</v>
      </c>
      <c r="I310" s="0"/>
      <c r="J310" s="0"/>
      <c r="K310" s="161" t="n">
        <v>0</v>
      </c>
      <c r="L310" s="0"/>
      <c r="M310" s="0"/>
      <c r="N310" s="0"/>
      <c r="O310" s="0"/>
      <c r="P310" s="0"/>
      <c r="Q310" s="0"/>
      <c r="R310" s="0"/>
      <c r="S310" s="0"/>
      <c r="T310" s="0"/>
      <c r="U310" s="0"/>
      <c r="V310" s="0"/>
      <c r="W310" s="0"/>
      <c r="X310" s="0"/>
      <c r="Y310" s="0"/>
      <c r="Z310" s="0"/>
      <c r="AA310" s="0"/>
      <c r="AB310" s="0"/>
      <c r="AC310" s="0"/>
      <c r="AD310" s="0"/>
      <c r="AE310" s="0"/>
      <c r="AF310" s="0"/>
      <c r="AG310" s="0"/>
      <c r="AH310" s="0"/>
      <c r="AI310" s="0"/>
      <c r="AJ310" s="0"/>
      <c r="AK310" s="0"/>
      <c r="AL310" s="0"/>
      <c r="AM310" s="0"/>
      <c r="AN310" s="0"/>
      <c r="AO310" s="0"/>
      <c r="AP310" s="0"/>
      <c r="AQ310" s="0"/>
      <c r="AR310" s="0"/>
      <c r="AS310" s="0"/>
      <c r="AT310" s="0"/>
      <c r="AU310" s="0"/>
      <c r="AV310" s="0"/>
      <c r="AW310" s="0"/>
      <c r="AX310" s="0"/>
      <c r="AY310" s="0"/>
      <c r="AZ310" s="0"/>
      <c r="BA310" s="0"/>
      <c r="BB310" s="0"/>
    </row>
    <row r="311" customFormat="false" ht="12.75" hidden="false" customHeight="false" outlineLevel="0" collapsed="false">
      <c r="A311" s="0"/>
      <c r="B311" s="0"/>
      <c r="C311" s="0"/>
      <c r="D311" s="0"/>
      <c r="E311" s="0"/>
      <c r="F311" s="0"/>
      <c r="G311" s="0"/>
      <c r="H311" s="161" t="n">
        <v>0</v>
      </c>
      <c r="I311" s="0"/>
      <c r="J311" s="0"/>
      <c r="K311" s="161" t="n">
        <v>0</v>
      </c>
      <c r="L311" s="0"/>
      <c r="M311" s="0"/>
      <c r="N311" s="0"/>
      <c r="O311" s="0"/>
      <c r="P311" s="0"/>
      <c r="Q311" s="0"/>
      <c r="R311" s="0"/>
      <c r="S311" s="0"/>
      <c r="T311" s="0"/>
      <c r="U311" s="0"/>
      <c r="V311" s="0"/>
      <c r="W311" s="0"/>
      <c r="X311" s="0"/>
      <c r="Y311" s="0"/>
      <c r="Z311" s="0"/>
      <c r="AA311" s="0"/>
      <c r="AB311" s="0"/>
      <c r="AC311" s="0"/>
      <c r="AD311" s="0"/>
      <c r="AE311" s="0"/>
      <c r="AF311" s="0"/>
      <c r="AG311" s="0"/>
      <c r="AH311" s="0"/>
      <c r="AI311" s="0"/>
      <c r="AJ311" s="0"/>
      <c r="AK311" s="0"/>
      <c r="AL311" s="0"/>
      <c r="AM311" s="0"/>
      <c r="AN311" s="0"/>
      <c r="AO311" s="0"/>
      <c r="AP311" s="0"/>
      <c r="AQ311" s="0"/>
      <c r="AR311" s="0"/>
      <c r="AS311" s="0"/>
      <c r="AT311" s="0"/>
      <c r="AU311" s="0"/>
      <c r="AV311" s="0"/>
      <c r="AW311" s="0"/>
      <c r="AX311" s="0"/>
      <c r="AY311" s="0"/>
      <c r="AZ311" s="0"/>
      <c r="BA311" s="0"/>
      <c r="BB311" s="0"/>
    </row>
    <row r="312" customFormat="false" ht="12.75" hidden="false" customHeight="false" outlineLevel="0" collapsed="false">
      <c r="A312" s="0"/>
      <c r="B312" s="0"/>
      <c r="C312" s="0"/>
      <c r="D312" s="0"/>
      <c r="E312" s="0"/>
      <c r="F312" s="0"/>
      <c r="G312" s="0"/>
      <c r="H312" s="161" t="n">
        <v>0</v>
      </c>
      <c r="I312" s="0"/>
      <c r="J312" s="0"/>
      <c r="K312" s="161" t="n">
        <v>0</v>
      </c>
      <c r="L312" s="0"/>
      <c r="M312" s="0"/>
      <c r="N312" s="0"/>
      <c r="O312" s="0"/>
      <c r="P312" s="0"/>
      <c r="Q312" s="0"/>
      <c r="R312" s="0"/>
      <c r="S312" s="0"/>
      <c r="T312" s="0"/>
      <c r="U312" s="0"/>
      <c r="V312" s="0"/>
      <c r="W312" s="0"/>
      <c r="X312" s="0"/>
      <c r="Y312" s="0"/>
      <c r="Z312" s="0"/>
      <c r="AA312" s="0"/>
      <c r="AB312" s="0"/>
      <c r="AC312" s="0"/>
      <c r="AD312" s="0"/>
      <c r="AE312" s="0"/>
      <c r="AF312" s="0"/>
      <c r="AG312" s="0"/>
      <c r="AH312" s="0"/>
      <c r="AI312" s="0"/>
      <c r="AJ312" s="0"/>
      <c r="AK312" s="0"/>
      <c r="AL312" s="0"/>
      <c r="AM312" s="0"/>
      <c r="AN312" s="0"/>
      <c r="AO312" s="0"/>
      <c r="AP312" s="0"/>
      <c r="AQ312" s="0"/>
      <c r="AR312" s="0"/>
      <c r="AS312" s="0"/>
      <c r="AT312" s="0"/>
      <c r="AU312" s="0"/>
      <c r="AV312" s="0"/>
      <c r="AW312" s="0"/>
      <c r="AX312" s="0"/>
      <c r="AY312" s="0"/>
      <c r="AZ312" s="0"/>
      <c r="BA312" s="0"/>
      <c r="BB312" s="0"/>
    </row>
    <row r="313" customFormat="false" ht="12.75" hidden="false" customHeight="false" outlineLevel="0" collapsed="false">
      <c r="A313" s="0"/>
      <c r="B313" s="0"/>
      <c r="C313" s="0"/>
      <c r="D313" s="0"/>
      <c r="E313" s="0"/>
      <c r="F313" s="0"/>
      <c r="G313" s="0"/>
      <c r="H313" s="161" t="n">
        <v>0</v>
      </c>
      <c r="I313" s="0"/>
      <c r="J313" s="0"/>
      <c r="K313" s="161" t="n">
        <v>0</v>
      </c>
      <c r="L313" s="0"/>
      <c r="M313" s="0"/>
      <c r="N313" s="0"/>
      <c r="O313" s="0"/>
      <c r="P313" s="0"/>
      <c r="Q313" s="0"/>
      <c r="R313" s="0"/>
      <c r="S313" s="0"/>
      <c r="T313" s="0"/>
      <c r="U313" s="0"/>
      <c r="V313" s="0"/>
      <c r="W313" s="0"/>
      <c r="X313" s="0"/>
      <c r="Y313" s="0"/>
      <c r="Z313" s="0"/>
      <c r="AA313" s="0"/>
      <c r="AB313" s="0"/>
      <c r="AC313" s="0"/>
      <c r="AD313" s="0"/>
      <c r="AE313" s="0"/>
      <c r="AF313" s="0"/>
      <c r="AG313" s="0"/>
      <c r="AH313" s="0"/>
      <c r="AI313" s="0"/>
      <c r="AJ313" s="0"/>
      <c r="AK313" s="0"/>
      <c r="AL313" s="0"/>
      <c r="AM313" s="0"/>
      <c r="AN313" s="0"/>
      <c r="AO313" s="0"/>
      <c r="AP313" s="0"/>
      <c r="AQ313" s="0"/>
      <c r="AR313" s="0"/>
      <c r="AS313" s="0"/>
      <c r="AT313" s="0"/>
      <c r="AU313" s="0"/>
      <c r="AV313" s="0"/>
      <c r="AW313" s="0"/>
      <c r="AX313" s="0"/>
      <c r="AY313" s="0"/>
      <c r="AZ313" s="0"/>
      <c r="BA313" s="0"/>
      <c r="BB313" s="0"/>
    </row>
    <row r="314" customFormat="false" ht="12.75" hidden="false" customHeight="false" outlineLevel="0" collapsed="false">
      <c r="A314" s="0"/>
      <c r="B314" s="0"/>
      <c r="C314" s="0"/>
      <c r="D314" s="0"/>
      <c r="E314" s="0"/>
      <c r="F314" s="0"/>
      <c r="G314" s="0"/>
      <c r="H314" s="161" t="n">
        <v>0</v>
      </c>
      <c r="I314" s="0"/>
      <c r="J314" s="0"/>
      <c r="K314" s="161" t="n">
        <v>0</v>
      </c>
      <c r="L314" s="0"/>
      <c r="M314" s="0"/>
      <c r="N314" s="0"/>
      <c r="O314" s="0"/>
      <c r="P314" s="0"/>
      <c r="Q314" s="0"/>
      <c r="R314" s="0"/>
      <c r="S314" s="0"/>
      <c r="T314" s="0"/>
      <c r="U314" s="0"/>
      <c r="V314" s="0"/>
      <c r="W314" s="0"/>
      <c r="X314" s="0"/>
      <c r="Y314" s="0"/>
      <c r="Z314" s="0"/>
      <c r="AA314" s="0"/>
      <c r="AB314" s="0"/>
      <c r="AC314" s="0"/>
      <c r="AD314" s="0"/>
      <c r="AE314" s="0"/>
      <c r="AF314" s="0"/>
      <c r="AG314" s="0"/>
      <c r="AH314" s="0"/>
      <c r="AI314" s="0"/>
      <c r="AJ314" s="0"/>
      <c r="AK314" s="0"/>
      <c r="AL314" s="0"/>
      <c r="AM314" s="0"/>
      <c r="AN314" s="0"/>
      <c r="AO314" s="0"/>
      <c r="AP314" s="0"/>
      <c r="AQ314" s="0"/>
      <c r="AR314" s="0"/>
      <c r="AS314" s="0"/>
      <c r="AT314" s="0"/>
      <c r="AU314" s="0"/>
      <c r="AV314" s="0"/>
      <c r="AW314" s="0"/>
      <c r="AX314" s="0"/>
      <c r="AY314" s="0"/>
      <c r="AZ314" s="0"/>
      <c r="BA314" s="0"/>
      <c r="BB314" s="0"/>
    </row>
    <row r="315" customFormat="false" ht="12.75" hidden="false" customHeight="false" outlineLevel="0" collapsed="false">
      <c r="A315" s="0"/>
      <c r="B315" s="0"/>
      <c r="C315" s="0"/>
      <c r="D315" s="0"/>
      <c r="E315" s="0"/>
      <c r="F315" s="0"/>
      <c r="G315" s="0"/>
      <c r="H315" s="161" t="n">
        <v>0</v>
      </c>
      <c r="I315" s="0"/>
      <c r="J315" s="0"/>
      <c r="K315" s="161" t="n">
        <v>0</v>
      </c>
      <c r="L315" s="0"/>
      <c r="M315" s="0"/>
      <c r="N315" s="0"/>
      <c r="O315" s="0"/>
      <c r="P315" s="0"/>
      <c r="Q315" s="0"/>
      <c r="R315" s="0"/>
      <c r="S315" s="0"/>
      <c r="T315" s="0"/>
      <c r="U315" s="0"/>
      <c r="V315" s="0"/>
      <c r="W315" s="0"/>
      <c r="X315" s="0"/>
      <c r="Y315" s="0"/>
      <c r="Z315" s="0"/>
      <c r="AA315" s="0"/>
      <c r="AB315" s="0"/>
      <c r="AC315" s="0"/>
      <c r="AD315" s="0"/>
      <c r="AE315" s="0"/>
      <c r="AF315" s="0"/>
      <c r="AG315" s="0"/>
      <c r="AH315" s="0"/>
      <c r="AI315" s="0"/>
      <c r="AJ315" s="0"/>
      <c r="AK315" s="0"/>
      <c r="AL315" s="0"/>
      <c r="AM315" s="0"/>
      <c r="AN315" s="0"/>
      <c r="AO315" s="0"/>
      <c r="AP315" s="0"/>
      <c r="AQ315" s="0"/>
      <c r="AR315" s="0"/>
      <c r="AS315" s="0"/>
      <c r="AT315" s="0"/>
      <c r="AU315" s="0"/>
      <c r="AV315" s="0"/>
      <c r="AW315" s="0"/>
      <c r="AX315" s="0"/>
      <c r="AY315" s="0"/>
      <c r="AZ315" s="0"/>
      <c r="BA315" s="0"/>
      <c r="BB315" s="0"/>
    </row>
    <row r="316" customFormat="false" ht="12.75" hidden="false" customHeight="false" outlineLevel="0" collapsed="false">
      <c r="A316" s="0"/>
      <c r="B316" s="0"/>
      <c r="C316" s="0"/>
      <c r="D316" s="0"/>
      <c r="E316" s="0"/>
      <c r="F316" s="0"/>
      <c r="G316" s="0"/>
      <c r="H316" s="161"/>
      <c r="I316" s="0"/>
      <c r="J316" s="0"/>
      <c r="K316" s="0"/>
      <c r="L316" s="0"/>
      <c r="M316" s="0"/>
      <c r="N316" s="0"/>
      <c r="O316" s="0"/>
      <c r="P316" s="0"/>
      <c r="Q316" s="0"/>
      <c r="R316" s="0"/>
      <c r="S316" s="0"/>
      <c r="T316" s="0"/>
      <c r="U316" s="0"/>
      <c r="V316" s="0"/>
      <c r="W316" s="0"/>
      <c r="X316" s="0"/>
      <c r="Y316" s="0"/>
      <c r="Z316" s="0"/>
      <c r="AA316" s="0"/>
      <c r="AB316" s="0"/>
      <c r="AC316" s="0"/>
      <c r="AD316" s="0"/>
      <c r="AE316" s="0"/>
      <c r="AF316" s="0"/>
      <c r="AG316" s="0"/>
      <c r="AH316" s="0"/>
      <c r="AI316" s="0"/>
      <c r="AJ316" s="0"/>
      <c r="AK316" s="0"/>
      <c r="AL316" s="0"/>
      <c r="AM316" s="0"/>
      <c r="AN316" s="0"/>
      <c r="AO316" s="0"/>
      <c r="AP316" s="0"/>
      <c r="AQ316" s="0"/>
      <c r="AR316" s="0"/>
      <c r="AS316" s="0"/>
      <c r="AT316" s="0"/>
      <c r="AU316" s="0"/>
      <c r="AV316" s="0"/>
      <c r="AW316" s="0"/>
      <c r="AX316" s="0"/>
      <c r="AY316" s="0"/>
      <c r="AZ316" s="0"/>
      <c r="BA316" s="0"/>
      <c r="BB316" s="0"/>
    </row>
    <row r="317" customFormat="false" ht="12.75" hidden="false" customHeight="false" outlineLevel="0" collapsed="false">
      <c r="A317" s="0"/>
      <c r="B317" s="0"/>
      <c r="C317" s="0"/>
      <c r="D317" s="0"/>
      <c r="E317" s="0"/>
      <c r="F317" s="0"/>
      <c r="G317" s="0"/>
      <c r="H317" s="161" t="n">
        <v>0</v>
      </c>
      <c r="I317" s="0"/>
      <c r="J317" s="0"/>
      <c r="K317" s="0"/>
      <c r="L317" s="0"/>
      <c r="M317" s="0"/>
      <c r="N317" s="0"/>
      <c r="O317" s="0"/>
      <c r="P317" s="0"/>
      <c r="Q317" s="0"/>
      <c r="R317" s="0"/>
      <c r="S317" s="0"/>
      <c r="T317" s="0"/>
      <c r="U317" s="0"/>
      <c r="V317" s="0"/>
      <c r="W317" s="0"/>
      <c r="X317" s="0"/>
      <c r="Y317" s="0"/>
      <c r="Z317" s="0"/>
      <c r="AA317" s="0"/>
      <c r="AB317" s="0"/>
      <c r="AC317" s="0"/>
      <c r="AD317" s="0"/>
      <c r="AE317" s="0"/>
      <c r="AF317" s="0"/>
      <c r="AG317" s="0"/>
      <c r="AH317" s="0"/>
      <c r="AI317" s="0"/>
      <c r="AJ317" s="0"/>
      <c r="AK317" s="0"/>
      <c r="AL317" s="0"/>
      <c r="AM317" s="0"/>
      <c r="AN317" s="0"/>
      <c r="AO317" s="0"/>
      <c r="AP317" s="0"/>
      <c r="AQ317" s="0"/>
      <c r="AR317" s="0"/>
      <c r="AS317" s="0"/>
      <c r="AT317" s="0"/>
      <c r="AU317" s="0"/>
      <c r="AV317" s="0"/>
      <c r="AW317" s="0"/>
      <c r="AX317" s="0"/>
      <c r="AY317" s="0"/>
      <c r="AZ317" s="0"/>
      <c r="BA317" s="0"/>
      <c r="BB317" s="0"/>
    </row>
    <row r="318" customFormat="false" ht="12.75" hidden="false" customHeight="false" outlineLevel="0" collapsed="false">
      <c r="A318" s="0"/>
      <c r="B318" s="0"/>
      <c r="C318" s="0"/>
      <c r="D318" s="0"/>
      <c r="E318" s="0"/>
      <c r="F318" s="0"/>
      <c r="G318" s="0"/>
      <c r="H318" s="161" t="n">
        <v>0</v>
      </c>
      <c r="I318" s="0"/>
      <c r="J318" s="0"/>
      <c r="K318" s="0"/>
      <c r="L318" s="0"/>
      <c r="M318" s="0"/>
      <c r="N318" s="0"/>
      <c r="O318" s="0"/>
      <c r="P318" s="0"/>
      <c r="Q318" s="0"/>
      <c r="R318" s="0"/>
      <c r="S318" s="0"/>
      <c r="T318" s="0"/>
      <c r="U318" s="0"/>
      <c r="V318" s="0"/>
      <c r="W318" s="0"/>
      <c r="X318" s="0"/>
      <c r="Y318" s="0"/>
      <c r="Z318" s="0"/>
      <c r="AA318" s="0"/>
      <c r="AB318" s="0"/>
      <c r="AC318" s="0"/>
      <c r="AD318" s="0"/>
      <c r="AE318" s="0"/>
      <c r="AF318" s="0"/>
      <c r="AG318" s="0"/>
      <c r="AH318" s="0"/>
      <c r="AI318" s="0"/>
      <c r="AJ318" s="0"/>
      <c r="AK318" s="0"/>
      <c r="AL318" s="0"/>
      <c r="AM318" s="0"/>
      <c r="AN318" s="0"/>
      <c r="AO318" s="0"/>
      <c r="AP318" s="0"/>
      <c r="AQ318" s="0"/>
      <c r="AR318" s="0"/>
      <c r="AS318" s="0"/>
      <c r="AT318" s="0"/>
      <c r="AU318" s="0"/>
      <c r="AV318" s="0"/>
      <c r="AW318" s="0"/>
      <c r="AX318" s="0"/>
      <c r="AY318" s="0"/>
      <c r="AZ318" s="0"/>
      <c r="BA318" s="0"/>
      <c r="BB318" s="0"/>
    </row>
    <row r="319" customFormat="false" ht="12.75" hidden="false" customHeight="false" outlineLevel="0" collapsed="false">
      <c r="A319" s="0"/>
      <c r="B319" s="0"/>
      <c r="C319" s="0"/>
      <c r="D319" s="0"/>
      <c r="E319" s="0"/>
      <c r="F319" s="0"/>
      <c r="G319" s="0"/>
      <c r="H319" s="161" t="n">
        <v>0</v>
      </c>
      <c r="I319" s="0"/>
      <c r="J319" s="0"/>
      <c r="K319" s="0"/>
      <c r="L319" s="0"/>
      <c r="M319" s="0"/>
      <c r="N319" s="0"/>
      <c r="O319" s="0"/>
      <c r="P319" s="0"/>
      <c r="Q319" s="0"/>
      <c r="R319" s="0"/>
      <c r="S319" s="0"/>
      <c r="T319" s="0"/>
      <c r="U319" s="0"/>
      <c r="V319" s="0"/>
      <c r="W319" s="0"/>
      <c r="X319" s="0"/>
      <c r="Y319" s="0"/>
      <c r="Z319" s="0"/>
      <c r="AA319" s="0"/>
      <c r="AB319" s="0"/>
      <c r="AC319" s="0"/>
      <c r="AD319" s="0"/>
      <c r="AE319" s="0"/>
      <c r="AF319" s="0"/>
      <c r="AG319" s="0"/>
      <c r="AH319" s="0"/>
      <c r="AI319" s="0"/>
      <c r="AJ319" s="0"/>
      <c r="AK319" s="0"/>
      <c r="AL319" s="0"/>
      <c r="AM319" s="0"/>
      <c r="AN319" s="0"/>
      <c r="AO319" s="0"/>
      <c r="AP319" s="0"/>
      <c r="AQ319" s="0"/>
      <c r="AR319" s="0"/>
      <c r="AS319" s="0"/>
      <c r="AT319" s="0"/>
      <c r="AU319" s="0"/>
      <c r="AV319" s="0"/>
      <c r="AW319" s="0"/>
      <c r="AX319" s="0"/>
      <c r="AY319" s="0"/>
      <c r="AZ319" s="0"/>
      <c r="BA319" s="0"/>
      <c r="BB319" s="0"/>
    </row>
    <row r="320" customFormat="false" ht="12.75" hidden="false" customHeight="false" outlineLevel="0" collapsed="false">
      <c r="A320" s="0"/>
      <c r="B320" s="0"/>
      <c r="C320" s="0"/>
      <c r="D320" s="0"/>
      <c r="E320" s="0"/>
      <c r="F320" s="0"/>
      <c r="G320" s="0"/>
      <c r="H320" s="161" t="n">
        <v>0</v>
      </c>
      <c r="I320" s="0"/>
      <c r="J320" s="0"/>
      <c r="K320" s="0"/>
      <c r="L320" s="0"/>
      <c r="M320" s="0"/>
      <c r="N320" s="0"/>
      <c r="O320" s="0"/>
      <c r="P320" s="0"/>
      <c r="Q320" s="0"/>
      <c r="R320" s="0"/>
      <c r="S320" s="0"/>
      <c r="T320" s="0"/>
      <c r="U320" s="0"/>
      <c r="V320" s="0"/>
      <c r="W320" s="0"/>
      <c r="X320" s="0"/>
      <c r="Y320" s="0"/>
      <c r="Z320" s="0"/>
      <c r="AA320" s="0"/>
      <c r="AB320" s="0"/>
      <c r="AC320" s="0"/>
      <c r="AD320" s="0"/>
      <c r="AE320" s="0"/>
      <c r="AF320" s="0"/>
      <c r="AG320" s="0"/>
      <c r="AH320" s="0"/>
      <c r="AI320" s="0"/>
      <c r="AJ320" s="0"/>
      <c r="AK320" s="0"/>
      <c r="AL320" s="0"/>
      <c r="AM320" s="0"/>
      <c r="AN320" s="0"/>
      <c r="AO320" s="0"/>
      <c r="AP320" s="0"/>
      <c r="AQ320" s="0"/>
      <c r="AR320" s="0"/>
      <c r="AS320" s="0"/>
      <c r="AT320" s="0"/>
      <c r="AU320" s="0"/>
      <c r="AV320" s="0"/>
      <c r="AW320" s="0"/>
      <c r="AX320" s="0"/>
      <c r="AY320" s="0"/>
      <c r="AZ320" s="0"/>
      <c r="BA320" s="0"/>
      <c r="BB320" s="0"/>
    </row>
    <row r="321" customFormat="false" ht="12.75" hidden="false" customHeight="false" outlineLevel="0" collapsed="false">
      <c r="A321" s="0"/>
      <c r="B321" s="0"/>
      <c r="C321" s="0"/>
      <c r="D321" s="0"/>
      <c r="E321" s="0"/>
      <c r="F321" s="0"/>
      <c r="G321" s="0"/>
      <c r="H321" s="161" t="n">
        <v>0</v>
      </c>
      <c r="I321" s="0"/>
      <c r="J321" s="0"/>
      <c r="K321" s="0"/>
      <c r="L321" s="0"/>
      <c r="M321" s="0"/>
      <c r="N321" s="0"/>
      <c r="O321" s="0"/>
      <c r="P321" s="0"/>
      <c r="Q321" s="0"/>
      <c r="R321" s="0"/>
      <c r="S321" s="0"/>
      <c r="T321" s="0"/>
      <c r="U321" s="0"/>
      <c r="V321" s="0"/>
      <c r="W321" s="0"/>
      <c r="X321" s="0"/>
      <c r="Y321" s="0"/>
      <c r="Z321" s="0"/>
      <c r="AA321" s="0"/>
      <c r="AB321" s="0"/>
      <c r="AC321" s="0"/>
      <c r="AD321" s="0"/>
      <c r="AE321" s="0"/>
      <c r="AF321" s="0"/>
      <c r="AG321" s="0"/>
      <c r="AH321" s="0"/>
      <c r="AI321" s="0"/>
      <c r="AJ321" s="0"/>
      <c r="AK321" s="0"/>
      <c r="AL321" s="0"/>
      <c r="AM321" s="0"/>
      <c r="AN321" s="0"/>
      <c r="AO321" s="0"/>
      <c r="AP321" s="0"/>
      <c r="AQ321" s="0"/>
      <c r="AR321" s="0"/>
      <c r="AS321" s="0"/>
      <c r="AT321" s="0"/>
      <c r="AU321" s="0"/>
      <c r="AV321" s="0"/>
      <c r="AW321" s="0"/>
      <c r="AX321" s="0"/>
      <c r="AY321" s="0"/>
      <c r="AZ321" s="0"/>
      <c r="BA321" s="0"/>
      <c r="BB321" s="0"/>
    </row>
    <row r="322" customFormat="false" ht="12.75" hidden="false" customHeight="false" outlineLevel="0" collapsed="false">
      <c r="A322" s="0"/>
      <c r="B322" s="0"/>
      <c r="C322" s="0"/>
      <c r="D322" s="0"/>
      <c r="E322" s="0"/>
      <c r="F322" s="0"/>
      <c r="G322" s="0"/>
      <c r="H322" s="161" t="n">
        <v>0</v>
      </c>
      <c r="I322" s="0"/>
      <c r="J322" s="0"/>
      <c r="K322" s="0"/>
      <c r="L322" s="0"/>
      <c r="M322" s="0"/>
      <c r="N322" s="0"/>
      <c r="O322" s="0"/>
      <c r="P322" s="0"/>
      <c r="Q322" s="0"/>
      <c r="R322" s="0"/>
      <c r="S322" s="0"/>
      <c r="T322" s="0"/>
      <c r="U322" s="0"/>
      <c r="V322" s="0"/>
      <c r="W322" s="0"/>
      <c r="X322" s="0"/>
      <c r="Y322" s="0"/>
      <c r="Z322" s="0"/>
      <c r="AA322" s="0"/>
      <c r="AB322" s="0"/>
      <c r="AC322" s="0"/>
      <c r="AD322" s="0"/>
      <c r="AE322" s="0"/>
      <c r="AF322" s="0"/>
      <c r="AG322" s="0"/>
      <c r="AH322" s="0"/>
      <c r="AI322" s="0"/>
      <c r="AJ322" s="0"/>
      <c r="AK322" s="0"/>
      <c r="AL322" s="0"/>
      <c r="AM322" s="0"/>
      <c r="AN322" s="0"/>
      <c r="AO322" s="0"/>
      <c r="AP322" s="0"/>
      <c r="AQ322" s="0"/>
      <c r="AR322" s="0"/>
      <c r="AS322" s="0"/>
      <c r="AT322" s="0"/>
      <c r="AU322" s="0"/>
      <c r="AV322" s="0"/>
      <c r="AW322" s="0"/>
      <c r="AX322" s="0"/>
      <c r="AY322" s="0"/>
      <c r="AZ322" s="0"/>
      <c r="BA322" s="0"/>
      <c r="BB322" s="0"/>
    </row>
    <row r="323" customFormat="false" ht="12.75" hidden="false" customHeight="false" outlineLevel="0" collapsed="false">
      <c r="A323" s="0"/>
      <c r="B323" s="0"/>
      <c r="C323" s="0"/>
      <c r="D323" s="0"/>
      <c r="E323" s="0"/>
      <c r="F323" s="0"/>
      <c r="G323" s="0"/>
      <c r="H323" s="161" t="n">
        <v>0</v>
      </c>
      <c r="I323" s="0"/>
      <c r="J323" s="0"/>
      <c r="K323" s="0"/>
      <c r="L323" s="0"/>
      <c r="M323" s="0"/>
      <c r="N323" s="0"/>
      <c r="O323" s="0"/>
      <c r="P323" s="0"/>
      <c r="Q323" s="0"/>
      <c r="R323" s="0"/>
      <c r="S323" s="0"/>
      <c r="T323" s="0"/>
      <c r="U323" s="0"/>
      <c r="V323" s="0"/>
      <c r="W323" s="0"/>
      <c r="X323" s="0"/>
      <c r="Y323" s="0"/>
      <c r="Z323" s="0"/>
      <c r="AA323" s="0"/>
      <c r="AB323" s="0"/>
      <c r="AC323" s="0"/>
      <c r="AD323" s="0"/>
      <c r="AE323" s="0"/>
      <c r="AF323" s="0"/>
      <c r="AG323" s="0"/>
      <c r="AH323" s="0"/>
      <c r="AI323" s="0"/>
      <c r="AJ323" s="0"/>
      <c r="AK323" s="0"/>
      <c r="AL323" s="0"/>
      <c r="AM323" s="0"/>
      <c r="AN323" s="0"/>
      <c r="AO323" s="0"/>
      <c r="AP323" s="0"/>
      <c r="AQ323" s="0"/>
      <c r="AR323" s="0"/>
      <c r="AS323" s="0"/>
      <c r="AT323" s="0"/>
      <c r="AU323" s="0"/>
      <c r="AV323" s="0"/>
      <c r="AW323" s="0"/>
      <c r="AX323" s="0"/>
      <c r="AY323" s="0"/>
      <c r="AZ323" s="0"/>
      <c r="BA323" s="0"/>
      <c r="BB323" s="0"/>
    </row>
    <row r="324" customFormat="false" ht="12.75" hidden="false" customHeight="false" outlineLevel="0" collapsed="false">
      <c r="A324" s="0"/>
      <c r="B324" s="0"/>
      <c r="C324" s="0"/>
      <c r="D324" s="0"/>
      <c r="E324" s="0"/>
      <c r="F324" s="0"/>
      <c r="G324" s="0"/>
      <c r="H324" s="161" t="n">
        <v>0</v>
      </c>
      <c r="I324" s="0"/>
      <c r="J324" s="0"/>
      <c r="K324" s="0"/>
      <c r="L324" s="0"/>
      <c r="M324" s="0"/>
      <c r="N324" s="0"/>
      <c r="O324" s="0"/>
      <c r="P324" s="0"/>
      <c r="Q324" s="0"/>
      <c r="R324" s="0"/>
      <c r="S324" s="0"/>
      <c r="T324" s="0"/>
      <c r="U324" s="0"/>
      <c r="V324" s="0"/>
      <c r="W324" s="0"/>
      <c r="X324" s="0"/>
      <c r="Y324" s="0"/>
      <c r="Z324" s="0"/>
      <c r="AA324" s="0"/>
      <c r="AB324" s="0"/>
      <c r="AC324" s="0"/>
      <c r="AD324" s="0"/>
      <c r="AE324" s="0"/>
      <c r="AF324" s="0"/>
      <c r="AG324" s="0"/>
      <c r="AH324" s="0"/>
      <c r="AI324" s="0"/>
      <c r="AJ324" s="0"/>
      <c r="AK324" s="0"/>
      <c r="AL324" s="0"/>
      <c r="AM324" s="0"/>
      <c r="AN324" s="0"/>
      <c r="AO324" s="0"/>
      <c r="AP324" s="0"/>
      <c r="AQ324" s="0"/>
      <c r="AR324" s="0"/>
      <c r="AS324" s="0"/>
      <c r="AT324" s="0"/>
      <c r="AU324" s="0"/>
      <c r="AV324" s="0"/>
      <c r="AW324" s="0"/>
      <c r="AX324" s="0"/>
      <c r="AY324" s="0"/>
      <c r="AZ324" s="0"/>
      <c r="BA324" s="0"/>
      <c r="BB324" s="0"/>
    </row>
    <row r="325" customFormat="false" ht="12.75" hidden="false" customHeight="false" outlineLevel="0" collapsed="false">
      <c r="A325" s="0"/>
      <c r="B325" s="0"/>
      <c r="C325" s="0"/>
      <c r="D325" s="0"/>
      <c r="E325" s="0"/>
      <c r="F325" s="0"/>
      <c r="G325" s="0"/>
      <c r="H325" s="161" t="n">
        <v>0</v>
      </c>
      <c r="I325" s="0"/>
      <c r="J325" s="0"/>
      <c r="K325" s="0"/>
      <c r="L325" s="0"/>
      <c r="M325" s="0"/>
      <c r="N325" s="0"/>
      <c r="O325" s="0"/>
      <c r="P325" s="0"/>
      <c r="Q325" s="0"/>
      <c r="R325" s="0"/>
      <c r="S325" s="0"/>
      <c r="T325" s="0"/>
      <c r="U325" s="0"/>
      <c r="V325" s="0"/>
      <c r="W325" s="0"/>
      <c r="X325" s="0"/>
      <c r="Y325" s="0"/>
      <c r="Z325" s="0"/>
      <c r="AA325" s="0"/>
      <c r="AB325" s="0"/>
      <c r="AC325" s="0"/>
      <c r="AD325" s="0"/>
      <c r="AE325" s="0"/>
      <c r="AF325" s="0"/>
      <c r="AG325" s="0"/>
      <c r="AH325" s="0"/>
      <c r="AI325" s="0"/>
      <c r="AJ325" s="0"/>
      <c r="AK325" s="0"/>
      <c r="AL325" s="0"/>
      <c r="AM325" s="0"/>
      <c r="AN325" s="0"/>
      <c r="AO325" s="0"/>
      <c r="AP325" s="0"/>
      <c r="AQ325" s="0"/>
      <c r="AR325" s="0"/>
      <c r="AS325" s="0"/>
      <c r="AT325" s="0"/>
      <c r="AU325" s="0"/>
      <c r="AV325" s="0"/>
      <c r="AW325" s="0"/>
      <c r="AX325" s="0"/>
      <c r="AY325" s="0"/>
      <c r="AZ325" s="0"/>
      <c r="BA325" s="0"/>
      <c r="BB325" s="0"/>
    </row>
    <row r="326" customFormat="false" ht="12.75" hidden="false" customHeight="false" outlineLevel="0" collapsed="false">
      <c r="A326" s="0"/>
      <c r="B326" s="0"/>
      <c r="C326" s="0"/>
      <c r="D326" s="0"/>
      <c r="E326" s="0"/>
      <c r="F326" s="0"/>
      <c r="G326" s="0"/>
      <c r="H326" s="161" t="n">
        <v>0</v>
      </c>
      <c r="I326" s="0"/>
      <c r="J326" s="0"/>
      <c r="K326" s="0"/>
      <c r="L326" s="0"/>
      <c r="M326" s="0"/>
      <c r="N326" s="0"/>
      <c r="O326" s="0"/>
      <c r="P326" s="0"/>
      <c r="Q326" s="0"/>
      <c r="R326" s="0"/>
      <c r="S326" s="0"/>
      <c r="T326" s="0"/>
      <c r="U326" s="0"/>
      <c r="V326" s="0"/>
      <c r="W326" s="0"/>
      <c r="X326" s="0"/>
      <c r="Y326" s="0"/>
      <c r="Z326" s="0"/>
      <c r="AA326" s="0"/>
      <c r="AB326" s="0"/>
      <c r="AC326" s="0"/>
      <c r="AD326" s="0"/>
      <c r="AE326" s="0"/>
      <c r="AF326" s="0"/>
      <c r="AG326" s="0"/>
      <c r="AH326" s="0"/>
      <c r="AI326" s="0"/>
      <c r="AJ326" s="0"/>
      <c r="AK326" s="0"/>
      <c r="AL326" s="0"/>
      <c r="AM326" s="0"/>
      <c r="AN326" s="0"/>
      <c r="AO326" s="0"/>
      <c r="AP326" s="0"/>
      <c r="AQ326" s="0"/>
      <c r="AR326" s="0"/>
      <c r="AS326" s="0"/>
      <c r="AT326" s="0"/>
      <c r="AU326" s="0"/>
      <c r="AV326" s="0"/>
      <c r="AW326" s="0"/>
      <c r="AX326" s="0"/>
      <c r="AY326" s="0"/>
      <c r="AZ326" s="0"/>
      <c r="BA326" s="0"/>
      <c r="BB326" s="0"/>
    </row>
    <row r="327" customFormat="false" ht="12.75" hidden="false" customHeight="false" outlineLevel="0" collapsed="false">
      <c r="A327" s="0"/>
      <c r="B327" s="0"/>
      <c r="C327" s="0"/>
      <c r="D327" s="0"/>
      <c r="E327" s="0"/>
      <c r="F327" s="0"/>
      <c r="G327" s="0"/>
      <c r="H327" s="161" t="n">
        <v>0</v>
      </c>
      <c r="I327" s="0"/>
      <c r="J327" s="0"/>
      <c r="K327" s="0"/>
      <c r="L327" s="0"/>
      <c r="M327" s="0"/>
      <c r="N327" s="0"/>
      <c r="O327" s="0"/>
      <c r="P327" s="0"/>
      <c r="Q327" s="0"/>
      <c r="R327" s="0"/>
      <c r="S327" s="0"/>
      <c r="T327" s="0"/>
      <c r="U327" s="0"/>
      <c r="V327" s="0"/>
      <c r="W327" s="0"/>
      <c r="X327" s="0"/>
      <c r="Y327" s="0"/>
      <c r="Z327" s="0"/>
      <c r="AA327" s="0"/>
      <c r="AB327" s="0"/>
      <c r="AC327" s="0"/>
      <c r="AD327" s="0"/>
      <c r="AE327" s="0"/>
      <c r="AF327" s="0"/>
      <c r="AG327" s="0"/>
      <c r="AH327" s="0"/>
      <c r="AI327" s="0"/>
      <c r="AJ327" s="0"/>
      <c r="AK327" s="0"/>
      <c r="AL327" s="0"/>
      <c r="AM327" s="0"/>
      <c r="AN327" s="0"/>
      <c r="AO327" s="0"/>
      <c r="AP327" s="0"/>
      <c r="AQ327" s="0"/>
      <c r="AR327" s="0"/>
      <c r="AS327" s="0"/>
      <c r="AT327" s="0"/>
      <c r="AU327" s="0"/>
      <c r="AV327" s="0"/>
      <c r="AW327" s="0"/>
      <c r="AX327" s="0"/>
      <c r="AY327" s="0"/>
      <c r="AZ327" s="0"/>
      <c r="BA327" s="0"/>
      <c r="BB327" s="0"/>
    </row>
    <row r="328" customFormat="false" ht="12.75" hidden="false" customHeight="false" outlineLevel="0" collapsed="false">
      <c r="A328" s="0"/>
      <c r="B328" s="0"/>
      <c r="C328" s="0"/>
      <c r="D328" s="0"/>
      <c r="E328" s="0"/>
      <c r="F328" s="0"/>
      <c r="G328" s="0"/>
      <c r="H328" s="161" t="n">
        <v>0</v>
      </c>
      <c r="I328" s="0"/>
      <c r="J328" s="0"/>
      <c r="K328" s="0"/>
      <c r="L328" s="0"/>
      <c r="M328" s="0"/>
      <c r="N328" s="0"/>
      <c r="O328" s="0"/>
      <c r="P328" s="0"/>
      <c r="Q328" s="0"/>
      <c r="R328" s="0"/>
      <c r="S328" s="0"/>
      <c r="T328" s="0"/>
      <c r="U328" s="0"/>
      <c r="V328" s="0"/>
      <c r="W328" s="0"/>
      <c r="X328" s="0"/>
      <c r="Y328" s="0"/>
      <c r="Z328" s="0"/>
      <c r="AA328" s="0"/>
      <c r="AB328" s="0"/>
      <c r="AC328" s="0"/>
      <c r="AD328" s="0"/>
      <c r="AE328" s="0"/>
      <c r="AF328" s="0"/>
      <c r="AG328" s="0"/>
      <c r="AH328" s="0"/>
      <c r="AI328" s="0"/>
      <c r="AJ328" s="0"/>
      <c r="AK328" s="0"/>
      <c r="AL328" s="0"/>
      <c r="AM328" s="0"/>
      <c r="AN328" s="0"/>
      <c r="AO328" s="0"/>
      <c r="AP328" s="0"/>
      <c r="AQ328" s="0"/>
      <c r="AR328" s="0"/>
      <c r="AS328" s="0"/>
      <c r="AT328" s="0"/>
      <c r="AU328" s="0"/>
      <c r="AV328" s="0"/>
      <c r="AW328" s="0"/>
      <c r="AX328" s="0"/>
      <c r="AY328" s="0"/>
      <c r="AZ328" s="0"/>
      <c r="BA328" s="0"/>
      <c r="BB328" s="0"/>
    </row>
    <row r="329" customFormat="false" ht="12.75" hidden="false" customHeight="false" outlineLevel="0" collapsed="false">
      <c r="A329" s="0"/>
      <c r="B329" s="0"/>
      <c r="C329" s="0"/>
      <c r="D329" s="0"/>
      <c r="E329" s="0"/>
      <c r="F329" s="0"/>
      <c r="G329" s="0"/>
      <c r="H329" s="161" t="n">
        <v>0</v>
      </c>
      <c r="I329" s="0"/>
      <c r="J329" s="0"/>
      <c r="K329" s="0"/>
      <c r="L329" s="0"/>
      <c r="M329" s="0"/>
      <c r="N329" s="0"/>
      <c r="O329" s="0"/>
      <c r="P329" s="0"/>
      <c r="Q329" s="0"/>
      <c r="R329" s="0"/>
      <c r="S329" s="0"/>
      <c r="T329" s="0"/>
      <c r="U329" s="0"/>
      <c r="V329" s="0"/>
      <c r="W329" s="0"/>
      <c r="X329" s="0"/>
      <c r="Y329" s="0"/>
      <c r="Z329" s="0"/>
      <c r="AA329" s="0"/>
      <c r="AB329" s="0"/>
      <c r="AC329" s="0"/>
      <c r="AD329" s="0"/>
      <c r="AE329" s="0"/>
      <c r="AF329" s="0"/>
      <c r="AG329" s="0"/>
      <c r="AH329" s="0"/>
      <c r="AI329" s="0"/>
      <c r="AJ329" s="0"/>
      <c r="AK329" s="0"/>
      <c r="AL329" s="0"/>
      <c r="AM329" s="0"/>
      <c r="AN329" s="0"/>
      <c r="AO329" s="0"/>
      <c r="AP329" s="0"/>
      <c r="AQ329" s="0"/>
      <c r="AR329" s="0"/>
      <c r="AS329" s="0"/>
      <c r="AT329" s="0"/>
      <c r="AU329" s="0"/>
      <c r="AV329" s="0"/>
      <c r="AW329" s="0"/>
      <c r="AX329" s="0"/>
      <c r="AY329" s="0"/>
      <c r="AZ329" s="0"/>
      <c r="BA329" s="0"/>
      <c r="BB329" s="0"/>
    </row>
    <row r="330" customFormat="false" ht="12.75" hidden="false" customHeight="false" outlineLevel="0" collapsed="false">
      <c r="A330" s="0"/>
      <c r="B330" s="0"/>
      <c r="C330" s="0"/>
      <c r="D330" s="0"/>
      <c r="E330" s="0"/>
      <c r="F330" s="0"/>
      <c r="G330" s="0"/>
      <c r="H330" s="161" t="n">
        <v>0</v>
      </c>
      <c r="I330" s="0"/>
      <c r="J330" s="0"/>
      <c r="K330" s="0"/>
      <c r="L330" s="0"/>
      <c r="M330" s="0"/>
      <c r="N330" s="0"/>
      <c r="O330" s="0"/>
      <c r="P330" s="0"/>
      <c r="Q330" s="0"/>
      <c r="R330" s="0"/>
      <c r="S330" s="0"/>
      <c r="T330" s="0"/>
      <c r="U330" s="0"/>
      <c r="V330" s="0"/>
      <c r="W330" s="0"/>
      <c r="X330" s="0"/>
      <c r="Y330" s="0"/>
      <c r="Z330" s="0"/>
      <c r="AA330" s="0"/>
      <c r="AB330" s="0"/>
      <c r="AC330" s="0"/>
      <c r="AD330" s="0"/>
      <c r="AE330" s="0"/>
      <c r="AF330" s="0"/>
      <c r="AG330" s="0"/>
      <c r="AH330" s="0"/>
      <c r="AI330" s="0"/>
      <c r="AJ330" s="0"/>
      <c r="AK330" s="0"/>
      <c r="AL330" s="0"/>
      <c r="AM330" s="0"/>
      <c r="AN330" s="0"/>
      <c r="AO330" s="0"/>
      <c r="AP330" s="0"/>
      <c r="AQ330" s="0"/>
      <c r="AR330" s="0"/>
      <c r="AS330" s="0"/>
      <c r="AT330" s="0"/>
      <c r="AU330" s="0"/>
      <c r="AV330" s="0"/>
      <c r="AW330" s="0"/>
      <c r="AX330" s="0"/>
      <c r="AY330" s="0"/>
      <c r="AZ330" s="0"/>
      <c r="BA330" s="0"/>
      <c r="BB330" s="0"/>
    </row>
    <row r="331" customFormat="false" ht="12.75" hidden="false" customHeight="false" outlineLevel="0" collapsed="false">
      <c r="A331" s="0"/>
      <c r="B331" s="0"/>
      <c r="C331" s="0"/>
      <c r="D331" s="0"/>
      <c r="E331" s="0"/>
      <c r="F331" s="0"/>
      <c r="G331" s="0"/>
      <c r="H331" s="161" t="n">
        <v>0</v>
      </c>
      <c r="I331" s="0"/>
      <c r="J331" s="0"/>
      <c r="K331" s="0"/>
      <c r="L331" s="0"/>
      <c r="M331" s="0"/>
      <c r="N331" s="0"/>
      <c r="O331" s="0"/>
      <c r="P331" s="0"/>
      <c r="Q331" s="0"/>
      <c r="R331" s="0"/>
      <c r="S331" s="0"/>
      <c r="T331" s="0"/>
      <c r="U331" s="0"/>
      <c r="V331" s="0"/>
      <c r="W331" s="0"/>
      <c r="X331" s="0"/>
      <c r="Y331" s="0"/>
      <c r="Z331" s="0"/>
      <c r="AA331" s="0"/>
      <c r="AB331" s="0"/>
      <c r="AC331" s="0"/>
      <c r="AD331" s="0"/>
      <c r="AE331" s="0"/>
      <c r="AF331" s="0"/>
      <c r="AG331" s="0"/>
      <c r="AH331" s="0"/>
      <c r="AI331" s="0"/>
      <c r="AJ331" s="0"/>
      <c r="AK331" s="0"/>
      <c r="AL331" s="0"/>
      <c r="AM331" s="0"/>
      <c r="AN331" s="0"/>
      <c r="AO331" s="0"/>
      <c r="AP331" s="0"/>
      <c r="AQ331" s="0"/>
      <c r="AR331" s="0"/>
      <c r="AS331" s="0"/>
      <c r="AT331" s="0"/>
      <c r="AU331" s="0"/>
      <c r="AV331" s="0"/>
      <c r="AW331" s="0"/>
      <c r="AX331" s="0"/>
      <c r="AY331" s="0"/>
      <c r="AZ331" s="0"/>
      <c r="BA331" s="0"/>
      <c r="BB331" s="0"/>
    </row>
    <row r="332" customFormat="false" ht="12.75" hidden="false" customHeight="false" outlineLevel="0" collapsed="false">
      <c r="A332" s="0"/>
      <c r="B332" s="0"/>
      <c r="C332" s="0"/>
      <c r="D332" s="0"/>
      <c r="E332" s="0"/>
      <c r="F332" s="0"/>
      <c r="G332" s="0"/>
      <c r="H332" s="161" t="n">
        <v>0</v>
      </c>
      <c r="I332" s="0"/>
      <c r="J332" s="0"/>
      <c r="K332" s="0"/>
      <c r="L332" s="0"/>
      <c r="M332" s="0"/>
      <c r="N332" s="0"/>
      <c r="O332" s="0"/>
      <c r="P332" s="0"/>
      <c r="Q332" s="0"/>
      <c r="R332" s="0"/>
      <c r="S332" s="0"/>
      <c r="T332" s="0"/>
      <c r="U332" s="0"/>
      <c r="V332" s="0"/>
      <c r="W332" s="0"/>
      <c r="X332" s="0"/>
      <c r="Y332" s="0"/>
      <c r="Z332" s="0"/>
      <c r="AA332" s="0"/>
      <c r="AB332" s="0"/>
      <c r="AC332" s="0"/>
      <c r="AD332" s="0"/>
      <c r="AE332" s="0"/>
      <c r="AF332" s="0"/>
      <c r="AG332" s="0"/>
      <c r="AH332" s="0"/>
      <c r="AI332" s="0"/>
      <c r="AJ332" s="0"/>
      <c r="AK332" s="0"/>
      <c r="AL332" s="0"/>
      <c r="AM332" s="0"/>
      <c r="AN332" s="0"/>
      <c r="AO332" s="0"/>
      <c r="AP332" s="0"/>
      <c r="AQ332" s="0"/>
      <c r="AR332" s="0"/>
      <c r="AS332" s="0"/>
      <c r="AT332" s="0"/>
      <c r="AU332" s="0"/>
      <c r="AV332" s="0"/>
      <c r="AW332" s="0"/>
      <c r="AX332" s="0"/>
      <c r="AY332" s="0"/>
      <c r="AZ332" s="0"/>
      <c r="BA332" s="0"/>
      <c r="BB332" s="0"/>
    </row>
    <row r="333" customFormat="false" ht="12.75" hidden="false" customHeight="false" outlineLevel="0" collapsed="false">
      <c r="A333" s="0"/>
      <c r="B333" s="0"/>
      <c r="C333" s="0"/>
      <c r="D333" s="0"/>
      <c r="E333" s="0"/>
      <c r="F333" s="0"/>
      <c r="G333" s="0"/>
      <c r="H333" s="161" t="n">
        <v>0</v>
      </c>
      <c r="I333" s="0"/>
      <c r="J333" s="0"/>
      <c r="K333" s="0"/>
      <c r="L333" s="0"/>
      <c r="M333" s="0"/>
      <c r="N333" s="0"/>
      <c r="O333" s="0"/>
      <c r="P333" s="0"/>
      <c r="Q333" s="0"/>
      <c r="R333" s="0"/>
      <c r="S333" s="0"/>
      <c r="T333" s="0"/>
      <c r="U333" s="0"/>
      <c r="V333" s="0"/>
      <c r="W333" s="0"/>
      <c r="X333" s="0"/>
      <c r="Y333" s="0"/>
      <c r="Z333" s="0"/>
      <c r="AA333" s="0"/>
      <c r="AB333" s="0"/>
      <c r="AC333" s="0"/>
      <c r="AD333" s="0"/>
      <c r="AE333" s="0"/>
      <c r="AF333" s="0"/>
      <c r="AG333" s="0"/>
      <c r="AH333" s="0"/>
      <c r="AI333" s="0"/>
      <c r="AJ333" s="0"/>
      <c r="AK333" s="0"/>
      <c r="AL333" s="0"/>
      <c r="AM333" s="0"/>
      <c r="AN333" s="0"/>
      <c r="AO333" s="0"/>
      <c r="AP333" s="0"/>
      <c r="AQ333" s="0"/>
      <c r="AR333" s="0"/>
      <c r="AS333" s="0"/>
      <c r="AT333" s="0"/>
      <c r="AU333" s="0"/>
      <c r="AV333" s="0"/>
      <c r="AW333" s="0"/>
      <c r="AX333" s="0"/>
      <c r="AY333" s="0"/>
      <c r="AZ333" s="0"/>
      <c r="BA333" s="0"/>
      <c r="BB333" s="0"/>
    </row>
    <row r="334" customFormat="false" ht="12.75" hidden="false" customHeight="false" outlineLevel="0" collapsed="false">
      <c r="A334" s="0"/>
      <c r="B334" s="0"/>
      <c r="C334" s="0"/>
      <c r="D334" s="0"/>
      <c r="E334" s="0"/>
      <c r="F334" s="0"/>
      <c r="G334" s="0"/>
      <c r="H334" s="161" t="n">
        <v>0</v>
      </c>
      <c r="I334" s="0"/>
      <c r="J334" s="0"/>
      <c r="K334" s="0"/>
      <c r="L334" s="0"/>
      <c r="M334" s="0"/>
      <c r="N334" s="0"/>
      <c r="O334" s="0"/>
      <c r="P334" s="0"/>
      <c r="Q334" s="0"/>
      <c r="R334" s="0"/>
      <c r="S334" s="0"/>
      <c r="T334" s="0"/>
      <c r="U334" s="0"/>
      <c r="V334" s="0"/>
      <c r="W334" s="0"/>
      <c r="X334" s="0"/>
      <c r="Y334" s="0"/>
      <c r="Z334" s="0"/>
      <c r="AA334" s="0"/>
      <c r="AB334" s="0"/>
      <c r="AC334" s="0"/>
      <c r="AD334" s="0"/>
      <c r="AE334" s="0"/>
      <c r="AF334" s="0"/>
      <c r="AG334" s="0"/>
      <c r="AH334" s="0"/>
      <c r="AI334" s="0"/>
      <c r="AJ334" s="0"/>
      <c r="AK334" s="0"/>
      <c r="AL334" s="0"/>
      <c r="AM334" s="0"/>
      <c r="AN334" s="0"/>
      <c r="AO334" s="0"/>
      <c r="AP334" s="0"/>
      <c r="AQ334" s="0"/>
      <c r="AR334" s="0"/>
      <c r="AS334" s="0"/>
      <c r="AT334" s="0"/>
      <c r="AU334" s="0"/>
      <c r="AV334" s="0"/>
      <c r="AW334" s="0"/>
      <c r="AX334" s="0"/>
      <c r="AY334" s="0"/>
      <c r="AZ334" s="0"/>
      <c r="BA334" s="0"/>
      <c r="BB334" s="0"/>
    </row>
    <row r="335" customFormat="false" ht="12.75" hidden="false" customHeight="false" outlineLevel="0" collapsed="false">
      <c r="A335" s="0"/>
      <c r="B335" s="0"/>
      <c r="C335" s="0"/>
      <c r="D335" s="0"/>
      <c r="E335" s="0"/>
      <c r="F335" s="0"/>
      <c r="G335" s="0"/>
      <c r="H335" s="161" t="n">
        <v>0</v>
      </c>
      <c r="I335" s="0"/>
      <c r="J335" s="0"/>
      <c r="K335" s="0"/>
      <c r="L335" s="0"/>
      <c r="M335" s="0"/>
      <c r="N335" s="0"/>
      <c r="O335" s="0"/>
      <c r="P335" s="0"/>
      <c r="Q335" s="0"/>
      <c r="R335" s="0"/>
      <c r="S335" s="0"/>
      <c r="T335" s="0"/>
      <c r="U335" s="0"/>
      <c r="V335" s="0"/>
      <c r="W335" s="0"/>
      <c r="X335" s="0"/>
      <c r="Y335" s="0"/>
      <c r="Z335" s="0"/>
      <c r="AA335" s="0"/>
      <c r="AB335" s="0"/>
      <c r="AC335" s="0"/>
      <c r="AD335" s="0"/>
      <c r="AE335" s="0"/>
      <c r="AF335" s="0"/>
      <c r="AG335" s="0"/>
      <c r="AH335" s="0"/>
      <c r="AI335" s="0"/>
      <c r="AJ335" s="0"/>
      <c r="AK335" s="0"/>
      <c r="AL335" s="0"/>
      <c r="AM335" s="0"/>
      <c r="AN335" s="0"/>
      <c r="AO335" s="0"/>
      <c r="AP335" s="0"/>
      <c r="AQ335" s="0"/>
      <c r="AR335" s="0"/>
      <c r="AS335" s="0"/>
      <c r="AT335" s="0"/>
      <c r="AU335" s="0"/>
      <c r="AV335" s="0"/>
      <c r="AW335" s="0"/>
      <c r="AX335" s="0"/>
      <c r="AY335" s="0"/>
      <c r="AZ335" s="0"/>
      <c r="BA335" s="0"/>
      <c r="BB335" s="0"/>
    </row>
    <row r="336" customFormat="false" ht="12.75" hidden="false" customHeight="false" outlineLevel="0" collapsed="false">
      <c r="A336" s="0"/>
      <c r="B336" s="0"/>
      <c r="C336" s="0"/>
      <c r="D336" s="0"/>
      <c r="E336" s="0"/>
      <c r="F336" s="0"/>
      <c r="G336" s="0"/>
      <c r="H336" s="161" t="n">
        <v>0</v>
      </c>
      <c r="I336" s="0"/>
      <c r="J336" s="0"/>
      <c r="K336" s="0"/>
      <c r="L336" s="0"/>
      <c r="M336" s="0"/>
      <c r="N336" s="0"/>
      <c r="O336" s="0"/>
      <c r="P336" s="0"/>
      <c r="Q336" s="0"/>
      <c r="R336" s="0"/>
      <c r="S336" s="0"/>
      <c r="T336" s="0"/>
      <c r="U336" s="0"/>
      <c r="V336" s="0"/>
      <c r="W336" s="0"/>
      <c r="X336" s="0"/>
      <c r="Y336" s="0"/>
      <c r="Z336" s="0"/>
      <c r="AA336" s="0"/>
      <c r="AB336" s="0"/>
      <c r="AC336" s="0"/>
      <c r="AD336" s="0"/>
      <c r="AE336" s="0"/>
      <c r="AF336" s="0"/>
      <c r="AG336" s="0"/>
      <c r="AH336" s="0"/>
      <c r="AI336" s="0"/>
      <c r="AJ336" s="0"/>
      <c r="AK336" s="0"/>
      <c r="AL336" s="0"/>
      <c r="AM336" s="0"/>
      <c r="AN336" s="0"/>
      <c r="AO336" s="0"/>
      <c r="AP336" s="0"/>
      <c r="AQ336" s="0"/>
      <c r="AR336" s="0"/>
      <c r="AS336" s="0"/>
      <c r="AT336" s="0"/>
      <c r="AU336" s="0"/>
      <c r="AV336" s="0"/>
      <c r="AW336" s="0"/>
      <c r="AX336" s="0"/>
      <c r="AY336" s="0"/>
      <c r="AZ336" s="0"/>
      <c r="BA336" s="0"/>
      <c r="BB336" s="0"/>
    </row>
    <row r="337" customFormat="false" ht="12.75" hidden="false" customHeight="false" outlineLevel="0" collapsed="false">
      <c r="A337" s="0"/>
      <c r="B337" s="0"/>
      <c r="C337" s="0"/>
      <c r="D337" s="0"/>
      <c r="E337" s="0"/>
      <c r="F337" s="0"/>
      <c r="G337" s="0"/>
      <c r="H337" s="161" t="n">
        <v>0</v>
      </c>
      <c r="I337" s="0"/>
      <c r="J337" s="0"/>
      <c r="K337" s="0"/>
      <c r="L337" s="0"/>
      <c r="M337" s="0"/>
      <c r="N337" s="0"/>
      <c r="O337" s="0"/>
      <c r="P337" s="0"/>
      <c r="Q337" s="0"/>
      <c r="R337" s="0"/>
      <c r="S337" s="0"/>
      <c r="T337" s="0"/>
      <c r="U337" s="0"/>
      <c r="V337" s="0"/>
      <c r="W337" s="0"/>
      <c r="X337" s="0"/>
      <c r="Y337" s="0"/>
      <c r="Z337" s="0"/>
      <c r="AA337" s="0"/>
      <c r="AB337" s="0"/>
      <c r="AC337" s="0"/>
      <c r="AD337" s="0"/>
      <c r="AE337" s="0"/>
      <c r="AF337" s="0"/>
      <c r="AG337" s="0"/>
      <c r="AH337" s="0"/>
      <c r="AI337" s="0"/>
      <c r="AJ337" s="0"/>
      <c r="AK337" s="0"/>
      <c r="AL337" s="0"/>
      <c r="AM337" s="0"/>
      <c r="AN337" s="0"/>
      <c r="AO337" s="0"/>
      <c r="AP337" s="0"/>
      <c r="AQ337" s="0"/>
      <c r="AR337" s="0"/>
      <c r="AS337" s="0"/>
      <c r="AT337" s="0"/>
      <c r="AU337" s="0"/>
      <c r="AV337" s="0"/>
      <c r="AW337" s="0"/>
      <c r="AX337" s="0"/>
      <c r="AY337" s="0"/>
      <c r="AZ337" s="0"/>
      <c r="BA337" s="0"/>
      <c r="BB337" s="0"/>
    </row>
    <row r="338" customFormat="false" ht="12.75" hidden="false" customHeight="false" outlineLevel="0" collapsed="false">
      <c r="A338" s="0"/>
      <c r="B338" s="0"/>
      <c r="C338" s="0"/>
      <c r="D338" s="0"/>
      <c r="E338" s="0"/>
      <c r="F338" s="0"/>
      <c r="G338" s="0"/>
      <c r="H338" s="161" t="n">
        <v>0</v>
      </c>
      <c r="I338" s="0"/>
      <c r="J338" s="0"/>
      <c r="K338" s="0"/>
      <c r="L338" s="0"/>
      <c r="M338" s="0"/>
      <c r="N338" s="0"/>
      <c r="O338" s="0"/>
      <c r="P338" s="0"/>
      <c r="Q338" s="0"/>
      <c r="R338" s="0"/>
      <c r="S338" s="0"/>
      <c r="T338" s="0"/>
      <c r="U338" s="0"/>
      <c r="V338" s="0"/>
      <c r="W338" s="0"/>
      <c r="X338" s="0"/>
      <c r="Y338" s="0"/>
      <c r="Z338" s="0"/>
      <c r="AA338" s="0"/>
      <c r="AB338" s="0"/>
      <c r="AC338" s="0"/>
      <c r="AD338" s="0"/>
      <c r="AE338" s="0"/>
      <c r="AF338" s="0"/>
      <c r="AG338" s="0"/>
      <c r="AH338" s="0"/>
      <c r="AI338" s="0"/>
      <c r="AJ338" s="0"/>
      <c r="AK338" s="0"/>
      <c r="AL338" s="0"/>
      <c r="AM338" s="0"/>
      <c r="AN338" s="0"/>
      <c r="AO338" s="0"/>
      <c r="AP338" s="0"/>
      <c r="AQ338" s="0"/>
      <c r="AR338" s="0"/>
      <c r="AS338" s="0"/>
      <c r="AT338" s="0"/>
      <c r="AU338" s="0"/>
      <c r="AV338" s="0"/>
      <c r="AW338" s="0"/>
      <c r="AX338" s="0"/>
      <c r="AY338" s="0"/>
      <c r="AZ338" s="0"/>
      <c r="BA338" s="0"/>
      <c r="BB338" s="0"/>
    </row>
    <row r="339" customFormat="false" ht="12.75" hidden="false" customHeight="false" outlineLevel="0" collapsed="false">
      <c r="A339" s="0"/>
      <c r="B339" s="0"/>
      <c r="C339" s="0"/>
      <c r="D339" s="0"/>
      <c r="E339" s="0"/>
      <c r="F339" s="0"/>
      <c r="G339" s="0"/>
      <c r="H339" s="161" t="n">
        <v>0</v>
      </c>
      <c r="I339" s="0"/>
      <c r="J339" s="0"/>
      <c r="K339" s="0"/>
      <c r="L339" s="0"/>
      <c r="M339" s="0"/>
      <c r="N339" s="0"/>
      <c r="O339" s="0"/>
      <c r="P339" s="0"/>
      <c r="Q339" s="0"/>
      <c r="R339" s="0"/>
      <c r="S339" s="0"/>
      <c r="T339" s="0"/>
      <c r="U339" s="0"/>
      <c r="V339" s="0"/>
      <c r="W339" s="0"/>
      <c r="X339" s="0"/>
      <c r="Y339" s="0"/>
      <c r="Z339" s="0"/>
      <c r="AA339" s="0"/>
      <c r="AB339" s="0"/>
      <c r="AC339" s="0"/>
      <c r="AD339" s="0"/>
      <c r="AE339" s="0"/>
      <c r="AF339" s="0"/>
      <c r="AG339" s="0"/>
      <c r="AH339" s="0"/>
      <c r="AI339" s="0"/>
      <c r="AJ339" s="0"/>
      <c r="AK339" s="0"/>
      <c r="AL339" s="0"/>
      <c r="AM339" s="0"/>
      <c r="AN339" s="0"/>
      <c r="AO339" s="0"/>
      <c r="AP339" s="0"/>
      <c r="AQ339" s="0"/>
      <c r="AR339" s="0"/>
      <c r="AS339" s="0"/>
      <c r="AT339" s="0"/>
      <c r="AU339" s="0"/>
      <c r="AV339" s="0"/>
      <c r="AW339" s="0"/>
      <c r="AX339" s="0"/>
      <c r="AY339" s="0"/>
      <c r="AZ339" s="0"/>
      <c r="BA339" s="0"/>
      <c r="BB339" s="0"/>
    </row>
    <row r="340" customFormat="false" ht="12.75" hidden="false" customHeight="false" outlineLevel="0" collapsed="false">
      <c r="A340" s="0"/>
      <c r="B340" s="0"/>
      <c r="C340" s="0"/>
      <c r="D340" s="0"/>
      <c r="E340" s="0"/>
      <c r="F340" s="0"/>
      <c r="G340" s="0"/>
      <c r="H340" s="161" t="n">
        <v>0</v>
      </c>
      <c r="I340" s="0"/>
      <c r="J340" s="0"/>
      <c r="K340" s="0"/>
      <c r="L340" s="0"/>
      <c r="M340" s="0"/>
      <c r="N340" s="0"/>
      <c r="O340" s="0"/>
      <c r="P340" s="0"/>
      <c r="Q340" s="0"/>
      <c r="R340" s="0"/>
      <c r="S340" s="0"/>
      <c r="T340" s="0"/>
      <c r="U340" s="0"/>
      <c r="V340" s="0"/>
      <c r="W340" s="0"/>
      <c r="X340" s="0"/>
      <c r="Y340" s="0"/>
      <c r="Z340" s="0"/>
      <c r="AA340" s="0"/>
      <c r="AB340" s="0"/>
      <c r="AC340" s="0"/>
      <c r="AD340" s="0"/>
      <c r="AE340" s="0"/>
      <c r="AF340" s="0"/>
      <c r="AG340" s="0"/>
      <c r="AH340" s="0"/>
      <c r="AI340" s="0"/>
      <c r="AJ340" s="0"/>
      <c r="AK340" s="0"/>
      <c r="AL340" s="0"/>
      <c r="AM340" s="0"/>
      <c r="AN340" s="0"/>
      <c r="AO340" s="0"/>
      <c r="AP340" s="0"/>
      <c r="AQ340" s="0"/>
      <c r="AR340" s="0"/>
      <c r="AS340" s="0"/>
      <c r="AT340" s="0"/>
      <c r="AU340" s="0"/>
      <c r="AV340" s="0"/>
      <c r="AW340" s="0"/>
      <c r="AX340" s="0"/>
      <c r="AY340" s="0"/>
      <c r="AZ340" s="0"/>
      <c r="BA340" s="0"/>
      <c r="BB340" s="0"/>
    </row>
    <row r="341" customFormat="false" ht="12.75" hidden="false" customHeight="false" outlineLevel="0" collapsed="false">
      <c r="A341" s="0"/>
      <c r="B341" s="0"/>
      <c r="C341" s="0"/>
      <c r="D341" s="0"/>
      <c r="E341" s="0"/>
      <c r="F341" s="0"/>
      <c r="G341" s="0"/>
      <c r="H341" s="161" t="n">
        <v>0</v>
      </c>
      <c r="I341" s="0"/>
      <c r="J341" s="0"/>
      <c r="K341" s="0"/>
      <c r="L341" s="0"/>
      <c r="M341" s="0"/>
      <c r="N341" s="0"/>
      <c r="O341" s="0"/>
      <c r="P341" s="0"/>
      <c r="Q341" s="0"/>
      <c r="R341" s="0"/>
      <c r="S341" s="0"/>
      <c r="T341" s="0"/>
      <c r="U341" s="0"/>
      <c r="V341" s="0"/>
      <c r="W341" s="0"/>
      <c r="X341" s="0"/>
      <c r="Y341" s="0"/>
      <c r="Z341" s="0"/>
      <c r="AA341" s="0"/>
      <c r="AB341" s="0"/>
      <c r="AC341" s="0"/>
      <c r="AD341" s="0"/>
      <c r="AE341" s="0"/>
      <c r="AF341" s="0"/>
      <c r="AG341" s="0"/>
      <c r="AH341" s="0"/>
      <c r="AI341" s="0"/>
      <c r="AJ341" s="0"/>
      <c r="AK341" s="0"/>
      <c r="AL341" s="0"/>
      <c r="AM341" s="0"/>
      <c r="AN341" s="0"/>
      <c r="AO341" s="0"/>
      <c r="AP341" s="0"/>
      <c r="AQ341" s="0"/>
      <c r="AR341" s="0"/>
      <c r="AS341" s="0"/>
      <c r="AT341" s="0"/>
      <c r="AU341" s="0"/>
      <c r="AV341" s="0"/>
      <c r="AW341" s="0"/>
      <c r="AX341" s="0"/>
      <c r="AY341" s="0"/>
      <c r="AZ341" s="0"/>
      <c r="BA341" s="0"/>
      <c r="BB341" s="0"/>
    </row>
    <row r="342" customFormat="false" ht="12.75" hidden="false" customHeight="false" outlineLevel="0" collapsed="false">
      <c r="A342" s="0"/>
      <c r="B342" s="0"/>
      <c r="C342" s="0"/>
      <c r="D342" s="0"/>
      <c r="E342" s="0"/>
      <c r="F342" s="0"/>
      <c r="G342" s="0"/>
      <c r="H342" s="161" t="n">
        <v>0</v>
      </c>
      <c r="I342" s="0"/>
      <c r="J342" s="0"/>
      <c r="K342" s="0"/>
      <c r="L342" s="0"/>
      <c r="M342" s="0"/>
      <c r="N342" s="0"/>
      <c r="O342" s="0"/>
      <c r="P342" s="0"/>
      <c r="Q342" s="0"/>
      <c r="R342" s="0"/>
      <c r="S342" s="0"/>
      <c r="T342" s="0"/>
      <c r="U342" s="0"/>
      <c r="V342" s="0"/>
      <c r="W342" s="0"/>
      <c r="X342" s="0"/>
      <c r="Y342" s="0"/>
      <c r="Z342" s="0"/>
      <c r="AA342" s="0"/>
      <c r="AB342" s="0"/>
      <c r="AC342" s="0"/>
      <c r="AD342" s="0"/>
      <c r="AE342" s="0"/>
      <c r="AF342" s="0"/>
      <c r="AG342" s="0"/>
      <c r="AH342" s="0"/>
      <c r="AI342" s="0"/>
      <c r="AJ342" s="0"/>
      <c r="AK342" s="0"/>
      <c r="AL342" s="0"/>
      <c r="AM342" s="0"/>
      <c r="AN342" s="0"/>
      <c r="AO342" s="0"/>
      <c r="AP342" s="0"/>
      <c r="AQ342" s="0"/>
      <c r="AR342" s="0"/>
      <c r="AS342" s="0"/>
      <c r="AT342" s="0"/>
      <c r="AU342" s="0"/>
      <c r="AV342" s="0"/>
      <c r="AW342" s="0"/>
      <c r="AX342" s="0"/>
      <c r="AY342" s="0"/>
      <c r="AZ342" s="0"/>
      <c r="BA342" s="0"/>
      <c r="BB342" s="0"/>
    </row>
    <row r="343" customFormat="false" ht="12.75" hidden="false" customHeight="false" outlineLevel="0" collapsed="false">
      <c r="A343" s="0"/>
      <c r="B343" s="0"/>
      <c r="C343" s="0"/>
      <c r="D343" s="0"/>
      <c r="E343" s="0"/>
      <c r="F343" s="0"/>
      <c r="G343" s="0"/>
      <c r="H343" s="161" t="n">
        <v>0</v>
      </c>
      <c r="I343" s="0"/>
      <c r="J343" s="0"/>
      <c r="K343" s="0"/>
      <c r="L343" s="0"/>
      <c r="M343" s="0"/>
      <c r="N343" s="0"/>
      <c r="O343" s="0"/>
      <c r="P343" s="0"/>
      <c r="Q343" s="0"/>
      <c r="R343" s="0"/>
      <c r="S343" s="0"/>
      <c r="T343" s="0"/>
      <c r="U343" s="0"/>
      <c r="V343" s="0"/>
      <c r="W343" s="0"/>
      <c r="X343" s="0"/>
      <c r="Y343" s="0"/>
      <c r="Z343" s="0"/>
      <c r="AA343" s="0"/>
      <c r="AB343" s="0"/>
      <c r="AC343" s="0"/>
      <c r="AD343" s="0"/>
      <c r="AE343" s="0"/>
      <c r="AF343" s="0"/>
      <c r="AG343" s="0"/>
      <c r="AH343" s="0"/>
      <c r="AI343" s="0"/>
      <c r="AJ343" s="0"/>
      <c r="AK343" s="0"/>
      <c r="AL343" s="0"/>
      <c r="AM343" s="0"/>
      <c r="AN343" s="0"/>
      <c r="AO343" s="0"/>
      <c r="AP343" s="0"/>
      <c r="AQ343" s="0"/>
      <c r="AR343" s="0"/>
      <c r="AS343" s="0"/>
      <c r="AT343" s="0"/>
      <c r="AU343" s="0"/>
      <c r="AV343" s="0"/>
      <c r="AW343" s="0"/>
      <c r="AX343" s="0"/>
      <c r="AY343" s="0"/>
      <c r="AZ343" s="0"/>
      <c r="BA343" s="0"/>
      <c r="BB343" s="0"/>
    </row>
    <row r="344" customFormat="false" ht="12.75" hidden="false" customHeight="false" outlineLevel="0" collapsed="false">
      <c r="A344" s="0"/>
      <c r="B344" s="0"/>
      <c r="C344" s="0"/>
      <c r="D344" s="0"/>
      <c r="E344" s="0"/>
      <c r="F344" s="0"/>
      <c r="G344" s="0"/>
      <c r="H344" s="161" t="n">
        <v>0</v>
      </c>
      <c r="I344" s="0"/>
      <c r="J344" s="0"/>
      <c r="K344" s="0"/>
      <c r="L344" s="0"/>
      <c r="M344" s="0"/>
      <c r="N344" s="0"/>
      <c r="O344" s="0"/>
      <c r="P344" s="0"/>
      <c r="Q344" s="0"/>
      <c r="R344" s="0"/>
      <c r="S344" s="0"/>
      <c r="T344" s="0"/>
      <c r="U344" s="0"/>
      <c r="V344" s="0"/>
      <c r="W344" s="0"/>
      <c r="X344" s="0"/>
      <c r="Y344" s="0"/>
      <c r="Z344" s="0"/>
      <c r="AA344" s="0"/>
      <c r="AB344" s="0"/>
      <c r="AC344" s="0"/>
      <c r="AD344" s="0"/>
      <c r="AE344" s="0"/>
      <c r="AF344" s="0"/>
      <c r="AG344" s="0"/>
      <c r="AH344" s="0"/>
      <c r="AI344" s="0"/>
      <c r="AJ344" s="0"/>
      <c r="AK344" s="0"/>
      <c r="AL344" s="0"/>
      <c r="AM344" s="0"/>
      <c r="AN344" s="0"/>
      <c r="AO344" s="0"/>
      <c r="AP344" s="0"/>
      <c r="AQ344" s="0"/>
      <c r="AR344" s="0"/>
      <c r="AS344" s="0"/>
      <c r="AT344" s="0"/>
      <c r="AU344" s="0"/>
      <c r="AV344" s="0"/>
      <c r="AW344" s="0"/>
      <c r="AX344" s="0"/>
      <c r="AY344" s="0"/>
      <c r="AZ344" s="0"/>
      <c r="BA344" s="0"/>
      <c r="BB344" s="0"/>
    </row>
    <row r="345" customFormat="false" ht="12.75" hidden="false" customHeight="false" outlineLevel="0" collapsed="false">
      <c r="A345" s="0"/>
      <c r="B345" s="0"/>
      <c r="C345" s="0"/>
      <c r="D345" s="0"/>
      <c r="E345" s="0"/>
      <c r="F345" s="0"/>
      <c r="G345" s="0"/>
      <c r="H345" s="161" t="n">
        <v>0</v>
      </c>
      <c r="I345" s="0"/>
      <c r="J345" s="0"/>
      <c r="K345" s="0"/>
      <c r="L345" s="0"/>
      <c r="M345" s="0"/>
      <c r="N345" s="0"/>
      <c r="O345" s="0"/>
      <c r="P345" s="0"/>
      <c r="Q345" s="0"/>
      <c r="R345" s="0"/>
      <c r="S345" s="0"/>
      <c r="T345" s="0"/>
      <c r="U345" s="0"/>
      <c r="V345" s="0"/>
      <c r="W345" s="0"/>
      <c r="X345" s="0"/>
      <c r="Y345" s="0"/>
      <c r="Z345" s="0"/>
      <c r="AA345" s="0"/>
      <c r="AB345" s="0"/>
      <c r="AC345" s="0"/>
      <c r="AD345" s="0"/>
      <c r="AE345" s="0"/>
      <c r="AF345" s="0"/>
      <c r="AG345" s="0"/>
      <c r="AH345" s="0"/>
      <c r="AI345" s="0"/>
      <c r="AJ345" s="0"/>
      <c r="AK345" s="0"/>
      <c r="AL345" s="0"/>
      <c r="AM345" s="0"/>
      <c r="AN345" s="0"/>
      <c r="AO345" s="0"/>
      <c r="AP345" s="0"/>
      <c r="AQ345" s="0"/>
      <c r="AR345" s="0"/>
      <c r="AS345" s="0"/>
      <c r="AT345" s="0"/>
      <c r="AU345" s="0"/>
      <c r="AV345" s="0"/>
      <c r="AW345" s="0"/>
      <c r="AX345" s="0"/>
      <c r="AY345" s="0"/>
      <c r="AZ345" s="0"/>
      <c r="BA345" s="0"/>
      <c r="BB345" s="0"/>
    </row>
    <row r="346" customFormat="false" ht="12.75" hidden="false" customHeight="false" outlineLevel="0" collapsed="false">
      <c r="A346" s="0"/>
      <c r="B346" s="0"/>
      <c r="C346" s="0"/>
      <c r="D346" s="0"/>
      <c r="E346" s="0"/>
      <c r="F346" s="0"/>
      <c r="G346" s="0"/>
      <c r="H346" s="161" t="n">
        <v>0</v>
      </c>
      <c r="I346" s="0"/>
      <c r="J346" s="0"/>
      <c r="K346" s="0"/>
      <c r="L346" s="0"/>
      <c r="M346" s="0"/>
      <c r="N346" s="0"/>
      <c r="O346" s="0"/>
      <c r="P346" s="0"/>
      <c r="Q346" s="0"/>
      <c r="R346" s="0"/>
      <c r="S346" s="0"/>
      <c r="T346" s="0"/>
      <c r="U346" s="0"/>
      <c r="V346" s="0"/>
      <c r="W346" s="0"/>
      <c r="X346" s="0"/>
      <c r="Y346" s="0"/>
      <c r="Z346" s="0"/>
      <c r="AA346" s="0"/>
      <c r="AB346" s="0"/>
      <c r="AC346" s="0"/>
      <c r="AD346" s="0"/>
      <c r="AE346" s="0"/>
      <c r="AF346" s="0"/>
      <c r="AG346" s="0"/>
      <c r="AH346" s="0"/>
      <c r="AI346" s="0"/>
      <c r="AJ346" s="0"/>
      <c r="AK346" s="0"/>
      <c r="AL346" s="0"/>
      <c r="AM346" s="0"/>
      <c r="AN346" s="0"/>
      <c r="AO346" s="0"/>
      <c r="AP346" s="0"/>
      <c r="AQ346" s="0"/>
      <c r="AR346" s="0"/>
      <c r="AS346" s="0"/>
      <c r="AT346" s="0"/>
      <c r="AU346" s="0"/>
      <c r="AV346" s="0"/>
      <c r="AW346" s="0"/>
      <c r="AX346" s="0"/>
      <c r="AY346" s="0"/>
      <c r="AZ346" s="0"/>
      <c r="BA346" s="0"/>
      <c r="BB346" s="0"/>
    </row>
    <row r="347" customFormat="false" ht="12.75" hidden="false" customHeight="false" outlineLevel="0" collapsed="false">
      <c r="A347" s="0"/>
      <c r="B347" s="0"/>
      <c r="C347" s="0"/>
      <c r="D347" s="0"/>
      <c r="E347" s="0"/>
      <c r="F347" s="0"/>
      <c r="G347" s="0"/>
      <c r="H347" s="161" t="n">
        <v>0</v>
      </c>
      <c r="I347" s="0"/>
      <c r="J347" s="0"/>
      <c r="K347" s="0"/>
      <c r="L347" s="0"/>
      <c r="M347" s="0"/>
      <c r="N347" s="0"/>
      <c r="O347" s="0"/>
      <c r="P347" s="0"/>
      <c r="Q347" s="0"/>
      <c r="R347" s="0"/>
      <c r="S347" s="0"/>
      <c r="T347" s="0"/>
      <c r="U347" s="0"/>
      <c r="V347" s="0"/>
      <c r="W347" s="0"/>
      <c r="X347" s="0"/>
      <c r="Y347" s="0"/>
      <c r="Z347" s="0"/>
      <c r="AA347" s="0"/>
      <c r="AB347" s="0"/>
      <c r="AC347" s="0"/>
      <c r="AD347" s="0"/>
      <c r="AE347" s="0"/>
      <c r="AF347" s="0"/>
      <c r="AG347" s="0"/>
      <c r="AH347" s="0"/>
      <c r="AI347" s="0"/>
      <c r="AJ347" s="0"/>
      <c r="AK347" s="0"/>
      <c r="AL347" s="0"/>
      <c r="AM347" s="0"/>
      <c r="AN347" s="0"/>
      <c r="AO347" s="0"/>
      <c r="AP347" s="0"/>
      <c r="AQ347" s="0"/>
      <c r="AR347" s="0"/>
      <c r="AS347" s="0"/>
      <c r="AT347" s="0"/>
      <c r="AU347" s="0"/>
      <c r="AV347" s="0"/>
      <c r="AW347" s="0"/>
      <c r="AX347" s="0"/>
      <c r="AY347" s="0"/>
      <c r="AZ347" s="0"/>
      <c r="BA347" s="0"/>
      <c r="BB347" s="0"/>
    </row>
    <row r="348" customFormat="false" ht="12.75" hidden="false" customHeight="false" outlineLevel="0" collapsed="false">
      <c r="A348" s="0"/>
      <c r="B348" s="0"/>
      <c r="C348" s="0"/>
      <c r="D348" s="0"/>
      <c r="E348" s="0"/>
      <c r="F348" s="0"/>
      <c r="G348" s="0"/>
      <c r="H348" s="161" t="n">
        <v>0</v>
      </c>
      <c r="I348" s="0"/>
      <c r="J348" s="0"/>
      <c r="K348" s="0"/>
      <c r="L348" s="0"/>
      <c r="M348" s="0"/>
      <c r="N348" s="0"/>
      <c r="O348" s="0"/>
      <c r="P348" s="0"/>
      <c r="Q348" s="0"/>
      <c r="R348" s="0"/>
      <c r="S348" s="0"/>
      <c r="T348" s="0"/>
      <c r="U348" s="0"/>
      <c r="V348" s="0"/>
      <c r="W348" s="0"/>
      <c r="X348" s="0"/>
      <c r="Y348" s="0"/>
      <c r="Z348" s="0"/>
      <c r="AA348" s="0"/>
      <c r="AB348" s="0"/>
      <c r="AC348" s="0"/>
      <c r="AD348" s="0"/>
      <c r="AE348" s="0"/>
      <c r="AF348" s="0"/>
      <c r="AG348" s="0"/>
      <c r="AH348" s="0"/>
      <c r="AI348" s="0"/>
      <c r="AJ348" s="0"/>
      <c r="AK348" s="0"/>
      <c r="AL348" s="0"/>
      <c r="AM348" s="0"/>
      <c r="AN348" s="0"/>
      <c r="AO348" s="0"/>
      <c r="AP348" s="0"/>
      <c r="AQ348" s="0"/>
      <c r="AR348" s="0"/>
      <c r="AS348" s="0"/>
      <c r="AT348" s="0"/>
      <c r="AU348" s="0"/>
      <c r="AV348" s="0"/>
      <c r="AW348" s="0"/>
      <c r="AX348" s="0"/>
      <c r="AY348" s="0"/>
      <c r="AZ348" s="0"/>
      <c r="BA348" s="0"/>
      <c r="BB348" s="0"/>
    </row>
    <row r="349" customFormat="false" ht="12.75" hidden="false" customHeight="false" outlineLevel="0" collapsed="false">
      <c r="A349" s="0"/>
      <c r="B349" s="0"/>
      <c r="C349" s="0"/>
      <c r="D349" s="0"/>
      <c r="E349" s="0"/>
      <c r="F349" s="0"/>
      <c r="G349" s="0"/>
      <c r="H349" s="161" t="n">
        <v>0</v>
      </c>
      <c r="I349" s="0"/>
      <c r="J349" s="0"/>
      <c r="K349" s="0"/>
      <c r="L349" s="0"/>
      <c r="M349" s="0"/>
      <c r="N349" s="0"/>
      <c r="O349" s="0"/>
      <c r="P349" s="0"/>
      <c r="Q349" s="0"/>
      <c r="R349" s="0"/>
      <c r="S349" s="0"/>
      <c r="T349" s="0"/>
      <c r="U349" s="0"/>
      <c r="V349" s="0"/>
      <c r="W349" s="0"/>
      <c r="X349" s="0"/>
      <c r="Y349" s="0"/>
      <c r="Z349" s="0"/>
      <c r="AA349" s="0"/>
      <c r="AB349" s="0"/>
      <c r="AC349" s="0"/>
      <c r="AD349" s="0"/>
      <c r="AE349" s="0"/>
      <c r="AF349" s="0"/>
      <c r="AG349" s="0"/>
      <c r="AH349" s="0"/>
      <c r="AI349" s="0"/>
      <c r="AJ349" s="0"/>
      <c r="AK349" s="0"/>
      <c r="AL349" s="0"/>
      <c r="AM349" s="0"/>
      <c r="AN349" s="0"/>
      <c r="AO349" s="0"/>
      <c r="AP349" s="0"/>
      <c r="AQ349" s="0"/>
      <c r="AR349" s="0"/>
      <c r="AS349" s="0"/>
      <c r="AT349" s="0"/>
      <c r="AU349" s="0"/>
      <c r="AV349" s="0"/>
      <c r="AW349" s="0"/>
      <c r="AX349" s="0"/>
      <c r="AY349" s="0"/>
      <c r="AZ349" s="0"/>
      <c r="BA349" s="0"/>
      <c r="BB349" s="0"/>
    </row>
    <row r="350" customFormat="false" ht="12.75" hidden="false" customHeight="false" outlineLevel="0" collapsed="false">
      <c r="A350" s="0"/>
      <c r="B350" s="0"/>
      <c r="C350" s="0"/>
      <c r="D350" s="0"/>
      <c r="E350" s="0"/>
      <c r="F350" s="0"/>
      <c r="G350" s="0"/>
      <c r="H350" s="161" t="n">
        <v>0</v>
      </c>
      <c r="I350" s="0"/>
      <c r="J350" s="0"/>
      <c r="K350" s="0"/>
      <c r="L350" s="0"/>
      <c r="M350" s="0"/>
      <c r="N350" s="0"/>
      <c r="O350" s="0"/>
      <c r="P350" s="0"/>
      <c r="Q350" s="0"/>
      <c r="R350" s="0"/>
      <c r="S350" s="0"/>
      <c r="T350" s="0"/>
      <c r="U350" s="0"/>
      <c r="V350" s="0"/>
      <c r="W350" s="0"/>
      <c r="X350" s="0"/>
      <c r="Y350" s="0"/>
      <c r="Z350" s="0"/>
      <c r="AA350" s="0"/>
      <c r="AB350" s="0"/>
      <c r="AC350" s="0"/>
      <c r="AD350" s="0"/>
      <c r="AE350" s="0"/>
      <c r="AF350" s="0"/>
      <c r="AG350" s="0"/>
      <c r="AH350" s="0"/>
      <c r="AI350" s="0"/>
      <c r="AJ350" s="0"/>
      <c r="AK350" s="0"/>
      <c r="AL350" s="0"/>
      <c r="AM350" s="0"/>
      <c r="AN350" s="0"/>
      <c r="AO350" s="0"/>
      <c r="AP350" s="0"/>
      <c r="AQ350" s="0"/>
      <c r="AR350" s="0"/>
      <c r="AS350" s="0"/>
      <c r="AT350" s="0"/>
      <c r="AU350" s="0"/>
      <c r="AV350" s="0"/>
      <c r="AW350" s="0"/>
      <c r="AX350" s="0"/>
      <c r="AY350" s="0"/>
      <c r="AZ350" s="0"/>
      <c r="BA350" s="0"/>
      <c r="BB350" s="0"/>
    </row>
    <row r="351" customFormat="false" ht="12.75" hidden="false" customHeight="false" outlineLevel="0" collapsed="false">
      <c r="A351" s="0"/>
      <c r="B351" s="0"/>
      <c r="C351" s="0"/>
      <c r="D351" s="0"/>
      <c r="E351" s="0"/>
      <c r="F351" s="0"/>
      <c r="G351" s="0"/>
      <c r="H351" s="161" t="n">
        <v>0</v>
      </c>
      <c r="I351" s="0"/>
      <c r="J351" s="0"/>
      <c r="K351" s="0"/>
      <c r="L351" s="0"/>
      <c r="M351" s="0"/>
      <c r="N351" s="0"/>
      <c r="O351" s="0"/>
      <c r="P351" s="0"/>
      <c r="Q351" s="0"/>
      <c r="R351" s="0"/>
      <c r="S351" s="0"/>
      <c r="T351" s="0"/>
      <c r="U351" s="0"/>
      <c r="V351" s="0"/>
      <c r="W351" s="0"/>
      <c r="X351" s="0"/>
      <c r="Y351" s="0"/>
      <c r="Z351" s="0"/>
      <c r="AA351" s="0"/>
      <c r="AB351" s="0"/>
      <c r="AC351" s="0"/>
      <c r="AD351" s="0"/>
      <c r="AE351" s="0"/>
      <c r="AF351" s="0"/>
      <c r="AG351" s="0"/>
      <c r="AH351" s="0"/>
      <c r="AI351" s="0"/>
      <c r="AJ351" s="0"/>
      <c r="AK351" s="0"/>
      <c r="AL351" s="0"/>
      <c r="AM351" s="0"/>
      <c r="AN351" s="0"/>
      <c r="AO351" s="0"/>
      <c r="AP351" s="0"/>
      <c r="AQ351" s="0"/>
      <c r="AR351" s="0"/>
      <c r="AS351" s="0"/>
      <c r="AT351" s="0"/>
      <c r="AU351" s="0"/>
      <c r="AV351" s="0"/>
      <c r="AW351" s="0"/>
      <c r="AX351" s="0"/>
      <c r="AY351" s="0"/>
      <c r="AZ351" s="0"/>
      <c r="BA351" s="0"/>
      <c r="BB351" s="0"/>
    </row>
    <row r="352" customFormat="false" ht="12.75" hidden="false" customHeight="false" outlineLevel="0" collapsed="false">
      <c r="A352" s="0"/>
      <c r="B352" s="0"/>
      <c r="C352" s="0"/>
      <c r="D352" s="0"/>
      <c r="E352" s="0"/>
      <c r="F352" s="0"/>
      <c r="G352" s="0"/>
      <c r="H352" s="161" t="n">
        <v>0</v>
      </c>
      <c r="I352" s="0"/>
      <c r="J352" s="0"/>
      <c r="K352" s="0"/>
      <c r="L352" s="0"/>
      <c r="M352" s="0"/>
      <c r="N352" s="0"/>
      <c r="O352" s="0"/>
      <c r="P352" s="0"/>
      <c r="Q352" s="0"/>
      <c r="R352" s="0"/>
      <c r="S352" s="0"/>
      <c r="T352" s="0"/>
      <c r="U352" s="0"/>
      <c r="V352" s="0"/>
      <c r="W352" s="0"/>
      <c r="X352" s="0"/>
      <c r="Y352" s="0"/>
      <c r="Z352" s="0"/>
      <c r="AA352" s="0"/>
      <c r="AB352" s="0"/>
      <c r="AC352" s="0"/>
      <c r="AD352" s="0"/>
      <c r="AE352" s="0"/>
      <c r="AF352" s="0"/>
      <c r="AG352" s="0"/>
      <c r="AH352" s="0"/>
      <c r="AI352" s="0"/>
      <c r="AJ352" s="0"/>
      <c r="AK352" s="0"/>
      <c r="AL352" s="0"/>
      <c r="AM352" s="0"/>
      <c r="AN352" s="0"/>
      <c r="AO352" s="0"/>
      <c r="AP352" s="0"/>
      <c r="AQ352" s="0"/>
      <c r="AR352" s="0"/>
      <c r="AS352" s="0"/>
      <c r="AT352" s="0"/>
      <c r="AU352" s="0"/>
      <c r="AV352" s="0"/>
      <c r="AW352" s="0"/>
      <c r="AX352" s="0"/>
      <c r="AY352" s="0"/>
      <c r="AZ352" s="0"/>
      <c r="BA352" s="0"/>
      <c r="BB352" s="0"/>
    </row>
    <row r="353" customFormat="false" ht="12.75" hidden="false" customHeight="false" outlineLevel="0" collapsed="false">
      <c r="A353" s="0"/>
      <c r="B353" s="0"/>
      <c r="C353" s="0"/>
      <c r="D353" s="0"/>
      <c r="E353" s="0"/>
      <c r="F353" s="0"/>
      <c r="G353" s="0"/>
      <c r="H353" s="161" t="n">
        <v>0</v>
      </c>
      <c r="I353" s="0"/>
      <c r="J353" s="0"/>
      <c r="K353" s="0"/>
      <c r="L353" s="0"/>
      <c r="M353" s="0"/>
      <c r="N353" s="0"/>
      <c r="O353" s="0"/>
      <c r="P353" s="0"/>
      <c r="Q353" s="0"/>
      <c r="R353" s="0"/>
      <c r="S353" s="0"/>
      <c r="T353" s="0"/>
      <c r="U353" s="0"/>
      <c r="V353" s="0"/>
      <c r="W353" s="0"/>
      <c r="X353" s="0"/>
      <c r="Y353" s="0"/>
      <c r="Z353" s="0"/>
      <c r="AA353" s="0"/>
      <c r="AB353" s="0"/>
      <c r="AC353" s="0"/>
      <c r="AD353" s="0"/>
      <c r="AE353" s="0"/>
      <c r="AF353" s="0"/>
      <c r="AG353" s="0"/>
      <c r="AH353" s="0"/>
      <c r="AI353" s="0"/>
      <c r="AJ353" s="0"/>
      <c r="AK353" s="0"/>
      <c r="AL353" s="0"/>
      <c r="AM353" s="0"/>
      <c r="AN353" s="0"/>
      <c r="AO353" s="0"/>
      <c r="AP353" s="0"/>
      <c r="AQ353" s="0"/>
      <c r="AR353" s="0"/>
      <c r="AS353" s="0"/>
      <c r="AT353" s="0"/>
      <c r="AU353" s="0"/>
      <c r="AV353" s="0"/>
      <c r="AW353" s="0"/>
      <c r="AX353" s="0"/>
      <c r="AY353" s="0"/>
      <c r="AZ353" s="0"/>
      <c r="BA353" s="0"/>
      <c r="BB353" s="0"/>
    </row>
    <row r="354" customFormat="false" ht="12.75" hidden="false" customHeight="false" outlineLevel="0" collapsed="false">
      <c r="A354" s="0"/>
      <c r="B354" s="0"/>
      <c r="C354" s="0"/>
      <c r="D354" s="0"/>
      <c r="E354" s="0"/>
      <c r="F354" s="0"/>
      <c r="G354" s="0"/>
      <c r="H354" s="161" t="n">
        <v>0</v>
      </c>
      <c r="I354" s="0"/>
      <c r="J354" s="0"/>
      <c r="K354" s="0"/>
      <c r="L354" s="0"/>
      <c r="M354" s="0"/>
      <c r="N354" s="0"/>
      <c r="O354" s="0"/>
      <c r="P354" s="0"/>
      <c r="Q354" s="0"/>
      <c r="R354" s="0"/>
      <c r="S354" s="0"/>
      <c r="T354" s="0"/>
      <c r="U354" s="0"/>
      <c r="V354" s="0"/>
      <c r="W354" s="0"/>
      <c r="X354" s="0"/>
      <c r="Y354" s="0"/>
      <c r="Z354" s="0"/>
      <c r="AA354" s="0"/>
      <c r="AB354" s="0"/>
      <c r="AC354" s="0"/>
      <c r="AD354" s="0"/>
      <c r="AE354" s="0"/>
      <c r="AF354" s="0"/>
      <c r="AG354" s="0"/>
      <c r="AH354" s="0"/>
      <c r="AI354" s="0"/>
      <c r="AJ354" s="0"/>
      <c r="AK354" s="0"/>
      <c r="AL354" s="0"/>
      <c r="AM354" s="0"/>
      <c r="AN354" s="0"/>
      <c r="AO354" s="0"/>
      <c r="AP354" s="0"/>
      <c r="AQ354" s="0"/>
      <c r="AR354" s="0"/>
      <c r="AS354" s="0"/>
      <c r="AT354" s="0"/>
      <c r="AU354" s="0"/>
      <c r="AV354" s="0"/>
      <c r="AW354" s="0"/>
      <c r="AX354" s="0"/>
      <c r="AY354" s="0"/>
      <c r="AZ354" s="0"/>
      <c r="BA354" s="0"/>
      <c r="BB354" s="0"/>
    </row>
    <row r="355" customFormat="false" ht="12.75" hidden="false" customHeight="false" outlineLevel="0" collapsed="false">
      <c r="A355" s="0"/>
      <c r="B355" s="0"/>
      <c r="C355" s="0"/>
      <c r="D355" s="0"/>
      <c r="E355" s="0"/>
      <c r="F355" s="0"/>
      <c r="G355" s="0"/>
      <c r="H355" s="161" t="n">
        <v>0</v>
      </c>
      <c r="I355" s="0"/>
      <c r="J355" s="0"/>
      <c r="K355" s="0"/>
      <c r="L355" s="0"/>
      <c r="M355" s="0"/>
      <c r="N355" s="0"/>
      <c r="O355" s="0"/>
      <c r="P355" s="0"/>
      <c r="Q355" s="0"/>
      <c r="R355" s="0"/>
      <c r="S355" s="0"/>
      <c r="T355" s="0"/>
      <c r="U355" s="0"/>
      <c r="V355" s="0"/>
      <c r="W355" s="0"/>
      <c r="X355" s="0"/>
      <c r="Y355" s="0"/>
      <c r="Z355" s="0"/>
      <c r="AA355" s="0"/>
      <c r="AB355" s="0"/>
      <c r="AC355" s="0"/>
      <c r="AD355" s="0"/>
      <c r="AE355" s="0"/>
      <c r="AF355" s="0"/>
      <c r="AG355" s="0"/>
      <c r="AH355" s="0"/>
      <c r="AI355" s="0"/>
      <c r="AJ355" s="0"/>
      <c r="AK355" s="0"/>
      <c r="AL355" s="0"/>
      <c r="AM355" s="0"/>
      <c r="AN355" s="0"/>
      <c r="AO355" s="0"/>
      <c r="AP355" s="0"/>
      <c r="AQ355" s="0"/>
      <c r="AR355" s="0"/>
      <c r="AS355" s="0"/>
      <c r="AT355" s="0"/>
      <c r="AU355" s="0"/>
      <c r="AV355" s="0"/>
      <c r="AW355" s="0"/>
      <c r="AX355" s="0"/>
      <c r="AY355" s="0"/>
      <c r="AZ355" s="0"/>
      <c r="BA355" s="0"/>
      <c r="BB355" s="0"/>
    </row>
    <row r="356" customFormat="false" ht="12.75" hidden="false" customHeight="false" outlineLevel="0" collapsed="false">
      <c r="A356" s="0"/>
      <c r="B356" s="0"/>
      <c r="C356" s="0"/>
      <c r="D356" s="0"/>
      <c r="E356" s="0"/>
      <c r="F356" s="0"/>
      <c r="G356" s="0"/>
      <c r="H356" s="161" t="n">
        <v>0</v>
      </c>
      <c r="I356" s="0"/>
      <c r="J356" s="0"/>
      <c r="K356" s="0"/>
      <c r="L356" s="0"/>
      <c r="M356" s="0"/>
      <c r="N356" s="0"/>
      <c r="O356" s="0"/>
      <c r="P356" s="0"/>
      <c r="Q356" s="0"/>
      <c r="R356" s="0"/>
      <c r="S356" s="0"/>
      <c r="T356" s="0"/>
      <c r="U356" s="0"/>
      <c r="V356" s="0"/>
      <c r="W356" s="0"/>
      <c r="X356" s="0"/>
      <c r="Y356" s="0"/>
      <c r="Z356" s="0"/>
      <c r="AA356" s="0"/>
      <c r="AB356" s="0"/>
      <c r="AC356" s="0"/>
      <c r="AD356" s="0"/>
      <c r="AE356" s="0"/>
      <c r="AF356" s="0"/>
      <c r="AG356" s="0"/>
      <c r="AH356" s="0"/>
      <c r="AI356" s="0"/>
      <c r="AJ356" s="0"/>
      <c r="AK356" s="0"/>
      <c r="AL356" s="0"/>
      <c r="AM356" s="0"/>
      <c r="AN356" s="0"/>
      <c r="AO356" s="0"/>
      <c r="AP356" s="0"/>
      <c r="AQ356" s="0"/>
      <c r="AR356" s="0"/>
      <c r="AS356" s="0"/>
      <c r="AT356" s="0"/>
      <c r="AU356" s="0"/>
      <c r="AV356" s="0"/>
      <c r="AW356" s="0"/>
      <c r="AX356" s="0"/>
      <c r="AY356" s="0"/>
      <c r="AZ356" s="0"/>
      <c r="BA356" s="0"/>
      <c r="BB356" s="0"/>
    </row>
    <row r="357" customFormat="false" ht="12.75" hidden="false" customHeight="false" outlineLevel="0" collapsed="false">
      <c r="A357" s="0"/>
      <c r="B357" s="0"/>
      <c r="C357" s="0"/>
      <c r="D357" s="0"/>
      <c r="E357" s="0"/>
      <c r="F357" s="0"/>
      <c r="G357" s="0"/>
      <c r="H357" s="161" t="n">
        <v>0</v>
      </c>
      <c r="I357" s="0"/>
      <c r="J357" s="0"/>
      <c r="K357" s="0"/>
      <c r="L357" s="0"/>
      <c r="M357" s="0"/>
      <c r="N357" s="0"/>
      <c r="O357" s="0"/>
      <c r="P357" s="0"/>
      <c r="Q357" s="0"/>
      <c r="R357" s="0"/>
      <c r="S357" s="0"/>
      <c r="T357" s="0"/>
      <c r="U357" s="0"/>
      <c r="V357" s="0"/>
      <c r="W357" s="0"/>
      <c r="X357" s="0"/>
      <c r="Y357" s="0"/>
      <c r="Z357" s="0"/>
      <c r="AA357" s="0"/>
      <c r="AB357" s="0"/>
      <c r="AC357" s="0"/>
      <c r="AD357" s="0"/>
      <c r="AE357" s="0"/>
      <c r="AF357" s="0"/>
      <c r="AG357" s="0"/>
      <c r="AH357" s="0"/>
      <c r="AI357" s="0"/>
      <c r="AJ357" s="0"/>
      <c r="AK357" s="0"/>
      <c r="AL357" s="0"/>
      <c r="AM357" s="0"/>
      <c r="AN357" s="0"/>
      <c r="AO357" s="0"/>
      <c r="AP357" s="0"/>
      <c r="AQ357" s="0"/>
      <c r="AR357" s="0"/>
      <c r="AS357" s="0"/>
      <c r="AT357" s="0"/>
      <c r="AU357" s="0"/>
      <c r="AV357" s="0"/>
      <c r="AW357" s="0"/>
      <c r="AX357" s="0"/>
      <c r="AY357" s="0"/>
      <c r="AZ357" s="0"/>
      <c r="BA357" s="0"/>
      <c r="BB357" s="0"/>
    </row>
    <row r="358" customFormat="false" ht="12.75" hidden="false" customHeight="false" outlineLevel="0" collapsed="false">
      <c r="A358" s="0"/>
      <c r="B358" s="0"/>
      <c r="C358" s="0"/>
      <c r="D358" s="0"/>
      <c r="E358" s="0"/>
      <c r="F358" s="0"/>
      <c r="G358" s="0"/>
      <c r="H358" s="161" t="n">
        <v>0</v>
      </c>
      <c r="I358" s="0"/>
      <c r="J358" s="0"/>
      <c r="K358" s="0"/>
      <c r="L358" s="0"/>
      <c r="M358" s="0"/>
      <c r="N358" s="0"/>
      <c r="O358" s="0"/>
      <c r="P358" s="0"/>
      <c r="Q358" s="0"/>
      <c r="R358" s="0"/>
      <c r="S358" s="0"/>
      <c r="T358" s="0"/>
      <c r="U358" s="0"/>
      <c r="V358" s="0"/>
      <c r="W358" s="0"/>
      <c r="X358" s="0"/>
      <c r="Y358" s="0"/>
      <c r="Z358" s="0"/>
      <c r="AA358" s="0"/>
      <c r="AB358" s="0"/>
      <c r="AC358" s="0"/>
      <c r="AD358" s="0"/>
      <c r="AE358" s="0"/>
      <c r="AF358" s="0"/>
      <c r="AG358" s="0"/>
      <c r="AH358" s="0"/>
      <c r="AI358" s="0"/>
      <c r="AJ358" s="0"/>
      <c r="AK358" s="0"/>
      <c r="AL358" s="0"/>
      <c r="AM358" s="0"/>
      <c r="AN358" s="0"/>
      <c r="AO358" s="0"/>
      <c r="AP358" s="0"/>
      <c r="AQ358" s="0"/>
      <c r="AR358" s="0"/>
      <c r="AS358" s="0"/>
      <c r="AT358" s="0"/>
      <c r="AU358" s="0"/>
      <c r="AV358" s="0"/>
      <c r="AW358" s="0"/>
      <c r="AX358" s="0"/>
      <c r="AY358" s="0"/>
      <c r="AZ358" s="0"/>
      <c r="BA358" s="0"/>
      <c r="BB358" s="0"/>
    </row>
    <row r="359" customFormat="false" ht="12.75" hidden="false" customHeight="false" outlineLevel="0" collapsed="false">
      <c r="A359" s="0"/>
      <c r="B359" s="0"/>
      <c r="C359" s="0"/>
      <c r="D359" s="0"/>
      <c r="E359" s="0"/>
      <c r="F359" s="0"/>
      <c r="G359" s="0"/>
      <c r="H359" s="0"/>
      <c r="I359" s="0"/>
      <c r="J359" s="0"/>
      <c r="K359" s="0"/>
      <c r="L359" s="0"/>
      <c r="M359" s="0"/>
      <c r="N359" s="0"/>
      <c r="O359" s="0"/>
      <c r="P359" s="0"/>
      <c r="Q359" s="0"/>
      <c r="R359" s="0"/>
      <c r="S359" s="0"/>
      <c r="T359" s="0"/>
      <c r="U359" s="0"/>
      <c r="V359" s="0"/>
      <c r="W359" s="0"/>
      <c r="X359" s="0"/>
      <c r="Y359" s="0"/>
      <c r="Z359" s="0"/>
      <c r="AA359" s="0"/>
      <c r="AB359" s="0"/>
      <c r="AC359" s="0"/>
      <c r="AD359" s="0"/>
      <c r="AE359" s="0"/>
      <c r="AF359" s="0"/>
      <c r="AG359" s="0"/>
      <c r="AH359" s="0"/>
      <c r="AI359" s="0"/>
      <c r="AJ359" s="0"/>
      <c r="AK359" s="0"/>
      <c r="AL359" s="0"/>
      <c r="AM359" s="0"/>
      <c r="AN359" s="0"/>
      <c r="AO359" s="0"/>
      <c r="AP359" s="0"/>
      <c r="AQ359" s="0"/>
      <c r="AR359" s="0"/>
      <c r="AS359" s="0"/>
      <c r="AT359" s="0"/>
      <c r="AU359" s="0"/>
      <c r="AV359" s="0"/>
      <c r="AW359" s="0"/>
      <c r="AX359" s="0"/>
      <c r="AY359" s="0"/>
      <c r="AZ359" s="0"/>
      <c r="BA359" s="0"/>
      <c r="BB359" s="0"/>
    </row>
    <row r="360" customFormat="false" ht="12.75" hidden="false" customHeight="false" outlineLevel="0" collapsed="false">
      <c r="A360" s="0"/>
      <c r="B360" s="0"/>
      <c r="C360" s="0"/>
      <c r="D360" s="0"/>
      <c r="E360" s="0"/>
      <c r="F360" s="0"/>
      <c r="G360" s="0"/>
      <c r="H360" s="0"/>
      <c r="I360" s="0"/>
      <c r="J360" s="0"/>
      <c r="K360" s="0"/>
      <c r="L360" s="0"/>
      <c r="M360" s="0"/>
      <c r="N360" s="0"/>
      <c r="O360" s="0"/>
      <c r="P360" s="0"/>
      <c r="Q360" s="0"/>
      <c r="R360" s="0"/>
      <c r="S360" s="0"/>
      <c r="T360" s="0"/>
      <c r="U360" s="0"/>
      <c r="V360" s="0"/>
      <c r="W360" s="0"/>
      <c r="X360" s="0"/>
      <c r="Y360" s="0"/>
      <c r="Z360" s="0"/>
      <c r="AA360" s="0"/>
      <c r="AB360" s="0"/>
      <c r="AC360" s="0"/>
      <c r="AD360" s="0"/>
      <c r="AE360" s="0"/>
      <c r="AF360" s="0"/>
      <c r="AG360" s="0"/>
      <c r="AH360" s="0"/>
      <c r="AI360" s="0"/>
      <c r="AJ360" s="0"/>
      <c r="AK360" s="0"/>
      <c r="AL360" s="0"/>
      <c r="AM360" s="0"/>
      <c r="AN360" s="0"/>
      <c r="AO360" s="0"/>
      <c r="AP360" s="0"/>
      <c r="AQ360" s="0"/>
      <c r="AR360" s="0"/>
      <c r="AS360" s="0"/>
      <c r="AT360" s="0"/>
      <c r="AU360" s="0"/>
      <c r="AV360" s="0"/>
      <c r="AW360" s="0"/>
      <c r="AX360" s="0"/>
      <c r="AY360" s="0"/>
      <c r="AZ360" s="0"/>
      <c r="BA360" s="0"/>
      <c r="BB360" s="0"/>
    </row>
    <row r="361" customFormat="false" ht="12.75" hidden="false" customHeight="false" outlineLevel="0" collapsed="false">
      <c r="A361" s="0"/>
      <c r="B361" s="0"/>
      <c r="C361" s="0"/>
      <c r="D361" s="0"/>
      <c r="E361" s="0"/>
      <c r="F361" s="0"/>
      <c r="G361" s="0"/>
      <c r="H361" s="0"/>
      <c r="I361" s="0"/>
      <c r="J361" s="0"/>
      <c r="K361" s="0"/>
      <c r="L361" s="0"/>
      <c r="M361" s="0"/>
      <c r="N361" s="0"/>
      <c r="O361" s="0"/>
      <c r="P361" s="0"/>
      <c r="Q361" s="0"/>
      <c r="R361" s="0"/>
      <c r="S361" s="0"/>
      <c r="T361" s="0"/>
      <c r="U361" s="0"/>
      <c r="V361" s="0"/>
      <c r="W361" s="0"/>
      <c r="X361" s="0"/>
      <c r="Y361" s="0"/>
      <c r="Z361" s="0"/>
      <c r="AA361" s="0"/>
      <c r="AB361" s="0"/>
      <c r="AC361" s="0"/>
      <c r="AD361" s="0"/>
      <c r="AE361" s="0"/>
      <c r="AF361" s="0"/>
      <c r="AG361" s="0"/>
      <c r="AH361" s="0"/>
      <c r="AI361" s="0"/>
      <c r="AJ361" s="0"/>
      <c r="AK361" s="0"/>
      <c r="AL361" s="0"/>
      <c r="AM361" s="0"/>
      <c r="AN361" s="0"/>
      <c r="AO361" s="0"/>
      <c r="AP361" s="0"/>
      <c r="AQ361" s="0"/>
      <c r="AR361" s="0"/>
      <c r="AS361" s="0"/>
      <c r="AT361" s="0"/>
      <c r="AU361" s="0"/>
      <c r="AV361" s="0"/>
      <c r="AW361" s="0"/>
      <c r="AX361" s="0"/>
      <c r="AY361" s="0"/>
      <c r="AZ361" s="0"/>
      <c r="BA361" s="0"/>
      <c r="BB361" s="0"/>
    </row>
    <row r="362" customFormat="false" ht="12.75" hidden="false" customHeight="false" outlineLevel="0" collapsed="false">
      <c r="A362" s="0"/>
      <c r="B362" s="0"/>
      <c r="C362" s="0"/>
      <c r="D362" s="0"/>
      <c r="E362" s="0"/>
      <c r="F362" s="0"/>
      <c r="G362" s="0"/>
      <c r="H362" s="0"/>
      <c r="I362" s="0"/>
      <c r="J362" s="0"/>
      <c r="K362" s="0"/>
      <c r="L362" s="0"/>
      <c r="M362" s="0"/>
      <c r="N362" s="0"/>
      <c r="O362" s="0"/>
      <c r="P362" s="0"/>
      <c r="Q362" s="0"/>
      <c r="R362" s="0"/>
      <c r="S362" s="0"/>
      <c r="T362" s="0"/>
      <c r="U362" s="0"/>
      <c r="V362" s="0"/>
      <c r="W362" s="0"/>
      <c r="X362" s="0"/>
      <c r="Y362" s="0"/>
      <c r="Z362" s="0"/>
      <c r="AA362" s="0"/>
      <c r="AB362" s="0"/>
      <c r="AC362" s="0"/>
      <c r="AD362" s="0"/>
      <c r="AE362" s="0"/>
      <c r="AF362" s="0"/>
      <c r="AG362" s="0"/>
      <c r="AH362" s="0"/>
      <c r="AI362" s="0"/>
      <c r="AJ362" s="0"/>
      <c r="AK362" s="0"/>
      <c r="AL362" s="0"/>
      <c r="AM362" s="0"/>
      <c r="AN362" s="0"/>
      <c r="AO362" s="0"/>
      <c r="AP362" s="0"/>
      <c r="AQ362" s="0"/>
      <c r="AR362" s="0"/>
      <c r="AS362" s="0"/>
      <c r="AT362" s="0"/>
      <c r="AU362" s="0"/>
      <c r="AV362" s="0"/>
      <c r="AW362" s="0"/>
      <c r="AX362" s="0"/>
      <c r="AY362" s="0"/>
      <c r="AZ362" s="0"/>
      <c r="BA362" s="0"/>
      <c r="BB362" s="0"/>
    </row>
    <row r="363" customFormat="false" ht="12.75" hidden="false" customHeight="false" outlineLevel="0" collapsed="false">
      <c r="A363" s="0"/>
      <c r="B363" s="0"/>
      <c r="C363" s="0"/>
      <c r="D363" s="0"/>
      <c r="E363" s="0"/>
      <c r="F363" s="0"/>
      <c r="G363" s="0"/>
      <c r="H363" s="0"/>
      <c r="I363" s="0"/>
      <c r="J363" s="0"/>
      <c r="K363" s="0"/>
      <c r="L363" s="0"/>
      <c r="M363" s="0"/>
      <c r="N363" s="0"/>
      <c r="O363" s="0"/>
      <c r="P363" s="0"/>
      <c r="Q363" s="0"/>
      <c r="R363" s="0"/>
      <c r="S363" s="0"/>
      <c r="T363" s="0"/>
      <c r="U363" s="0"/>
      <c r="V363" s="0"/>
      <c r="W363" s="0"/>
      <c r="X363" s="0"/>
      <c r="Y363" s="0"/>
      <c r="Z363" s="0"/>
      <c r="AA363" s="0"/>
      <c r="AB363" s="0"/>
      <c r="AC363" s="0"/>
      <c r="AD363" s="0"/>
      <c r="AE363" s="0"/>
      <c r="AF363" s="0"/>
      <c r="AG363" s="0"/>
      <c r="AH363" s="0"/>
      <c r="AI363" s="0"/>
      <c r="AJ363" s="0"/>
      <c r="AK363" s="0"/>
      <c r="AL363" s="0"/>
      <c r="AM363" s="0"/>
      <c r="AN363" s="0"/>
      <c r="AO363" s="0"/>
      <c r="AP363" s="0"/>
      <c r="AQ363" s="0"/>
      <c r="AR363" s="0"/>
      <c r="AS363" s="0"/>
      <c r="AT363" s="0"/>
      <c r="AU363" s="0"/>
      <c r="AV363" s="0"/>
      <c r="AW363" s="0"/>
      <c r="AX363" s="0"/>
      <c r="AY363" s="0"/>
      <c r="AZ363" s="0"/>
      <c r="BA363" s="0"/>
      <c r="BB363" s="0"/>
    </row>
    <row r="364" customFormat="false" ht="12.75" hidden="false" customHeight="false" outlineLevel="0" collapsed="false">
      <c r="A364" s="0"/>
      <c r="B364" s="0"/>
      <c r="C364" s="0"/>
      <c r="D364" s="0"/>
      <c r="E364" s="0"/>
      <c r="F364" s="0"/>
      <c r="G364" s="0"/>
      <c r="H364" s="0"/>
      <c r="I364" s="0"/>
      <c r="J364" s="0"/>
      <c r="K364" s="0"/>
      <c r="L364" s="0"/>
      <c r="M364" s="0"/>
      <c r="N364" s="0"/>
      <c r="O364" s="0"/>
      <c r="P364" s="0"/>
      <c r="Q364" s="0"/>
      <c r="R364" s="0"/>
      <c r="S364" s="0"/>
      <c r="T364" s="0"/>
      <c r="U364" s="0"/>
      <c r="V364" s="0"/>
      <c r="W364" s="0"/>
      <c r="X364" s="0"/>
      <c r="Y364" s="0"/>
      <c r="Z364" s="0"/>
      <c r="AA364" s="0"/>
      <c r="AB364" s="0"/>
      <c r="AC364" s="0"/>
      <c r="AD364" s="0"/>
      <c r="AE364" s="0"/>
      <c r="AF364" s="0"/>
      <c r="AG364" s="0"/>
      <c r="AH364" s="0"/>
      <c r="AI364" s="0"/>
      <c r="AJ364" s="0"/>
      <c r="AK364" s="0"/>
      <c r="AL364" s="0"/>
      <c r="AM364" s="0"/>
      <c r="AN364" s="0"/>
      <c r="AO364" s="0"/>
      <c r="AP364" s="0"/>
      <c r="AQ364" s="0"/>
      <c r="AR364" s="0"/>
      <c r="AS364" s="0"/>
      <c r="AT364" s="0"/>
      <c r="AU364" s="0"/>
      <c r="AV364" s="0"/>
      <c r="AW364" s="0"/>
      <c r="AX364" s="0"/>
      <c r="AY364" s="0"/>
      <c r="AZ364" s="0"/>
      <c r="BA364" s="0"/>
      <c r="BB364" s="0"/>
    </row>
    <row r="365" customFormat="false" ht="12.75" hidden="false" customHeight="false" outlineLevel="0" collapsed="false">
      <c r="A365" s="0"/>
      <c r="B365" s="0"/>
      <c r="C365" s="0"/>
      <c r="D365" s="0"/>
      <c r="E365" s="0"/>
      <c r="F365" s="0"/>
      <c r="G365" s="0"/>
      <c r="H365" s="0"/>
      <c r="I365" s="0"/>
      <c r="J365" s="0"/>
      <c r="K365" s="0"/>
      <c r="L365" s="0"/>
      <c r="M365" s="0"/>
      <c r="N365" s="0"/>
      <c r="O365" s="0"/>
      <c r="P365" s="0"/>
      <c r="Q365" s="0"/>
      <c r="R365" s="0"/>
      <c r="S365" s="0"/>
      <c r="T365" s="0"/>
      <c r="U365" s="0"/>
      <c r="V365" s="0"/>
      <c r="W365" s="0"/>
      <c r="X365" s="0"/>
      <c r="Y365" s="0"/>
      <c r="Z365" s="0"/>
      <c r="AA365" s="0"/>
      <c r="AB365" s="0"/>
      <c r="AC365" s="0"/>
      <c r="AD365" s="0"/>
      <c r="AE365" s="0"/>
      <c r="AF365" s="0"/>
      <c r="AG365" s="0"/>
      <c r="AH365" s="0"/>
      <c r="AI365" s="0"/>
      <c r="AJ365" s="0"/>
      <c r="AK365" s="0"/>
      <c r="AL365" s="0"/>
      <c r="AM365" s="0"/>
      <c r="AN365" s="0"/>
      <c r="AO365" s="0"/>
      <c r="AP365" s="0"/>
      <c r="AQ365" s="0"/>
      <c r="AR365" s="0"/>
      <c r="AS365" s="0"/>
      <c r="AT365" s="0"/>
      <c r="AU365" s="0"/>
      <c r="AV365" s="0"/>
      <c r="AW365" s="0"/>
      <c r="AX365" s="0"/>
      <c r="AY365" s="0"/>
      <c r="AZ365" s="0"/>
      <c r="BA365" s="0"/>
      <c r="BB365" s="0"/>
    </row>
    <row r="366" customFormat="false" ht="12.75" hidden="false" customHeight="false" outlineLevel="0" collapsed="false">
      <c r="A366" s="0"/>
      <c r="B366" s="0"/>
      <c r="C366" s="0"/>
      <c r="D366" s="0"/>
      <c r="E366" s="0"/>
      <c r="F366" s="0"/>
      <c r="G366" s="0"/>
      <c r="H366" s="0"/>
      <c r="I366" s="0"/>
      <c r="J366" s="0"/>
      <c r="K366" s="0"/>
      <c r="L366" s="0"/>
      <c r="M366" s="0"/>
      <c r="N366" s="0"/>
      <c r="O366" s="0"/>
      <c r="P366" s="0"/>
      <c r="Q366" s="0"/>
      <c r="R366" s="0"/>
      <c r="S366" s="0"/>
      <c r="T366" s="0"/>
      <c r="U366" s="0"/>
      <c r="V366" s="0"/>
      <c r="W366" s="0"/>
      <c r="X366" s="0"/>
      <c r="Y366" s="0"/>
      <c r="Z366" s="0"/>
      <c r="AA366" s="0"/>
      <c r="AB366" s="0"/>
      <c r="AC366" s="0"/>
      <c r="AD366" s="0"/>
      <c r="AE366" s="0"/>
      <c r="AF366" s="0"/>
      <c r="AG366" s="0"/>
      <c r="AH366" s="0"/>
      <c r="AI366" s="0"/>
      <c r="AJ366" s="0"/>
      <c r="AK366" s="0"/>
      <c r="AL366" s="0"/>
      <c r="AM366" s="0"/>
      <c r="AN366" s="0"/>
      <c r="AO366" s="0"/>
      <c r="AP366" s="0"/>
      <c r="AQ366" s="0"/>
      <c r="AR366" s="0"/>
      <c r="AS366" s="0"/>
      <c r="AT366" s="0"/>
      <c r="AU366" s="0"/>
      <c r="AV366" s="0"/>
      <c r="AW366" s="0"/>
      <c r="AX366" s="0"/>
      <c r="AY366" s="0"/>
      <c r="AZ366" s="0"/>
      <c r="BA366" s="0"/>
      <c r="BB366" s="0"/>
    </row>
    <row r="367" customFormat="false" ht="12.75" hidden="false" customHeight="false" outlineLevel="0" collapsed="false">
      <c r="A367" s="0"/>
      <c r="B367" s="0"/>
      <c r="C367" s="0"/>
      <c r="D367" s="0"/>
      <c r="E367" s="0"/>
      <c r="F367" s="0"/>
      <c r="G367" s="0"/>
      <c r="H367" s="0"/>
      <c r="I367" s="0"/>
      <c r="J367" s="0"/>
      <c r="K367" s="0"/>
      <c r="L367" s="0"/>
      <c r="M367" s="0"/>
      <c r="N367" s="0"/>
      <c r="O367" s="0"/>
      <c r="P367" s="0"/>
      <c r="Q367" s="0"/>
      <c r="R367" s="0"/>
      <c r="S367" s="0"/>
      <c r="T367" s="0"/>
      <c r="U367" s="0"/>
      <c r="V367" s="0"/>
      <c r="W367" s="0"/>
      <c r="X367" s="0"/>
      <c r="Y367" s="0"/>
      <c r="Z367" s="0"/>
      <c r="AA367" s="0"/>
      <c r="AB367" s="0"/>
      <c r="AC367" s="0"/>
      <c r="AD367" s="0"/>
      <c r="AE367" s="0"/>
      <c r="AF367" s="0"/>
      <c r="AG367" s="0"/>
      <c r="AH367" s="0"/>
      <c r="AI367" s="0"/>
      <c r="AJ367" s="0"/>
      <c r="AK367" s="0"/>
      <c r="AL367" s="0"/>
      <c r="AM367" s="0"/>
      <c r="AN367" s="0"/>
      <c r="AO367" s="0"/>
      <c r="AP367" s="0"/>
      <c r="AQ367" s="0"/>
      <c r="AR367" s="0"/>
      <c r="AS367" s="0"/>
      <c r="AT367" s="0"/>
      <c r="AU367" s="0"/>
      <c r="AV367" s="0"/>
      <c r="AW367" s="0"/>
      <c r="AX367" s="0"/>
      <c r="AY367" s="0"/>
      <c r="AZ367" s="0"/>
      <c r="BA367" s="0"/>
      <c r="BB367" s="0"/>
    </row>
    <row r="368" customFormat="false" ht="12.75" hidden="false" customHeight="false" outlineLevel="0" collapsed="false">
      <c r="A368" s="0"/>
      <c r="B368" s="0"/>
      <c r="C368" s="0"/>
      <c r="D368" s="0"/>
      <c r="E368" s="0"/>
      <c r="F368" s="0"/>
      <c r="G368" s="0"/>
      <c r="H368" s="0"/>
      <c r="I368" s="0"/>
      <c r="J368" s="0"/>
      <c r="K368" s="0"/>
      <c r="L368" s="0"/>
      <c r="M368" s="0"/>
      <c r="N368" s="0"/>
      <c r="O368" s="0"/>
      <c r="P368" s="0"/>
      <c r="Q368" s="0"/>
      <c r="R368" s="0"/>
      <c r="S368" s="0"/>
      <c r="T368" s="0"/>
      <c r="U368" s="0"/>
      <c r="V368" s="0"/>
      <c r="W368" s="0"/>
      <c r="X368" s="0"/>
      <c r="Y368" s="0"/>
      <c r="Z368" s="0"/>
      <c r="AA368" s="0"/>
      <c r="AB368" s="0"/>
      <c r="AC368" s="0"/>
      <c r="AD368" s="0"/>
      <c r="AE368" s="0"/>
      <c r="AF368" s="0"/>
      <c r="AG368" s="0"/>
      <c r="AH368" s="0"/>
      <c r="AI368" s="0"/>
      <c r="AJ368" s="0"/>
      <c r="AK368" s="0"/>
      <c r="AL368" s="0"/>
      <c r="AM368" s="0"/>
      <c r="AN368" s="0"/>
      <c r="AO368" s="0"/>
      <c r="AP368" s="0"/>
      <c r="AQ368" s="0"/>
      <c r="AR368" s="0"/>
      <c r="AS368" s="0"/>
      <c r="AT368" s="0"/>
      <c r="AU368" s="0"/>
      <c r="AV368" s="0"/>
      <c r="AW368" s="0"/>
      <c r="AX368" s="0"/>
      <c r="AY368" s="0"/>
      <c r="AZ368" s="0"/>
      <c r="BA368" s="0"/>
      <c r="BB368" s="0"/>
    </row>
    <row r="369" customFormat="false" ht="12.75" hidden="false" customHeight="false" outlineLevel="0" collapsed="false">
      <c r="A369" s="0"/>
      <c r="B369" s="0"/>
      <c r="C369" s="0"/>
      <c r="D369" s="0"/>
      <c r="E369" s="0"/>
      <c r="F369" s="0"/>
      <c r="G369" s="0"/>
      <c r="H369" s="0"/>
      <c r="I369" s="0"/>
      <c r="J369" s="0"/>
      <c r="K369" s="0"/>
      <c r="L369" s="0"/>
      <c r="M369" s="0"/>
      <c r="N369" s="0"/>
      <c r="O369" s="0"/>
      <c r="P369" s="0"/>
      <c r="Q369" s="0"/>
      <c r="R369" s="0"/>
      <c r="S369" s="0"/>
      <c r="T369" s="0"/>
      <c r="U369" s="0"/>
      <c r="V369" s="0"/>
      <c r="W369" s="0"/>
      <c r="X369" s="0"/>
      <c r="Y369" s="0"/>
      <c r="Z369" s="0"/>
      <c r="AA369" s="0"/>
      <c r="AB369" s="0"/>
      <c r="AC369" s="0"/>
      <c r="AD369" s="0"/>
      <c r="AE369" s="0"/>
      <c r="AF369" s="0"/>
      <c r="AG369" s="0"/>
      <c r="AH369" s="0"/>
      <c r="AI369" s="0"/>
      <c r="AJ369" s="0"/>
      <c r="AK369" s="0"/>
      <c r="AL369" s="0"/>
      <c r="AM369" s="0"/>
      <c r="AN369" s="0"/>
      <c r="AO369" s="0"/>
      <c r="AP369" s="0"/>
      <c r="AQ369" s="0"/>
      <c r="AR369" s="0"/>
      <c r="AS369" s="0"/>
      <c r="AT369" s="0"/>
      <c r="AU369" s="0"/>
      <c r="AV369" s="0"/>
      <c r="AW369" s="0"/>
      <c r="AX369" s="0"/>
      <c r="AY369" s="0"/>
      <c r="AZ369" s="0"/>
      <c r="BA369" s="0"/>
      <c r="BB369" s="0"/>
    </row>
    <row r="370" customFormat="false" ht="12.75" hidden="false" customHeight="false" outlineLevel="0" collapsed="false">
      <c r="A370" s="0"/>
      <c r="B370" s="0"/>
      <c r="C370" s="0"/>
      <c r="D370" s="0"/>
      <c r="E370" s="0"/>
      <c r="F370" s="0"/>
      <c r="G370" s="0"/>
      <c r="H370" s="0"/>
      <c r="I370" s="0"/>
      <c r="J370" s="0"/>
      <c r="K370" s="0"/>
      <c r="L370" s="0"/>
      <c r="M370" s="0"/>
      <c r="N370" s="0"/>
      <c r="O370" s="0"/>
      <c r="P370" s="0"/>
      <c r="Q370" s="0"/>
      <c r="R370" s="0"/>
      <c r="S370" s="0"/>
      <c r="T370" s="0"/>
      <c r="U370" s="0"/>
      <c r="V370" s="0"/>
      <c r="W370" s="0"/>
      <c r="X370" s="0"/>
      <c r="Y370" s="0"/>
      <c r="Z370" s="0"/>
      <c r="AA370" s="0"/>
      <c r="AB370" s="0"/>
      <c r="AC370" s="0"/>
      <c r="AD370" s="0"/>
      <c r="AE370" s="0"/>
      <c r="AF370" s="0"/>
      <c r="AG370" s="0"/>
      <c r="AH370" s="0"/>
      <c r="AI370" s="0"/>
      <c r="AJ370" s="0"/>
      <c r="AK370" s="0"/>
      <c r="AL370" s="0"/>
      <c r="AM370" s="0"/>
      <c r="AN370" s="0"/>
      <c r="AO370" s="0"/>
      <c r="AP370" s="0"/>
      <c r="AQ370" s="0"/>
      <c r="AR370" s="0"/>
      <c r="AS370" s="0"/>
      <c r="AT370" s="0"/>
      <c r="AU370" s="0"/>
      <c r="AV370" s="0"/>
      <c r="AW370" s="0"/>
      <c r="AX370" s="0"/>
      <c r="AY370" s="0"/>
      <c r="AZ370" s="0"/>
      <c r="BA370" s="0"/>
      <c r="BB370" s="0"/>
    </row>
    <row r="371" customFormat="false" ht="12.75" hidden="false" customHeight="false" outlineLevel="0" collapsed="false">
      <c r="A371" s="0"/>
      <c r="B371" s="0"/>
      <c r="C371" s="0"/>
      <c r="D371" s="0"/>
      <c r="E371" s="0"/>
      <c r="F371" s="0"/>
      <c r="G371" s="0"/>
      <c r="H371" s="0"/>
      <c r="I371" s="0"/>
      <c r="J371" s="0"/>
      <c r="K371" s="0"/>
      <c r="L371" s="0"/>
      <c r="M371" s="0"/>
      <c r="N371" s="0"/>
      <c r="O371" s="0"/>
      <c r="P371" s="0"/>
      <c r="Q371" s="0"/>
      <c r="R371" s="0"/>
      <c r="S371" s="0"/>
      <c r="T371" s="0"/>
      <c r="U371" s="0"/>
      <c r="V371" s="0"/>
      <c r="W371" s="0"/>
      <c r="X371" s="0"/>
      <c r="Y371" s="0"/>
      <c r="Z371" s="0"/>
      <c r="AA371" s="0"/>
      <c r="AB371" s="0"/>
      <c r="AC371" s="0"/>
      <c r="AD371" s="0"/>
      <c r="AE371" s="0"/>
      <c r="AF371" s="0"/>
      <c r="AG371" s="0"/>
      <c r="AH371" s="0"/>
      <c r="AI371" s="0"/>
      <c r="AJ371" s="0"/>
      <c r="AK371" s="0"/>
      <c r="AL371" s="0"/>
      <c r="AM371" s="0"/>
      <c r="AN371" s="0"/>
      <c r="AO371" s="0"/>
      <c r="AP371" s="0"/>
      <c r="AQ371" s="0"/>
      <c r="AR371" s="0"/>
      <c r="AS371" s="0"/>
      <c r="AT371" s="0"/>
      <c r="AU371" s="0"/>
      <c r="AV371" s="0"/>
      <c r="AW371" s="0"/>
      <c r="AX371" s="0"/>
      <c r="AY371" s="0"/>
      <c r="AZ371" s="0"/>
      <c r="BA371" s="0"/>
      <c r="BB371" s="0"/>
    </row>
    <row r="372" customFormat="false" ht="12.75" hidden="false" customHeight="false" outlineLevel="0" collapsed="false">
      <c r="A372" s="0"/>
      <c r="B372" s="0"/>
      <c r="C372" s="0"/>
      <c r="D372" s="0"/>
      <c r="E372" s="0"/>
      <c r="F372" s="0"/>
      <c r="G372" s="0"/>
      <c r="H372" s="0"/>
      <c r="I372" s="0"/>
      <c r="J372" s="0"/>
      <c r="K372" s="0"/>
      <c r="L372" s="0"/>
      <c r="M372" s="0"/>
      <c r="N372" s="0"/>
      <c r="O372" s="0"/>
      <c r="P372" s="0"/>
      <c r="Q372" s="0"/>
      <c r="R372" s="0"/>
      <c r="S372" s="0"/>
      <c r="T372" s="0"/>
      <c r="U372" s="0"/>
      <c r="V372" s="0"/>
      <c r="W372" s="0"/>
      <c r="X372" s="0"/>
      <c r="Y372" s="0"/>
      <c r="Z372" s="0"/>
      <c r="AA372" s="0"/>
      <c r="AB372" s="0"/>
      <c r="AC372" s="0"/>
      <c r="AD372" s="0"/>
      <c r="AE372" s="0"/>
      <c r="AF372" s="0"/>
      <c r="AG372" s="0"/>
      <c r="AH372" s="0"/>
      <c r="AI372" s="0"/>
      <c r="AJ372" s="0"/>
      <c r="AK372" s="0"/>
      <c r="AL372" s="0"/>
      <c r="AM372" s="0"/>
      <c r="AN372" s="0"/>
      <c r="AO372" s="0"/>
      <c r="AP372" s="0"/>
      <c r="AQ372" s="0"/>
      <c r="AR372" s="0"/>
      <c r="AS372" s="0"/>
      <c r="AT372" s="0"/>
      <c r="AU372" s="0"/>
      <c r="AV372" s="0"/>
      <c r="AW372" s="0"/>
      <c r="AX372" s="0"/>
      <c r="AY372" s="0"/>
      <c r="AZ372" s="0"/>
      <c r="BA372" s="0"/>
      <c r="BB372" s="0"/>
    </row>
    <row r="373" customFormat="false" ht="12.75" hidden="false" customHeight="false" outlineLevel="0" collapsed="false">
      <c r="A373" s="0"/>
      <c r="B373" s="0"/>
      <c r="C373" s="0"/>
      <c r="D373" s="0"/>
      <c r="E373" s="0"/>
      <c r="F373" s="0"/>
      <c r="G373" s="0"/>
      <c r="H373" s="0"/>
      <c r="I373" s="0"/>
      <c r="J373" s="0"/>
      <c r="K373" s="0"/>
      <c r="L373" s="0"/>
      <c r="M373" s="0"/>
      <c r="N373" s="0"/>
      <c r="O373" s="0"/>
      <c r="P373" s="0"/>
      <c r="Q373" s="0"/>
      <c r="R373" s="0"/>
      <c r="S373" s="0"/>
      <c r="T373" s="0"/>
      <c r="U373" s="0"/>
      <c r="V373" s="0"/>
      <c r="W373" s="0"/>
      <c r="X373" s="0"/>
      <c r="Y373" s="0"/>
      <c r="Z373" s="0"/>
      <c r="AA373" s="0"/>
      <c r="AB373" s="0"/>
      <c r="AC373" s="0"/>
      <c r="AD373" s="0"/>
      <c r="AE373" s="0"/>
      <c r="AF373" s="0"/>
      <c r="AG373" s="0"/>
      <c r="AH373" s="0"/>
      <c r="AI373" s="0"/>
      <c r="AJ373" s="0"/>
      <c r="AK373" s="0"/>
      <c r="AL373" s="0"/>
      <c r="AM373" s="0"/>
      <c r="AN373" s="0"/>
      <c r="AO373" s="0"/>
      <c r="AP373" s="0"/>
      <c r="AQ373" s="0"/>
      <c r="AR373" s="0"/>
      <c r="AS373" s="0"/>
      <c r="AT373" s="0"/>
      <c r="AU373" s="0"/>
      <c r="AV373" s="0"/>
      <c r="AW373" s="0"/>
      <c r="AX373" s="0"/>
      <c r="AY373" s="0"/>
      <c r="AZ373" s="0"/>
      <c r="BA373" s="0"/>
      <c r="BB373" s="0"/>
    </row>
    <row r="374" customFormat="false" ht="12.75" hidden="false" customHeight="false" outlineLevel="0" collapsed="false">
      <c r="A374" s="0"/>
      <c r="B374" s="0"/>
      <c r="C374" s="0"/>
      <c r="D374" s="0"/>
      <c r="E374" s="0"/>
      <c r="F374" s="0"/>
      <c r="G374" s="0"/>
      <c r="H374" s="0"/>
      <c r="I374" s="0"/>
      <c r="J374" s="0"/>
      <c r="K374" s="0"/>
      <c r="L374" s="0"/>
      <c r="M374" s="0"/>
      <c r="N374" s="0"/>
      <c r="O374" s="0"/>
      <c r="P374" s="0"/>
      <c r="Q374" s="0"/>
      <c r="R374" s="0"/>
      <c r="S374" s="0"/>
      <c r="T374" s="0"/>
      <c r="U374" s="0"/>
      <c r="V374" s="0"/>
      <c r="W374" s="0"/>
      <c r="X374" s="0"/>
      <c r="Y374" s="0"/>
      <c r="Z374" s="0"/>
      <c r="AA374" s="0"/>
      <c r="AB374" s="0"/>
      <c r="AC374" s="0"/>
      <c r="AD374" s="0"/>
      <c r="AE374" s="0"/>
      <c r="AF374" s="0"/>
      <c r="AG374" s="0"/>
      <c r="AH374" s="0"/>
      <c r="AI374" s="0"/>
      <c r="AJ374" s="0"/>
      <c r="AK374" s="0"/>
      <c r="AL374" s="0"/>
      <c r="AM374" s="0"/>
      <c r="AN374" s="0"/>
      <c r="AO374" s="0"/>
      <c r="AP374" s="0"/>
      <c r="AQ374" s="0"/>
      <c r="AR374" s="0"/>
      <c r="AS374" s="0"/>
      <c r="AT374" s="0"/>
      <c r="AU374" s="0"/>
      <c r="AV374" s="0"/>
      <c r="AW374" s="0"/>
      <c r="AX374" s="0"/>
      <c r="AY374" s="0"/>
      <c r="AZ374" s="0"/>
      <c r="BA374" s="0"/>
      <c r="BB374" s="0"/>
    </row>
    <row r="375" customFormat="false" ht="12.75" hidden="false" customHeight="false" outlineLevel="0" collapsed="false">
      <c r="A375" s="0"/>
      <c r="B375" s="0"/>
      <c r="C375" s="0"/>
      <c r="D375" s="0"/>
      <c r="E375" s="0"/>
      <c r="F375" s="0"/>
      <c r="G375" s="0"/>
      <c r="H375" s="0"/>
      <c r="I375" s="0"/>
      <c r="J375" s="0"/>
      <c r="K375" s="0"/>
      <c r="L375" s="0"/>
      <c r="M375" s="0"/>
      <c r="N375" s="0"/>
      <c r="O375" s="0"/>
      <c r="P375" s="0"/>
      <c r="Q375" s="0"/>
      <c r="R375" s="0"/>
      <c r="S375" s="0"/>
      <c r="T375" s="0"/>
      <c r="U375" s="0"/>
      <c r="V375" s="0"/>
      <c r="W375" s="0"/>
      <c r="X375" s="0"/>
      <c r="Y375" s="0"/>
      <c r="Z375" s="0"/>
      <c r="AA375" s="0"/>
      <c r="AB375" s="0"/>
      <c r="AC375" s="0"/>
      <c r="AD375" s="0"/>
      <c r="AE375" s="0"/>
      <c r="AF375" s="0"/>
      <c r="AG375" s="0"/>
      <c r="AH375" s="0"/>
      <c r="AI375" s="0"/>
      <c r="AJ375" s="0"/>
      <c r="AK375" s="0"/>
      <c r="AL375" s="0"/>
      <c r="AM375" s="0"/>
      <c r="AN375" s="0"/>
      <c r="AO375" s="0"/>
      <c r="AP375" s="0"/>
      <c r="AQ375" s="0"/>
      <c r="AR375" s="0"/>
      <c r="AS375" s="0"/>
      <c r="AT375" s="0"/>
      <c r="AU375" s="0"/>
      <c r="AV375" s="0"/>
      <c r="AW375" s="0"/>
      <c r="AX375" s="0"/>
      <c r="AY375" s="0"/>
      <c r="AZ375" s="0"/>
      <c r="BA375" s="0"/>
      <c r="BB375" s="0"/>
    </row>
    <row r="376" customFormat="false" ht="12.75" hidden="false" customHeight="false" outlineLevel="0" collapsed="false">
      <c r="A376" s="0"/>
      <c r="B376" s="0"/>
      <c r="C376" s="0"/>
      <c r="D376" s="0"/>
      <c r="E376" s="0"/>
      <c r="F376" s="0"/>
      <c r="G376" s="0"/>
      <c r="H376" s="0"/>
      <c r="I376" s="0"/>
      <c r="J376" s="0"/>
      <c r="K376" s="0"/>
      <c r="L376" s="0"/>
      <c r="M376" s="0"/>
      <c r="N376" s="0"/>
      <c r="O376" s="0"/>
      <c r="P376" s="0"/>
      <c r="Q376" s="0"/>
      <c r="R376" s="0"/>
      <c r="S376" s="0"/>
      <c r="T376" s="0"/>
      <c r="U376" s="0"/>
      <c r="V376" s="0"/>
      <c r="W376" s="0"/>
      <c r="X376" s="0"/>
      <c r="Y376" s="0"/>
      <c r="Z376" s="0"/>
      <c r="AA376" s="0"/>
      <c r="AB376" s="0"/>
      <c r="AC376" s="0"/>
      <c r="AD376" s="0"/>
      <c r="AE376" s="0"/>
      <c r="AF376" s="0"/>
      <c r="AG376" s="0"/>
      <c r="AH376" s="0"/>
      <c r="AI376" s="0"/>
      <c r="AJ376" s="0"/>
      <c r="AK376" s="0"/>
      <c r="AL376" s="0"/>
      <c r="AM376" s="0"/>
      <c r="AN376" s="0"/>
      <c r="AO376" s="0"/>
      <c r="AP376" s="0"/>
      <c r="AQ376" s="0"/>
      <c r="AR376" s="0"/>
      <c r="AS376" s="0"/>
      <c r="AT376" s="0"/>
      <c r="AU376" s="0"/>
      <c r="AV376" s="0"/>
      <c r="AW376" s="0"/>
      <c r="AX376" s="0"/>
      <c r="AY376" s="0"/>
      <c r="AZ376" s="0"/>
      <c r="BA376" s="0"/>
      <c r="BB376" s="0"/>
    </row>
    <row r="377" customFormat="false" ht="12.75" hidden="false" customHeight="false" outlineLevel="0" collapsed="false">
      <c r="A377" s="0"/>
      <c r="B377" s="0"/>
      <c r="C377" s="0"/>
      <c r="D377" s="0"/>
      <c r="E377" s="0"/>
      <c r="F377" s="0"/>
      <c r="G377" s="0"/>
      <c r="H377" s="0"/>
      <c r="I377" s="0"/>
      <c r="J377" s="0"/>
      <c r="K377" s="0"/>
      <c r="L377" s="0"/>
      <c r="M377" s="0"/>
      <c r="N377" s="0"/>
      <c r="O377" s="0"/>
      <c r="P377" s="0"/>
      <c r="Q377" s="0"/>
      <c r="R377" s="0"/>
      <c r="S377" s="0"/>
      <c r="T377" s="0"/>
      <c r="U377" s="0"/>
      <c r="V377" s="0"/>
      <c r="W377" s="0"/>
      <c r="X377" s="0"/>
      <c r="Y377" s="0"/>
      <c r="Z377" s="0"/>
      <c r="AA377" s="0"/>
      <c r="AB377" s="0"/>
      <c r="AC377" s="0"/>
      <c r="AD377" s="0"/>
      <c r="AE377" s="0"/>
      <c r="AF377" s="0"/>
      <c r="AG377" s="0"/>
      <c r="AH377" s="0"/>
      <c r="AI377" s="0"/>
      <c r="AJ377" s="0"/>
      <c r="AK377" s="0"/>
      <c r="AL377" s="0"/>
      <c r="AM377" s="0"/>
      <c r="AN377" s="0"/>
      <c r="AO377" s="0"/>
      <c r="AP377" s="0"/>
      <c r="AQ377" s="0"/>
      <c r="AR377" s="0"/>
      <c r="AS377" s="0"/>
      <c r="AT377" s="0"/>
      <c r="AU377" s="0"/>
      <c r="AV377" s="0"/>
      <c r="AW377" s="0"/>
      <c r="AX377" s="0"/>
      <c r="AY377" s="0"/>
      <c r="AZ377" s="0"/>
      <c r="BA377" s="0"/>
      <c r="BB377" s="0"/>
    </row>
    <row r="378" customFormat="false" ht="12.75" hidden="false" customHeight="false" outlineLevel="0" collapsed="false">
      <c r="A378" s="0"/>
      <c r="B378" s="0"/>
      <c r="C378" s="0"/>
      <c r="D378" s="0"/>
      <c r="E378" s="0"/>
      <c r="F378" s="0"/>
      <c r="G378" s="0"/>
      <c r="H378" s="0"/>
      <c r="I378" s="0"/>
      <c r="J378" s="0"/>
      <c r="K378" s="0"/>
      <c r="L378" s="0"/>
      <c r="M378" s="0"/>
      <c r="N378" s="0"/>
      <c r="O378" s="0"/>
      <c r="P378" s="0"/>
      <c r="Q378" s="0"/>
      <c r="R378" s="0"/>
      <c r="S378" s="0"/>
      <c r="T378" s="0"/>
      <c r="U378" s="0"/>
      <c r="V378" s="0"/>
      <c r="W378" s="0"/>
      <c r="X378" s="0"/>
      <c r="Y378" s="0"/>
      <c r="Z378" s="0"/>
      <c r="AA378" s="0"/>
      <c r="AB378" s="0"/>
      <c r="AC378" s="0"/>
      <c r="AD378" s="0"/>
      <c r="AE378" s="0"/>
      <c r="AF378" s="0"/>
      <c r="AG378" s="0"/>
      <c r="AH378" s="0"/>
      <c r="AI378" s="0"/>
      <c r="AJ378" s="0"/>
      <c r="AK378" s="0"/>
      <c r="AL378" s="0"/>
      <c r="AM378" s="0"/>
      <c r="AN378" s="0"/>
      <c r="AO378" s="0"/>
      <c r="AP378" s="0"/>
      <c r="AQ378" s="0"/>
      <c r="AR378" s="0"/>
      <c r="AS378" s="0"/>
      <c r="AT378" s="0"/>
      <c r="AU378" s="0"/>
      <c r="AV378" s="0"/>
      <c r="AW378" s="0"/>
      <c r="AX378" s="0"/>
      <c r="AY378" s="0"/>
      <c r="AZ378" s="0"/>
      <c r="BA378" s="0"/>
      <c r="BB378" s="0"/>
    </row>
    <row r="379" customFormat="false" ht="12.75" hidden="false" customHeight="false" outlineLevel="0" collapsed="false">
      <c r="A379" s="0"/>
      <c r="B379" s="0"/>
      <c r="C379" s="0"/>
      <c r="D379" s="0"/>
      <c r="E379" s="0"/>
      <c r="F379" s="0"/>
      <c r="G379" s="0"/>
      <c r="H379" s="0"/>
      <c r="I379" s="0"/>
      <c r="J379" s="0"/>
      <c r="K379" s="0"/>
      <c r="L379" s="0"/>
      <c r="M379" s="0"/>
      <c r="N379" s="0"/>
      <c r="O379" s="0"/>
      <c r="P379" s="0"/>
      <c r="Q379" s="0"/>
      <c r="R379" s="0"/>
      <c r="S379" s="0"/>
      <c r="T379" s="0"/>
      <c r="U379" s="0"/>
      <c r="V379" s="0"/>
      <c r="W379" s="0"/>
      <c r="X379" s="0"/>
      <c r="Y379" s="0"/>
      <c r="Z379" s="0"/>
      <c r="AA379" s="0"/>
      <c r="AB379" s="0"/>
      <c r="AC379" s="0"/>
      <c r="AD379" s="0"/>
      <c r="AE379" s="0"/>
      <c r="AF379" s="0"/>
      <c r="AG379" s="0"/>
      <c r="AH379" s="0"/>
      <c r="AI379" s="0"/>
      <c r="AJ379" s="0"/>
      <c r="AK379" s="0"/>
      <c r="AL379" s="0"/>
      <c r="AM379" s="0"/>
      <c r="AN379" s="0"/>
      <c r="AO379" s="0"/>
      <c r="AP379" s="0"/>
      <c r="AQ379" s="0"/>
      <c r="AR379" s="0"/>
      <c r="AS379" s="0"/>
      <c r="AT379" s="0"/>
      <c r="AU379" s="0"/>
      <c r="AV379" s="0"/>
      <c r="AW379" s="0"/>
      <c r="AX379" s="0"/>
      <c r="AY379" s="0"/>
      <c r="AZ379" s="0"/>
      <c r="BA379" s="0"/>
      <c r="BB379" s="0"/>
    </row>
    <row r="380" customFormat="false" ht="12.75" hidden="false" customHeight="false" outlineLevel="0" collapsed="false">
      <c r="A380" s="0"/>
      <c r="B380" s="0"/>
      <c r="C380" s="0"/>
      <c r="D380" s="0"/>
      <c r="E380" s="0"/>
      <c r="F380" s="0"/>
      <c r="G380" s="0"/>
      <c r="H380" s="0"/>
      <c r="I380" s="0"/>
      <c r="J380" s="0"/>
      <c r="K380" s="0"/>
      <c r="L380" s="0"/>
      <c r="M380" s="0"/>
      <c r="N380" s="0"/>
      <c r="O380" s="0"/>
      <c r="P380" s="0"/>
      <c r="Q380" s="0"/>
      <c r="R380" s="0"/>
      <c r="S380" s="0"/>
      <c r="T380" s="0"/>
      <c r="U380" s="0"/>
      <c r="V380" s="0"/>
      <c r="W380" s="0"/>
      <c r="X380" s="0"/>
      <c r="Y380" s="0"/>
      <c r="Z380" s="0"/>
      <c r="AA380" s="0"/>
      <c r="AB380" s="0"/>
      <c r="AC380" s="0"/>
      <c r="AD380" s="0"/>
      <c r="AE380" s="0"/>
      <c r="AF380" s="0"/>
      <c r="AG380" s="0"/>
      <c r="AH380" s="0"/>
      <c r="AI380" s="0"/>
      <c r="AJ380" s="0"/>
      <c r="AK380" s="0"/>
      <c r="AL380" s="0"/>
      <c r="AM380" s="0"/>
      <c r="AN380" s="0"/>
      <c r="AO380" s="0"/>
      <c r="AP380" s="0"/>
      <c r="AQ380" s="0"/>
      <c r="AR380" s="0"/>
      <c r="AS380" s="0"/>
      <c r="AT380" s="0"/>
      <c r="AU380" s="0"/>
      <c r="AV380" s="0"/>
      <c r="AW380" s="0"/>
      <c r="AX380" s="0"/>
      <c r="AY380" s="0"/>
      <c r="AZ380" s="0"/>
      <c r="BA380" s="0"/>
      <c r="BB380" s="0"/>
    </row>
    <row r="381" customFormat="false" ht="12.75" hidden="false" customHeight="false" outlineLevel="0" collapsed="false">
      <c r="A381" s="0"/>
      <c r="B381" s="0"/>
      <c r="C381" s="0"/>
      <c r="D381" s="0"/>
      <c r="E381" s="0"/>
      <c r="F381" s="0"/>
      <c r="G381" s="0"/>
      <c r="H381" s="0"/>
      <c r="I381" s="0"/>
      <c r="J381" s="0"/>
      <c r="K381" s="0"/>
      <c r="L381" s="0"/>
      <c r="M381" s="0"/>
      <c r="N381" s="0"/>
      <c r="O381" s="0"/>
      <c r="P381" s="0"/>
      <c r="Q381" s="0"/>
      <c r="R381" s="0"/>
      <c r="S381" s="0"/>
      <c r="T381" s="0"/>
      <c r="U381" s="0"/>
      <c r="V381" s="0"/>
      <c r="W381" s="0"/>
      <c r="X381" s="0"/>
      <c r="Y381" s="0"/>
      <c r="Z381" s="0"/>
      <c r="AA381" s="0"/>
      <c r="AB381" s="0"/>
      <c r="AC381" s="0"/>
      <c r="AD381" s="0"/>
      <c r="AE381" s="0"/>
      <c r="AF381" s="0"/>
      <c r="AG381" s="0"/>
      <c r="AH381" s="0"/>
      <c r="AI381" s="0"/>
      <c r="AJ381" s="0"/>
      <c r="AK381" s="0"/>
      <c r="AL381" s="0"/>
      <c r="AM381" s="0"/>
      <c r="AN381" s="0"/>
      <c r="AO381" s="0"/>
      <c r="AP381" s="0"/>
      <c r="AQ381" s="0"/>
      <c r="AR381" s="0"/>
      <c r="AS381" s="0"/>
      <c r="AT381" s="0"/>
      <c r="AU381" s="0"/>
      <c r="AV381" s="0"/>
      <c r="AW381" s="0"/>
      <c r="AX381" s="0"/>
      <c r="AY381" s="0"/>
      <c r="AZ381" s="0"/>
      <c r="BA381" s="0"/>
      <c r="BB381" s="0"/>
    </row>
    <row r="382" customFormat="false" ht="12.75" hidden="false" customHeight="false" outlineLevel="0" collapsed="false">
      <c r="A382" s="0"/>
      <c r="B382" s="0"/>
      <c r="C382" s="0"/>
      <c r="D382" s="0"/>
      <c r="E382" s="0"/>
      <c r="F382" s="0"/>
      <c r="G382" s="0"/>
      <c r="H382" s="0"/>
      <c r="I382" s="0"/>
      <c r="J382" s="0"/>
      <c r="K382" s="0"/>
      <c r="L382" s="0"/>
      <c r="M382" s="0"/>
      <c r="N382" s="0"/>
      <c r="O382" s="0"/>
      <c r="P382" s="0"/>
      <c r="Q382" s="0"/>
      <c r="R382" s="0"/>
      <c r="S382" s="0"/>
      <c r="T382" s="0"/>
      <c r="U382" s="0"/>
      <c r="V382" s="0"/>
      <c r="W382" s="0"/>
      <c r="X382" s="0"/>
      <c r="Y382" s="0"/>
      <c r="Z382" s="0"/>
      <c r="AA382" s="0"/>
      <c r="AB382" s="0"/>
      <c r="AC382" s="0"/>
      <c r="AD382" s="0"/>
      <c r="AE382" s="0"/>
      <c r="AF382" s="0"/>
      <c r="AG382" s="0"/>
      <c r="AH382" s="0"/>
      <c r="AI382" s="0"/>
      <c r="AJ382" s="0"/>
      <c r="AK382" s="0"/>
      <c r="AL382" s="0"/>
      <c r="AM382" s="0"/>
      <c r="AN382" s="0"/>
      <c r="AO382" s="0"/>
      <c r="AP382" s="0"/>
      <c r="AQ382" s="0"/>
      <c r="AR382" s="0"/>
      <c r="AS382" s="0"/>
      <c r="AT382" s="0"/>
      <c r="AU382" s="0"/>
      <c r="AV382" s="0"/>
      <c r="AW382" s="0"/>
      <c r="AX382" s="0"/>
      <c r="AY382" s="0"/>
      <c r="AZ382" s="0"/>
      <c r="BA382" s="0"/>
      <c r="BB382" s="0"/>
    </row>
    <row r="383" customFormat="false" ht="12.75" hidden="false" customHeight="false" outlineLevel="0" collapsed="false">
      <c r="A383" s="0"/>
      <c r="B383" s="0"/>
      <c r="C383" s="0"/>
      <c r="D383" s="0"/>
      <c r="E383" s="0"/>
      <c r="F383" s="0"/>
      <c r="G383" s="0"/>
      <c r="H383" s="0"/>
      <c r="I383" s="0"/>
      <c r="J383" s="0"/>
      <c r="K383" s="0"/>
      <c r="L383" s="0"/>
      <c r="M383" s="0"/>
      <c r="N383" s="0"/>
      <c r="O383" s="0"/>
      <c r="P383" s="0"/>
      <c r="Q383" s="0"/>
      <c r="R383" s="0"/>
      <c r="S383" s="0"/>
      <c r="T383" s="0"/>
      <c r="U383" s="0"/>
      <c r="V383" s="0"/>
      <c r="W383" s="0"/>
      <c r="X383" s="0"/>
      <c r="Y383" s="0"/>
      <c r="Z383" s="0"/>
      <c r="AA383" s="0"/>
      <c r="AB383" s="0"/>
      <c r="AC383" s="0"/>
      <c r="AD383" s="0"/>
      <c r="AE383" s="0"/>
      <c r="AF383" s="0"/>
      <c r="AG383" s="0"/>
      <c r="AH383" s="0"/>
      <c r="AI383" s="0"/>
      <c r="AJ383" s="0"/>
      <c r="AK383" s="0"/>
      <c r="AL383" s="0"/>
      <c r="AM383" s="0"/>
      <c r="AN383" s="0"/>
      <c r="AO383" s="0"/>
      <c r="AP383" s="0"/>
      <c r="AQ383" s="0"/>
      <c r="AR383" s="0"/>
      <c r="AS383" s="0"/>
      <c r="AT383" s="0"/>
      <c r="AU383" s="0"/>
      <c r="AV383" s="0"/>
      <c r="AW383" s="0"/>
      <c r="AX383" s="0"/>
      <c r="AY383" s="0"/>
      <c r="AZ383" s="0"/>
      <c r="BA383" s="0"/>
      <c r="BB383" s="0"/>
    </row>
    <row r="384" customFormat="false" ht="12.75" hidden="false" customHeight="false" outlineLevel="0" collapsed="false">
      <c r="A384" s="0"/>
      <c r="B384" s="0"/>
      <c r="C384" s="0"/>
      <c r="D384" s="0"/>
      <c r="E384" s="0"/>
      <c r="F384" s="0"/>
      <c r="G384" s="0"/>
      <c r="H384" s="0"/>
      <c r="I384" s="0"/>
      <c r="J384" s="0"/>
      <c r="K384" s="0"/>
      <c r="L384" s="0"/>
      <c r="M384" s="0"/>
      <c r="N384" s="0"/>
      <c r="O384" s="0"/>
      <c r="P384" s="0"/>
      <c r="Q384" s="0"/>
      <c r="R384" s="0"/>
      <c r="S384" s="0"/>
      <c r="T384" s="0"/>
      <c r="U384" s="0"/>
      <c r="V384" s="0"/>
      <c r="W384" s="0"/>
      <c r="X384" s="0"/>
      <c r="Y384" s="0"/>
      <c r="Z384" s="0"/>
      <c r="AA384" s="0"/>
      <c r="AB384" s="0"/>
      <c r="AC384" s="0"/>
      <c r="AD384" s="0"/>
      <c r="AE384" s="0"/>
      <c r="AF384" s="0"/>
      <c r="AG384" s="0"/>
      <c r="AH384" s="0"/>
      <c r="AI384" s="0"/>
      <c r="AJ384" s="0"/>
      <c r="AK384" s="0"/>
      <c r="AL384" s="0"/>
      <c r="AM384" s="0"/>
      <c r="AN384" s="0"/>
      <c r="AO384" s="0"/>
      <c r="AP384" s="0"/>
      <c r="AQ384" s="0"/>
      <c r="AR384" s="0"/>
      <c r="AS384" s="0"/>
      <c r="AT384" s="0"/>
      <c r="AU384" s="0"/>
      <c r="AV384" s="0"/>
      <c r="AW384" s="0"/>
      <c r="AX384" s="0"/>
      <c r="AY384" s="0"/>
      <c r="AZ384" s="0"/>
      <c r="BA384" s="0"/>
      <c r="BB384" s="0"/>
    </row>
    <row r="385" customFormat="false" ht="12.75" hidden="false" customHeight="false" outlineLevel="0" collapsed="false">
      <c r="A385" s="0"/>
      <c r="B385" s="0"/>
      <c r="C385" s="0"/>
      <c r="D385" s="0"/>
      <c r="E385" s="0"/>
      <c r="F385" s="0"/>
      <c r="G385" s="0"/>
      <c r="H385" s="0"/>
      <c r="I385" s="0"/>
      <c r="J385" s="0"/>
      <c r="K385" s="0"/>
      <c r="L385" s="0"/>
      <c r="M385" s="0"/>
      <c r="N385" s="0"/>
      <c r="O385" s="0"/>
      <c r="P385" s="0"/>
      <c r="Q385" s="0"/>
      <c r="R385" s="0"/>
      <c r="S385" s="0"/>
      <c r="T385" s="0"/>
      <c r="U385" s="0"/>
      <c r="V385" s="0"/>
      <c r="W385" s="0"/>
      <c r="X385" s="0"/>
      <c r="Y385" s="0"/>
      <c r="Z385" s="0"/>
      <c r="AA385" s="0"/>
      <c r="AB385" s="0"/>
      <c r="AC385" s="0"/>
      <c r="AD385" s="0"/>
      <c r="AE385" s="0"/>
      <c r="AF385" s="0"/>
      <c r="AG385" s="0"/>
      <c r="AH385" s="0"/>
      <c r="AI385" s="0"/>
      <c r="AJ385" s="0"/>
      <c r="AK385" s="0"/>
      <c r="AL385" s="0"/>
      <c r="AM385" s="0"/>
      <c r="AN385" s="0"/>
      <c r="AO385" s="0"/>
      <c r="AP385" s="0"/>
      <c r="AQ385" s="0"/>
      <c r="AR385" s="0"/>
      <c r="AS385" s="0"/>
      <c r="AT385" s="0"/>
      <c r="AU385" s="0"/>
      <c r="AV385" s="0"/>
      <c r="AW385" s="0"/>
      <c r="AX385" s="0"/>
      <c r="AY385" s="0"/>
      <c r="AZ385" s="0"/>
      <c r="BA385" s="0"/>
      <c r="BB385" s="0"/>
    </row>
    <row r="386" customFormat="false" ht="12.75" hidden="false" customHeight="false" outlineLevel="0" collapsed="false">
      <c r="A386" s="0"/>
      <c r="B386" s="0"/>
      <c r="C386" s="0"/>
      <c r="D386" s="0"/>
      <c r="E386" s="0"/>
      <c r="F386" s="0"/>
      <c r="G386" s="0"/>
      <c r="H386" s="0"/>
      <c r="I386" s="0"/>
      <c r="J386" s="0"/>
      <c r="K386" s="0"/>
      <c r="L386" s="0"/>
      <c r="M386" s="0"/>
      <c r="N386" s="0"/>
      <c r="O386" s="0"/>
      <c r="P386" s="0"/>
      <c r="Q386" s="0"/>
      <c r="R386" s="0"/>
      <c r="S386" s="0"/>
      <c r="T386" s="0"/>
      <c r="U386" s="0"/>
      <c r="V386" s="0"/>
      <c r="W386" s="0"/>
      <c r="X386" s="0"/>
      <c r="Y386" s="0"/>
      <c r="Z386" s="0"/>
      <c r="AA386" s="0"/>
      <c r="AB386" s="0"/>
      <c r="AC386" s="0"/>
      <c r="AD386" s="0"/>
      <c r="AE386" s="0"/>
      <c r="AF386" s="0"/>
      <c r="AG386" s="0"/>
      <c r="AH386" s="0"/>
      <c r="AI386" s="0"/>
      <c r="AJ386" s="0"/>
      <c r="AK386" s="0"/>
      <c r="AL386" s="0"/>
      <c r="AM386" s="0"/>
      <c r="AN386" s="0"/>
      <c r="AO386" s="0"/>
      <c r="AP386" s="0"/>
      <c r="AQ386" s="0"/>
      <c r="AR386" s="0"/>
      <c r="AS386" s="0"/>
      <c r="AT386" s="0"/>
      <c r="AU386" s="0"/>
      <c r="AV386" s="0"/>
      <c r="AW386" s="0"/>
      <c r="AX386" s="0"/>
      <c r="AY386" s="0"/>
      <c r="AZ386" s="0"/>
      <c r="BA386" s="0"/>
      <c r="BB386" s="0"/>
    </row>
    <row r="387" customFormat="false" ht="12.75" hidden="false" customHeight="false" outlineLevel="0" collapsed="false">
      <c r="A387" s="0"/>
      <c r="B387" s="0"/>
      <c r="C387" s="0"/>
      <c r="D387" s="0"/>
      <c r="E387" s="0"/>
      <c r="F387" s="0"/>
      <c r="G387" s="0"/>
      <c r="H387" s="0"/>
      <c r="I387" s="0"/>
      <c r="J387" s="0"/>
      <c r="K387" s="0"/>
      <c r="L387" s="0"/>
      <c r="M387" s="0"/>
      <c r="N387" s="0"/>
      <c r="O387" s="0"/>
      <c r="P387" s="0"/>
      <c r="Q387" s="0"/>
      <c r="R387" s="0"/>
      <c r="S387" s="0"/>
      <c r="T387" s="0"/>
      <c r="U387" s="0"/>
      <c r="V387" s="0"/>
      <c r="W387" s="0"/>
      <c r="X387" s="0"/>
      <c r="Y387" s="0"/>
      <c r="Z387" s="0"/>
      <c r="AA387" s="0"/>
      <c r="AB387" s="0"/>
      <c r="AC387" s="0"/>
      <c r="AD387" s="0"/>
      <c r="AE387" s="0"/>
      <c r="AF387" s="0"/>
      <c r="AG387" s="0"/>
      <c r="AH387" s="0"/>
      <c r="AI387" s="0"/>
      <c r="AJ387" s="0"/>
      <c r="AK387" s="0"/>
      <c r="AL387" s="0"/>
      <c r="AM387" s="0"/>
      <c r="AN387" s="0"/>
      <c r="AO387" s="0"/>
      <c r="AP387" s="0"/>
      <c r="AQ387" s="0"/>
      <c r="AR387" s="0"/>
      <c r="AS387" s="0"/>
      <c r="AT387" s="0"/>
      <c r="AU387" s="0"/>
      <c r="AV387" s="0"/>
      <c r="AW387" s="0"/>
      <c r="AX387" s="0"/>
      <c r="AY387" s="0"/>
      <c r="AZ387" s="0"/>
      <c r="BA387" s="0"/>
      <c r="BB387" s="0"/>
    </row>
    <row r="388" customFormat="false" ht="12.75" hidden="false" customHeight="false" outlineLevel="0" collapsed="false">
      <c r="A388" s="0"/>
      <c r="B388" s="0"/>
      <c r="C388" s="0"/>
      <c r="D388" s="0"/>
      <c r="E388" s="0"/>
      <c r="F388" s="0"/>
      <c r="G388" s="0"/>
      <c r="H388" s="0"/>
      <c r="I388" s="0"/>
      <c r="J388" s="0"/>
      <c r="K388" s="0"/>
      <c r="L388" s="0"/>
      <c r="M388" s="0"/>
      <c r="N388" s="0"/>
      <c r="O388" s="0"/>
      <c r="P388" s="0"/>
      <c r="Q388" s="0"/>
      <c r="R388" s="0"/>
      <c r="S388" s="0"/>
      <c r="T388" s="0"/>
      <c r="U388" s="0"/>
      <c r="V388" s="0"/>
      <c r="W388" s="0"/>
      <c r="X388" s="0"/>
      <c r="Y388" s="0"/>
      <c r="Z388" s="0"/>
      <c r="AA388" s="0"/>
      <c r="AB388" s="0"/>
      <c r="AC388" s="0"/>
      <c r="AD388" s="0"/>
      <c r="AE388" s="0"/>
      <c r="AF388" s="0"/>
      <c r="AG388" s="0"/>
      <c r="AH388" s="0"/>
      <c r="AI388" s="0"/>
      <c r="AJ388" s="0"/>
      <c r="AK388" s="0"/>
      <c r="AL388" s="0"/>
      <c r="AM388" s="0"/>
      <c r="AN388" s="0"/>
      <c r="AO388" s="0"/>
      <c r="AP388" s="0"/>
      <c r="AQ388" s="0"/>
      <c r="AR388" s="0"/>
      <c r="AS388" s="0"/>
      <c r="AT388" s="0"/>
      <c r="AU388" s="0"/>
      <c r="AV388" s="0"/>
      <c r="AW388" s="0"/>
      <c r="AX388" s="0"/>
      <c r="AY388" s="0"/>
      <c r="AZ388" s="0"/>
      <c r="BA388" s="0"/>
      <c r="BB388" s="0"/>
    </row>
    <row r="389" customFormat="false" ht="12.75" hidden="false" customHeight="false" outlineLevel="0" collapsed="false">
      <c r="A389" s="0"/>
      <c r="B389" s="0"/>
      <c r="C389" s="0"/>
      <c r="D389" s="0"/>
      <c r="E389" s="0"/>
      <c r="F389" s="0"/>
      <c r="G389" s="0"/>
      <c r="H389" s="0"/>
      <c r="I389" s="0"/>
      <c r="J389" s="0"/>
      <c r="K389" s="0"/>
      <c r="L389" s="0"/>
      <c r="M389" s="0"/>
      <c r="N389" s="0"/>
      <c r="O389" s="0"/>
      <c r="P389" s="0"/>
      <c r="Q389" s="0"/>
      <c r="R389" s="0"/>
      <c r="S389" s="0"/>
      <c r="T389" s="0"/>
      <c r="U389" s="0"/>
      <c r="V389" s="0"/>
      <c r="W389" s="0"/>
      <c r="X389" s="0"/>
      <c r="Y389" s="0"/>
      <c r="Z389" s="0"/>
      <c r="AA389" s="0"/>
      <c r="AB389" s="0"/>
      <c r="AC389" s="0"/>
      <c r="AD389" s="0"/>
      <c r="AE389" s="0"/>
      <c r="AF389" s="0"/>
      <c r="AG389" s="0"/>
      <c r="AH389" s="0"/>
      <c r="AI389" s="0"/>
      <c r="AJ389" s="0"/>
      <c r="AK389" s="0"/>
      <c r="AL389" s="0"/>
      <c r="AM389" s="0"/>
      <c r="AN389" s="0"/>
      <c r="AO389" s="0"/>
      <c r="AP389" s="0"/>
      <c r="AQ389" s="0"/>
      <c r="AR389" s="0"/>
      <c r="AS389" s="0"/>
      <c r="AT389" s="0"/>
      <c r="AU389" s="0"/>
      <c r="AV389" s="0"/>
      <c r="AW389" s="0"/>
      <c r="AX389" s="0"/>
      <c r="AY389" s="0"/>
      <c r="AZ389" s="0"/>
      <c r="BA389" s="0"/>
      <c r="BB389" s="0"/>
    </row>
    <row r="390" customFormat="false" ht="12.75" hidden="false" customHeight="false" outlineLevel="0" collapsed="false">
      <c r="A390" s="0"/>
      <c r="B390" s="0"/>
      <c r="C390" s="0"/>
      <c r="D390" s="0"/>
      <c r="E390" s="0"/>
      <c r="F390" s="0"/>
      <c r="G390" s="0"/>
      <c r="H390" s="0"/>
      <c r="I390" s="0"/>
      <c r="J390" s="0"/>
      <c r="K390" s="0"/>
      <c r="L390" s="0"/>
      <c r="M390" s="0"/>
      <c r="N390" s="0"/>
      <c r="O390" s="0"/>
      <c r="P390" s="0"/>
      <c r="Q390" s="0"/>
      <c r="R390" s="0"/>
      <c r="S390" s="0"/>
      <c r="T390" s="0"/>
      <c r="U390" s="0"/>
      <c r="V390" s="0"/>
      <c r="W390" s="0"/>
      <c r="X390" s="0"/>
      <c r="Y390" s="0"/>
      <c r="Z390" s="0"/>
      <c r="AA390" s="0"/>
      <c r="AB390" s="0"/>
      <c r="AC390" s="0"/>
      <c r="AD390" s="0"/>
      <c r="AE390" s="0"/>
      <c r="AF390" s="0"/>
      <c r="AG390" s="0"/>
      <c r="AH390" s="0"/>
      <c r="AI390" s="0"/>
      <c r="AJ390" s="0"/>
      <c r="AK390" s="0"/>
      <c r="AL390" s="0"/>
      <c r="AM390" s="0"/>
      <c r="AN390" s="0"/>
      <c r="AO390" s="0"/>
      <c r="AP390" s="0"/>
      <c r="AQ390" s="0"/>
      <c r="AR390" s="0"/>
      <c r="AS390" s="0"/>
      <c r="AT390" s="0"/>
      <c r="AU390" s="0"/>
      <c r="AV390" s="0"/>
      <c r="AW390" s="0"/>
      <c r="AX390" s="0"/>
      <c r="AY390" s="0"/>
      <c r="AZ390" s="0"/>
      <c r="BA390" s="0"/>
      <c r="BB390" s="0"/>
    </row>
    <row r="391" customFormat="false" ht="12.75" hidden="false" customHeight="false" outlineLevel="0" collapsed="false">
      <c r="A391" s="0"/>
      <c r="B391" s="0"/>
      <c r="C391" s="0"/>
      <c r="D391" s="0"/>
      <c r="E391" s="0"/>
      <c r="F391" s="0"/>
      <c r="G391" s="0"/>
      <c r="H391" s="0"/>
      <c r="I391" s="0"/>
      <c r="J391" s="0"/>
      <c r="K391" s="0"/>
      <c r="L391" s="0"/>
      <c r="M391" s="0"/>
      <c r="N391" s="0"/>
      <c r="O391" s="0"/>
      <c r="P391" s="0"/>
      <c r="Q391" s="0"/>
      <c r="R391" s="0"/>
      <c r="S391" s="0"/>
      <c r="T391" s="0"/>
      <c r="U391" s="0"/>
      <c r="V391" s="0"/>
      <c r="W391" s="0"/>
      <c r="X391" s="0"/>
      <c r="Y391" s="0"/>
      <c r="Z391" s="0"/>
      <c r="AA391" s="0"/>
      <c r="AB391" s="0"/>
      <c r="AC391" s="0"/>
      <c r="AD391" s="0"/>
      <c r="AE391" s="0"/>
      <c r="AF391" s="0"/>
      <c r="AG391" s="0"/>
      <c r="AH391" s="0"/>
      <c r="AI391" s="0"/>
      <c r="AJ391" s="0"/>
      <c r="AK391" s="0"/>
      <c r="AL391" s="0"/>
      <c r="AM391" s="0"/>
      <c r="AN391" s="0"/>
      <c r="AO391" s="0"/>
      <c r="AP391" s="0"/>
      <c r="AQ391" s="0"/>
      <c r="AR391" s="0"/>
      <c r="AS391" s="0"/>
      <c r="AT391" s="0"/>
      <c r="AU391" s="0"/>
      <c r="AV391" s="0"/>
      <c r="AW391" s="0"/>
      <c r="AX391" s="0"/>
      <c r="AY391" s="0"/>
      <c r="AZ391" s="0"/>
      <c r="BA391" s="0"/>
      <c r="BB391" s="0"/>
    </row>
    <row r="392" customFormat="false" ht="12.75" hidden="false" customHeight="false" outlineLevel="0" collapsed="false">
      <c r="A392" s="0"/>
      <c r="B392" s="0"/>
      <c r="C392" s="0"/>
      <c r="D392" s="0"/>
      <c r="E392" s="0"/>
      <c r="F392" s="0"/>
      <c r="G392" s="0"/>
      <c r="H392" s="0"/>
      <c r="I392" s="0"/>
      <c r="J392" s="0"/>
      <c r="K392" s="0"/>
      <c r="L392" s="0"/>
      <c r="M392" s="0"/>
      <c r="N392" s="0"/>
      <c r="O392" s="0"/>
      <c r="P392" s="0"/>
      <c r="Q392" s="0"/>
      <c r="R392" s="0"/>
      <c r="S392" s="0"/>
      <c r="T392" s="0"/>
      <c r="U392" s="0"/>
      <c r="V392" s="0"/>
      <c r="W392" s="0"/>
      <c r="X392" s="0"/>
      <c r="Y392" s="0"/>
      <c r="Z392" s="0"/>
      <c r="AA392" s="0"/>
      <c r="AB392" s="0"/>
      <c r="AC392" s="0"/>
      <c r="AD392" s="0"/>
      <c r="AE392" s="0"/>
      <c r="AF392" s="0"/>
      <c r="AG392" s="0"/>
      <c r="AH392" s="0"/>
      <c r="AI392" s="0"/>
      <c r="AJ392" s="0"/>
      <c r="AK392" s="0"/>
      <c r="AL392" s="0"/>
      <c r="AM392" s="0"/>
      <c r="AN392" s="0"/>
      <c r="AO392" s="0"/>
      <c r="AP392" s="0"/>
      <c r="AQ392" s="0"/>
      <c r="AR392" s="0"/>
      <c r="AS392" s="0"/>
      <c r="AT392" s="0"/>
      <c r="AU392" s="0"/>
      <c r="AV392" s="0"/>
      <c r="AW392" s="0"/>
      <c r="AX392" s="0"/>
      <c r="AY392" s="0"/>
      <c r="AZ392" s="0"/>
      <c r="BA392" s="0"/>
      <c r="BB392" s="0"/>
    </row>
    <row r="393" customFormat="false" ht="12.75" hidden="false" customHeight="false" outlineLevel="0" collapsed="false">
      <c r="A393" s="0"/>
      <c r="B393" s="0"/>
      <c r="C393" s="0"/>
      <c r="D393" s="0"/>
      <c r="E393" s="0"/>
      <c r="F393" s="0"/>
      <c r="G393" s="0"/>
      <c r="H393" s="0"/>
      <c r="I393" s="0"/>
      <c r="J393" s="0"/>
      <c r="K393" s="0"/>
      <c r="L393" s="0"/>
      <c r="M393" s="0"/>
      <c r="N393" s="0"/>
      <c r="O393" s="0"/>
      <c r="P393" s="0"/>
      <c r="Q393" s="0"/>
      <c r="R393" s="0"/>
      <c r="S393" s="0"/>
      <c r="T393" s="0"/>
      <c r="U393" s="0"/>
      <c r="V393" s="0"/>
      <c r="W393" s="0"/>
      <c r="X393" s="0"/>
      <c r="Y393" s="0"/>
      <c r="Z393" s="0"/>
      <c r="AA393" s="0"/>
      <c r="AB393" s="0"/>
      <c r="AC393" s="0"/>
      <c r="AD393" s="0"/>
      <c r="AE393" s="0"/>
      <c r="AF393" s="0"/>
      <c r="AG393" s="0"/>
      <c r="AH393" s="0"/>
      <c r="AI393" s="0"/>
      <c r="AJ393" s="0"/>
      <c r="AK393" s="0"/>
      <c r="AL393" s="0"/>
      <c r="AM393" s="0"/>
      <c r="AN393" s="0"/>
      <c r="AO393" s="0"/>
      <c r="AP393" s="0"/>
      <c r="AQ393" s="0"/>
      <c r="AR393" s="0"/>
      <c r="AS393" s="0"/>
      <c r="AT393" s="0"/>
      <c r="AU393" s="0"/>
      <c r="AV393" s="0"/>
      <c r="AW393" s="0"/>
      <c r="AX393" s="0"/>
      <c r="AY393" s="0"/>
      <c r="AZ393" s="0"/>
      <c r="BA393" s="0"/>
      <c r="BB393" s="0"/>
    </row>
    <row r="394" customFormat="false" ht="12.75" hidden="false" customHeight="false" outlineLevel="0" collapsed="false">
      <c r="A394" s="0"/>
      <c r="B394" s="0"/>
      <c r="C394" s="0"/>
      <c r="D394" s="0"/>
      <c r="E394" s="0"/>
      <c r="F394" s="0"/>
      <c r="G394" s="0"/>
      <c r="H394" s="0"/>
      <c r="I394" s="0"/>
      <c r="J394" s="0"/>
      <c r="K394" s="0"/>
      <c r="L394" s="0"/>
      <c r="M394" s="0"/>
      <c r="N394" s="0"/>
      <c r="O394" s="0"/>
      <c r="P394" s="0"/>
      <c r="Q394" s="0"/>
      <c r="R394" s="0"/>
      <c r="S394" s="0"/>
      <c r="T394" s="0"/>
      <c r="U394" s="0"/>
      <c r="V394" s="0"/>
      <c r="W394" s="0"/>
      <c r="X394" s="0"/>
      <c r="Y394" s="0"/>
      <c r="Z394" s="0"/>
      <c r="AA394" s="0"/>
      <c r="AB394" s="0"/>
      <c r="AC394" s="0"/>
      <c r="AD394" s="0"/>
      <c r="AE394" s="0"/>
      <c r="AF394" s="0"/>
      <c r="AG394" s="0"/>
      <c r="AH394" s="0"/>
      <c r="AI394" s="0"/>
      <c r="AJ394" s="0"/>
      <c r="AK394" s="0"/>
      <c r="AL394" s="0"/>
      <c r="AM394" s="0"/>
      <c r="AN394" s="0"/>
      <c r="AO394" s="0"/>
      <c r="AP394" s="0"/>
      <c r="AQ394" s="0"/>
      <c r="AR394" s="0"/>
      <c r="AS394" s="0"/>
      <c r="AT394" s="0"/>
      <c r="AU394" s="0"/>
      <c r="AV394" s="0"/>
      <c r="AW394" s="0"/>
      <c r="AX394" s="0"/>
      <c r="AY394" s="0"/>
      <c r="AZ394" s="0"/>
      <c r="BA394" s="0"/>
      <c r="BB394" s="0"/>
    </row>
    <row r="395" customFormat="false" ht="12.75" hidden="false" customHeight="false" outlineLevel="0" collapsed="false">
      <c r="A395" s="0"/>
      <c r="B395" s="0"/>
      <c r="C395" s="0"/>
      <c r="D395" s="0"/>
      <c r="E395" s="0"/>
      <c r="F395" s="0"/>
      <c r="G395" s="0"/>
      <c r="H395" s="0"/>
      <c r="I395" s="0"/>
      <c r="J395" s="0"/>
      <c r="K395" s="0"/>
      <c r="L395" s="0"/>
      <c r="M395" s="0"/>
      <c r="N395" s="0"/>
      <c r="O395" s="0"/>
      <c r="P395" s="0"/>
      <c r="Q395" s="0"/>
      <c r="R395" s="0"/>
      <c r="S395" s="0"/>
      <c r="T395" s="0"/>
      <c r="U395" s="0"/>
      <c r="V395" s="0"/>
      <c r="W395" s="0"/>
      <c r="X395" s="0"/>
      <c r="Y395" s="0"/>
      <c r="Z395" s="0"/>
      <c r="AA395" s="0"/>
      <c r="AB395" s="0"/>
      <c r="AC395" s="0"/>
      <c r="AD395" s="0"/>
      <c r="AE395" s="0"/>
      <c r="AF395" s="0"/>
      <c r="AG395" s="0"/>
      <c r="AH395" s="0"/>
      <c r="AI395" s="0"/>
      <c r="AJ395" s="0"/>
      <c r="AK395" s="0"/>
      <c r="AL395" s="0"/>
      <c r="AM395" s="0"/>
      <c r="AN395" s="0"/>
      <c r="AO395" s="0"/>
      <c r="AP395" s="0"/>
      <c r="AQ395" s="0"/>
      <c r="AR395" s="0"/>
      <c r="AS395" s="0"/>
      <c r="AT395" s="0"/>
      <c r="AU395" s="0"/>
      <c r="AV395" s="0"/>
      <c r="AW395" s="0"/>
      <c r="AX395" s="0"/>
      <c r="AY395" s="0"/>
      <c r="AZ395" s="0"/>
      <c r="BA395" s="0"/>
      <c r="BB395" s="0"/>
    </row>
    <row r="396" customFormat="false" ht="12.75" hidden="false" customHeight="false" outlineLevel="0" collapsed="false">
      <c r="A396" s="0"/>
      <c r="B396" s="0"/>
      <c r="C396" s="0"/>
      <c r="D396" s="0"/>
      <c r="E396" s="0"/>
      <c r="F396" s="0"/>
      <c r="G396" s="0"/>
      <c r="H396" s="0"/>
      <c r="I396" s="0"/>
      <c r="J396" s="0"/>
      <c r="K396" s="0"/>
      <c r="L396" s="0"/>
      <c r="M396" s="0"/>
      <c r="N396" s="0"/>
      <c r="O396" s="0"/>
      <c r="P396" s="0"/>
      <c r="Q396" s="0"/>
      <c r="R396" s="0"/>
      <c r="S396" s="0"/>
      <c r="T396" s="0"/>
      <c r="U396" s="0"/>
      <c r="V396" s="0"/>
      <c r="W396" s="0"/>
      <c r="X396" s="0"/>
      <c r="Y396" s="0"/>
      <c r="Z396" s="0"/>
      <c r="AA396" s="0"/>
      <c r="AB396" s="0"/>
      <c r="AC396" s="0"/>
      <c r="AD396" s="0"/>
      <c r="AE396" s="0"/>
      <c r="AF396" s="0"/>
      <c r="AG396" s="0"/>
      <c r="AH396" s="0"/>
      <c r="AI396" s="0"/>
      <c r="AJ396" s="0"/>
      <c r="AK396" s="0"/>
      <c r="AL396" s="0"/>
      <c r="AM396" s="0"/>
      <c r="AN396" s="0"/>
      <c r="AO396" s="0"/>
      <c r="AP396" s="0"/>
      <c r="AQ396" s="0"/>
      <c r="AR396" s="0"/>
      <c r="AS396" s="0"/>
      <c r="AT396" s="0"/>
      <c r="AU396" s="0"/>
      <c r="AV396" s="0"/>
      <c r="AW396" s="0"/>
      <c r="AX396" s="0"/>
      <c r="AY396" s="0"/>
      <c r="AZ396" s="0"/>
      <c r="BA396" s="0"/>
      <c r="BB396" s="0"/>
    </row>
    <row r="397" customFormat="false" ht="12.75" hidden="false" customHeight="false" outlineLevel="0" collapsed="false">
      <c r="A397" s="0"/>
      <c r="B397" s="0"/>
      <c r="C397" s="0"/>
      <c r="D397" s="0"/>
      <c r="E397" s="0"/>
      <c r="F397" s="0"/>
      <c r="G397" s="0"/>
      <c r="H397" s="0"/>
      <c r="I397" s="0"/>
      <c r="J397" s="0"/>
      <c r="K397" s="0"/>
      <c r="L397" s="0"/>
      <c r="M397" s="0"/>
      <c r="N397" s="0"/>
      <c r="O397" s="0"/>
      <c r="P397" s="0"/>
      <c r="Q397" s="0"/>
      <c r="R397" s="0"/>
      <c r="S397" s="0"/>
      <c r="T397" s="0"/>
      <c r="U397" s="0"/>
      <c r="V397" s="0"/>
      <c r="W397" s="0"/>
      <c r="X397" s="0"/>
      <c r="Y397" s="0"/>
      <c r="Z397" s="0"/>
      <c r="AA397" s="0"/>
      <c r="AB397" s="0"/>
      <c r="AC397" s="0"/>
      <c r="AD397" s="0"/>
      <c r="AE397" s="0"/>
      <c r="AF397" s="0"/>
      <c r="AG397" s="0"/>
      <c r="AH397" s="0"/>
      <c r="AI397" s="0"/>
      <c r="AJ397" s="0"/>
      <c r="AK397" s="0"/>
      <c r="AL397" s="0"/>
      <c r="AM397" s="0"/>
      <c r="AN397" s="0"/>
      <c r="AO397" s="0"/>
      <c r="AP397" s="0"/>
      <c r="AQ397" s="0"/>
      <c r="AR397" s="0"/>
      <c r="AS397" s="0"/>
      <c r="AT397" s="0"/>
      <c r="AU397" s="0"/>
      <c r="AV397" s="0"/>
      <c r="AW397" s="0"/>
      <c r="AX397" s="0"/>
      <c r="AY397" s="0"/>
      <c r="AZ397" s="0"/>
      <c r="BA397" s="0"/>
      <c r="BB397" s="0"/>
    </row>
    <row r="398" customFormat="false" ht="12.75" hidden="false" customHeight="false" outlineLevel="0" collapsed="false">
      <c r="A398" s="0"/>
      <c r="B398" s="0"/>
      <c r="C398" s="0"/>
      <c r="D398" s="0"/>
      <c r="E398" s="0"/>
      <c r="F398" s="0"/>
      <c r="G398" s="0"/>
      <c r="H398" s="0"/>
      <c r="I398" s="0"/>
      <c r="J398" s="0"/>
      <c r="K398" s="0"/>
      <c r="L398" s="0"/>
      <c r="M398" s="0"/>
      <c r="N398" s="0"/>
      <c r="O398" s="0"/>
      <c r="P398" s="0"/>
      <c r="Q398" s="0"/>
      <c r="R398" s="0"/>
      <c r="S398" s="0"/>
      <c r="T398" s="0"/>
      <c r="U398" s="0"/>
      <c r="V398" s="0"/>
      <c r="W398" s="0"/>
      <c r="X398" s="0"/>
      <c r="Y398" s="0"/>
      <c r="Z398" s="0"/>
      <c r="AA398" s="0"/>
      <c r="AB398" s="0"/>
      <c r="AC398" s="0"/>
      <c r="AD398" s="0"/>
      <c r="AE398" s="0"/>
      <c r="AF398" s="0"/>
      <c r="AG398" s="0"/>
      <c r="AH398" s="0"/>
      <c r="AI398" s="0"/>
      <c r="AJ398" s="0"/>
      <c r="AK398" s="0"/>
      <c r="AL398" s="0"/>
      <c r="AM398" s="0"/>
      <c r="AN398" s="0"/>
      <c r="AO398" s="0"/>
      <c r="AP398" s="0"/>
      <c r="AQ398" s="0"/>
      <c r="AR398" s="0"/>
      <c r="AS398" s="0"/>
      <c r="AT398" s="0"/>
      <c r="AU398" s="0"/>
      <c r="AV398" s="0"/>
      <c r="AW398" s="0"/>
      <c r="AX398" s="0"/>
      <c r="AY398" s="0"/>
      <c r="AZ398" s="0"/>
      <c r="BA398" s="0"/>
      <c r="BB398" s="0"/>
    </row>
    <row r="399" customFormat="false" ht="12.75" hidden="false" customHeight="false" outlineLevel="0" collapsed="false">
      <c r="A399" s="0"/>
      <c r="B399" s="0"/>
      <c r="C399" s="0"/>
      <c r="D399" s="0"/>
      <c r="E399" s="0"/>
      <c r="F399" s="0"/>
      <c r="G399" s="0"/>
      <c r="H399" s="0"/>
      <c r="I399" s="0"/>
      <c r="J399" s="0"/>
      <c r="K399" s="0"/>
      <c r="L399" s="0"/>
      <c r="M399" s="0"/>
      <c r="N399" s="0"/>
      <c r="O399" s="0"/>
      <c r="P399" s="0"/>
      <c r="Q399" s="0"/>
      <c r="R399" s="0"/>
      <c r="S399" s="0"/>
      <c r="T399" s="0"/>
      <c r="U399" s="0"/>
      <c r="V399" s="0"/>
      <c r="W399" s="0"/>
      <c r="X399" s="0"/>
      <c r="Y399" s="0"/>
      <c r="Z399" s="0"/>
      <c r="AA399" s="0"/>
      <c r="AB399" s="0"/>
      <c r="AC399" s="0"/>
      <c r="AD399" s="0"/>
      <c r="AE399" s="0"/>
      <c r="AF399" s="0"/>
      <c r="AG399" s="0"/>
      <c r="AH399" s="0"/>
      <c r="AI399" s="0"/>
      <c r="AJ399" s="0"/>
      <c r="AK399" s="0"/>
      <c r="AL399" s="0"/>
      <c r="AM399" s="0"/>
      <c r="AN399" s="0"/>
      <c r="AO399" s="0"/>
      <c r="AP399" s="0"/>
      <c r="AQ399" s="0"/>
      <c r="AR399" s="0"/>
      <c r="AS399" s="0"/>
      <c r="AT399" s="0"/>
      <c r="AU399" s="0"/>
      <c r="AV399" s="0"/>
      <c r="AW399" s="0"/>
      <c r="AX399" s="0"/>
      <c r="AY399" s="0"/>
      <c r="AZ399" s="0"/>
      <c r="BA399" s="0"/>
      <c r="BB399" s="0"/>
    </row>
    <row r="400" customFormat="false" ht="12.75" hidden="false" customHeight="false" outlineLevel="0" collapsed="false">
      <c r="A400" s="0"/>
      <c r="B400" s="0"/>
      <c r="C400" s="0"/>
      <c r="D400" s="0"/>
      <c r="E400" s="0"/>
      <c r="F400" s="0"/>
      <c r="G400" s="0"/>
      <c r="H400" s="0"/>
      <c r="I400" s="0"/>
      <c r="J400" s="0"/>
      <c r="K400" s="0"/>
      <c r="L400" s="0"/>
      <c r="M400" s="0"/>
      <c r="N400" s="0"/>
      <c r="O400" s="0"/>
      <c r="P400" s="0"/>
      <c r="Q400" s="0"/>
      <c r="R400" s="0"/>
      <c r="S400" s="0"/>
      <c r="T400" s="0"/>
      <c r="U400" s="0"/>
      <c r="V400" s="0"/>
      <c r="W400" s="0"/>
      <c r="X400" s="0"/>
      <c r="Y400" s="0"/>
      <c r="Z400" s="0"/>
      <c r="AA400" s="0"/>
      <c r="AB400" s="0"/>
      <c r="AC400" s="0"/>
      <c r="AD400" s="0"/>
      <c r="AE400" s="0"/>
      <c r="AF400" s="0"/>
      <c r="AG400" s="0"/>
      <c r="AH400" s="0"/>
      <c r="AI400" s="0"/>
      <c r="AJ400" s="0"/>
      <c r="AK400" s="0"/>
      <c r="AL400" s="0"/>
      <c r="AM400" s="0"/>
      <c r="AN400" s="0"/>
      <c r="AO400" s="0"/>
      <c r="AP400" s="0"/>
      <c r="AQ400" s="0"/>
      <c r="AR400" s="0"/>
      <c r="AS400" s="0"/>
      <c r="AT400" s="0"/>
      <c r="AU400" s="0"/>
      <c r="AV400" s="0"/>
      <c r="AW400" s="0"/>
      <c r="AX400" s="0"/>
      <c r="AY400" s="0"/>
      <c r="AZ400" s="0"/>
      <c r="BA400" s="0"/>
      <c r="BB400" s="0"/>
    </row>
    <row r="401" customFormat="false" ht="12.75" hidden="false" customHeight="false" outlineLevel="0" collapsed="false">
      <c r="A401" s="0"/>
      <c r="B401" s="0"/>
      <c r="C401" s="0"/>
      <c r="D401" s="0"/>
      <c r="E401" s="0"/>
      <c r="F401" s="0"/>
      <c r="G401" s="0"/>
      <c r="H401" s="0"/>
      <c r="I401" s="0"/>
      <c r="J401" s="0"/>
      <c r="K401" s="0"/>
      <c r="L401" s="0"/>
      <c r="M401" s="0"/>
      <c r="N401" s="0"/>
      <c r="O401" s="0"/>
      <c r="P401" s="0"/>
      <c r="Q401" s="0"/>
      <c r="R401" s="0"/>
      <c r="S401" s="0"/>
      <c r="T401" s="0"/>
      <c r="U401" s="0"/>
      <c r="V401" s="0"/>
      <c r="W401" s="0"/>
      <c r="X401" s="0"/>
      <c r="Y401" s="0"/>
      <c r="Z401" s="0"/>
      <c r="AA401" s="0"/>
      <c r="AB401" s="0"/>
      <c r="AC401" s="0"/>
      <c r="AD401" s="0"/>
      <c r="AE401" s="0"/>
      <c r="AF401" s="0"/>
      <c r="AG401" s="0"/>
      <c r="AH401" s="0"/>
      <c r="AI401" s="0"/>
      <c r="AJ401" s="0"/>
      <c r="AK401" s="0"/>
      <c r="AL401" s="0"/>
      <c r="AM401" s="0"/>
      <c r="AN401" s="0"/>
      <c r="AO401" s="0"/>
      <c r="AP401" s="0"/>
      <c r="AQ401" s="0"/>
      <c r="AR401" s="0"/>
      <c r="AS401" s="0"/>
      <c r="AT401" s="0"/>
      <c r="AU401" s="0"/>
      <c r="AV401" s="0"/>
      <c r="AW401" s="0"/>
      <c r="AX401" s="0"/>
      <c r="AY401" s="0"/>
      <c r="AZ401" s="0"/>
      <c r="BA401" s="0"/>
      <c r="BB401" s="0"/>
    </row>
    <row r="402" customFormat="false" ht="12.75" hidden="false" customHeight="false" outlineLevel="0" collapsed="false">
      <c r="A402" s="0"/>
      <c r="B402" s="0"/>
      <c r="C402" s="0"/>
      <c r="D402" s="0"/>
      <c r="E402" s="0"/>
      <c r="F402" s="0"/>
      <c r="G402" s="0"/>
      <c r="H402" s="0"/>
      <c r="I402" s="0"/>
      <c r="J402" s="0"/>
      <c r="K402" s="0"/>
      <c r="L402" s="0"/>
      <c r="M402" s="0"/>
      <c r="N402" s="0"/>
      <c r="O402" s="0"/>
      <c r="P402" s="0"/>
      <c r="Q402" s="0"/>
      <c r="R402" s="0"/>
      <c r="S402" s="0"/>
      <c r="T402" s="0"/>
      <c r="U402" s="0"/>
      <c r="V402" s="0"/>
      <c r="W402" s="0"/>
      <c r="X402" s="0"/>
      <c r="Y402" s="0"/>
      <c r="Z402" s="0"/>
      <c r="AA402" s="0"/>
      <c r="AB402" s="0"/>
      <c r="AC402" s="0"/>
      <c r="AD402" s="0"/>
      <c r="AE402" s="0"/>
      <c r="AF402" s="0"/>
      <c r="AG402" s="0"/>
      <c r="AH402" s="0"/>
      <c r="AI402" s="0"/>
      <c r="AJ402" s="0"/>
      <c r="AK402" s="0"/>
      <c r="AL402" s="0"/>
      <c r="AM402" s="0"/>
      <c r="AN402" s="0"/>
      <c r="AO402" s="0"/>
      <c r="AP402" s="0"/>
      <c r="AQ402" s="0"/>
      <c r="AR402" s="0"/>
      <c r="AS402" s="0"/>
      <c r="AT402" s="0"/>
      <c r="AU402" s="0"/>
      <c r="AV402" s="0"/>
      <c r="AW402" s="0"/>
      <c r="AX402" s="0"/>
      <c r="AY402" s="0"/>
      <c r="AZ402" s="0"/>
      <c r="BA402" s="0"/>
      <c r="BB402" s="0"/>
    </row>
    <row r="403" customFormat="false" ht="12.75" hidden="false" customHeight="false" outlineLevel="0" collapsed="false">
      <c r="A403" s="0"/>
      <c r="B403" s="0"/>
      <c r="C403" s="0"/>
      <c r="D403" s="0"/>
      <c r="E403" s="0"/>
      <c r="F403" s="0"/>
      <c r="G403" s="0"/>
      <c r="H403" s="0"/>
      <c r="I403" s="0"/>
      <c r="J403" s="0"/>
      <c r="K403" s="0"/>
      <c r="L403" s="0"/>
      <c r="M403" s="0"/>
      <c r="N403" s="0"/>
      <c r="O403" s="0"/>
      <c r="P403" s="0"/>
      <c r="Q403" s="0"/>
      <c r="R403" s="0"/>
      <c r="S403" s="0"/>
      <c r="T403" s="0"/>
      <c r="U403" s="0"/>
      <c r="V403" s="0"/>
      <c r="W403" s="0"/>
      <c r="X403" s="0"/>
      <c r="Y403" s="0"/>
      <c r="Z403" s="0"/>
      <c r="AA403" s="0"/>
      <c r="AB403" s="0"/>
      <c r="AC403" s="0"/>
      <c r="AD403" s="0"/>
      <c r="AE403" s="0"/>
      <c r="AF403" s="0"/>
      <c r="AG403" s="0"/>
      <c r="AH403" s="0"/>
      <c r="AI403" s="0"/>
      <c r="AJ403" s="0"/>
      <c r="AK403" s="0"/>
      <c r="AL403" s="0"/>
      <c r="AM403" s="0"/>
      <c r="AN403" s="0"/>
      <c r="AO403" s="0"/>
      <c r="AP403" s="0"/>
      <c r="AQ403" s="0"/>
      <c r="AR403" s="0"/>
      <c r="AS403" s="0"/>
      <c r="AT403" s="0"/>
      <c r="AU403" s="0"/>
      <c r="AV403" s="0"/>
      <c r="AW403" s="0"/>
      <c r="AX403" s="0"/>
      <c r="AY403" s="0"/>
      <c r="AZ403" s="0"/>
      <c r="BA403" s="0"/>
      <c r="BB403" s="0"/>
    </row>
    <row r="404" customFormat="false" ht="12.75" hidden="false" customHeight="false" outlineLevel="0" collapsed="false">
      <c r="A404" s="0"/>
      <c r="B404" s="0"/>
      <c r="C404" s="0"/>
      <c r="D404" s="0"/>
      <c r="E404" s="0"/>
      <c r="F404" s="0"/>
      <c r="G404" s="0"/>
      <c r="H404" s="0"/>
      <c r="I404" s="0"/>
      <c r="J404" s="0"/>
      <c r="K404" s="0"/>
      <c r="L404" s="0"/>
      <c r="M404" s="0"/>
      <c r="N404" s="0"/>
      <c r="O404" s="0"/>
      <c r="P404" s="0"/>
      <c r="Q404" s="0"/>
      <c r="R404" s="0"/>
      <c r="S404" s="0"/>
      <c r="T404" s="0"/>
      <c r="U404" s="0"/>
      <c r="V404" s="0"/>
      <c r="W404" s="0"/>
      <c r="X404" s="0"/>
      <c r="Y404" s="0"/>
      <c r="Z404" s="0"/>
      <c r="AA404" s="0"/>
      <c r="AB404" s="0"/>
      <c r="AC404" s="0"/>
      <c r="AD404" s="0"/>
      <c r="AE404" s="0"/>
      <c r="AF404" s="0"/>
      <c r="AG404" s="0"/>
      <c r="AH404" s="0"/>
      <c r="AI404" s="0"/>
      <c r="AJ404" s="0"/>
      <c r="AK404" s="0"/>
      <c r="AL404" s="0"/>
      <c r="AM404" s="0"/>
      <c r="AN404" s="0"/>
      <c r="AO404" s="0"/>
      <c r="AP404" s="0"/>
      <c r="AQ404" s="0"/>
      <c r="AR404" s="0"/>
      <c r="AS404" s="0"/>
      <c r="AT404" s="0"/>
      <c r="AU404" s="0"/>
      <c r="AV404" s="0"/>
      <c r="AW404" s="0"/>
      <c r="AX404" s="0"/>
      <c r="AY404" s="0"/>
      <c r="AZ404" s="0"/>
      <c r="BA404" s="0"/>
      <c r="BB404" s="0"/>
    </row>
    <row r="405" customFormat="false" ht="12.75" hidden="false" customHeight="false" outlineLevel="0" collapsed="false">
      <c r="A405" s="0"/>
      <c r="B405" s="0"/>
      <c r="C405" s="0"/>
      <c r="D405" s="0"/>
      <c r="E405" s="0"/>
      <c r="F405" s="0"/>
      <c r="G405" s="0"/>
      <c r="H405" s="0"/>
      <c r="I405" s="0"/>
      <c r="J405" s="0"/>
      <c r="K405" s="0"/>
      <c r="L405" s="0"/>
      <c r="M405" s="0"/>
      <c r="N405" s="0"/>
      <c r="O405" s="0"/>
      <c r="P405" s="0"/>
      <c r="Q405" s="0"/>
      <c r="R405" s="0"/>
      <c r="S405" s="0"/>
      <c r="T405" s="0"/>
      <c r="U405" s="0"/>
      <c r="V405" s="0"/>
      <c r="W405" s="0"/>
      <c r="X405" s="0"/>
      <c r="Y405" s="0"/>
      <c r="Z405" s="0"/>
      <c r="AA405" s="0"/>
      <c r="AB405" s="0"/>
      <c r="AC405" s="0"/>
      <c r="AD405" s="0"/>
      <c r="AE405" s="0"/>
      <c r="AF405" s="0"/>
      <c r="AG405" s="0"/>
      <c r="AH405" s="0"/>
      <c r="AI405" s="0"/>
      <c r="AJ405" s="0"/>
      <c r="AK405" s="0"/>
      <c r="AL405" s="0"/>
      <c r="AM405" s="0"/>
      <c r="AN405" s="0"/>
      <c r="AO405" s="0"/>
      <c r="AP405" s="0"/>
      <c r="AQ405" s="0"/>
      <c r="AR405" s="0"/>
      <c r="AS405" s="0"/>
      <c r="AT405" s="0"/>
      <c r="AU405" s="0"/>
      <c r="AV405" s="0"/>
      <c r="AW405" s="0"/>
      <c r="AX405" s="0"/>
      <c r="AY405" s="0"/>
      <c r="AZ405" s="0"/>
      <c r="BA405" s="0"/>
      <c r="BB405" s="0"/>
    </row>
    <row r="406" customFormat="false" ht="12.75" hidden="false" customHeight="false" outlineLevel="0" collapsed="false">
      <c r="A406" s="0"/>
      <c r="B406" s="0"/>
      <c r="C406" s="0"/>
      <c r="D406" s="0"/>
      <c r="E406" s="0"/>
      <c r="F406" s="0"/>
      <c r="G406" s="0"/>
      <c r="H406" s="0"/>
      <c r="I406" s="0"/>
      <c r="J406" s="0"/>
      <c r="K406" s="0"/>
      <c r="L406" s="0"/>
      <c r="M406" s="0"/>
      <c r="N406" s="0"/>
      <c r="O406" s="0"/>
      <c r="P406" s="0"/>
      <c r="Q406" s="0"/>
      <c r="R406" s="0"/>
      <c r="S406" s="0"/>
      <c r="T406" s="0"/>
      <c r="U406" s="0"/>
      <c r="V406" s="0"/>
      <c r="W406" s="0"/>
      <c r="X406" s="0"/>
      <c r="Y406" s="0"/>
      <c r="Z406" s="0"/>
      <c r="AA406" s="0"/>
      <c r="AB406" s="0"/>
      <c r="AC406" s="0"/>
      <c r="AD406" s="0"/>
      <c r="AE406" s="0"/>
      <c r="AF406" s="0"/>
      <c r="AG406" s="0"/>
      <c r="AH406" s="0"/>
      <c r="AI406" s="0"/>
      <c r="AJ406" s="0"/>
      <c r="AK406" s="0"/>
      <c r="AL406" s="0"/>
      <c r="AM406" s="0"/>
      <c r="AN406" s="0"/>
      <c r="AO406" s="0"/>
      <c r="AP406" s="0"/>
      <c r="AQ406" s="0"/>
      <c r="AR406" s="0"/>
      <c r="AS406" s="0"/>
      <c r="AT406" s="0"/>
      <c r="AU406" s="0"/>
      <c r="AV406" s="0"/>
      <c r="AW406" s="0"/>
      <c r="AX406" s="0"/>
      <c r="AY406" s="0"/>
      <c r="AZ406" s="0"/>
      <c r="BA406" s="0"/>
      <c r="BB406" s="0"/>
    </row>
    <row r="407" customFormat="false" ht="12.75" hidden="false" customHeight="false" outlineLevel="0" collapsed="false">
      <c r="A407" s="0"/>
      <c r="B407" s="0"/>
      <c r="C407" s="0"/>
      <c r="D407" s="0"/>
      <c r="E407" s="0"/>
      <c r="F407" s="0"/>
      <c r="G407" s="0"/>
      <c r="H407" s="0"/>
      <c r="I407" s="0"/>
      <c r="J407" s="0"/>
      <c r="K407" s="0"/>
      <c r="L407" s="0"/>
      <c r="M407" s="0"/>
      <c r="N407" s="0"/>
      <c r="O407" s="0"/>
      <c r="P407" s="0"/>
      <c r="Q407" s="0"/>
      <c r="R407" s="0"/>
      <c r="S407" s="0"/>
      <c r="T407" s="0"/>
      <c r="U407" s="0"/>
      <c r="V407" s="0"/>
      <c r="W407" s="0"/>
      <c r="X407" s="0"/>
      <c r="Y407" s="0"/>
      <c r="Z407" s="0"/>
      <c r="AA407" s="0"/>
      <c r="AB407" s="0"/>
      <c r="AC407" s="0"/>
      <c r="AD407" s="0"/>
      <c r="AE407" s="0"/>
      <c r="AF407" s="0"/>
      <c r="AG407" s="0"/>
      <c r="AH407" s="0"/>
      <c r="AI407" s="0"/>
      <c r="AJ407" s="0"/>
      <c r="AK407" s="0"/>
      <c r="AL407" s="0"/>
      <c r="AM407" s="0"/>
      <c r="AN407" s="0"/>
      <c r="AO407" s="0"/>
      <c r="AP407" s="0"/>
      <c r="AQ407" s="0"/>
      <c r="AR407" s="0"/>
      <c r="AS407" s="0"/>
      <c r="AT407" s="0"/>
      <c r="AU407" s="0"/>
      <c r="AV407" s="0"/>
      <c r="AW407" s="0"/>
      <c r="AX407" s="0"/>
      <c r="AY407" s="0"/>
      <c r="AZ407" s="0"/>
      <c r="BA407" s="0"/>
      <c r="BB407" s="0"/>
    </row>
    <row r="408" customFormat="false" ht="12.75" hidden="false" customHeight="false" outlineLevel="0" collapsed="false">
      <c r="A408" s="0"/>
      <c r="B408" s="0"/>
      <c r="C408" s="0"/>
      <c r="D408" s="0"/>
      <c r="E408" s="0"/>
      <c r="F408" s="0"/>
      <c r="G408" s="0"/>
      <c r="H408" s="0"/>
      <c r="I408" s="0"/>
      <c r="J408" s="0"/>
      <c r="K408" s="0"/>
      <c r="L408" s="0"/>
      <c r="M408" s="0"/>
      <c r="N408" s="0"/>
      <c r="O408" s="0"/>
      <c r="P408" s="0"/>
      <c r="Q408" s="0"/>
      <c r="R408" s="0"/>
      <c r="S408" s="0"/>
      <c r="T408" s="0"/>
      <c r="U408" s="0"/>
      <c r="V408" s="0"/>
      <c r="W408" s="0"/>
      <c r="X408" s="0"/>
      <c r="Y408" s="0"/>
      <c r="Z408" s="0"/>
      <c r="AA408" s="0"/>
      <c r="AB408" s="0"/>
      <c r="AC408" s="0"/>
      <c r="AD408" s="0"/>
      <c r="AE408" s="0"/>
      <c r="AF408" s="0"/>
      <c r="AG408" s="0"/>
      <c r="AH408" s="0"/>
      <c r="AI408" s="0"/>
      <c r="AJ408" s="0"/>
      <c r="AK408" s="0"/>
      <c r="AL408" s="0"/>
      <c r="AM408" s="0"/>
      <c r="AN408" s="0"/>
      <c r="AO408" s="0"/>
      <c r="AP408" s="0"/>
      <c r="AQ408" s="0"/>
      <c r="AR408" s="0"/>
      <c r="AS408" s="0"/>
      <c r="AT408" s="0"/>
      <c r="AU408" s="0"/>
      <c r="AV408" s="0"/>
      <c r="AW408" s="0"/>
      <c r="AX408" s="0"/>
      <c r="AY408" s="0"/>
      <c r="AZ408" s="0"/>
      <c r="BA408" s="0"/>
      <c r="BB408" s="0"/>
    </row>
    <row r="409" customFormat="false" ht="12.75" hidden="false" customHeight="false" outlineLevel="0" collapsed="false">
      <c r="A409" s="0"/>
      <c r="B409" s="0"/>
      <c r="C409" s="0"/>
      <c r="D409" s="0"/>
      <c r="E409" s="0"/>
      <c r="F409" s="0"/>
      <c r="G409" s="0"/>
      <c r="H409" s="0"/>
      <c r="I409" s="0"/>
      <c r="J409" s="0"/>
      <c r="K409" s="0"/>
      <c r="L409" s="0"/>
      <c r="M409" s="0"/>
      <c r="N409" s="0"/>
      <c r="O409" s="0"/>
      <c r="P409" s="0"/>
      <c r="Q409" s="0"/>
      <c r="R409" s="0"/>
      <c r="S409" s="0"/>
      <c r="T409" s="0"/>
      <c r="U409" s="0"/>
      <c r="V409" s="0"/>
      <c r="W409" s="0"/>
      <c r="X409" s="0"/>
      <c r="Y409" s="0"/>
      <c r="Z409" s="0"/>
      <c r="AA409" s="0"/>
      <c r="AB409" s="0"/>
      <c r="AC409" s="0"/>
      <c r="AD409" s="0"/>
      <c r="AE409" s="0"/>
      <c r="AF409" s="0"/>
      <c r="AG409" s="0"/>
      <c r="AH409" s="0"/>
      <c r="AI409" s="0"/>
      <c r="AJ409" s="0"/>
      <c r="AK409" s="0"/>
      <c r="AL409" s="0"/>
      <c r="AM409" s="0"/>
      <c r="AN409" s="0"/>
      <c r="AO409" s="0"/>
      <c r="AP409" s="0"/>
      <c r="AQ409" s="0"/>
      <c r="AR409" s="0"/>
      <c r="AS409" s="0"/>
      <c r="AT409" s="0"/>
      <c r="AU409" s="0"/>
      <c r="AV409" s="0"/>
      <c r="AW409" s="0"/>
      <c r="AX409" s="0"/>
      <c r="AY409" s="0"/>
      <c r="AZ409" s="0"/>
      <c r="BA409" s="0"/>
      <c r="BB409" s="0"/>
    </row>
    <row r="410" customFormat="false" ht="12.75" hidden="false" customHeight="false" outlineLevel="0" collapsed="false">
      <c r="A410" s="0"/>
      <c r="B410" s="0"/>
      <c r="C410" s="0"/>
      <c r="D410" s="0"/>
      <c r="E410" s="0"/>
      <c r="F410" s="0"/>
      <c r="G410" s="0"/>
      <c r="H410" s="0"/>
      <c r="I410" s="0"/>
      <c r="J410" s="0"/>
      <c r="K410" s="0"/>
      <c r="L410" s="0"/>
      <c r="M410" s="0"/>
      <c r="N410" s="0"/>
      <c r="O410" s="0"/>
      <c r="P410" s="0"/>
      <c r="Q410" s="0"/>
      <c r="R410" s="0"/>
      <c r="S410" s="0"/>
      <c r="T410" s="0"/>
      <c r="U410" s="0"/>
      <c r="V410" s="0"/>
      <c r="W410" s="0"/>
      <c r="X410" s="0"/>
      <c r="Y410" s="0"/>
      <c r="Z410" s="0"/>
      <c r="AA410" s="0"/>
      <c r="AB410" s="0"/>
      <c r="AC410" s="0"/>
      <c r="AD410" s="0"/>
      <c r="AE410" s="0"/>
      <c r="AF410" s="0"/>
      <c r="AG410" s="0"/>
      <c r="AH410" s="0"/>
      <c r="AI410" s="0"/>
      <c r="AJ410" s="0"/>
      <c r="AK410" s="0"/>
      <c r="AL410" s="0"/>
      <c r="AM410" s="0"/>
      <c r="AN410" s="0"/>
      <c r="AO410" s="0"/>
      <c r="AP410" s="0"/>
      <c r="AQ410" s="0"/>
      <c r="AR410" s="0"/>
      <c r="AS410" s="0"/>
      <c r="AT410" s="0"/>
      <c r="AU410" s="0"/>
      <c r="AV410" s="0"/>
      <c r="AW410" s="0"/>
      <c r="AX410" s="0"/>
      <c r="AY410" s="0"/>
      <c r="AZ410" s="0"/>
      <c r="BA410" s="0"/>
      <c r="BB410" s="0"/>
    </row>
    <row r="411" customFormat="false" ht="12.75" hidden="false" customHeight="false" outlineLevel="0" collapsed="false">
      <c r="A411" s="0"/>
      <c r="B411" s="0"/>
      <c r="C411" s="0"/>
      <c r="D411" s="0"/>
      <c r="E411" s="0"/>
      <c r="F411" s="0"/>
      <c r="G411" s="0"/>
      <c r="H411" s="0"/>
      <c r="I411" s="0"/>
      <c r="J411" s="0"/>
      <c r="K411" s="0"/>
      <c r="L411" s="0"/>
      <c r="M411" s="0"/>
      <c r="N411" s="0"/>
      <c r="O411" s="0"/>
      <c r="P411" s="0"/>
      <c r="Q411" s="0"/>
      <c r="R411" s="0"/>
      <c r="S411" s="0"/>
      <c r="T411" s="0"/>
      <c r="U411" s="0"/>
      <c r="V411" s="0"/>
      <c r="W411" s="0"/>
      <c r="X411" s="0"/>
      <c r="Y411" s="0"/>
      <c r="Z411" s="0"/>
      <c r="AA411" s="0"/>
      <c r="AB411" s="0"/>
      <c r="AC411" s="0"/>
      <c r="AD411" s="0"/>
      <c r="AE411" s="0"/>
      <c r="AF411" s="0"/>
      <c r="AG411" s="0"/>
      <c r="AH411" s="0"/>
      <c r="AI411" s="0"/>
      <c r="AJ411" s="0"/>
      <c r="AK411" s="0"/>
      <c r="AL411" s="0"/>
      <c r="AM411" s="0"/>
      <c r="AN411" s="0"/>
      <c r="AO411" s="0"/>
      <c r="AP411" s="0"/>
      <c r="AQ411" s="0"/>
      <c r="AR411" s="0"/>
      <c r="AS411" s="0"/>
      <c r="AT411" s="0"/>
      <c r="AU411" s="0"/>
      <c r="AV411" s="0"/>
      <c r="AW411" s="0"/>
      <c r="AX411" s="0"/>
      <c r="AY411" s="0"/>
      <c r="AZ411" s="0"/>
      <c r="BA411" s="0"/>
      <c r="BB411" s="0"/>
    </row>
    <row r="412" customFormat="false" ht="12.75" hidden="false" customHeight="false" outlineLevel="0" collapsed="false">
      <c r="A412" s="0"/>
      <c r="B412" s="0"/>
      <c r="C412" s="0"/>
      <c r="D412" s="0"/>
      <c r="E412" s="0"/>
      <c r="F412" s="0"/>
      <c r="G412" s="0"/>
      <c r="H412" s="0"/>
      <c r="I412" s="0"/>
      <c r="J412" s="0"/>
      <c r="K412" s="0"/>
      <c r="L412" s="0"/>
      <c r="M412" s="0"/>
      <c r="N412" s="0"/>
      <c r="O412" s="0"/>
      <c r="P412" s="0"/>
      <c r="Q412" s="0"/>
      <c r="R412" s="0"/>
      <c r="S412" s="0"/>
      <c r="T412" s="0"/>
      <c r="U412" s="0"/>
      <c r="V412" s="0"/>
      <c r="W412" s="0"/>
      <c r="X412" s="0"/>
      <c r="Y412" s="0"/>
      <c r="Z412" s="0"/>
      <c r="AA412" s="0"/>
      <c r="AB412" s="0"/>
      <c r="AC412" s="0"/>
      <c r="AD412" s="0"/>
      <c r="AE412" s="0"/>
      <c r="AF412" s="0"/>
      <c r="AG412" s="0"/>
      <c r="AH412" s="0"/>
      <c r="AI412" s="0"/>
      <c r="AJ412" s="0"/>
      <c r="AK412" s="0"/>
      <c r="AL412" s="0"/>
      <c r="AM412" s="0"/>
      <c r="AN412" s="0"/>
      <c r="AO412" s="0"/>
      <c r="AP412" s="0"/>
      <c r="AQ412" s="0"/>
      <c r="AR412" s="0"/>
      <c r="AS412" s="0"/>
      <c r="AT412" s="0"/>
      <c r="AU412" s="0"/>
      <c r="AV412" s="0"/>
      <c r="AW412" s="0"/>
      <c r="AX412" s="0"/>
      <c r="AY412" s="0"/>
      <c r="AZ412" s="0"/>
      <c r="BA412" s="0"/>
      <c r="BB412" s="0"/>
    </row>
    <row r="413" customFormat="false" ht="12.75" hidden="false" customHeight="false" outlineLevel="0" collapsed="false">
      <c r="A413" s="0"/>
      <c r="B413" s="0"/>
      <c r="C413" s="0"/>
      <c r="D413" s="0"/>
      <c r="E413" s="0"/>
      <c r="F413" s="0"/>
      <c r="G413" s="0"/>
      <c r="H413" s="0"/>
      <c r="I413" s="0"/>
      <c r="J413" s="0"/>
      <c r="K413" s="0"/>
      <c r="L413" s="0"/>
      <c r="M413" s="0"/>
      <c r="N413" s="0"/>
      <c r="O413" s="0"/>
      <c r="P413" s="0"/>
      <c r="Q413" s="0"/>
      <c r="R413" s="0"/>
      <c r="S413" s="0"/>
      <c r="T413" s="0"/>
      <c r="U413" s="0"/>
      <c r="V413" s="0"/>
      <c r="W413" s="0"/>
      <c r="X413" s="0"/>
      <c r="Y413" s="0"/>
      <c r="Z413" s="0"/>
      <c r="AA413" s="0"/>
      <c r="AB413" s="0"/>
      <c r="AC413" s="0"/>
      <c r="AD413" s="0"/>
      <c r="AE413" s="0"/>
      <c r="AF413" s="0"/>
      <c r="AG413" s="0"/>
      <c r="AH413" s="0"/>
      <c r="AI413" s="0"/>
      <c r="AJ413" s="0"/>
      <c r="AK413" s="0"/>
      <c r="AL413" s="0"/>
      <c r="AM413" s="0"/>
      <c r="AN413" s="0"/>
      <c r="AO413" s="0"/>
      <c r="AP413" s="0"/>
      <c r="AQ413" s="0"/>
      <c r="AR413" s="0"/>
      <c r="AS413" s="0"/>
      <c r="AT413" s="0"/>
      <c r="AU413" s="0"/>
      <c r="AV413" s="0"/>
      <c r="AW413" s="0"/>
      <c r="AX413" s="0"/>
      <c r="AY413" s="0"/>
      <c r="AZ413" s="0"/>
      <c r="BA413" s="0"/>
      <c r="BB413" s="0"/>
    </row>
    <row r="414" customFormat="false" ht="12.75" hidden="false" customHeight="false" outlineLevel="0" collapsed="false">
      <c r="A414" s="0"/>
      <c r="B414" s="0"/>
      <c r="C414" s="0"/>
      <c r="D414" s="0"/>
      <c r="E414" s="0"/>
      <c r="F414" s="0"/>
      <c r="G414" s="0"/>
      <c r="H414" s="0"/>
      <c r="I414" s="0"/>
      <c r="J414" s="0"/>
      <c r="K414" s="0"/>
      <c r="L414" s="0"/>
      <c r="M414" s="0"/>
      <c r="N414" s="0"/>
      <c r="O414" s="0"/>
      <c r="P414" s="0"/>
      <c r="Q414" s="0"/>
      <c r="R414" s="0"/>
      <c r="S414" s="0"/>
      <c r="T414" s="0"/>
      <c r="U414" s="0"/>
      <c r="V414" s="0"/>
      <c r="W414" s="0"/>
      <c r="X414" s="0"/>
      <c r="Y414" s="0"/>
      <c r="Z414" s="0"/>
      <c r="AA414" s="0"/>
      <c r="AB414" s="0"/>
      <c r="AC414" s="0"/>
      <c r="AD414" s="0"/>
      <c r="AE414" s="0"/>
      <c r="AF414" s="0"/>
      <c r="AG414" s="0"/>
      <c r="AH414" s="0"/>
      <c r="AI414" s="0"/>
      <c r="AJ414" s="0"/>
      <c r="AK414" s="0"/>
      <c r="AL414" s="0"/>
      <c r="AM414" s="0"/>
      <c r="AN414" s="0"/>
      <c r="AO414" s="0"/>
      <c r="AP414" s="0"/>
      <c r="AQ414" s="0"/>
      <c r="AR414" s="0"/>
      <c r="AS414" s="0"/>
      <c r="AT414" s="0"/>
      <c r="AU414" s="0"/>
      <c r="AV414" s="0"/>
      <c r="AW414" s="0"/>
      <c r="AX414" s="0"/>
      <c r="AY414" s="0"/>
      <c r="AZ414" s="0"/>
      <c r="BA414" s="0"/>
      <c r="BB414" s="0"/>
    </row>
    <row r="415" customFormat="false" ht="12.75" hidden="false" customHeight="false" outlineLevel="0" collapsed="false">
      <c r="A415" s="0"/>
      <c r="B415" s="0"/>
      <c r="C415" s="0"/>
      <c r="D415" s="0"/>
      <c r="E415" s="0"/>
      <c r="F415" s="0"/>
      <c r="G415" s="0"/>
      <c r="H415" s="0"/>
      <c r="I415" s="0"/>
      <c r="J415" s="0"/>
      <c r="K415" s="0"/>
      <c r="L415" s="0"/>
      <c r="M415" s="0"/>
      <c r="N415" s="0"/>
      <c r="O415" s="0"/>
      <c r="P415" s="0"/>
      <c r="Q415" s="0"/>
      <c r="R415" s="0"/>
      <c r="S415" s="0"/>
      <c r="T415" s="0"/>
      <c r="U415" s="0"/>
      <c r="V415" s="0"/>
      <c r="W415" s="0"/>
      <c r="X415" s="0"/>
      <c r="Y415" s="0"/>
      <c r="Z415" s="0"/>
      <c r="AA415" s="0"/>
      <c r="AB415" s="0"/>
      <c r="AC415" s="0"/>
      <c r="AD415" s="0"/>
      <c r="AE415" s="0"/>
      <c r="AF415" s="0"/>
      <c r="AG415" s="0"/>
      <c r="AH415" s="0"/>
      <c r="AI415" s="0"/>
      <c r="AJ415" s="0"/>
      <c r="AK415" s="0"/>
      <c r="AL415" s="0"/>
      <c r="AM415" s="0"/>
      <c r="AN415" s="0"/>
      <c r="AO415" s="0"/>
      <c r="AP415" s="0"/>
      <c r="AQ415" s="0"/>
      <c r="AR415" s="0"/>
      <c r="AS415" s="0"/>
      <c r="AT415" s="0"/>
      <c r="AU415" s="0"/>
      <c r="AV415" s="0"/>
      <c r="AW415" s="0"/>
      <c r="AX415" s="0"/>
      <c r="AY415" s="0"/>
      <c r="AZ415" s="0"/>
      <c r="BA415" s="0"/>
      <c r="BB415" s="0"/>
    </row>
    <row r="416" customFormat="false" ht="12.75" hidden="false" customHeight="false" outlineLevel="0" collapsed="false">
      <c r="A416" s="0"/>
      <c r="B416" s="0"/>
      <c r="C416" s="0"/>
      <c r="D416" s="0"/>
      <c r="E416" s="0"/>
      <c r="F416" s="0"/>
      <c r="G416" s="0"/>
      <c r="H416" s="0"/>
      <c r="I416" s="0"/>
      <c r="J416" s="0"/>
      <c r="K416" s="0"/>
      <c r="L416" s="0"/>
      <c r="M416" s="0"/>
      <c r="N416" s="0"/>
      <c r="O416" s="0"/>
      <c r="P416" s="0"/>
      <c r="Q416" s="0"/>
      <c r="R416" s="0"/>
      <c r="S416" s="0"/>
      <c r="T416" s="0"/>
      <c r="U416" s="0"/>
      <c r="V416" s="0"/>
      <c r="W416" s="0"/>
      <c r="X416" s="0"/>
      <c r="Y416" s="0"/>
      <c r="Z416" s="0"/>
      <c r="AA416" s="0"/>
      <c r="AB416" s="0"/>
      <c r="AC416" s="0"/>
      <c r="AD416" s="0"/>
      <c r="AE416" s="0"/>
      <c r="AF416" s="0"/>
      <c r="AG416" s="0"/>
      <c r="AH416" s="0"/>
      <c r="AI416" s="0"/>
      <c r="AJ416" s="0"/>
      <c r="AK416" s="0"/>
      <c r="AL416" s="0"/>
      <c r="AM416" s="0"/>
      <c r="AN416" s="0"/>
      <c r="AO416" s="0"/>
      <c r="AP416" s="0"/>
      <c r="AQ416" s="0"/>
      <c r="AR416" s="0"/>
      <c r="AS416" s="0"/>
      <c r="AT416" s="0"/>
      <c r="AU416" s="0"/>
      <c r="AV416" s="0"/>
      <c r="AW416" s="0"/>
      <c r="AX416" s="0"/>
      <c r="AY416" s="0"/>
      <c r="AZ416" s="0"/>
      <c r="BA416" s="0"/>
      <c r="BB416" s="0"/>
    </row>
    <row r="417" customFormat="false" ht="12.75" hidden="false" customHeight="false" outlineLevel="0" collapsed="false">
      <c r="A417" s="0"/>
      <c r="B417" s="0"/>
      <c r="C417" s="0"/>
      <c r="D417" s="0"/>
      <c r="E417" s="0"/>
      <c r="F417" s="0"/>
      <c r="G417" s="0"/>
      <c r="H417" s="0"/>
      <c r="I417" s="0"/>
      <c r="J417" s="0"/>
      <c r="K417" s="0"/>
      <c r="L417" s="0"/>
      <c r="M417" s="0"/>
      <c r="N417" s="0"/>
      <c r="O417" s="0"/>
      <c r="P417" s="0"/>
      <c r="Q417" s="0"/>
      <c r="R417" s="0"/>
      <c r="S417" s="0"/>
      <c r="T417" s="0"/>
      <c r="U417" s="0"/>
      <c r="V417" s="0"/>
      <c r="W417" s="0"/>
      <c r="X417" s="0"/>
      <c r="Y417" s="0"/>
      <c r="Z417" s="0"/>
      <c r="AA417" s="0"/>
      <c r="AB417" s="0"/>
      <c r="AC417" s="0"/>
      <c r="AD417" s="0"/>
      <c r="AE417" s="0"/>
      <c r="AF417" s="0"/>
      <c r="AG417" s="0"/>
      <c r="AH417" s="0"/>
      <c r="AI417" s="0"/>
      <c r="AJ417" s="0"/>
      <c r="AK417" s="0"/>
      <c r="AL417" s="0"/>
      <c r="AM417" s="0"/>
      <c r="AN417" s="0"/>
      <c r="AO417" s="0"/>
      <c r="AP417" s="0"/>
      <c r="AQ417" s="0"/>
      <c r="AR417" s="0"/>
      <c r="AS417" s="0"/>
      <c r="AT417" s="0"/>
      <c r="AU417" s="0"/>
      <c r="AV417" s="0"/>
      <c r="AW417" s="0"/>
      <c r="AX417" s="0"/>
      <c r="AY417" s="0"/>
      <c r="AZ417" s="0"/>
      <c r="BA417" s="0"/>
      <c r="BB417" s="0"/>
    </row>
    <row r="418" customFormat="false" ht="12.75" hidden="false" customHeight="false" outlineLevel="0" collapsed="false">
      <c r="A418" s="0"/>
      <c r="B418" s="0"/>
      <c r="C418" s="0"/>
      <c r="D418" s="0"/>
      <c r="E418" s="0"/>
      <c r="F418" s="0"/>
      <c r="G418" s="0"/>
      <c r="H418" s="0"/>
      <c r="I418" s="0"/>
      <c r="J418" s="0"/>
      <c r="K418" s="0"/>
      <c r="L418" s="0"/>
      <c r="M418" s="0"/>
      <c r="N418" s="0"/>
      <c r="O418" s="0"/>
      <c r="P418" s="0"/>
      <c r="Q418" s="0"/>
      <c r="R418" s="0"/>
      <c r="S418" s="0"/>
      <c r="T418" s="0"/>
      <c r="U418" s="0"/>
      <c r="V418" s="0"/>
      <c r="W418" s="0"/>
      <c r="X418" s="0"/>
      <c r="Y418" s="0"/>
      <c r="Z418" s="0"/>
      <c r="AA418" s="0"/>
      <c r="AB418" s="0"/>
      <c r="AC418" s="0"/>
      <c r="AD418" s="0"/>
      <c r="AE418" s="0"/>
      <c r="AF418" s="0"/>
      <c r="AG418" s="0"/>
      <c r="AH418" s="0"/>
      <c r="AI418" s="0"/>
      <c r="AJ418" s="0"/>
      <c r="AK418" s="0"/>
      <c r="AL418" s="0"/>
      <c r="AM418" s="0"/>
      <c r="AN418" s="0"/>
      <c r="AO418" s="0"/>
      <c r="AP418" s="0"/>
      <c r="AQ418" s="0"/>
      <c r="AR418" s="0"/>
      <c r="AS418" s="0"/>
      <c r="AT418" s="0"/>
      <c r="AU418" s="0"/>
      <c r="AV418" s="0"/>
      <c r="AW418" s="0"/>
      <c r="AX418" s="0"/>
      <c r="AY418" s="0"/>
      <c r="AZ418" s="0"/>
      <c r="BA418" s="0"/>
      <c r="BB418" s="0"/>
    </row>
    <row r="419" customFormat="false" ht="12.75" hidden="false" customHeight="false" outlineLevel="0" collapsed="false">
      <c r="A419" s="0"/>
      <c r="B419" s="0"/>
      <c r="C419" s="0"/>
      <c r="D419" s="0"/>
      <c r="E419" s="0"/>
      <c r="F419" s="0"/>
      <c r="G419" s="0"/>
      <c r="H419" s="0"/>
      <c r="I419" s="0"/>
      <c r="J419" s="0"/>
      <c r="K419" s="0"/>
      <c r="L419" s="0"/>
      <c r="M419" s="0"/>
      <c r="N419" s="0"/>
      <c r="O419" s="0"/>
      <c r="P419" s="0"/>
      <c r="Q419" s="0"/>
      <c r="R419" s="0"/>
      <c r="S419" s="0"/>
      <c r="T419" s="0"/>
      <c r="U419" s="0"/>
      <c r="V419" s="0"/>
      <c r="W419" s="0"/>
      <c r="X419" s="0"/>
      <c r="Y419" s="0"/>
      <c r="Z419" s="0"/>
      <c r="AA419" s="0"/>
      <c r="AB419" s="0"/>
      <c r="AC419" s="0"/>
      <c r="AD419" s="0"/>
      <c r="AE419" s="0"/>
      <c r="AF419" s="0"/>
      <c r="AG419" s="0"/>
      <c r="AH419" s="0"/>
      <c r="AI419" s="0"/>
      <c r="AJ419" s="0"/>
      <c r="AK419" s="0"/>
      <c r="AL419" s="0"/>
      <c r="AM419" s="0"/>
      <c r="AN419" s="0"/>
      <c r="AO419" s="0"/>
      <c r="AP419" s="0"/>
      <c r="AQ419" s="0"/>
      <c r="AR419" s="0"/>
      <c r="AS419" s="0"/>
      <c r="AT419" s="0"/>
      <c r="AU419" s="0"/>
      <c r="AV419" s="0"/>
      <c r="AW419" s="0"/>
      <c r="AX419" s="0"/>
      <c r="AY419" s="0"/>
      <c r="AZ419" s="0"/>
      <c r="BA419" s="0"/>
      <c r="BB419" s="0"/>
    </row>
    <row r="420" customFormat="false" ht="12.75" hidden="false" customHeight="false" outlineLevel="0" collapsed="false">
      <c r="A420" s="0"/>
      <c r="B420" s="0"/>
      <c r="C420" s="0"/>
      <c r="D420" s="0"/>
      <c r="E420" s="0"/>
      <c r="F420" s="0"/>
      <c r="G420" s="0"/>
      <c r="H420" s="0"/>
      <c r="I420" s="0"/>
      <c r="J420" s="0"/>
      <c r="K420" s="0"/>
      <c r="L420" s="0"/>
      <c r="M420" s="0"/>
      <c r="N420" s="0"/>
      <c r="O420" s="0"/>
      <c r="P420" s="0"/>
      <c r="Q420" s="0"/>
      <c r="R420" s="0"/>
      <c r="S420" s="0"/>
      <c r="T420" s="0"/>
      <c r="U420" s="0"/>
      <c r="V420" s="0"/>
      <c r="W420" s="0"/>
      <c r="X420" s="0"/>
      <c r="Y420" s="0"/>
      <c r="Z420" s="0"/>
      <c r="AA420" s="0"/>
      <c r="AB420" s="0"/>
      <c r="AC420" s="0"/>
      <c r="AD420" s="0"/>
      <c r="AE420" s="0"/>
      <c r="AF420" s="0"/>
      <c r="AG420" s="0"/>
      <c r="AH420" s="0"/>
      <c r="AI420" s="0"/>
      <c r="AJ420" s="0"/>
      <c r="AK420" s="0"/>
      <c r="AL420" s="0"/>
      <c r="AM420" s="0"/>
      <c r="AN420" s="0"/>
      <c r="AO420" s="0"/>
      <c r="AP420" s="0"/>
      <c r="AQ420" s="0"/>
      <c r="AR420" s="0"/>
      <c r="AS420" s="0"/>
      <c r="AT420" s="0"/>
      <c r="AU420" s="0"/>
      <c r="AV420" s="0"/>
      <c r="AW420" s="0"/>
      <c r="AX420" s="0"/>
      <c r="AY420" s="0"/>
      <c r="AZ420" s="0"/>
      <c r="BA420" s="0"/>
      <c r="BB420" s="0"/>
    </row>
    <row r="421" customFormat="false" ht="12.75" hidden="false" customHeight="false" outlineLevel="0" collapsed="false">
      <c r="A421" s="0"/>
      <c r="B421" s="0"/>
      <c r="C421" s="0"/>
      <c r="D421" s="0"/>
      <c r="E421" s="0"/>
      <c r="F421" s="0"/>
      <c r="G421" s="0"/>
      <c r="H421" s="0"/>
      <c r="I421" s="0"/>
      <c r="J421" s="0"/>
      <c r="K421" s="0"/>
      <c r="L421" s="0"/>
      <c r="M421" s="0"/>
      <c r="N421" s="0"/>
      <c r="O421" s="0"/>
      <c r="P421" s="0"/>
      <c r="Q421" s="0"/>
      <c r="R421" s="0"/>
      <c r="S421" s="0"/>
      <c r="T421" s="0"/>
      <c r="U421" s="0"/>
      <c r="V421" s="0"/>
      <c r="W421" s="0"/>
      <c r="X421" s="0"/>
      <c r="Y421" s="0"/>
      <c r="Z421" s="0"/>
      <c r="AA421" s="0"/>
      <c r="AB421" s="0"/>
      <c r="AC421" s="0"/>
      <c r="AD421" s="0"/>
      <c r="AE421" s="0"/>
      <c r="AF421" s="0"/>
      <c r="AG421" s="0"/>
      <c r="AH421" s="0"/>
      <c r="AI421" s="0"/>
      <c r="AJ421" s="0"/>
      <c r="AK421" s="0"/>
      <c r="AL421" s="0"/>
      <c r="AM421" s="0"/>
      <c r="AN421" s="0"/>
      <c r="AO421" s="0"/>
      <c r="AP421" s="0"/>
      <c r="AQ421" s="0"/>
      <c r="AR421" s="0"/>
      <c r="AS421" s="0"/>
      <c r="AT421" s="0"/>
      <c r="AU421" s="0"/>
      <c r="AV421" s="0"/>
      <c r="AW421" s="0"/>
      <c r="AX421" s="0"/>
      <c r="AY421" s="0"/>
      <c r="AZ421" s="0"/>
      <c r="BA421" s="0"/>
      <c r="BB421" s="0"/>
    </row>
    <row r="422" customFormat="false" ht="12.75" hidden="false" customHeight="false" outlineLevel="0" collapsed="false">
      <c r="A422" s="0"/>
      <c r="B422" s="0"/>
      <c r="C422" s="0"/>
      <c r="D422" s="0"/>
      <c r="E422" s="0"/>
      <c r="F422" s="0"/>
      <c r="G422" s="0"/>
      <c r="H422" s="0"/>
      <c r="I422" s="0"/>
      <c r="J422" s="0"/>
      <c r="K422" s="0"/>
      <c r="L422" s="0"/>
      <c r="M422" s="0"/>
      <c r="N422" s="0"/>
      <c r="O422" s="0"/>
      <c r="P422" s="0"/>
      <c r="Q422" s="0"/>
      <c r="R422" s="0"/>
      <c r="S422" s="0"/>
      <c r="T422" s="0"/>
      <c r="U422" s="0"/>
      <c r="V422" s="0"/>
      <c r="W422" s="0"/>
      <c r="X422" s="0"/>
      <c r="Y422" s="0"/>
      <c r="Z422" s="0"/>
      <c r="AA422" s="0"/>
      <c r="AB422" s="0"/>
      <c r="AC422" s="0"/>
      <c r="AD422" s="0"/>
      <c r="AE422" s="0"/>
      <c r="AF422" s="0"/>
      <c r="AG422" s="0"/>
      <c r="AH422" s="0"/>
      <c r="AI422" s="0"/>
      <c r="AJ422" s="0"/>
      <c r="AK422" s="0"/>
      <c r="AL422" s="0"/>
      <c r="AM422" s="0"/>
      <c r="AN422" s="0"/>
      <c r="AO422" s="0"/>
      <c r="AP422" s="0"/>
      <c r="AQ422" s="0"/>
      <c r="AR422" s="0"/>
      <c r="AS422" s="0"/>
      <c r="AT422" s="0"/>
      <c r="AU422" s="0"/>
      <c r="AV422" s="0"/>
      <c r="AW422" s="0"/>
      <c r="AX422" s="0"/>
      <c r="AY422" s="0"/>
      <c r="AZ422" s="0"/>
      <c r="BA422" s="0"/>
      <c r="BB422" s="0"/>
    </row>
    <row r="423" customFormat="false" ht="12.75" hidden="false" customHeight="false" outlineLevel="0" collapsed="false">
      <c r="A423" s="0"/>
      <c r="B423" s="0"/>
      <c r="C423" s="0"/>
      <c r="D423" s="0"/>
      <c r="E423" s="0"/>
      <c r="F423" s="0"/>
      <c r="G423" s="0"/>
      <c r="H423" s="0"/>
      <c r="I423" s="0"/>
      <c r="J423" s="0"/>
      <c r="K423" s="0"/>
      <c r="L423" s="0"/>
      <c r="M423" s="0"/>
      <c r="N423" s="0"/>
      <c r="O423" s="0"/>
      <c r="P423" s="0"/>
      <c r="Q423" s="0"/>
      <c r="R423" s="0"/>
      <c r="S423" s="0"/>
      <c r="T423" s="0"/>
      <c r="U423" s="0"/>
      <c r="V423" s="0"/>
      <c r="W423" s="0"/>
      <c r="X423" s="0"/>
      <c r="Y423" s="0"/>
      <c r="Z423" s="0"/>
      <c r="AA423" s="0"/>
      <c r="AB423" s="0"/>
      <c r="AC423" s="0"/>
      <c r="AD423" s="0"/>
      <c r="AE423" s="0"/>
      <c r="AF423" s="0"/>
      <c r="AG423" s="0"/>
      <c r="AH423" s="0"/>
      <c r="AI423" s="0"/>
      <c r="AJ423" s="0"/>
      <c r="AK423" s="0"/>
      <c r="AL423" s="0"/>
      <c r="AM423" s="0"/>
      <c r="AN423" s="0"/>
      <c r="AO423" s="0"/>
      <c r="AP423" s="0"/>
      <c r="AQ423" s="0"/>
      <c r="AR423" s="0"/>
      <c r="AS423" s="0"/>
      <c r="AT423" s="0"/>
      <c r="AU423" s="0"/>
      <c r="AV423" s="0"/>
      <c r="AW423" s="0"/>
      <c r="AX423" s="0"/>
      <c r="AY423" s="0"/>
      <c r="AZ423" s="0"/>
      <c r="BA423" s="0"/>
      <c r="BB423" s="0"/>
    </row>
    <row r="424" customFormat="false" ht="12.75" hidden="false" customHeight="false" outlineLevel="0" collapsed="false">
      <c r="A424" s="0"/>
      <c r="B424" s="0"/>
      <c r="C424" s="0"/>
      <c r="D424" s="0"/>
      <c r="E424" s="0"/>
      <c r="F424" s="0"/>
      <c r="G424" s="0"/>
      <c r="H424" s="0"/>
      <c r="I424" s="0"/>
      <c r="J424" s="0"/>
      <c r="K424" s="0"/>
      <c r="L424" s="0"/>
      <c r="M424" s="0"/>
      <c r="N424" s="0"/>
      <c r="O424" s="0"/>
      <c r="P424" s="0"/>
      <c r="Q424" s="0"/>
      <c r="R424" s="0"/>
      <c r="S424" s="0"/>
      <c r="T424" s="0"/>
      <c r="U424" s="0"/>
      <c r="V424" s="0"/>
      <c r="W424" s="0"/>
      <c r="X424" s="0"/>
      <c r="Y424" s="0"/>
      <c r="Z424" s="0"/>
      <c r="AA424" s="0"/>
      <c r="AB424" s="0"/>
      <c r="AC424" s="0"/>
      <c r="AD424" s="0"/>
      <c r="AE424" s="0"/>
      <c r="AF424" s="0"/>
      <c r="AG424" s="0"/>
      <c r="AH424" s="0"/>
      <c r="AI424" s="0"/>
      <c r="AJ424" s="0"/>
      <c r="AK424" s="0"/>
      <c r="AL424" s="0"/>
      <c r="AM424" s="0"/>
      <c r="AN424" s="0"/>
      <c r="AO424" s="0"/>
      <c r="AP424" s="0"/>
      <c r="AQ424" s="0"/>
      <c r="AR424" s="0"/>
      <c r="AS424" s="0"/>
      <c r="AT424" s="0"/>
      <c r="AU424" s="0"/>
      <c r="AV424" s="0"/>
      <c r="AW424" s="0"/>
      <c r="AX424" s="0"/>
      <c r="AY424" s="0"/>
      <c r="AZ424" s="0"/>
      <c r="BA424" s="0"/>
      <c r="BB424" s="0"/>
    </row>
    <row r="425" customFormat="false" ht="12.75" hidden="false" customHeight="false" outlineLevel="0" collapsed="false">
      <c r="A425" s="0"/>
      <c r="B425" s="0"/>
      <c r="C425" s="0"/>
      <c r="D425" s="0"/>
      <c r="E425" s="0"/>
      <c r="F425" s="0"/>
      <c r="G425" s="0"/>
      <c r="H425" s="0"/>
      <c r="I425" s="0"/>
      <c r="J425" s="0"/>
      <c r="K425" s="0"/>
      <c r="L425" s="0"/>
      <c r="M425" s="0"/>
      <c r="N425" s="0"/>
      <c r="O425" s="0"/>
      <c r="P425" s="0"/>
      <c r="Q425" s="0"/>
      <c r="R425" s="0"/>
      <c r="S425" s="0"/>
      <c r="T425" s="0"/>
      <c r="U425" s="0"/>
      <c r="V425" s="0"/>
      <c r="W425" s="0"/>
      <c r="X425" s="0"/>
      <c r="Y425" s="0"/>
      <c r="Z425" s="0"/>
      <c r="AA425" s="0"/>
      <c r="AB425" s="0"/>
      <c r="AC425" s="0"/>
      <c r="AD425" s="0"/>
      <c r="AE425" s="0"/>
      <c r="AF425" s="0"/>
      <c r="AG425" s="0"/>
      <c r="AH425" s="0"/>
      <c r="AI425" s="0"/>
      <c r="AJ425" s="0"/>
      <c r="AK425" s="0"/>
      <c r="AL425" s="0"/>
      <c r="AM425" s="0"/>
      <c r="AN425" s="0"/>
      <c r="AO425" s="0"/>
      <c r="AP425" s="0"/>
      <c r="AQ425" s="0"/>
      <c r="AR425" s="0"/>
      <c r="AS425" s="0"/>
      <c r="AT425" s="0"/>
      <c r="AU425" s="0"/>
      <c r="AV425" s="0"/>
      <c r="AW425" s="0"/>
      <c r="AX425" s="0"/>
      <c r="AY425" s="0"/>
      <c r="AZ425" s="0"/>
      <c r="BA425" s="0"/>
      <c r="BB425" s="0"/>
    </row>
    <row r="426" customFormat="false" ht="12.75" hidden="false" customHeight="false" outlineLevel="0" collapsed="false">
      <c r="A426" s="0"/>
      <c r="B426" s="0"/>
      <c r="C426" s="0"/>
      <c r="D426" s="0"/>
      <c r="E426" s="0"/>
      <c r="F426" s="0"/>
      <c r="G426" s="0"/>
      <c r="H426" s="0"/>
      <c r="I426" s="0"/>
      <c r="J426" s="0"/>
      <c r="K426" s="0"/>
      <c r="L426" s="0"/>
      <c r="M426" s="0"/>
      <c r="N426" s="0"/>
      <c r="O426" s="0"/>
      <c r="P426" s="0"/>
      <c r="Q426" s="0"/>
      <c r="R426" s="0"/>
      <c r="S426" s="0"/>
      <c r="T426" s="0"/>
      <c r="U426" s="0"/>
      <c r="V426" s="0"/>
      <c r="W426" s="0"/>
      <c r="X426" s="0"/>
      <c r="Y426" s="0"/>
      <c r="Z426" s="0"/>
      <c r="AA426" s="0"/>
      <c r="AB426" s="0"/>
      <c r="AC426" s="0"/>
      <c r="AD426" s="0"/>
      <c r="AE426" s="0"/>
      <c r="AF426" s="0"/>
      <c r="AG426" s="0"/>
      <c r="AH426" s="0"/>
      <c r="AI426" s="0"/>
      <c r="AJ426" s="0"/>
      <c r="AK426" s="0"/>
      <c r="AL426" s="0"/>
      <c r="AM426" s="0"/>
      <c r="AN426" s="0"/>
      <c r="AO426" s="0"/>
      <c r="AP426" s="0"/>
      <c r="AQ426" s="0"/>
      <c r="AR426" s="0"/>
      <c r="AS426" s="0"/>
      <c r="AT426" s="0"/>
      <c r="AU426" s="0"/>
      <c r="AV426" s="0"/>
      <c r="AW426" s="0"/>
      <c r="AX426" s="0"/>
      <c r="AY426" s="0"/>
      <c r="AZ426" s="0"/>
      <c r="BA426" s="0"/>
      <c r="BB426" s="0"/>
    </row>
    <row r="427" customFormat="false" ht="12.75" hidden="false" customHeight="false" outlineLevel="0" collapsed="false">
      <c r="A427" s="0"/>
      <c r="B427" s="0"/>
      <c r="C427" s="0"/>
      <c r="D427" s="0"/>
      <c r="E427" s="0"/>
      <c r="F427" s="0"/>
      <c r="G427" s="0"/>
      <c r="H427" s="0"/>
      <c r="I427" s="0"/>
      <c r="J427" s="0"/>
      <c r="K427" s="0"/>
      <c r="L427" s="0"/>
      <c r="M427" s="0"/>
      <c r="N427" s="0"/>
      <c r="O427" s="0"/>
      <c r="P427" s="0"/>
      <c r="Q427" s="0"/>
      <c r="R427" s="0"/>
      <c r="S427" s="0"/>
      <c r="T427" s="0"/>
      <c r="U427" s="0"/>
      <c r="V427" s="0"/>
      <c r="W427" s="0"/>
      <c r="X427" s="0"/>
      <c r="Y427" s="0"/>
      <c r="Z427" s="0"/>
      <c r="AA427" s="0"/>
      <c r="AB427" s="0"/>
      <c r="AC427" s="0"/>
      <c r="AD427" s="0"/>
      <c r="AE427" s="0"/>
      <c r="AF427" s="0"/>
      <c r="AG427" s="0"/>
      <c r="AH427" s="0"/>
      <c r="AI427" s="0"/>
      <c r="AJ427" s="0"/>
      <c r="AK427" s="0"/>
      <c r="AL427" s="0"/>
      <c r="AM427" s="0"/>
      <c r="AN427" s="0"/>
      <c r="AO427" s="0"/>
      <c r="AP427" s="0"/>
      <c r="AQ427" s="0"/>
      <c r="AR427" s="0"/>
      <c r="AS427" s="0"/>
      <c r="AT427" s="0"/>
      <c r="AU427" s="0"/>
      <c r="AV427" s="0"/>
      <c r="AW427" s="0"/>
      <c r="AX427" s="0"/>
      <c r="AY427" s="0"/>
      <c r="AZ427" s="0"/>
      <c r="BA427" s="0"/>
      <c r="BB427" s="0"/>
    </row>
    <row r="428" customFormat="false" ht="12.75" hidden="false" customHeight="false" outlineLevel="0" collapsed="false">
      <c r="A428" s="0"/>
      <c r="B428" s="0"/>
      <c r="C428" s="0"/>
      <c r="D428" s="0"/>
      <c r="E428" s="0"/>
      <c r="F428" s="0"/>
      <c r="G428" s="0"/>
      <c r="H428" s="0"/>
      <c r="I428" s="0"/>
      <c r="J428" s="0"/>
      <c r="K428" s="0"/>
      <c r="L428" s="0"/>
      <c r="M428" s="0"/>
      <c r="N428" s="0"/>
      <c r="O428" s="0"/>
      <c r="P428" s="0"/>
      <c r="Q428" s="0"/>
      <c r="R428" s="0"/>
      <c r="S428" s="0"/>
      <c r="T428" s="0"/>
      <c r="U428" s="0"/>
      <c r="V428" s="0"/>
      <c r="W428" s="0"/>
      <c r="X428" s="0"/>
      <c r="Y428" s="0"/>
      <c r="Z428" s="0"/>
      <c r="AA428" s="0"/>
      <c r="AB428" s="0"/>
      <c r="AC428" s="0"/>
      <c r="AD428" s="0"/>
      <c r="AE428" s="0"/>
      <c r="AF428" s="0"/>
      <c r="AG428" s="0"/>
      <c r="AH428" s="0"/>
      <c r="AI428" s="0"/>
      <c r="AJ428" s="0"/>
      <c r="AK428" s="0"/>
      <c r="AL428" s="0"/>
      <c r="AM428" s="0"/>
      <c r="AN428" s="0"/>
      <c r="AO428" s="0"/>
      <c r="AP428" s="0"/>
      <c r="AQ428" s="0"/>
      <c r="AR428" s="0"/>
      <c r="AS428" s="0"/>
      <c r="AT428" s="0"/>
      <c r="AU428" s="0"/>
      <c r="AV428" s="0"/>
      <c r="AW428" s="0"/>
      <c r="AX428" s="0"/>
      <c r="AY428" s="0"/>
      <c r="AZ428" s="0"/>
      <c r="BA428" s="0"/>
      <c r="BB428" s="0"/>
    </row>
    <row r="429" customFormat="false" ht="12.75" hidden="false" customHeight="false" outlineLevel="0" collapsed="false">
      <c r="A429" s="0"/>
      <c r="B429" s="0"/>
      <c r="C429" s="0"/>
      <c r="D429" s="0"/>
      <c r="E429" s="0"/>
      <c r="F429" s="0"/>
      <c r="G429" s="0"/>
      <c r="H429" s="0"/>
      <c r="I429" s="0"/>
      <c r="J429" s="0"/>
      <c r="K429" s="0"/>
      <c r="L429" s="0"/>
      <c r="M429" s="0"/>
      <c r="N429" s="0"/>
      <c r="O429" s="0"/>
      <c r="P429" s="0"/>
      <c r="Q429" s="0"/>
      <c r="R429" s="0"/>
      <c r="S429" s="0"/>
      <c r="T429" s="0"/>
      <c r="U429" s="0"/>
      <c r="V429" s="0"/>
      <c r="W429" s="0"/>
      <c r="X429" s="0"/>
      <c r="Y429" s="0"/>
      <c r="Z429" s="0"/>
      <c r="AA429" s="0"/>
      <c r="AB429" s="0"/>
      <c r="AC429" s="0"/>
      <c r="AD429" s="0"/>
      <c r="AE429" s="0"/>
      <c r="AF429" s="0"/>
      <c r="AG429" s="0"/>
      <c r="AH429" s="0"/>
      <c r="AI429" s="0"/>
      <c r="AJ429" s="0"/>
      <c r="AK429" s="0"/>
      <c r="AL429" s="0"/>
      <c r="AM429" s="0"/>
      <c r="AN429" s="0"/>
      <c r="AO429" s="0"/>
      <c r="AP429" s="0"/>
      <c r="AQ429" s="0"/>
      <c r="AR429" s="0"/>
      <c r="AS429" s="0"/>
      <c r="AT429" s="0"/>
      <c r="AU429" s="0"/>
      <c r="AV429" s="0"/>
      <c r="AW429" s="0"/>
      <c r="AX429" s="0"/>
      <c r="AY429" s="0"/>
      <c r="AZ429" s="0"/>
      <c r="BA429" s="0"/>
      <c r="BB429" s="0"/>
    </row>
    <row r="430" customFormat="false" ht="12.75" hidden="false" customHeight="false" outlineLevel="0" collapsed="false">
      <c r="A430" s="0"/>
      <c r="B430" s="0"/>
      <c r="C430" s="0"/>
      <c r="D430" s="0"/>
      <c r="E430" s="0"/>
      <c r="F430" s="0"/>
      <c r="G430" s="0"/>
      <c r="H430" s="0"/>
      <c r="I430" s="0"/>
      <c r="J430" s="0"/>
      <c r="K430" s="0"/>
      <c r="L430" s="0"/>
      <c r="M430" s="0"/>
      <c r="N430" s="0"/>
      <c r="O430" s="0"/>
      <c r="P430" s="0"/>
      <c r="Q430" s="0"/>
      <c r="R430" s="0"/>
      <c r="S430" s="0"/>
      <c r="T430" s="0"/>
      <c r="U430" s="0"/>
      <c r="V430" s="0"/>
      <c r="W430" s="0"/>
      <c r="X430" s="0"/>
      <c r="Y430" s="0"/>
      <c r="Z430" s="0"/>
      <c r="AA430" s="0"/>
      <c r="AB430" s="0"/>
      <c r="AC430" s="0"/>
      <c r="AD430" s="0"/>
      <c r="AE430" s="0"/>
      <c r="AF430" s="0"/>
      <c r="AG430" s="0"/>
      <c r="AH430" s="0"/>
      <c r="AI430" s="0"/>
      <c r="AJ430" s="0"/>
      <c r="AK430" s="0"/>
      <c r="AL430" s="0"/>
      <c r="AM430" s="0"/>
      <c r="AN430" s="0"/>
      <c r="AO430" s="0"/>
      <c r="AP430" s="0"/>
      <c r="AQ430" s="0"/>
      <c r="AR430" s="0"/>
      <c r="AS430" s="0"/>
      <c r="AT430" s="0"/>
      <c r="AU430" s="0"/>
      <c r="AV430" s="0"/>
      <c r="AW430" s="0"/>
      <c r="AX430" s="0"/>
      <c r="AY430" s="0"/>
      <c r="AZ430" s="0"/>
      <c r="BA430" s="0"/>
      <c r="BB430" s="0"/>
    </row>
    <row r="431" customFormat="false" ht="12.75" hidden="false" customHeight="false" outlineLevel="0" collapsed="false">
      <c r="A431" s="0"/>
      <c r="B431" s="0"/>
      <c r="C431" s="0"/>
      <c r="D431" s="0"/>
      <c r="E431" s="0"/>
      <c r="F431" s="0"/>
      <c r="G431" s="0"/>
      <c r="H431" s="0"/>
      <c r="I431" s="0"/>
      <c r="J431" s="0"/>
      <c r="K431" s="0"/>
      <c r="L431" s="0"/>
      <c r="M431" s="0"/>
      <c r="N431" s="0"/>
      <c r="O431" s="0"/>
      <c r="P431" s="0"/>
      <c r="Q431" s="0"/>
      <c r="R431" s="0"/>
      <c r="S431" s="0"/>
      <c r="T431" s="0"/>
      <c r="U431" s="0"/>
      <c r="V431" s="0"/>
      <c r="W431" s="0"/>
      <c r="X431" s="0"/>
      <c r="Y431" s="0"/>
      <c r="Z431" s="0"/>
      <c r="AA431" s="0"/>
      <c r="AB431" s="0"/>
      <c r="AC431" s="0"/>
      <c r="AD431" s="0"/>
      <c r="AE431" s="0"/>
      <c r="AF431" s="0"/>
      <c r="AG431" s="0"/>
      <c r="AH431" s="0"/>
      <c r="AI431" s="0"/>
      <c r="AJ431" s="0"/>
      <c r="AK431" s="0"/>
      <c r="AL431" s="0"/>
      <c r="AM431" s="0"/>
      <c r="AN431" s="0"/>
      <c r="AO431" s="0"/>
      <c r="AP431" s="0"/>
      <c r="AQ431" s="0"/>
      <c r="AR431" s="0"/>
      <c r="AS431" s="0"/>
      <c r="AT431" s="0"/>
      <c r="AU431" s="0"/>
      <c r="AV431" s="0"/>
      <c r="AW431" s="0"/>
      <c r="AX431" s="0"/>
      <c r="AY431" s="0"/>
      <c r="AZ431" s="0"/>
      <c r="BA431" s="0"/>
      <c r="BB431" s="0"/>
    </row>
    <row r="432" customFormat="false" ht="12.75" hidden="false" customHeight="false" outlineLevel="0" collapsed="false">
      <c r="A432" s="0"/>
      <c r="B432" s="0"/>
      <c r="C432" s="0"/>
      <c r="D432" s="0"/>
      <c r="E432" s="0"/>
      <c r="F432" s="0"/>
      <c r="G432" s="0"/>
      <c r="H432" s="0"/>
      <c r="I432" s="0"/>
      <c r="J432" s="0"/>
      <c r="K432" s="0"/>
      <c r="L432" s="0"/>
      <c r="M432" s="0"/>
      <c r="N432" s="0"/>
      <c r="O432" s="0"/>
      <c r="P432" s="0"/>
      <c r="Q432" s="0"/>
      <c r="R432" s="0"/>
      <c r="S432" s="0"/>
      <c r="T432" s="0"/>
      <c r="U432" s="0"/>
      <c r="V432" s="0"/>
      <c r="W432" s="0"/>
      <c r="X432" s="0"/>
      <c r="Y432" s="0"/>
      <c r="Z432" s="0"/>
      <c r="AA432" s="0"/>
      <c r="AB432" s="0"/>
      <c r="AC432" s="0"/>
      <c r="AD432" s="0"/>
      <c r="AE432" s="0"/>
      <c r="AF432" s="0"/>
      <c r="AG432" s="0"/>
      <c r="AH432" s="0"/>
      <c r="AI432" s="0"/>
      <c r="AJ432" s="0"/>
      <c r="AK432" s="0"/>
      <c r="AL432" s="0"/>
      <c r="AM432" s="0"/>
      <c r="AN432" s="0"/>
      <c r="AO432" s="0"/>
      <c r="AP432" s="0"/>
      <c r="AQ432" s="0"/>
      <c r="AR432" s="0"/>
      <c r="AS432" s="0"/>
      <c r="AT432" s="0"/>
      <c r="AU432" s="0"/>
      <c r="AV432" s="0"/>
      <c r="AW432" s="0"/>
      <c r="AX432" s="0"/>
      <c r="AY432" s="0"/>
      <c r="AZ432" s="0"/>
      <c r="BA432" s="0"/>
      <c r="BB432" s="0"/>
    </row>
    <row r="433" customFormat="false" ht="12.75" hidden="false" customHeight="false" outlineLevel="0" collapsed="false">
      <c r="A433" s="0"/>
      <c r="B433" s="0"/>
      <c r="C433" s="0"/>
      <c r="D433" s="0"/>
      <c r="E433" s="0"/>
      <c r="F433" s="0"/>
      <c r="G433" s="0"/>
      <c r="H433" s="0"/>
      <c r="I433" s="0"/>
      <c r="J433" s="0"/>
      <c r="K433" s="0"/>
      <c r="L433" s="0"/>
      <c r="M433" s="0"/>
      <c r="N433" s="0"/>
      <c r="O433" s="0"/>
      <c r="P433" s="0"/>
      <c r="Q433" s="0"/>
      <c r="R433" s="0"/>
      <c r="S433" s="0"/>
      <c r="T433" s="0"/>
      <c r="U433" s="0"/>
      <c r="V433" s="0"/>
      <c r="W433" s="0"/>
      <c r="X433" s="0"/>
      <c r="Y433" s="0"/>
      <c r="Z433" s="0"/>
      <c r="AA433" s="0"/>
      <c r="AB433" s="0"/>
      <c r="AC433" s="0"/>
      <c r="AD433" s="0"/>
      <c r="AE433" s="0"/>
      <c r="AF433" s="0"/>
      <c r="AG433" s="0"/>
      <c r="AH433" s="0"/>
      <c r="AI433" s="0"/>
      <c r="AJ433" s="0"/>
      <c r="AK433" s="0"/>
      <c r="AL433" s="0"/>
      <c r="AM433" s="0"/>
      <c r="AN433" s="0"/>
      <c r="AO433" s="0"/>
      <c r="AP433" s="0"/>
      <c r="AQ433" s="0"/>
      <c r="AR433" s="0"/>
      <c r="AS433" s="0"/>
      <c r="AT433" s="0"/>
      <c r="AU433" s="0"/>
      <c r="AV433" s="0"/>
      <c r="AW433" s="0"/>
      <c r="AX433" s="0"/>
      <c r="AY433" s="0"/>
      <c r="AZ433" s="0"/>
      <c r="BA433" s="0"/>
      <c r="BB433" s="0"/>
    </row>
    <row r="434" customFormat="false" ht="12.75" hidden="false" customHeight="false" outlineLevel="0" collapsed="false">
      <c r="A434" s="0"/>
      <c r="B434" s="0"/>
      <c r="C434" s="0"/>
      <c r="D434" s="0"/>
      <c r="E434" s="0"/>
      <c r="F434" s="0"/>
      <c r="G434" s="0"/>
      <c r="H434" s="0"/>
      <c r="I434" s="0"/>
      <c r="J434" s="0"/>
      <c r="K434" s="0"/>
      <c r="L434" s="0"/>
      <c r="M434" s="0"/>
      <c r="N434" s="0"/>
      <c r="O434" s="0"/>
      <c r="P434" s="0"/>
      <c r="Q434" s="0"/>
      <c r="R434" s="0"/>
      <c r="S434" s="0"/>
      <c r="T434" s="0"/>
      <c r="U434" s="0"/>
      <c r="V434" s="0"/>
      <c r="W434" s="0"/>
      <c r="X434" s="0"/>
      <c r="Y434" s="0"/>
      <c r="Z434" s="0"/>
      <c r="AA434" s="0"/>
      <c r="AB434" s="0"/>
      <c r="AC434" s="0"/>
      <c r="AD434" s="0"/>
      <c r="AE434" s="0"/>
      <c r="AF434" s="0"/>
      <c r="AG434" s="0"/>
      <c r="AH434" s="0"/>
      <c r="AI434" s="0"/>
      <c r="AJ434" s="0"/>
      <c r="AK434" s="0"/>
      <c r="AL434" s="0"/>
      <c r="AM434" s="0"/>
      <c r="AN434" s="0"/>
      <c r="AO434" s="0"/>
      <c r="AP434" s="0"/>
      <c r="AQ434" s="0"/>
      <c r="AR434" s="0"/>
      <c r="AS434" s="0"/>
      <c r="AT434" s="0"/>
      <c r="AU434" s="0"/>
      <c r="AV434" s="0"/>
      <c r="AW434" s="0"/>
      <c r="AX434" s="0"/>
      <c r="AY434" s="0"/>
      <c r="AZ434" s="0"/>
      <c r="BA434" s="0"/>
      <c r="BB434" s="0"/>
    </row>
    <row r="435" customFormat="false" ht="12.75" hidden="false" customHeight="false" outlineLevel="0" collapsed="false">
      <c r="A435" s="0"/>
      <c r="B435" s="0"/>
      <c r="C435" s="0"/>
      <c r="D435" s="0"/>
      <c r="E435" s="0"/>
      <c r="F435" s="0"/>
      <c r="G435" s="0"/>
      <c r="H435" s="0"/>
      <c r="I435" s="0"/>
      <c r="J435" s="0"/>
      <c r="K435" s="0"/>
      <c r="L435" s="0"/>
      <c r="M435" s="0"/>
      <c r="N435" s="0"/>
      <c r="O435" s="0"/>
      <c r="P435" s="0"/>
      <c r="Q435" s="0"/>
      <c r="R435" s="0"/>
      <c r="S435" s="0"/>
      <c r="T435" s="0"/>
      <c r="U435" s="0"/>
      <c r="V435" s="0"/>
      <c r="W435" s="0"/>
      <c r="X435" s="0"/>
      <c r="Y435" s="0"/>
      <c r="Z435" s="0"/>
      <c r="AA435" s="0"/>
      <c r="AB435" s="0"/>
      <c r="AC435" s="0"/>
      <c r="AD435" s="0"/>
      <c r="AE435" s="0"/>
      <c r="AF435" s="0"/>
      <c r="AG435" s="0"/>
      <c r="AH435" s="0"/>
      <c r="AI435" s="0"/>
      <c r="AJ435" s="0"/>
      <c r="AK435" s="0"/>
      <c r="AL435" s="0"/>
      <c r="AM435" s="0"/>
      <c r="AN435" s="0"/>
      <c r="AO435" s="0"/>
      <c r="AP435" s="0"/>
      <c r="AQ435" s="0"/>
      <c r="AR435" s="0"/>
      <c r="AS435" s="0"/>
      <c r="AT435" s="0"/>
      <c r="AU435" s="0"/>
      <c r="AV435" s="0"/>
      <c r="AW435" s="0"/>
      <c r="AX435" s="0"/>
      <c r="AY435" s="0"/>
      <c r="AZ435" s="0"/>
      <c r="BA435" s="0"/>
      <c r="BB435" s="0"/>
    </row>
    <row r="436" customFormat="false" ht="12.75" hidden="false" customHeight="false" outlineLevel="0" collapsed="false">
      <c r="A436" s="0"/>
      <c r="B436" s="0"/>
      <c r="C436" s="0"/>
      <c r="D436" s="0"/>
      <c r="E436" s="0"/>
      <c r="F436" s="0"/>
      <c r="G436" s="0"/>
      <c r="H436" s="0"/>
      <c r="I436" s="0"/>
      <c r="J436" s="0"/>
      <c r="K436" s="0"/>
      <c r="L436" s="0"/>
      <c r="M436" s="0"/>
      <c r="N436" s="0"/>
      <c r="O436" s="0"/>
      <c r="P436" s="0"/>
      <c r="Q436" s="0"/>
      <c r="R436" s="0"/>
      <c r="S436" s="0"/>
      <c r="T436" s="0"/>
      <c r="U436" s="0"/>
      <c r="V436" s="0"/>
      <c r="W436" s="0"/>
      <c r="X436" s="0"/>
      <c r="Y436" s="0"/>
      <c r="Z436" s="0"/>
      <c r="AA436" s="0"/>
      <c r="AB436" s="0"/>
      <c r="AC436" s="0"/>
      <c r="AD436" s="0"/>
      <c r="AE436" s="0"/>
      <c r="AF436" s="0"/>
      <c r="AG436" s="0"/>
      <c r="AH436" s="0"/>
      <c r="AI436" s="0"/>
      <c r="AJ436" s="0"/>
      <c r="AK436" s="0"/>
      <c r="AL436" s="0"/>
      <c r="AM436" s="0"/>
      <c r="AN436" s="0"/>
      <c r="AO436" s="0"/>
      <c r="AP436" s="0"/>
      <c r="AQ436" s="0"/>
      <c r="AR436" s="0"/>
      <c r="AS436" s="0"/>
      <c r="AT436" s="0"/>
      <c r="AU436" s="0"/>
      <c r="AV436" s="0"/>
      <c r="AW436" s="0"/>
      <c r="AX436" s="0"/>
      <c r="AY436" s="0"/>
      <c r="AZ436" s="0"/>
      <c r="BA436" s="0"/>
      <c r="BB436" s="0"/>
    </row>
    <row r="437" customFormat="false" ht="12.75" hidden="false" customHeight="false" outlineLevel="0" collapsed="false">
      <c r="A437" s="0"/>
      <c r="B437" s="0"/>
      <c r="C437" s="0"/>
      <c r="D437" s="0"/>
      <c r="E437" s="0"/>
      <c r="F437" s="0"/>
      <c r="G437" s="0"/>
      <c r="H437" s="0"/>
      <c r="I437" s="0"/>
      <c r="J437" s="0"/>
      <c r="K437" s="0"/>
      <c r="L437" s="0"/>
      <c r="M437" s="0"/>
      <c r="N437" s="0"/>
      <c r="O437" s="0"/>
      <c r="P437" s="0"/>
      <c r="Q437" s="0"/>
      <c r="R437" s="0"/>
      <c r="S437" s="0"/>
      <c r="T437" s="0"/>
      <c r="U437" s="0"/>
      <c r="V437" s="0"/>
      <c r="W437" s="0"/>
      <c r="X437" s="0"/>
      <c r="Y437" s="0"/>
      <c r="Z437" s="0"/>
      <c r="AA437" s="0"/>
      <c r="AB437" s="0"/>
      <c r="AC437" s="0"/>
      <c r="AD437" s="0"/>
      <c r="AE437" s="0"/>
      <c r="AF437" s="0"/>
      <c r="AG437" s="0"/>
      <c r="AH437" s="0"/>
      <c r="AI437" s="0"/>
      <c r="AJ437" s="0"/>
      <c r="AK437" s="0"/>
      <c r="AL437" s="0"/>
      <c r="AM437" s="0"/>
      <c r="AN437" s="0"/>
      <c r="AO437" s="0"/>
      <c r="AP437" s="0"/>
      <c r="AQ437" s="0"/>
      <c r="AR437" s="0"/>
      <c r="AS437" s="0"/>
      <c r="AT437" s="0"/>
      <c r="AU437" s="0"/>
      <c r="AV437" s="0"/>
      <c r="AW437" s="0"/>
      <c r="AX437" s="0"/>
      <c r="AY437" s="0"/>
      <c r="AZ437" s="0"/>
      <c r="BA437" s="0"/>
      <c r="BB437" s="0"/>
    </row>
    <row r="438" customFormat="false" ht="12.75" hidden="false" customHeight="false" outlineLevel="0" collapsed="false">
      <c r="A438" s="0"/>
      <c r="B438" s="0"/>
      <c r="C438" s="0"/>
      <c r="D438" s="0"/>
      <c r="E438" s="0"/>
      <c r="F438" s="0"/>
      <c r="G438" s="0"/>
      <c r="H438" s="0"/>
      <c r="I438" s="0"/>
      <c r="J438" s="0"/>
      <c r="K438" s="0"/>
      <c r="L438" s="0"/>
      <c r="M438" s="0"/>
      <c r="N438" s="0"/>
      <c r="O438" s="0"/>
      <c r="P438" s="0"/>
      <c r="Q438" s="0"/>
      <c r="R438" s="0"/>
      <c r="S438" s="0"/>
      <c r="T438" s="0"/>
      <c r="U438" s="0"/>
      <c r="V438" s="0"/>
      <c r="W438" s="0"/>
      <c r="X438" s="0"/>
      <c r="Y438" s="0"/>
      <c r="Z438" s="0"/>
      <c r="AA438" s="0"/>
      <c r="AB438" s="0"/>
      <c r="AC438" s="0"/>
      <c r="AD438" s="0"/>
      <c r="AE438" s="0"/>
      <c r="AF438" s="0"/>
      <c r="AG438" s="0"/>
      <c r="AH438" s="0"/>
      <c r="AI438" s="0"/>
      <c r="AJ438" s="0"/>
      <c r="AK438" s="0"/>
      <c r="AL438" s="0"/>
      <c r="AM438" s="0"/>
      <c r="AN438" s="0"/>
      <c r="AO438" s="0"/>
      <c r="AP438" s="0"/>
      <c r="AQ438" s="0"/>
      <c r="AR438" s="0"/>
      <c r="AS438" s="0"/>
      <c r="AT438" s="0"/>
      <c r="AU438" s="0"/>
      <c r="AV438" s="0"/>
      <c r="AW438" s="0"/>
      <c r="AX438" s="0"/>
      <c r="AY438" s="0"/>
      <c r="AZ438" s="0"/>
      <c r="BA438" s="0"/>
      <c r="BB438" s="0"/>
    </row>
    <row r="439" customFormat="false" ht="12.75" hidden="false" customHeight="false" outlineLevel="0" collapsed="false">
      <c r="A439" s="0"/>
      <c r="B439" s="0"/>
      <c r="C439" s="0"/>
      <c r="D439" s="0"/>
      <c r="E439" s="0"/>
      <c r="F439" s="0"/>
      <c r="G439" s="0"/>
      <c r="H439" s="0"/>
      <c r="I439" s="0"/>
      <c r="J439" s="0"/>
      <c r="K439" s="0"/>
      <c r="L439" s="0"/>
      <c r="M439" s="0"/>
      <c r="N439" s="0"/>
      <c r="O439" s="0"/>
      <c r="P439" s="0"/>
      <c r="Q439" s="0"/>
      <c r="R439" s="0"/>
      <c r="S439" s="0"/>
      <c r="T439" s="0"/>
      <c r="U439" s="0"/>
      <c r="V439" s="0"/>
      <c r="W439" s="0"/>
      <c r="X439" s="0"/>
      <c r="Y439" s="0"/>
      <c r="Z439" s="0"/>
      <c r="AA439" s="0"/>
      <c r="AB439" s="0"/>
      <c r="AC439" s="0"/>
      <c r="AD439" s="0"/>
      <c r="AE439" s="0"/>
      <c r="AF439" s="0"/>
      <c r="AG439" s="0"/>
      <c r="AH439" s="0"/>
      <c r="AI439" s="0"/>
      <c r="AJ439" s="0"/>
      <c r="AK439" s="0"/>
      <c r="AL439" s="0"/>
      <c r="AM439" s="0"/>
      <c r="AN439" s="0"/>
      <c r="AO439" s="0"/>
      <c r="AP439" s="0"/>
      <c r="AQ439" s="0"/>
      <c r="AR439" s="0"/>
      <c r="AS439" s="0"/>
      <c r="AT439" s="0"/>
      <c r="AU439" s="0"/>
      <c r="AV439" s="0"/>
      <c r="AW439" s="0"/>
      <c r="AX439" s="0"/>
      <c r="AY439" s="0"/>
      <c r="AZ439" s="0"/>
      <c r="BA439" s="0"/>
      <c r="BB439" s="0"/>
    </row>
    <row r="440" customFormat="false" ht="12.75" hidden="false" customHeight="false" outlineLevel="0" collapsed="false">
      <c r="A440" s="0"/>
      <c r="B440" s="0"/>
      <c r="C440" s="0"/>
      <c r="D440" s="0"/>
      <c r="E440" s="0"/>
      <c r="F440" s="0"/>
      <c r="G440" s="0"/>
      <c r="H440" s="0"/>
      <c r="I440" s="0"/>
      <c r="J440" s="0"/>
      <c r="K440" s="0"/>
      <c r="L440" s="0"/>
      <c r="M440" s="0"/>
      <c r="N440" s="0"/>
      <c r="O440" s="0"/>
      <c r="P440" s="0"/>
      <c r="Q440" s="0"/>
      <c r="R440" s="0"/>
      <c r="S440" s="0"/>
      <c r="T440" s="0"/>
      <c r="U440" s="0"/>
      <c r="V440" s="0"/>
      <c r="W440" s="0"/>
      <c r="X440" s="0"/>
      <c r="Y440" s="0"/>
      <c r="Z440" s="0"/>
      <c r="AA440" s="0"/>
      <c r="AB440" s="0"/>
      <c r="AC440" s="0"/>
      <c r="AD440" s="0"/>
      <c r="AE440" s="0"/>
      <c r="AF440" s="0"/>
      <c r="AG440" s="0"/>
      <c r="AH440" s="0"/>
      <c r="AI440" s="0"/>
      <c r="AJ440" s="0"/>
      <c r="AK440" s="0"/>
      <c r="AL440" s="0"/>
      <c r="AM440" s="0"/>
      <c r="AN440" s="0"/>
      <c r="AO440" s="0"/>
      <c r="AP440" s="0"/>
      <c r="AQ440" s="0"/>
      <c r="AR440" s="0"/>
      <c r="AS440" s="0"/>
      <c r="AT440" s="0"/>
      <c r="AU440" s="0"/>
      <c r="AV440" s="0"/>
      <c r="AW440" s="0"/>
      <c r="AX440" s="0"/>
      <c r="AY440" s="0"/>
      <c r="AZ440" s="0"/>
      <c r="BA440" s="0"/>
      <c r="BB440" s="0"/>
    </row>
    <row r="441" customFormat="false" ht="12.75" hidden="false" customHeight="false" outlineLevel="0" collapsed="false">
      <c r="A441" s="0"/>
      <c r="B441" s="0"/>
      <c r="C441" s="0"/>
      <c r="D441" s="0"/>
      <c r="E441" s="0"/>
      <c r="F441" s="0"/>
      <c r="G441" s="0"/>
      <c r="H441" s="0"/>
      <c r="I441" s="0"/>
      <c r="J441" s="0"/>
      <c r="K441" s="0"/>
      <c r="L441" s="0"/>
      <c r="M441" s="0"/>
      <c r="N441" s="0"/>
      <c r="O441" s="0"/>
      <c r="P441" s="0"/>
      <c r="Q441" s="0"/>
      <c r="R441" s="0"/>
      <c r="S441" s="0"/>
      <c r="T441" s="0"/>
      <c r="U441" s="0"/>
      <c r="V441" s="0"/>
      <c r="W441" s="0"/>
      <c r="X441" s="0"/>
      <c r="Y441" s="0"/>
      <c r="Z441" s="0"/>
      <c r="AA441" s="0"/>
      <c r="AB441" s="0"/>
      <c r="AC441" s="0"/>
      <c r="AD441" s="0"/>
      <c r="AE441" s="0"/>
      <c r="AF441" s="0"/>
      <c r="AG441" s="0"/>
      <c r="AH441" s="0"/>
      <c r="AI441" s="0"/>
      <c r="AJ441" s="0"/>
      <c r="AK441" s="0"/>
      <c r="AL441" s="0"/>
      <c r="AM441" s="0"/>
      <c r="AN441" s="0"/>
      <c r="AO441" s="0"/>
      <c r="AP441" s="0"/>
      <c r="AQ441" s="0"/>
      <c r="AR441" s="0"/>
      <c r="AS441" s="0"/>
      <c r="AT441" s="0"/>
      <c r="AU441" s="0"/>
      <c r="AV441" s="0"/>
      <c r="AW441" s="0"/>
      <c r="AX441" s="0"/>
      <c r="AY441" s="0"/>
      <c r="AZ441" s="0"/>
      <c r="BA441" s="0"/>
      <c r="BB441" s="0"/>
    </row>
    <row r="442" customFormat="false" ht="12.75" hidden="false" customHeight="false" outlineLevel="0" collapsed="false">
      <c r="A442" s="0"/>
      <c r="B442" s="0"/>
      <c r="C442" s="0"/>
      <c r="D442" s="0"/>
      <c r="E442" s="0"/>
      <c r="F442" s="0"/>
      <c r="G442" s="0"/>
      <c r="H442" s="0"/>
      <c r="I442" s="0"/>
      <c r="J442" s="0"/>
      <c r="K442" s="0"/>
      <c r="L442" s="0"/>
      <c r="M442" s="0"/>
      <c r="N442" s="0"/>
      <c r="O442" s="0"/>
      <c r="P442" s="0"/>
      <c r="Q442" s="0"/>
      <c r="R442" s="0"/>
      <c r="S442" s="0"/>
      <c r="T442" s="0"/>
      <c r="U442" s="0"/>
      <c r="V442" s="0"/>
      <c r="W442" s="0"/>
      <c r="X442" s="0"/>
      <c r="Y442" s="0"/>
      <c r="Z442" s="0"/>
      <c r="AA442" s="0"/>
      <c r="AB442" s="0"/>
      <c r="AC442" s="0"/>
      <c r="AD442" s="0"/>
      <c r="AE442" s="0"/>
      <c r="AF442" s="0"/>
      <c r="AG442" s="0"/>
      <c r="AH442" s="0"/>
      <c r="AI442" s="0"/>
      <c r="AJ442" s="0"/>
      <c r="AK442" s="0"/>
      <c r="AL442" s="0"/>
      <c r="AM442" s="0"/>
      <c r="AN442" s="0"/>
      <c r="AO442" s="0"/>
      <c r="AP442" s="0"/>
      <c r="AQ442" s="0"/>
      <c r="AR442" s="0"/>
      <c r="AS442" s="0"/>
      <c r="AT442" s="0"/>
      <c r="AU442" s="0"/>
      <c r="AV442" s="0"/>
      <c r="AW442" s="0"/>
      <c r="AX442" s="0"/>
      <c r="AY442" s="0"/>
      <c r="AZ442" s="0"/>
      <c r="BA442" s="0"/>
      <c r="BB442" s="0"/>
    </row>
    <row r="443" customFormat="false" ht="12.75" hidden="false" customHeight="false" outlineLevel="0" collapsed="false">
      <c r="A443" s="0"/>
      <c r="B443" s="0"/>
      <c r="C443" s="0"/>
      <c r="D443" s="0"/>
      <c r="E443" s="0"/>
      <c r="F443" s="0"/>
      <c r="G443" s="0"/>
      <c r="H443" s="0"/>
      <c r="I443" s="0"/>
      <c r="J443" s="0"/>
      <c r="K443" s="0"/>
      <c r="L443" s="0"/>
      <c r="M443" s="0"/>
      <c r="N443" s="0"/>
      <c r="O443" s="0"/>
      <c r="P443" s="0"/>
      <c r="Q443" s="0"/>
      <c r="R443" s="0"/>
      <c r="S443" s="0"/>
      <c r="T443" s="0"/>
      <c r="U443" s="0"/>
      <c r="V443" s="0"/>
      <c r="W443" s="0"/>
      <c r="X443" s="0"/>
      <c r="Y443" s="0"/>
      <c r="Z443" s="0"/>
      <c r="AA443" s="0"/>
      <c r="AB443" s="0"/>
      <c r="AC443" s="0"/>
      <c r="AD443" s="0"/>
      <c r="AE443" s="0"/>
      <c r="AF443" s="0"/>
      <c r="AG443" s="0"/>
      <c r="AH443" s="0"/>
      <c r="AI443" s="0"/>
      <c r="AJ443" s="0"/>
      <c r="AK443" s="0"/>
      <c r="AL443" s="0"/>
      <c r="AM443" s="0"/>
      <c r="AN443" s="0"/>
      <c r="AO443" s="0"/>
      <c r="AP443" s="0"/>
      <c r="AQ443" s="0"/>
      <c r="AR443" s="0"/>
      <c r="AS443" s="0"/>
      <c r="AT443" s="0"/>
      <c r="AU443" s="0"/>
      <c r="AV443" s="0"/>
      <c r="AW443" s="0"/>
      <c r="AX443" s="0"/>
      <c r="AY443" s="0"/>
      <c r="AZ443" s="0"/>
      <c r="BA443" s="0"/>
      <c r="BB443" s="0"/>
    </row>
    <row r="444" customFormat="false" ht="12.75" hidden="false" customHeight="false" outlineLevel="0" collapsed="false">
      <c r="A444" s="0"/>
      <c r="B444" s="0"/>
      <c r="C444" s="0"/>
      <c r="D444" s="0"/>
      <c r="E444" s="0"/>
      <c r="F444" s="0"/>
      <c r="G444" s="0"/>
      <c r="H444" s="0"/>
      <c r="I444" s="0"/>
      <c r="J444" s="0"/>
      <c r="K444" s="0"/>
      <c r="L444" s="0"/>
      <c r="M444" s="0"/>
      <c r="N444" s="0"/>
      <c r="O444" s="0"/>
      <c r="P444" s="0"/>
      <c r="Q444" s="0"/>
      <c r="R444" s="0"/>
      <c r="S444" s="0"/>
      <c r="T444" s="0"/>
      <c r="U444" s="0"/>
      <c r="V444" s="0"/>
      <c r="W444" s="0"/>
      <c r="X444" s="0"/>
      <c r="Y444" s="0"/>
      <c r="Z444" s="0"/>
      <c r="AA444" s="0"/>
      <c r="AB444" s="0"/>
      <c r="AC444" s="0"/>
      <c r="AD444" s="0"/>
      <c r="AE444" s="0"/>
      <c r="AF444" s="0"/>
      <c r="AG444" s="0"/>
      <c r="AH444" s="0"/>
      <c r="AI444" s="0"/>
      <c r="AJ444" s="0"/>
      <c r="AK444" s="0"/>
      <c r="AL444" s="0"/>
      <c r="AM444" s="0"/>
      <c r="AN444" s="0"/>
      <c r="AO444" s="0"/>
      <c r="AP444" s="0"/>
      <c r="AQ444" s="0"/>
      <c r="AR444" s="0"/>
      <c r="AS444" s="0"/>
      <c r="AT444" s="0"/>
      <c r="AU444" s="0"/>
      <c r="AV444" s="0"/>
      <c r="AW444" s="0"/>
      <c r="AX444" s="0"/>
      <c r="AY444" s="0"/>
      <c r="AZ444" s="0"/>
      <c r="BA444" s="0"/>
      <c r="BB444" s="0"/>
    </row>
    <row r="445" customFormat="false" ht="12.75" hidden="false" customHeight="false" outlineLevel="0" collapsed="false">
      <c r="A445" s="0"/>
      <c r="B445" s="0"/>
      <c r="C445" s="0"/>
      <c r="D445" s="0"/>
      <c r="E445" s="0"/>
      <c r="F445" s="0"/>
      <c r="G445" s="0"/>
      <c r="H445" s="0"/>
      <c r="I445" s="0"/>
      <c r="J445" s="0"/>
      <c r="K445" s="0"/>
      <c r="L445" s="0"/>
      <c r="M445" s="0"/>
      <c r="N445" s="0"/>
      <c r="O445" s="0"/>
      <c r="P445" s="0"/>
      <c r="Q445" s="0"/>
      <c r="R445" s="0"/>
      <c r="S445" s="0"/>
      <c r="T445" s="0"/>
      <c r="U445" s="0"/>
      <c r="V445" s="0"/>
      <c r="W445" s="0"/>
      <c r="X445" s="0"/>
      <c r="Y445" s="0"/>
      <c r="Z445" s="0"/>
      <c r="AA445" s="0"/>
      <c r="AB445" s="0"/>
      <c r="AC445" s="0"/>
      <c r="AD445" s="0"/>
      <c r="AE445" s="0"/>
      <c r="AF445" s="0"/>
      <c r="AG445" s="0"/>
      <c r="AH445" s="0"/>
      <c r="AI445" s="0"/>
      <c r="AJ445" s="0"/>
      <c r="AK445" s="0"/>
      <c r="AL445" s="0"/>
      <c r="AM445" s="0"/>
      <c r="AN445" s="0"/>
      <c r="AO445" s="0"/>
      <c r="AP445" s="0"/>
      <c r="AQ445" s="0"/>
      <c r="AR445" s="0"/>
      <c r="AS445" s="0"/>
      <c r="AT445" s="0"/>
      <c r="AU445" s="0"/>
      <c r="AV445" s="0"/>
      <c r="AW445" s="0"/>
      <c r="AX445" s="0"/>
      <c r="AY445" s="0"/>
      <c r="AZ445" s="0"/>
      <c r="BA445" s="0"/>
      <c r="BB445" s="0"/>
    </row>
    <row r="446" customFormat="false" ht="12.75" hidden="false" customHeight="false" outlineLevel="0" collapsed="false">
      <c r="A446" s="0"/>
      <c r="B446" s="0"/>
      <c r="C446" s="0"/>
      <c r="D446" s="0"/>
      <c r="E446" s="0"/>
      <c r="F446" s="0"/>
      <c r="G446" s="0"/>
      <c r="H446" s="0"/>
      <c r="I446" s="0"/>
      <c r="J446" s="0"/>
      <c r="K446" s="0"/>
      <c r="L446" s="0"/>
      <c r="M446" s="0"/>
      <c r="N446" s="0"/>
      <c r="O446" s="0"/>
      <c r="P446" s="0"/>
      <c r="Q446" s="0"/>
      <c r="R446" s="0"/>
      <c r="S446" s="0"/>
      <c r="T446" s="0"/>
      <c r="U446" s="0"/>
      <c r="V446" s="0"/>
      <c r="W446" s="0"/>
      <c r="X446" s="0"/>
      <c r="Y446" s="0"/>
      <c r="Z446" s="0"/>
      <c r="AA446" s="0"/>
      <c r="AB446" s="0"/>
      <c r="AC446" s="0"/>
      <c r="AD446" s="0"/>
      <c r="AE446" s="0"/>
      <c r="AF446" s="0"/>
      <c r="AG446" s="0"/>
      <c r="AH446" s="0"/>
      <c r="AI446" s="0"/>
      <c r="AJ446" s="0"/>
      <c r="AK446" s="0"/>
      <c r="AL446" s="0"/>
      <c r="AM446" s="0"/>
      <c r="AN446" s="0"/>
      <c r="AO446" s="0"/>
      <c r="AP446" s="0"/>
      <c r="AQ446" s="0"/>
      <c r="AR446" s="0"/>
      <c r="AS446" s="0"/>
      <c r="AT446" s="0"/>
      <c r="AU446" s="0"/>
      <c r="AV446" s="0"/>
      <c r="AW446" s="0"/>
      <c r="AX446" s="0"/>
      <c r="AY446" s="0"/>
      <c r="AZ446" s="0"/>
      <c r="BA446" s="0"/>
      <c r="BB446" s="0"/>
    </row>
    <row r="447" customFormat="false" ht="12.75" hidden="false" customHeight="false" outlineLevel="0" collapsed="false">
      <c r="A447" s="0"/>
      <c r="B447" s="0"/>
      <c r="C447" s="0"/>
      <c r="D447" s="0"/>
      <c r="E447" s="0"/>
      <c r="F447" s="0"/>
      <c r="G447" s="0"/>
      <c r="H447" s="0"/>
      <c r="I447" s="0"/>
      <c r="J447" s="0"/>
      <c r="K447" s="0"/>
      <c r="L447" s="0"/>
      <c r="M447" s="0"/>
      <c r="N447" s="0"/>
      <c r="O447" s="0"/>
      <c r="P447" s="0"/>
      <c r="Q447" s="0"/>
      <c r="R447" s="0"/>
      <c r="S447" s="0"/>
      <c r="T447" s="0"/>
      <c r="U447" s="0"/>
      <c r="V447" s="0"/>
      <c r="W447" s="0"/>
      <c r="X447" s="0"/>
      <c r="Y447" s="0"/>
      <c r="Z447" s="0"/>
      <c r="AA447" s="0"/>
      <c r="AB447" s="0"/>
      <c r="AC447" s="0"/>
      <c r="AD447" s="0"/>
      <c r="AE447" s="0"/>
      <c r="AF447" s="0"/>
      <c r="AG447" s="0"/>
      <c r="AH447" s="0"/>
      <c r="AI447" s="0"/>
      <c r="AJ447" s="0"/>
      <c r="AK447" s="0"/>
      <c r="AL447" s="0"/>
      <c r="AM447" s="0"/>
      <c r="AN447" s="0"/>
      <c r="AO447" s="0"/>
      <c r="AP447" s="0"/>
      <c r="AQ447" s="0"/>
      <c r="AR447" s="0"/>
      <c r="AS447" s="0"/>
      <c r="AT447" s="0"/>
      <c r="AU447" s="0"/>
      <c r="AV447" s="0"/>
      <c r="AW447" s="0"/>
      <c r="AX447" s="0"/>
      <c r="AY447" s="0"/>
      <c r="AZ447" s="0"/>
      <c r="BA447" s="0"/>
      <c r="BB447" s="0"/>
    </row>
    <row r="448" customFormat="false" ht="12.75" hidden="false" customHeight="false" outlineLevel="0" collapsed="false">
      <c r="A448" s="0"/>
      <c r="B448" s="0"/>
      <c r="C448" s="0"/>
      <c r="D448" s="0"/>
      <c r="E448" s="0"/>
      <c r="F448" s="0"/>
      <c r="G448" s="0"/>
      <c r="H448" s="0"/>
      <c r="I448" s="0"/>
      <c r="J448" s="0"/>
      <c r="K448" s="0"/>
      <c r="L448" s="0"/>
      <c r="M448" s="0"/>
      <c r="N448" s="0"/>
      <c r="O448" s="0"/>
      <c r="P448" s="0"/>
      <c r="Q448" s="0"/>
      <c r="R448" s="0"/>
      <c r="S448" s="0"/>
      <c r="T448" s="0"/>
      <c r="U448" s="0"/>
      <c r="V448" s="0"/>
      <c r="W448" s="0"/>
      <c r="X448" s="0"/>
      <c r="Y448" s="0"/>
      <c r="Z448" s="0"/>
      <c r="AA448" s="0"/>
      <c r="AB448" s="0"/>
      <c r="AC448" s="0"/>
      <c r="AD448" s="0"/>
      <c r="AE448" s="0"/>
      <c r="AF448" s="0"/>
      <c r="AG448" s="0"/>
      <c r="AH448" s="0"/>
      <c r="AI448" s="0"/>
      <c r="AJ448" s="0"/>
      <c r="AK448" s="0"/>
      <c r="AL448" s="0"/>
      <c r="AM448" s="0"/>
      <c r="AN448" s="0"/>
      <c r="AO448" s="0"/>
      <c r="AP448" s="0"/>
      <c r="AQ448" s="0"/>
      <c r="AR448" s="0"/>
      <c r="AS448" s="0"/>
      <c r="AT448" s="0"/>
      <c r="AU448" s="0"/>
      <c r="AV448" s="0"/>
      <c r="AW448" s="0"/>
      <c r="AX448" s="0"/>
      <c r="AY448" s="0"/>
      <c r="AZ448" s="0"/>
      <c r="BA448" s="0"/>
      <c r="BB448" s="0"/>
    </row>
    <row r="449" customFormat="false" ht="12.75" hidden="false" customHeight="false" outlineLevel="0" collapsed="false">
      <c r="A449" s="0"/>
      <c r="B449" s="0"/>
      <c r="C449" s="0"/>
      <c r="D449" s="0"/>
      <c r="E449" s="0"/>
      <c r="F449" s="0"/>
      <c r="G449" s="0"/>
      <c r="H449" s="0"/>
      <c r="I449" s="0"/>
      <c r="J449" s="0"/>
      <c r="K449" s="0"/>
      <c r="L449" s="0"/>
      <c r="M449" s="0"/>
      <c r="N449" s="0"/>
      <c r="O449" s="0"/>
      <c r="P449" s="0"/>
      <c r="Q449" s="0"/>
      <c r="R449" s="0"/>
      <c r="S449" s="0"/>
      <c r="T449" s="0"/>
      <c r="U449" s="0"/>
      <c r="V449" s="0"/>
      <c r="W449" s="0"/>
      <c r="X449" s="0"/>
      <c r="Y449" s="0"/>
      <c r="Z449" s="0"/>
      <c r="AA449" s="0"/>
      <c r="AB449" s="0"/>
      <c r="AC449" s="0"/>
      <c r="AD449" s="0"/>
      <c r="AE449" s="0"/>
      <c r="AF449" s="0"/>
      <c r="AG449" s="0"/>
      <c r="AH449" s="0"/>
      <c r="AI449" s="0"/>
      <c r="AJ449" s="0"/>
      <c r="AK449" s="0"/>
      <c r="AL449" s="0"/>
      <c r="AM449" s="0"/>
      <c r="AN449" s="0"/>
      <c r="AO449" s="0"/>
      <c r="AP449" s="0"/>
      <c r="AQ449" s="0"/>
      <c r="AR449" s="0"/>
      <c r="AS449" s="0"/>
      <c r="AT449" s="0"/>
      <c r="AU449" s="0"/>
      <c r="AV449" s="0"/>
      <c r="AW449" s="0"/>
      <c r="AX449" s="0"/>
      <c r="AY449" s="0"/>
      <c r="AZ449" s="0"/>
      <c r="BA449" s="0"/>
      <c r="BB449" s="0"/>
    </row>
    <row r="450" customFormat="false" ht="12.75" hidden="false" customHeight="false" outlineLevel="0" collapsed="false">
      <c r="A450" s="0"/>
      <c r="B450" s="0"/>
      <c r="C450" s="0"/>
      <c r="D450" s="0"/>
      <c r="E450" s="0"/>
      <c r="F450" s="0"/>
      <c r="G450" s="0"/>
      <c r="H450" s="0"/>
      <c r="I450" s="0"/>
      <c r="J450" s="0"/>
      <c r="K450" s="0"/>
      <c r="L450" s="0"/>
      <c r="M450" s="0"/>
      <c r="N450" s="0"/>
      <c r="O450" s="0"/>
      <c r="P450" s="0"/>
      <c r="Q450" s="0"/>
      <c r="R450" s="0"/>
      <c r="S450" s="0"/>
      <c r="T450" s="0"/>
      <c r="U450" s="0"/>
      <c r="V450" s="0"/>
      <c r="W450" s="0"/>
      <c r="X450" s="0"/>
      <c r="Y450" s="0"/>
      <c r="Z450" s="0"/>
      <c r="AA450" s="0"/>
      <c r="AB450" s="0"/>
      <c r="AC450" s="0"/>
      <c r="AD450" s="0"/>
      <c r="AE450" s="0"/>
      <c r="AF450" s="0"/>
      <c r="AG450" s="0"/>
      <c r="AH450" s="0"/>
      <c r="AI450" s="0"/>
      <c r="AJ450" s="0"/>
      <c r="AK450" s="0"/>
      <c r="AL450" s="0"/>
      <c r="AM450" s="0"/>
      <c r="AN450" s="0"/>
      <c r="AO450" s="0"/>
      <c r="AP450" s="0"/>
      <c r="AQ450" s="0"/>
      <c r="AR450" s="0"/>
      <c r="AS450" s="0"/>
      <c r="AT450" s="0"/>
      <c r="AU450" s="0"/>
      <c r="AV450" s="0"/>
      <c r="AW450" s="0"/>
      <c r="AX450" s="0"/>
      <c r="AY450" s="0"/>
      <c r="AZ450" s="0"/>
      <c r="BA450" s="0"/>
      <c r="BB450" s="0"/>
    </row>
    <row r="451" customFormat="false" ht="12.75" hidden="false" customHeight="false" outlineLevel="0" collapsed="false">
      <c r="A451" s="0"/>
      <c r="B451" s="0"/>
      <c r="C451" s="0"/>
      <c r="D451" s="0"/>
      <c r="E451" s="0"/>
      <c r="F451" s="0"/>
      <c r="G451" s="0"/>
      <c r="H451" s="0"/>
      <c r="I451" s="0"/>
      <c r="J451" s="0"/>
      <c r="K451" s="0"/>
      <c r="L451" s="0"/>
      <c r="M451" s="0"/>
      <c r="N451" s="0"/>
      <c r="O451" s="0"/>
      <c r="P451" s="0"/>
      <c r="Q451" s="0"/>
      <c r="R451" s="0"/>
      <c r="S451" s="0"/>
      <c r="T451" s="0"/>
      <c r="U451" s="0"/>
      <c r="V451" s="0"/>
      <c r="W451" s="0"/>
      <c r="X451" s="0"/>
      <c r="Y451" s="0"/>
      <c r="Z451" s="0"/>
      <c r="AA451" s="0"/>
      <c r="AB451" s="0"/>
      <c r="AC451" s="0"/>
      <c r="AD451" s="0"/>
      <c r="AE451" s="0"/>
      <c r="AF451" s="0"/>
      <c r="AG451" s="0"/>
      <c r="AH451" s="0"/>
      <c r="AI451" s="0"/>
      <c r="AJ451" s="0"/>
      <c r="AK451" s="0"/>
      <c r="AL451" s="0"/>
      <c r="AM451" s="0"/>
      <c r="AN451" s="0"/>
      <c r="AO451" s="0"/>
      <c r="AP451" s="0"/>
      <c r="AQ451" s="0"/>
      <c r="AR451" s="0"/>
      <c r="AS451" s="0"/>
      <c r="AT451" s="0"/>
      <c r="AU451" s="0"/>
      <c r="AV451" s="0"/>
      <c r="AW451" s="0"/>
      <c r="AX451" s="0"/>
      <c r="AY451" s="0"/>
      <c r="AZ451" s="0"/>
      <c r="BA451" s="0"/>
      <c r="BB451" s="0"/>
    </row>
    <row r="452" customFormat="false" ht="12.75" hidden="false" customHeight="false" outlineLevel="0" collapsed="false">
      <c r="A452" s="0"/>
      <c r="B452" s="0"/>
      <c r="C452" s="0"/>
      <c r="D452" s="0"/>
      <c r="E452" s="0"/>
      <c r="F452" s="0"/>
      <c r="G452" s="0"/>
      <c r="H452" s="0"/>
      <c r="I452" s="0"/>
      <c r="J452" s="0"/>
      <c r="K452" s="0"/>
      <c r="L452" s="0"/>
      <c r="M452" s="0"/>
      <c r="N452" s="0"/>
      <c r="O452" s="0"/>
      <c r="P452" s="0"/>
      <c r="Q452" s="0"/>
      <c r="R452" s="0"/>
      <c r="S452" s="0"/>
      <c r="T452" s="0"/>
      <c r="U452" s="0"/>
      <c r="V452" s="0"/>
      <c r="W452" s="0"/>
      <c r="X452" s="0"/>
      <c r="Y452" s="0"/>
      <c r="Z452" s="0"/>
      <c r="AA452" s="0"/>
      <c r="AB452" s="0"/>
      <c r="AC452" s="0"/>
      <c r="AD452" s="0"/>
      <c r="AE452" s="0"/>
      <c r="AF452" s="0"/>
      <c r="AG452" s="0"/>
      <c r="AH452" s="0"/>
      <c r="AI452" s="0"/>
      <c r="AJ452" s="0"/>
      <c r="AK452" s="0"/>
      <c r="AL452" s="0"/>
      <c r="AM452" s="0"/>
      <c r="AN452" s="0"/>
      <c r="AO452" s="0"/>
      <c r="AP452" s="0"/>
      <c r="AQ452" s="0"/>
      <c r="AR452" s="0"/>
      <c r="AS452" s="0"/>
      <c r="AT452" s="0"/>
      <c r="AU452" s="0"/>
      <c r="AV452" s="0"/>
      <c r="AW452" s="0"/>
      <c r="AX452" s="0"/>
      <c r="AY452" s="0"/>
      <c r="AZ452" s="0"/>
      <c r="BA452" s="0"/>
      <c r="BB452" s="0"/>
    </row>
    <row r="453" customFormat="false" ht="12.75" hidden="false" customHeight="false" outlineLevel="0" collapsed="false">
      <c r="A453" s="0"/>
      <c r="B453" s="0"/>
      <c r="C453" s="0"/>
      <c r="D453" s="0"/>
      <c r="E453" s="0"/>
      <c r="F453" s="0"/>
      <c r="G453" s="0"/>
      <c r="H453" s="0"/>
      <c r="I453" s="0"/>
      <c r="J453" s="0"/>
      <c r="K453" s="0"/>
      <c r="L453" s="0"/>
      <c r="M453" s="0"/>
      <c r="N453" s="0"/>
      <c r="O453" s="0"/>
      <c r="P453" s="0"/>
      <c r="Q453" s="0"/>
      <c r="R453" s="0"/>
      <c r="S453" s="0"/>
      <c r="T453" s="0"/>
      <c r="U453" s="0"/>
      <c r="V453" s="0"/>
      <c r="W453" s="0"/>
      <c r="X453" s="0"/>
      <c r="Y453" s="0"/>
      <c r="Z453" s="0"/>
      <c r="AA453" s="0"/>
      <c r="AB453" s="0"/>
      <c r="AC453" s="0"/>
      <c r="AD453" s="0"/>
      <c r="AE453" s="0"/>
      <c r="AF453" s="0"/>
      <c r="AG453" s="0"/>
      <c r="AH453" s="0"/>
      <c r="AI453" s="0"/>
      <c r="AJ453" s="0"/>
      <c r="AK453" s="0"/>
      <c r="AL453" s="0"/>
      <c r="AM453" s="0"/>
      <c r="AN453" s="0"/>
      <c r="AO453" s="0"/>
      <c r="AP453" s="0"/>
      <c r="AQ453" s="0"/>
      <c r="AR453" s="0"/>
      <c r="AS453" s="0"/>
      <c r="AT453" s="0"/>
      <c r="AU453" s="0"/>
      <c r="AV453" s="0"/>
      <c r="AW453" s="0"/>
      <c r="AX453" s="0"/>
      <c r="AY453" s="0"/>
      <c r="AZ453" s="0"/>
      <c r="BA453" s="0"/>
      <c r="BB453" s="0"/>
    </row>
    <row r="454" customFormat="false" ht="12.75" hidden="false" customHeight="false" outlineLevel="0" collapsed="false">
      <c r="A454" s="0"/>
      <c r="B454" s="0"/>
      <c r="C454" s="0"/>
      <c r="D454" s="0"/>
      <c r="E454" s="0"/>
      <c r="F454" s="0"/>
      <c r="G454" s="0"/>
      <c r="H454" s="0"/>
      <c r="I454" s="0"/>
      <c r="J454" s="0"/>
      <c r="K454" s="0"/>
      <c r="L454" s="0"/>
      <c r="M454" s="0"/>
      <c r="N454" s="0"/>
      <c r="O454" s="0"/>
      <c r="P454" s="0"/>
      <c r="Q454" s="0"/>
      <c r="R454" s="0"/>
      <c r="S454" s="0"/>
      <c r="T454" s="0"/>
      <c r="U454" s="0"/>
      <c r="V454" s="0"/>
      <c r="W454" s="0"/>
      <c r="X454" s="0"/>
      <c r="Y454" s="0"/>
      <c r="Z454" s="0"/>
      <c r="AA454" s="0"/>
      <c r="AB454" s="0"/>
      <c r="AC454" s="0"/>
      <c r="AD454" s="0"/>
      <c r="AE454" s="0"/>
      <c r="AF454" s="0"/>
      <c r="AG454" s="0"/>
      <c r="AH454" s="0"/>
      <c r="AI454" s="0"/>
      <c r="AJ454" s="0"/>
      <c r="AK454" s="0"/>
      <c r="AL454" s="0"/>
      <c r="AM454" s="0"/>
      <c r="AN454" s="0"/>
      <c r="AO454" s="0"/>
      <c r="AP454" s="0"/>
      <c r="AQ454" s="0"/>
      <c r="AR454" s="0"/>
      <c r="AS454" s="0"/>
      <c r="AT454" s="0"/>
      <c r="AU454" s="0"/>
      <c r="AV454" s="0"/>
      <c r="AW454" s="0"/>
      <c r="AX454" s="0"/>
      <c r="AY454" s="0"/>
      <c r="AZ454" s="0"/>
      <c r="BA454" s="0"/>
      <c r="BB454" s="0"/>
    </row>
    <row r="455" customFormat="false" ht="12.75" hidden="false" customHeight="false" outlineLevel="0" collapsed="false">
      <c r="A455" s="0"/>
      <c r="B455" s="0"/>
      <c r="C455" s="0"/>
      <c r="D455" s="0"/>
      <c r="E455" s="0"/>
      <c r="F455" s="0"/>
      <c r="G455" s="0"/>
      <c r="H455" s="0"/>
      <c r="I455" s="0"/>
      <c r="J455" s="0"/>
      <c r="K455" s="0"/>
      <c r="L455" s="0"/>
      <c r="M455" s="0"/>
      <c r="N455" s="0"/>
      <c r="O455" s="0"/>
      <c r="P455" s="0"/>
      <c r="Q455" s="0"/>
      <c r="R455" s="0"/>
      <c r="S455" s="0"/>
      <c r="T455" s="0"/>
      <c r="U455" s="0"/>
      <c r="V455" s="0"/>
      <c r="W455" s="0"/>
      <c r="X455" s="0"/>
      <c r="Y455" s="0"/>
      <c r="Z455" s="0"/>
      <c r="AA455" s="0"/>
      <c r="AB455" s="0"/>
      <c r="AC455" s="0"/>
      <c r="AD455" s="0"/>
      <c r="AE455" s="0"/>
      <c r="AF455" s="0"/>
      <c r="AG455" s="0"/>
      <c r="AH455" s="0"/>
      <c r="AI455" s="0"/>
      <c r="AJ455" s="0"/>
      <c r="AK455" s="0"/>
      <c r="AL455" s="0"/>
      <c r="AM455" s="0"/>
      <c r="AN455" s="0"/>
      <c r="AO455" s="0"/>
      <c r="AP455" s="0"/>
      <c r="AQ455" s="0"/>
      <c r="AR455" s="0"/>
      <c r="AS455" s="0"/>
      <c r="AT455" s="0"/>
      <c r="AU455" s="0"/>
      <c r="AV455" s="0"/>
      <c r="AW455" s="0"/>
      <c r="AX455" s="0"/>
      <c r="AY455" s="0"/>
      <c r="AZ455" s="0"/>
      <c r="BA455" s="0"/>
      <c r="BB455" s="0"/>
    </row>
    <row r="456" customFormat="false" ht="12.75" hidden="false" customHeight="false" outlineLevel="0" collapsed="false">
      <c r="A456" s="0"/>
      <c r="B456" s="0"/>
      <c r="C456" s="0"/>
      <c r="D456" s="0"/>
      <c r="E456" s="0"/>
      <c r="F456" s="0"/>
      <c r="G456" s="0"/>
      <c r="H456" s="0"/>
      <c r="I456" s="0"/>
      <c r="J456" s="0"/>
      <c r="K456" s="0"/>
      <c r="L456" s="0"/>
      <c r="M456" s="0"/>
      <c r="N456" s="0"/>
      <c r="O456" s="0"/>
      <c r="P456" s="0"/>
      <c r="Q456" s="0"/>
      <c r="R456" s="0"/>
      <c r="S456" s="0"/>
      <c r="T456" s="0"/>
      <c r="U456" s="0"/>
      <c r="V456" s="0"/>
      <c r="W456" s="0"/>
      <c r="X456" s="0"/>
      <c r="Y456" s="0"/>
      <c r="Z456" s="0"/>
      <c r="AA456" s="0"/>
      <c r="AB456" s="0"/>
      <c r="AC456" s="0"/>
      <c r="AD456" s="0"/>
      <c r="AE456" s="0"/>
      <c r="AF456" s="0"/>
      <c r="AG456" s="0"/>
      <c r="AH456" s="0"/>
      <c r="AI456" s="0"/>
      <c r="AJ456" s="0"/>
      <c r="AK456" s="0"/>
      <c r="AL456" s="0"/>
      <c r="AM456" s="0"/>
      <c r="AN456" s="0"/>
      <c r="AO456" s="0"/>
      <c r="AP456" s="0"/>
      <c r="AQ456" s="0"/>
      <c r="AR456" s="0"/>
      <c r="AS456" s="0"/>
      <c r="AT456" s="0"/>
      <c r="AU456" s="0"/>
      <c r="AV456" s="0"/>
      <c r="AW456" s="0"/>
      <c r="AX456" s="0"/>
      <c r="AY456" s="0"/>
      <c r="AZ456" s="0"/>
      <c r="BA456" s="0"/>
      <c r="BB456" s="0"/>
    </row>
    <row r="457" customFormat="false" ht="12.75" hidden="false" customHeight="false" outlineLevel="0" collapsed="false">
      <c r="A457" s="0"/>
      <c r="B457" s="0"/>
      <c r="C457" s="0"/>
      <c r="D457" s="0"/>
      <c r="E457" s="0"/>
      <c r="F457" s="0"/>
      <c r="G457" s="0"/>
      <c r="H457" s="0"/>
      <c r="I457" s="0"/>
      <c r="J457" s="0"/>
      <c r="K457" s="0"/>
      <c r="L457" s="0"/>
      <c r="M457" s="0"/>
      <c r="N457" s="0"/>
      <c r="O457" s="0"/>
      <c r="P457" s="0"/>
      <c r="Q457" s="0"/>
      <c r="R457" s="0"/>
      <c r="S457" s="0"/>
      <c r="T457" s="0"/>
      <c r="U457" s="0"/>
      <c r="V457" s="0"/>
      <c r="W457" s="0"/>
      <c r="X457" s="0"/>
      <c r="Y457" s="0"/>
      <c r="Z457" s="0"/>
      <c r="AA457" s="0"/>
      <c r="AB457" s="0"/>
      <c r="AC457" s="0"/>
      <c r="AD457" s="0"/>
      <c r="AE457" s="0"/>
      <c r="AF457" s="0"/>
      <c r="AG457" s="0"/>
      <c r="AH457" s="0"/>
      <c r="AI457" s="0"/>
      <c r="AJ457" s="0"/>
      <c r="AK457" s="0"/>
      <c r="AL457" s="0"/>
      <c r="AM457" s="0"/>
      <c r="AN457" s="0"/>
      <c r="AO457" s="0"/>
      <c r="AP457" s="0"/>
      <c r="AQ457" s="0"/>
      <c r="AR457" s="0"/>
      <c r="AS457" s="0"/>
      <c r="AT457" s="0"/>
      <c r="AU457" s="0"/>
      <c r="AV457" s="0"/>
      <c r="AW457" s="0"/>
      <c r="AX457" s="0"/>
      <c r="AY457" s="0"/>
      <c r="AZ457" s="0"/>
      <c r="BA457" s="0"/>
      <c r="BB457" s="0"/>
    </row>
    <row r="458" customFormat="false" ht="12.75" hidden="false" customHeight="false" outlineLevel="0" collapsed="false">
      <c r="A458" s="0"/>
      <c r="B458" s="0"/>
      <c r="C458" s="0"/>
      <c r="D458" s="0"/>
      <c r="E458" s="0"/>
      <c r="F458" s="0"/>
      <c r="G458" s="0"/>
      <c r="H458" s="0"/>
      <c r="I458" s="0"/>
      <c r="J458" s="0"/>
      <c r="K458" s="0"/>
      <c r="L458" s="0"/>
      <c r="M458" s="0"/>
      <c r="N458" s="0"/>
      <c r="O458" s="0"/>
      <c r="P458" s="0"/>
      <c r="Q458" s="0"/>
      <c r="R458" s="0"/>
      <c r="S458" s="0"/>
      <c r="T458" s="0"/>
      <c r="U458" s="0"/>
      <c r="V458" s="0"/>
      <c r="W458" s="0"/>
      <c r="X458" s="0"/>
      <c r="Y458" s="0"/>
      <c r="Z458" s="0"/>
      <c r="AA458" s="0"/>
      <c r="AB458" s="0"/>
      <c r="AC458" s="0"/>
      <c r="AD458" s="0"/>
      <c r="AE458" s="0"/>
      <c r="AF458" s="0"/>
      <c r="AG458" s="0"/>
      <c r="AH458" s="0"/>
      <c r="AI458" s="0"/>
      <c r="AJ458" s="0"/>
      <c r="AK458" s="0"/>
      <c r="AL458" s="0"/>
      <c r="AM458" s="0"/>
      <c r="AN458" s="0"/>
      <c r="AO458" s="0"/>
      <c r="AP458" s="0"/>
      <c r="AQ458" s="0"/>
      <c r="AR458" s="0"/>
      <c r="AS458" s="0"/>
      <c r="AT458" s="0"/>
      <c r="AU458" s="0"/>
      <c r="AV458" s="0"/>
      <c r="AW458" s="0"/>
      <c r="AX458" s="0"/>
      <c r="AY458" s="0"/>
      <c r="AZ458" s="0"/>
      <c r="BA458" s="0"/>
      <c r="BB458" s="0"/>
    </row>
    <row r="459" customFormat="false" ht="12.75" hidden="false" customHeight="false" outlineLevel="0" collapsed="false">
      <c r="A459" s="0"/>
      <c r="B459" s="0"/>
      <c r="C459" s="0"/>
      <c r="D459" s="0"/>
      <c r="E459" s="0"/>
      <c r="F459" s="0"/>
      <c r="G459" s="0"/>
      <c r="H459" s="0"/>
      <c r="I459" s="0"/>
      <c r="J459" s="0"/>
      <c r="K459" s="0"/>
      <c r="L459" s="0"/>
      <c r="M459" s="0"/>
      <c r="N459" s="0"/>
      <c r="O459" s="0"/>
      <c r="P459" s="0"/>
      <c r="Q459" s="0"/>
      <c r="R459" s="0"/>
      <c r="S459" s="0"/>
      <c r="T459" s="0"/>
      <c r="U459" s="0"/>
      <c r="V459" s="0"/>
      <c r="W459" s="0"/>
      <c r="X459" s="0"/>
      <c r="Y459" s="0"/>
      <c r="Z459" s="0"/>
      <c r="AA459" s="0"/>
      <c r="AB459" s="0"/>
      <c r="AC459" s="0"/>
      <c r="AD459" s="0"/>
      <c r="AE459" s="0"/>
      <c r="AF459" s="0"/>
      <c r="AG459" s="0"/>
      <c r="AH459" s="0"/>
      <c r="AI459" s="0"/>
      <c r="AJ459" s="0"/>
      <c r="AK459" s="0"/>
      <c r="AL459" s="0"/>
      <c r="AM459" s="0"/>
      <c r="AN459" s="0"/>
      <c r="AO459" s="0"/>
      <c r="AP459" s="0"/>
      <c r="AQ459" s="0"/>
      <c r="AR459" s="0"/>
      <c r="AS459" s="0"/>
      <c r="AT459" s="0"/>
      <c r="AU459" s="0"/>
      <c r="AV459" s="0"/>
      <c r="AW459" s="0"/>
      <c r="AX459" s="0"/>
      <c r="AY459" s="0"/>
      <c r="AZ459" s="0"/>
      <c r="BA459" s="0"/>
      <c r="BB459" s="0"/>
    </row>
    <row r="460" customFormat="false" ht="12.75" hidden="false" customHeight="false" outlineLevel="0" collapsed="false">
      <c r="A460" s="0"/>
      <c r="B460" s="0"/>
      <c r="C460" s="0"/>
      <c r="D460" s="0"/>
      <c r="E460" s="0"/>
      <c r="F460" s="0"/>
      <c r="G460" s="0"/>
      <c r="H460" s="0"/>
      <c r="I460" s="0"/>
      <c r="J460" s="0"/>
      <c r="K460" s="0"/>
      <c r="L460" s="0"/>
      <c r="M460" s="0"/>
      <c r="N460" s="0"/>
      <c r="O460" s="0"/>
      <c r="P460" s="0"/>
      <c r="Q460" s="0"/>
      <c r="R460" s="0"/>
      <c r="S460" s="0"/>
      <c r="T460" s="0"/>
      <c r="U460" s="0"/>
      <c r="V460" s="0"/>
      <c r="W460" s="0"/>
      <c r="X460" s="0"/>
      <c r="Y460" s="0"/>
      <c r="Z460" s="0"/>
      <c r="AA460" s="0"/>
      <c r="AB460" s="0"/>
      <c r="AC460" s="0"/>
      <c r="AD460" s="0"/>
      <c r="AE460" s="0"/>
      <c r="AF460" s="0"/>
      <c r="AG460" s="0"/>
      <c r="AH460" s="0"/>
      <c r="AI460" s="0"/>
      <c r="AJ460" s="0"/>
      <c r="AK460" s="0"/>
      <c r="AL460" s="0"/>
      <c r="AM460" s="0"/>
      <c r="AN460" s="0"/>
      <c r="AO460" s="0"/>
      <c r="AP460" s="0"/>
      <c r="AQ460" s="0"/>
      <c r="AR460" s="0"/>
      <c r="AS460" s="0"/>
      <c r="AT460" s="0"/>
      <c r="AU460" s="0"/>
      <c r="AV460" s="0"/>
      <c r="AW460" s="0"/>
      <c r="AX460" s="0"/>
      <c r="AY460" s="0"/>
      <c r="AZ460" s="0"/>
      <c r="BA460" s="0"/>
      <c r="BB460" s="0"/>
    </row>
    <row r="461" customFormat="false" ht="12.75" hidden="false" customHeight="false" outlineLevel="0" collapsed="false">
      <c r="A461" s="0"/>
      <c r="B461" s="0"/>
      <c r="C461" s="0"/>
      <c r="D461" s="0"/>
      <c r="E461" s="0"/>
      <c r="F461" s="0"/>
      <c r="G461" s="0"/>
      <c r="H461" s="0"/>
      <c r="I461" s="0"/>
      <c r="J461" s="0"/>
      <c r="K461" s="0"/>
      <c r="L461" s="0"/>
      <c r="M461" s="0"/>
      <c r="N461" s="0"/>
      <c r="O461" s="0"/>
      <c r="P461" s="0"/>
      <c r="Q461" s="0"/>
      <c r="R461" s="0"/>
      <c r="S461" s="0"/>
      <c r="T461" s="0"/>
      <c r="U461" s="0"/>
      <c r="V461" s="0"/>
      <c r="W461" s="0"/>
      <c r="X461" s="0"/>
      <c r="Y461" s="0"/>
      <c r="Z461" s="0"/>
      <c r="AA461" s="0"/>
      <c r="AB461" s="0"/>
      <c r="AC461" s="0"/>
      <c r="AD461" s="0"/>
      <c r="AE461" s="0"/>
      <c r="AF461" s="0"/>
      <c r="AG461" s="0"/>
      <c r="AH461" s="0"/>
      <c r="AI461" s="0"/>
      <c r="AJ461" s="0"/>
      <c r="AK461" s="0"/>
      <c r="AL461" s="0"/>
      <c r="AM461" s="0"/>
      <c r="AN461" s="0"/>
      <c r="AO461" s="0"/>
      <c r="AP461" s="0"/>
      <c r="AQ461" s="0"/>
      <c r="AR461" s="0"/>
      <c r="AS461" s="0"/>
      <c r="AT461" s="0"/>
      <c r="AU461" s="0"/>
      <c r="AV461" s="0"/>
      <c r="AW461" s="0"/>
      <c r="AX461" s="0"/>
      <c r="AY461" s="0"/>
      <c r="AZ461" s="0"/>
      <c r="BA461" s="0"/>
      <c r="BB461" s="0"/>
    </row>
    <row r="462" customFormat="false" ht="12.75" hidden="false" customHeight="false" outlineLevel="0" collapsed="false">
      <c r="A462" s="0"/>
      <c r="B462" s="0"/>
      <c r="C462" s="0"/>
      <c r="D462" s="0"/>
      <c r="E462" s="0"/>
      <c r="F462" s="0"/>
      <c r="G462" s="0"/>
      <c r="H462" s="0"/>
      <c r="I462" s="0"/>
      <c r="J462" s="0"/>
      <c r="K462" s="0"/>
      <c r="L462" s="0"/>
      <c r="M462" s="0"/>
      <c r="N462" s="0"/>
      <c r="O462" s="0"/>
      <c r="P462" s="0"/>
      <c r="Q462" s="0"/>
      <c r="R462" s="0"/>
      <c r="S462" s="0"/>
      <c r="T462" s="0"/>
      <c r="U462" s="0"/>
      <c r="V462" s="0"/>
      <c r="W462" s="0"/>
      <c r="X462" s="0"/>
      <c r="Y462" s="0"/>
      <c r="Z462" s="0"/>
      <c r="AA462" s="0"/>
      <c r="AB462" s="0"/>
      <c r="AC462" s="0"/>
      <c r="AD462" s="0"/>
      <c r="AE462" s="0"/>
      <c r="AF462" s="0"/>
      <c r="AG462" s="0"/>
      <c r="AH462" s="0"/>
      <c r="AI462" s="0"/>
      <c r="AJ462" s="0"/>
      <c r="AK462" s="0"/>
      <c r="AL462" s="0"/>
      <c r="AM462" s="0"/>
      <c r="AN462" s="0"/>
      <c r="AO462" s="0"/>
      <c r="AP462" s="0"/>
      <c r="AQ462" s="0"/>
      <c r="AR462" s="0"/>
      <c r="AS462" s="0"/>
      <c r="AT462" s="0"/>
      <c r="AU462" s="0"/>
      <c r="AV462" s="0"/>
      <c r="AW462" s="0"/>
      <c r="AX462" s="0"/>
      <c r="AY462" s="0"/>
      <c r="AZ462" s="0"/>
      <c r="BA462" s="0"/>
      <c r="BB462" s="0"/>
    </row>
    <row r="463" customFormat="false" ht="12.75" hidden="false" customHeight="false" outlineLevel="0" collapsed="false">
      <c r="A463" s="0"/>
      <c r="B463" s="0"/>
      <c r="C463" s="0"/>
      <c r="D463" s="0"/>
      <c r="E463" s="0"/>
      <c r="F463" s="0"/>
      <c r="G463" s="0"/>
      <c r="H463" s="0"/>
      <c r="I463" s="0"/>
      <c r="J463" s="0"/>
      <c r="K463" s="0"/>
      <c r="L463" s="0"/>
      <c r="M463" s="0"/>
      <c r="N463" s="0"/>
      <c r="O463" s="0"/>
      <c r="P463" s="0"/>
      <c r="Q463" s="0"/>
      <c r="R463" s="0"/>
      <c r="S463" s="0"/>
      <c r="T463" s="0"/>
      <c r="U463" s="0"/>
      <c r="V463" s="0"/>
      <c r="W463" s="0"/>
      <c r="X463" s="0"/>
      <c r="Y463" s="0"/>
      <c r="Z463" s="0"/>
      <c r="AA463" s="0"/>
      <c r="AB463" s="0"/>
      <c r="AC463" s="0"/>
      <c r="AD463" s="0"/>
      <c r="AE463" s="0"/>
      <c r="AF463" s="0"/>
      <c r="AG463" s="0"/>
      <c r="AH463" s="0"/>
      <c r="AI463" s="0"/>
      <c r="AJ463" s="0"/>
      <c r="AK463" s="0"/>
      <c r="AL463" s="0"/>
      <c r="AM463" s="0"/>
      <c r="AN463" s="0"/>
      <c r="AO463" s="0"/>
      <c r="AP463" s="0"/>
      <c r="AQ463" s="0"/>
      <c r="AR463" s="0"/>
      <c r="AS463" s="0"/>
      <c r="AT463" s="0"/>
      <c r="AU463" s="0"/>
      <c r="AV463" s="0"/>
      <c r="AW463" s="0"/>
      <c r="AX463" s="0"/>
      <c r="AY463" s="0"/>
      <c r="AZ463" s="0"/>
      <c r="BA463" s="0"/>
      <c r="BB463" s="0"/>
    </row>
    <row r="464" customFormat="false" ht="12.75" hidden="false" customHeight="false" outlineLevel="0" collapsed="false">
      <c r="A464" s="0"/>
      <c r="B464" s="0"/>
      <c r="C464" s="0"/>
      <c r="D464" s="0"/>
      <c r="E464" s="0"/>
      <c r="F464" s="0"/>
      <c r="G464" s="0"/>
      <c r="H464" s="0"/>
      <c r="I464" s="0"/>
      <c r="J464" s="0"/>
      <c r="K464" s="0"/>
      <c r="L464" s="0"/>
      <c r="M464" s="0"/>
      <c r="N464" s="0"/>
      <c r="O464" s="0"/>
      <c r="P464" s="0"/>
      <c r="Q464" s="0"/>
      <c r="R464" s="0"/>
      <c r="S464" s="0"/>
      <c r="T464" s="0"/>
      <c r="U464" s="0"/>
      <c r="V464" s="0"/>
      <c r="W464" s="0"/>
      <c r="X464" s="0"/>
      <c r="Y464" s="0"/>
      <c r="Z464" s="0"/>
      <c r="AA464" s="0"/>
      <c r="AB464" s="0"/>
      <c r="AC464" s="0"/>
      <c r="AD464" s="0"/>
      <c r="AE464" s="0"/>
      <c r="AF464" s="0"/>
      <c r="AG464" s="0"/>
      <c r="AH464" s="0"/>
      <c r="AI464" s="0"/>
      <c r="AJ464" s="0"/>
      <c r="AK464" s="0"/>
      <c r="AL464" s="0"/>
      <c r="AM464" s="0"/>
      <c r="AN464" s="0"/>
      <c r="AO464" s="0"/>
      <c r="AP464" s="0"/>
      <c r="AQ464" s="0"/>
      <c r="AR464" s="0"/>
      <c r="AS464" s="0"/>
      <c r="AT464" s="0"/>
      <c r="AU464" s="0"/>
      <c r="AV464" s="0"/>
      <c r="AW464" s="0"/>
      <c r="AX464" s="0"/>
      <c r="AY464" s="0"/>
      <c r="AZ464" s="0"/>
      <c r="BA464" s="0"/>
      <c r="BB464" s="0"/>
    </row>
    <row r="465" customFormat="false" ht="12.75" hidden="false" customHeight="false" outlineLevel="0" collapsed="false">
      <c r="A465" s="0"/>
      <c r="B465" s="0"/>
      <c r="C465" s="0"/>
      <c r="D465" s="0"/>
      <c r="E465" s="0"/>
      <c r="F465" s="0"/>
      <c r="G465" s="0"/>
      <c r="H465" s="0"/>
      <c r="I465" s="0"/>
      <c r="J465" s="0"/>
      <c r="K465" s="0"/>
      <c r="L465" s="0"/>
      <c r="M465" s="0"/>
      <c r="N465" s="0"/>
      <c r="O465" s="0"/>
      <c r="P465" s="0"/>
      <c r="Q465" s="0"/>
      <c r="R465" s="0"/>
      <c r="S465" s="0"/>
      <c r="T465" s="0"/>
      <c r="U465" s="0"/>
      <c r="V465" s="0"/>
      <c r="W465" s="0"/>
      <c r="X465" s="0"/>
      <c r="Y465" s="0"/>
      <c r="Z465" s="0"/>
      <c r="AA465" s="0"/>
      <c r="AB465" s="0"/>
      <c r="AC465" s="0"/>
      <c r="AD465" s="0"/>
      <c r="AE465" s="0"/>
      <c r="AF465" s="0"/>
      <c r="AG465" s="0"/>
      <c r="AH465" s="0"/>
      <c r="AI465" s="0"/>
      <c r="AJ465" s="0"/>
      <c r="AK465" s="0"/>
      <c r="AL465" s="0"/>
      <c r="AM465" s="0"/>
      <c r="AN465" s="0"/>
      <c r="AO465" s="0"/>
      <c r="AP465" s="0"/>
      <c r="AQ465" s="0"/>
      <c r="AR465" s="0"/>
      <c r="AS465" s="0"/>
      <c r="AT465" s="0"/>
      <c r="AU465" s="0"/>
      <c r="AV465" s="0"/>
      <c r="AW465" s="0"/>
      <c r="AX465" s="0"/>
      <c r="AY465" s="0"/>
      <c r="AZ465" s="0"/>
      <c r="BA465" s="0"/>
      <c r="BB465" s="0"/>
    </row>
    <row r="466" customFormat="false" ht="12.75" hidden="false" customHeight="false" outlineLevel="0" collapsed="false">
      <c r="A466" s="0"/>
      <c r="B466" s="0"/>
      <c r="C466" s="0"/>
      <c r="D466" s="0"/>
      <c r="E466" s="0"/>
      <c r="F466" s="0"/>
      <c r="G466" s="0"/>
      <c r="H466" s="0"/>
      <c r="I466" s="0"/>
      <c r="J466" s="0"/>
      <c r="K466" s="0"/>
      <c r="L466" s="0"/>
      <c r="M466" s="0"/>
      <c r="N466" s="0"/>
      <c r="O466" s="0"/>
      <c r="P466" s="0"/>
      <c r="Q466" s="0"/>
      <c r="R466" s="0"/>
      <c r="S466" s="0"/>
      <c r="T466" s="0"/>
      <c r="U466" s="0"/>
      <c r="V466" s="0"/>
      <c r="W466" s="0"/>
      <c r="X466" s="0"/>
      <c r="Y466" s="0"/>
      <c r="Z466" s="0"/>
      <c r="AA466" s="0"/>
      <c r="AB466" s="0"/>
      <c r="AC466" s="0"/>
      <c r="AD466" s="0"/>
      <c r="AE466" s="0"/>
      <c r="AF466" s="0"/>
      <c r="AG466" s="0"/>
      <c r="AH466" s="0"/>
      <c r="AI466" s="0"/>
      <c r="AJ466" s="0"/>
      <c r="AK466" s="0"/>
      <c r="AL466" s="0"/>
      <c r="AM466" s="0"/>
      <c r="AN466" s="0"/>
      <c r="AO466" s="0"/>
      <c r="AP466" s="0"/>
      <c r="AQ466" s="0"/>
      <c r="AR466" s="0"/>
      <c r="AS466" s="0"/>
      <c r="AT466" s="0"/>
      <c r="AU466" s="0"/>
      <c r="AV466" s="0"/>
      <c r="AW466" s="0"/>
      <c r="AX466" s="0"/>
      <c r="AY466" s="0"/>
      <c r="AZ466" s="0"/>
      <c r="BA466" s="0"/>
      <c r="BB466" s="0"/>
    </row>
    <row r="467" customFormat="false" ht="12.75" hidden="false" customHeight="false" outlineLevel="0" collapsed="false">
      <c r="A467" s="0"/>
      <c r="B467" s="0"/>
      <c r="C467" s="0"/>
      <c r="D467" s="0"/>
      <c r="E467" s="0"/>
      <c r="F467" s="0"/>
      <c r="G467" s="0"/>
      <c r="H467" s="0"/>
      <c r="I467" s="0"/>
      <c r="J467" s="0"/>
      <c r="K467" s="0"/>
      <c r="L467" s="0"/>
      <c r="M467" s="0"/>
      <c r="N467" s="0"/>
      <c r="O467" s="0"/>
      <c r="P467" s="0"/>
      <c r="Q467" s="0"/>
      <c r="R467" s="0"/>
      <c r="S467" s="0"/>
      <c r="T467" s="0"/>
      <c r="U467" s="0"/>
      <c r="V467" s="0"/>
      <c r="W467" s="0"/>
      <c r="X467" s="0"/>
      <c r="Y467" s="0"/>
      <c r="Z467" s="0"/>
      <c r="AA467" s="0"/>
      <c r="AB467" s="0"/>
      <c r="AC467" s="0"/>
      <c r="AD467" s="0"/>
      <c r="AE467" s="0"/>
      <c r="AF467" s="0"/>
      <c r="AG467" s="0"/>
      <c r="AH467" s="0"/>
      <c r="AI467" s="0"/>
      <c r="AJ467" s="0"/>
      <c r="AK467" s="0"/>
      <c r="AL467" s="0"/>
      <c r="AM467" s="0"/>
      <c r="AN467" s="0"/>
      <c r="AO467" s="0"/>
      <c r="AP467" s="0"/>
      <c r="AQ467" s="0"/>
      <c r="AR467" s="0"/>
      <c r="AS467" s="0"/>
      <c r="AT467" s="0"/>
      <c r="AU467" s="0"/>
      <c r="AV467" s="0"/>
      <c r="AW467" s="0"/>
      <c r="AX467" s="0"/>
      <c r="AY467" s="0"/>
      <c r="AZ467" s="0"/>
      <c r="BA467" s="0"/>
      <c r="BB467" s="0"/>
    </row>
    <row r="468" customFormat="false" ht="12.75" hidden="false" customHeight="false" outlineLevel="0" collapsed="false">
      <c r="A468" s="0"/>
      <c r="B468" s="0"/>
      <c r="C468" s="0"/>
      <c r="D468" s="0"/>
      <c r="E468" s="0"/>
      <c r="F468" s="0"/>
      <c r="G468" s="0"/>
      <c r="H468" s="0"/>
      <c r="I468" s="0"/>
      <c r="J468" s="0"/>
      <c r="K468" s="0"/>
      <c r="L468" s="0"/>
      <c r="M468" s="0"/>
      <c r="N468" s="0"/>
      <c r="O468" s="0"/>
      <c r="P468" s="0"/>
      <c r="Q468" s="0"/>
      <c r="R468" s="0"/>
      <c r="S468" s="0"/>
      <c r="T468" s="0"/>
      <c r="U468" s="0"/>
      <c r="V468" s="0"/>
      <c r="W468" s="0"/>
      <c r="X468" s="0"/>
      <c r="Y468" s="0"/>
      <c r="Z468" s="0"/>
      <c r="AA468" s="0"/>
      <c r="AB468" s="0"/>
      <c r="AC468" s="0"/>
      <c r="AD468" s="0"/>
      <c r="AE468" s="0"/>
      <c r="AF468" s="0"/>
      <c r="AG468" s="0"/>
      <c r="AH468" s="0"/>
      <c r="AI468" s="0"/>
      <c r="AJ468" s="0"/>
      <c r="AK468" s="0"/>
      <c r="AL468" s="0"/>
      <c r="AM468" s="0"/>
      <c r="AN468" s="0"/>
      <c r="AO468" s="0"/>
      <c r="AP468" s="0"/>
      <c r="AQ468" s="0"/>
      <c r="AR468" s="0"/>
      <c r="AS468" s="0"/>
      <c r="AT468" s="0"/>
      <c r="AU468" s="0"/>
      <c r="AV468" s="0"/>
      <c r="AW468" s="0"/>
      <c r="AX468" s="0"/>
      <c r="AY468" s="0"/>
      <c r="AZ468" s="0"/>
      <c r="BA468" s="0"/>
      <c r="BB468" s="0"/>
    </row>
    <row r="469" customFormat="false" ht="12.75" hidden="false" customHeight="false" outlineLevel="0" collapsed="false">
      <c r="A469" s="0"/>
      <c r="B469" s="0"/>
      <c r="C469" s="0"/>
      <c r="D469" s="0"/>
      <c r="E469" s="0"/>
      <c r="F469" s="0"/>
      <c r="G469" s="0"/>
      <c r="H469" s="0"/>
      <c r="I469" s="0"/>
      <c r="J469" s="0"/>
      <c r="K469" s="0"/>
      <c r="L469" s="0"/>
      <c r="M469" s="0"/>
      <c r="N469" s="0"/>
      <c r="O469" s="0"/>
      <c r="P469" s="0"/>
      <c r="Q469" s="0"/>
      <c r="R469" s="0"/>
      <c r="S469" s="0"/>
      <c r="T469" s="0"/>
      <c r="U469" s="0"/>
      <c r="V469" s="0"/>
      <c r="W469" s="0"/>
      <c r="X469" s="0"/>
      <c r="Y469" s="0"/>
      <c r="Z469" s="0"/>
      <c r="AA469" s="0"/>
      <c r="AB469" s="0"/>
      <c r="AC469" s="0"/>
      <c r="AD469" s="0"/>
      <c r="AE469" s="0"/>
      <c r="AF469" s="0"/>
      <c r="AG469" s="0"/>
      <c r="AH469" s="0"/>
      <c r="AI469" s="0"/>
      <c r="AJ469" s="0"/>
      <c r="AK469" s="0"/>
      <c r="AL469" s="0"/>
      <c r="AM469" s="0"/>
      <c r="AN469" s="0"/>
      <c r="AO469" s="0"/>
      <c r="AP469" s="0"/>
      <c r="AQ469" s="0"/>
      <c r="AR469" s="0"/>
      <c r="AS469" s="0"/>
      <c r="AT469" s="0"/>
      <c r="AU469" s="0"/>
      <c r="AV469" s="0"/>
      <c r="AW469" s="0"/>
      <c r="AX469" s="0"/>
      <c r="AY469" s="0"/>
      <c r="AZ469" s="0"/>
      <c r="BA469" s="0"/>
      <c r="BB469" s="0"/>
    </row>
    <row r="470" customFormat="false" ht="12.75" hidden="false" customHeight="false" outlineLevel="0" collapsed="false">
      <c r="A470" s="0"/>
      <c r="B470" s="0"/>
      <c r="C470" s="0"/>
      <c r="D470" s="0"/>
      <c r="E470" s="0"/>
      <c r="F470" s="0"/>
      <c r="G470" s="0"/>
      <c r="H470" s="0"/>
      <c r="I470" s="0"/>
      <c r="J470" s="0"/>
      <c r="K470" s="0"/>
      <c r="L470" s="0"/>
      <c r="M470" s="0"/>
      <c r="N470" s="0"/>
      <c r="O470" s="0"/>
      <c r="P470" s="0"/>
      <c r="Q470" s="0"/>
      <c r="R470" s="0"/>
      <c r="S470" s="0"/>
      <c r="T470" s="0"/>
      <c r="U470" s="0"/>
      <c r="V470" s="0"/>
      <c r="W470" s="0"/>
      <c r="X470" s="0"/>
      <c r="Y470" s="0"/>
      <c r="Z470" s="0"/>
      <c r="AA470" s="0"/>
      <c r="AB470" s="0"/>
      <c r="AC470" s="0"/>
      <c r="AD470" s="0"/>
      <c r="AE470" s="0"/>
      <c r="AF470" s="0"/>
      <c r="AG470" s="0"/>
      <c r="AH470" s="0"/>
      <c r="AI470" s="0"/>
      <c r="AJ470" s="0"/>
      <c r="AK470" s="0"/>
      <c r="AL470" s="0"/>
      <c r="AM470" s="0"/>
      <c r="AN470" s="0"/>
      <c r="AO470" s="0"/>
      <c r="AP470" s="0"/>
      <c r="AQ470" s="0"/>
      <c r="AR470" s="0"/>
      <c r="AS470" s="0"/>
      <c r="AT470" s="0"/>
      <c r="AU470" s="0"/>
      <c r="AV470" s="0"/>
      <c r="AW470" s="0"/>
      <c r="AX470" s="0"/>
      <c r="AY470" s="0"/>
      <c r="AZ470" s="0"/>
      <c r="BA470" s="0"/>
      <c r="BB470" s="0"/>
    </row>
    <row r="471" customFormat="false" ht="12.75" hidden="false" customHeight="false" outlineLevel="0" collapsed="false">
      <c r="A471" s="0"/>
      <c r="B471" s="0"/>
      <c r="C471" s="0"/>
      <c r="D471" s="0"/>
      <c r="E471" s="0"/>
      <c r="F471" s="0"/>
      <c r="G471" s="0"/>
      <c r="H471" s="0"/>
      <c r="I471" s="0"/>
      <c r="J471" s="0"/>
      <c r="K471" s="0"/>
      <c r="L471" s="0"/>
      <c r="M471" s="0"/>
      <c r="N471" s="0"/>
      <c r="O471" s="0"/>
      <c r="P471" s="0"/>
      <c r="Q471" s="0"/>
      <c r="R471" s="0"/>
      <c r="S471" s="0"/>
      <c r="T471" s="0"/>
      <c r="U471" s="0"/>
      <c r="V471" s="0"/>
      <c r="W471" s="0"/>
      <c r="X471" s="0"/>
      <c r="Y471" s="0"/>
      <c r="Z471" s="0"/>
      <c r="AA471" s="0"/>
      <c r="AB471" s="0"/>
      <c r="AC471" s="0"/>
      <c r="AD471" s="0"/>
      <c r="AE471" s="0"/>
      <c r="AF471" s="0"/>
      <c r="AG471" s="0"/>
      <c r="AH471" s="0"/>
      <c r="AI471" s="0"/>
      <c r="AJ471" s="0"/>
      <c r="AK471" s="0"/>
      <c r="AL471" s="0"/>
      <c r="AM471" s="0"/>
      <c r="AN471" s="0"/>
      <c r="AO471" s="0"/>
      <c r="AP471" s="0"/>
      <c r="AQ471" s="0"/>
      <c r="AR471" s="0"/>
      <c r="AS471" s="0"/>
      <c r="AT471" s="0"/>
      <c r="AU471" s="0"/>
      <c r="AV471" s="0"/>
      <c r="AW471" s="0"/>
      <c r="AX471" s="0"/>
      <c r="AY471" s="0"/>
      <c r="AZ471" s="0"/>
      <c r="BA471" s="0"/>
      <c r="BB471" s="0"/>
    </row>
    <row r="472" customFormat="false" ht="12.75" hidden="false" customHeight="false" outlineLevel="0" collapsed="false">
      <c r="A472" s="0"/>
      <c r="B472" s="0"/>
      <c r="C472" s="0"/>
      <c r="D472" s="0"/>
      <c r="E472" s="0"/>
      <c r="F472" s="0"/>
      <c r="G472" s="0"/>
      <c r="H472" s="0"/>
      <c r="I472" s="0"/>
      <c r="J472" s="0"/>
      <c r="K472" s="0"/>
      <c r="L472" s="0"/>
      <c r="M472" s="0"/>
      <c r="N472" s="0"/>
      <c r="O472" s="0"/>
      <c r="P472" s="0"/>
      <c r="Q472" s="0"/>
      <c r="R472" s="0"/>
      <c r="S472" s="0"/>
      <c r="T472" s="0"/>
      <c r="U472" s="0"/>
      <c r="V472" s="0"/>
      <c r="W472" s="0"/>
      <c r="X472" s="0"/>
      <c r="Y472" s="0"/>
      <c r="Z472" s="0"/>
      <c r="AA472" s="0"/>
      <c r="AB472" s="0"/>
      <c r="AC472" s="0"/>
      <c r="AD472" s="0"/>
      <c r="AE472" s="0"/>
      <c r="AF472" s="0"/>
      <c r="AG472" s="0"/>
      <c r="AH472" s="0"/>
      <c r="AI472" s="0"/>
      <c r="AJ472" s="0"/>
      <c r="AK472" s="0"/>
      <c r="AL472" s="0"/>
      <c r="AM472" s="0"/>
      <c r="AN472" s="0"/>
      <c r="AO472" s="0"/>
      <c r="AP472" s="0"/>
      <c r="AQ472" s="0"/>
      <c r="AR472" s="0"/>
      <c r="AS472" s="0"/>
      <c r="AT472" s="0"/>
      <c r="AU472" s="0"/>
      <c r="AV472" s="0"/>
      <c r="AW472" s="0"/>
      <c r="AX472" s="0"/>
      <c r="AY472" s="0"/>
      <c r="AZ472" s="0"/>
      <c r="BA472" s="0"/>
      <c r="BB472" s="0"/>
    </row>
    <row r="473" customFormat="false" ht="12.75" hidden="false" customHeight="false" outlineLevel="0" collapsed="false">
      <c r="A473" s="0"/>
      <c r="B473" s="0"/>
      <c r="C473" s="0"/>
      <c r="D473" s="0"/>
      <c r="E473" s="0"/>
      <c r="F473" s="0"/>
      <c r="G473" s="0"/>
      <c r="H473" s="0"/>
      <c r="I473" s="0"/>
      <c r="J473" s="0"/>
      <c r="K473" s="0"/>
      <c r="L473" s="0"/>
      <c r="M473" s="0"/>
      <c r="N473" s="0"/>
      <c r="O473" s="0"/>
      <c r="P473" s="0"/>
      <c r="Q473" s="0"/>
      <c r="R473" s="0"/>
      <c r="S473" s="0"/>
      <c r="T473" s="0"/>
      <c r="U473" s="0"/>
      <c r="V473" s="0"/>
      <c r="W473" s="0"/>
      <c r="X473" s="0"/>
      <c r="Y473" s="0"/>
      <c r="Z473" s="0"/>
      <c r="AA473" s="0"/>
      <c r="AB473" s="0"/>
      <c r="AC473" s="0"/>
      <c r="AD473" s="0"/>
      <c r="AE473" s="0"/>
      <c r="AF473" s="0"/>
      <c r="AG473" s="0"/>
      <c r="AH473" s="0"/>
      <c r="AI473" s="0"/>
      <c r="AJ473" s="0"/>
      <c r="AK473" s="0"/>
      <c r="AL473" s="0"/>
      <c r="AM473" s="0"/>
      <c r="AN473" s="0"/>
      <c r="AO473" s="0"/>
      <c r="AP473" s="0"/>
      <c r="AQ473" s="0"/>
      <c r="AR473" s="0"/>
      <c r="AS473" s="0"/>
      <c r="AT473" s="0"/>
      <c r="AU473" s="0"/>
      <c r="AV473" s="0"/>
      <c r="AW473" s="0"/>
      <c r="AX473" s="0"/>
      <c r="AY473" s="0"/>
      <c r="AZ473" s="0"/>
      <c r="BA473" s="0"/>
      <c r="BB473" s="0"/>
    </row>
    <row r="474" customFormat="false" ht="12.75" hidden="false" customHeight="false" outlineLevel="0" collapsed="false">
      <c r="A474" s="0"/>
      <c r="B474" s="0"/>
      <c r="C474" s="0"/>
      <c r="D474" s="0"/>
      <c r="E474" s="0"/>
      <c r="F474" s="0"/>
      <c r="G474" s="0"/>
      <c r="H474" s="0"/>
      <c r="I474" s="0"/>
      <c r="J474" s="0"/>
      <c r="K474" s="0"/>
      <c r="L474" s="0"/>
      <c r="M474" s="0"/>
      <c r="N474" s="0"/>
      <c r="O474" s="0"/>
      <c r="P474" s="0"/>
      <c r="Q474" s="0"/>
      <c r="R474" s="0"/>
      <c r="S474" s="0"/>
      <c r="T474" s="0"/>
      <c r="U474" s="0"/>
      <c r="V474" s="0"/>
      <c r="W474" s="0"/>
      <c r="X474" s="0"/>
      <c r="Y474" s="0"/>
      <c r="Z474" s="0"/>
      <c r="AA474" s="0"/>
      <c r="AB474" s="0"/>
      <c r="AC474" s="0"/>
      <c r="AD474" s="0"/>
      <c r="AE474" s="0"/>
      <c r="AF474" s="0"/>
      <c r="AG474" s="0"/>
      <c r="AH474" s="0"/>
      <c r="AI474" s="0"/>
      <c r="AJ474" s="0"/>
      <c r="AK474" s="0"/>
      <c r="AL474" s="0"/>
      <c r="AM474" s="0"/>
      <c r="AN474" s="0"/>
      <c r="AO474" s="0"/>
      <c r="AP474" s="0"/>
      <c r="AQ474" s="0"/>
      <c r="AR474" s="0"/>
      <c r="AS474" s="0"/>
      <c r="AT474" s="0"/>
      <c r="AU474" s="0"/>
      <c r="AV474" s="0"/>
      <c r="AW474" s="0"/>
      <c r="AX474" s="0"/>
      <c r="AY474" s="0"/>
      <c r="AZ474" s="0"/>
      <c r="BA474" s="0"/>
      <c r="BB474" s="0"/>
    </row>
    <row r="475" customFormat="false" ht="12.75" hidden="false" customHeight="false" outlineLevel="0" collapsed="false">
      <c r="A475" s="0"/>
      <c r="B475" s="0"/>
      <c r="C475" s="0"/>
      <c r="D475" s="0"/>
      <c r="E475" s="0"/>
      <c r="F475" s="0"/>
      <c r="G475" s="0"/>
      <c r="H475" s="0"/>
      <c r="I475" s="0"/>
      <c r="J475" s="0"/>
      <c r="K475" s="0"/>
      <c r="L475" s="0"/>
      <c r="M475" s="0"/>
      <c r="N475" s="0"/>
      <c r="O475" s="0"/>
      <c r="P475" s="0"/>
      <c r="Q475" s="0"/>
      <c r="R475" s="0"/>
      <c r="S475" s="0"/>
      <c r="T475" s="0"/>
      <c r="U475" s="0"/>
      <c r="V475" s="0"/>
      <c r="W475" s="0"/>
      <c r="X475" s="0"/>
      <c r="Y475" s="0"/>
      <c r="Z475" s="0"/>
      <c r="AA475" s="0"/>
      <c r="AB475" s="0"/>
      <c r="AC475" s="0"/>
      <c r="AD475" s="0"/>
      <c r="AE475" s="0"/>
      <c r="AF475" s="0"/>
      <c r="AG475" s="0"/>
      <c r="AH475" s="0"/>
      <c r="AI475" s="0"/>
      <c r="AJ475" s="0"/>
      <c r="AK475" s="0"/>
      <c r="AL475" s="0"/>
      <c r="AM475" s="0"/>
      <c r="AN475" s="0"/>
      <c r="AO475" s="0"/>
      <c r="AP475" s="0"/>
      <c r="AQ475" s="0"/>
      <c r="AR475" s="0"/>
      <c r="AS475" s="0"/>
      <c r="AT475" s="0"/>
      <c r="AU475" s="0"/>
      <c r="AV475" s="0"/>
      <c r="AW475" s="0"/>
      <c r="AX475" s="0"/>
      <c r="AY475" s="0"/>
      <c r="AZ475" s="0"/>
      <c r="BA475" s="0"/>
      <c r="BB475" s="0"/>
    </row>
    <row r="476" customFormat="false" ht="12.75" hidden="false" customHeight="false" outlineLevel="0" collapsed="false">
      <c r="A476" s="0"/>
      <c r="B476" s="0"/>
      <c r="C476" s="0"/>
      <c r="D476" s="0"/>
      <c r="E476" s="0"/>
      <c r="F476" s="0"/>
      <c r="G476" s="0"/>
      <c r="H476" s="0"/>
      <c r="I476" s="0"/>
      <c r="J476" s="0"/>
      <c r="K476" s="0"/>
      <c r="L476" s="0"/>
      <c r="M476" s="0"/>
      <c r="N476" s="0"/>
      <c r="O476" s="0"/>
      <c r="P476" s="0"/>
      <c r="Q476" s="0"/>
      <c r="R476" s="0"/>
      <c r="S476" s="0"/>
      <c r="T476" s="0"/>
      <c r="U476" s="0"/>
      <c r="V476" s="0"/>
      <c r="W476" s="0"/>
      <c r="X476" s="0"/>
      <c r="Y476" s="0"/>
      <c r="Z476" s="0"/>
      <c r="AA476" s="0"/>
      <c r="AB476" s="0"/>
      <c r="AC476" s="0"/>
      <c r="AD476" s="0"/>
      <c r="AE476" s="0"/>
      <c r="AF476" s="0"/>
      <c r="AG476" s="0"/>
      <c r="AH476" s="0"/>
      <c r="AI476" s="0"/>
      <c r="AJ476" s="0"/>
      <c r="AK476" s="0"/>
      <c r="AL476" s="0"/>
      <c r="AM476" s="0"/>
      <c r="AN476" s="0"/>
      <c r="AO476" s="0"/>
      <c r="AP476" s="0"/>
      <c r="AQ476" s="0"/>
      <c r="AR476" s="0"/>
      <c r="AS476" s="0"/>
      <c r="AT476" s="0"/>
      <c r="AU476" s="0"/>
      <c r="AV476" s="0"/>
      <c r="AW476" s="0"/>
      <c r="AX476" s="0"/>
      <c r="AY476" s="0"/>
      <c r="AZ476" s="0"/>
      <c r="BA476" s="0"/>
      <c r="BB476" s="0"/>
    </row>
    <row r="477" customFormat="false" ht="12.75" hidden="false" customHeight="false" outlineLevel="0" collapsed="false">
      <c r="A477" s="0"/>
      <c r="B477" s="0"/>
      <c r="C477" s="0"/>
      <c r="D477" s="0"/>
      <c r="E477" s="0"/>
      <c r="F477" s="0"/>
      <c r="G477" s="0"/>
      <c r="H477" s="0"/>
      <c r="I477" s="0"/>
      <c r="J477" s="0"/>
      <c r="K477" s="0"/>
      <c r="L477" s="0"/>
      <c r="M477" s="0"/>
      <c r="N477" s="0"/>
      <c r="O477" s="0"/>
      <c r="P477" s="0"/>
      <c r="Q477" s="0"/>
      <c r="R477" s="0"/>
      <c r="S477" s="0"/>
      <c r="T477" s="0"/>
      <c r="U477" s="0"/>
      <c r="V477" s="0"/>
      <c r="W477" s="0"/>
      <c r="X477" s="0"/>
      <c r="Y477" s="0"/>
      <c r="Z477" s="0"/>
      <c r="AA477" s="0"/>
      <c r="AB477" s="0"/>
      <c r="AC477" s="0"/>
      <c r="AD477" s="0"/>
      <c r="AE477" s="0"/>
      <c r="AF477" s="0"/>
      <c r="AG477" s="0"/>
      <c r="AH477" s="0"/>
      <c r="AI477" s="0"/>
      <c r="AJ477" s="0"/>
      <c r="AK477" s="0"/>
      <c r="AL477" s="0"/>
      <c r="AM477" s="0"/>
      <c r="AN477" s="0"/>
      <c r="AO477" s="0"/>
      <c r="AP477" s="0"/>
      <c r="AQ477" s="0"/>
      <c r="AR477" s="0"/>
      <c r="AS477" s="0"/>
      <c r="AT477" s="0"/>
      <c r="AU477" s="0"/>
      <c r="AV477" s="0"/>
      <c r="AW477" s="0"/>
      <c r="AX477" s="0"/>
      <c r="AY477" s="0"/>
      <c r="AZ477" s="0"/>
      <c r="BA477" s="0"/>
      <c r="BB477" s="0"/>
    </row>
    <row r="478" customFormat="false" ht="12.75" hidden="false" customHeight="false" outlineLevel="0" collapsed="false">
      <c r="A478" s="0"/>
      <c r="B478" s="0"/>
      <c r="C478" s="0"/>
      <c r="D478" s="0"/>
      <c r="E478" s="0"/>
      <c r="F478" s="0"/>
      <c r="G478" s="0"/>
      <c r="H478" s="0"/>
      <c r="I478" s="0"/>
      <c r="J478" s="0"/>
      <c r="K478" s="0"/>
      <c r="L478" s="0"/>
      <c r="M478" s="0"/>
      <c r="N478" s="0"/>
      <c r="O478" s="0"/>
      <c r="P478" s="0"/>
      <c r="Q478" s="0"/>
      <c r="R478" s="0"/>
      <c r="S478" s="0"/>
      <c r="T478" s="0"/>
      <c r="U478" s="0"/>
      <c r="V478" s="0"/>
      <c r="W478" s="0"/>
      <c r="X478" s="0"/>
      <c r="Y478" s="0"/>
      <c r="Z478" s="0"/>
      <c r="AA478" s="0"/>
      <c r="AB478" s="0"/>
      <c r="AC478" s="0"/>
      <c r="AD478" s="0"/>
      <c r="AE478" s="0"/>
      <c r="AF478" s="0"/>
      <c r="AG478" s="0"/>
      <c r="AH478" s="0"/>
      <c r="AI478" s="0"/>
      <c r="AJ478" s="0"/>
      <c r="AK478" s="0"/>
      <c r="AL478" s="0"/>
      <c r="AM478" s="0"/>
      <c r="AN478" s="0"/>
      <c r="AO478" s="0"/>
      <c r="AP478" s="0"/>
      <c r="AQ478" s="0"/>
      <c r="AR478" s="0"/>
      <c r="AS478" s="0"/>
      <c r="AT478" s="0"/>
      <c r="AU478" s="0"/>
      <c r="AV478" s="0"/>
      <c r="AW478" s="0"/>
      <c r="AX478" s="0"/>
      <c r="AY478" s="0"/>
      <c r="AZ478" s="0"/>
      <c r="BA478" s="0"/>
      <c r="BB478" s="0"/>
    </row>
    <row r="479" customFormat="false" ht="12.75" hidden="false" customHeight="false" outlineLevel="0" collapsed="false">
      <c r="A479" s="0"/>
      <c r="B479" s="0"/>
      <c r="C479" s="0"/>
      <c r="D479" s="0"/>
      <c r="E479" s="0"/>
      <c r="F479" s="0"/>
      <c r="G479" s="0"/>
      <c r="H479" s="0"/>
      <c r="I479" s="0"/>
      <c r="J479" s="0"/>
      <c r="K479" s="0"/>
      <c r="L479" s="0"/>
      <c r="M479" s="0"/>
      <c r="N479" s="0"/>
      <c r="O479" s="0"/>
      <c r="P479" s="0"/>
      <c r="Q479" s="0"/>
      <c r="R479" s="0"/>
      <c r="S479" s="0"/>
      <c r="T479" s="0"/>
      <c r="U479" s="0"/>
      <c r="V479" s="0"/>
      <c r="W479" s="0"/>
      <c r="X479" s="0"/>
      <c r="Y479" s="0"/>
      <c r="Z479" s="0"/>
      <c r="AA479" s="0"/>
      <c r="AB479" s="0"/>
      <c r="AC479" s="0"/>
      <c r="AD479" s="0"/>
      <c r="AE479" s="0"/>
      <c r="AF479" s="0"/>
      <c r="AG479" s="0"/>
      <c r="AH479" s="0"/>
      <c r="AI479" s="0"/>
      <c r="AJ479" s="0"/>
      <c r="AK479" s="0"/>
      <c r="AL479" s="0"/>
      <c r="AM479" s="0"/>
      <c r="AN479" s="0"/>
      <c r="AO479" s="0"/>
      <c r="AP479" s="0"/>
      <c r="AQ479" s="0"/>
      <c r="AR479" s="0"/>
      <c r="AS479" s="0"/>
      <c r="AT479" s="0"/>
      <c r="AU479" s="0"/>
      <c r="AV479" s="0"/>
      <c r="AW479" s="0"/>
      <c r="AX479" s="0"/>
      <c r="AY479" s="0"/>
      <c r="AZ479" s="0"/>
      <c r="BA479" s="0"/>
      <c r="BB479" s="0"/>
    </row>
    <row r="480" customFormat="false" ht="12.75" hidden="false" customHeight="false" outlineLevel="0" collapsed="false">
      <c r="A480" s="0"/>
      <c r="B480" s="0"/>
      <c r="C480" s="0"/>
      <c r="D480" s="0"/>
      <c r="E480" s="0"/>
      <c r="F480" s="0"/>
      <c r="G480" s="0"/>
      <c r="H480" s="0"/>
      <c r="I480" s="0"/>
      <c r="J480" s="0"/>
      <c r="K480" s="0"/>
      <c r="L480" s="0"/>
      <c r="M480" s="0"/>
      <c r="N480" s="0"/>
      <c r="O480" s="0"/>
      <c r="P480" s="0"/>
      <c r="Q480" s="0"/>
      <c r="R480" s="0"/>
      <c r="S480" s="0"/>
      <c r="T480" s="0"/>
      <c r="U480" s="0"/>
      <c r="V480" s="0"/>
      <c r="W480" s="0"/>
      <c r="X480" s="0"/>
      <c r="Y480" s="0"/>
      <c r="Z480" s="0"/>
      <c r="AA480" s="0"/>
      <c r="AB480" s="0"/>
      <c r="AC480" s="0"/>
      <c r="AD480" s="0"/>
      <c r="AE480" s="0"/>
      <c r="AF480" s="0"/>
      <c r="AG480" s="0"/>
      <c r="AH480" s="0"/>
      <c r="AI480" s="0"/>
      <c r="AJ480" s="0"/>
      <c r="AK480" s="0"/>
      <c r="AL480" s="0"/>
      <c r="AM480" s="0"/>
      <c r="AN480" s="0"/>
      <c r="AO480" s="0"/>
      <c r="AP480" s="0"/>
      <c r="AQ480" s="0"/>
      <c r="AR480" s="0"/>
      <c r="AS480" s="0"/>
      <c r="AT480" s="0"/>
      <c r="AU480" s="0"/>
      <c r="AV480" s="0"/>
      <c r="AW480" s="0"/>
      <c r="AX480" s="0"/>
      <c r="AY480" s="0"/>
      <c r="AZ480" s="0"/>
      <c r="BA480" s="0"/>
      <c r="BB480" s="0"/>
    </row>
    <row r="481" customFormat="false" ht="12.75" hidden="false" customHeight="false" outlineLevel="0" collapsed="false">
      <c r="A481" s="0"/>
      <c r="B481" s="0"/>
      <c r="C481" s="0"/>
      <c r="D481" s="0"/>
      <c r="E481" s="0"/>
      <c r="F481" s="0"/>
      <c r="G481" s="0"/>
      <c r="H481" s="0"/>
      <c r="I481" s="0"/>
      <c r="J481" s="0"/>
      <c r="K481" s="0"/>
      <c r="L481" s="0"/>
      <c r="M481" s="0"/>
      <c r="N481" s="0"/>
      <c r="O481" s="0"/>
      <c r="P481" s="0"/>
      <c r="Q481" s="0"/>
      <c r="R481" s="0"/>
      <c r="S481" s="0"/>
      <c r="T481" s="0"/>
      <c r="U481" s="0"/>
      <c r="V481" s="0"/>
      <c r="W481" s="0"/>
      <c r="X481" s="0"/>
      <c r="Y481" s="0"/>
      <c r="Z481" s="0"/>
      <c r="AA481" s="0"/>
      <c r="AB481" s="0"/>
      <c r="AC481" s="0"/>
      <c r="AD481" s="0"/>
      <c r="AE481" s="0"/>
      <c r="AF481" s="0"/>
      <c r="AG481" s="0"/>
      <c r="AH481" s="0"/>
      <c r="AI481" s="0"/>
      <c r="AJ481" s="0"/>
      <c r="AK481" s="0"/>
      <c r="AL481" s="0"/>
      <c r="AM481" s="0"/>
      <c r="AN481" s="0"/>
      <c r="AO481" s="0"/>
      <c r="AP481" s="0"/>
      <c r="AQ481" s="0"/>
      <c r="AR481" s="0"/>
      <c r="AS481" s="0"/>
      <c r="AT481" s="0"/>
      <c r="AU481" s="0"/>
      <c r="AV481" s="0"/>
      <c r="AW481" s="0"/>
      <c r="AX481" s="0"/>
      <c r="AY481" s="0"/>
      <c r="AZ481" s="0"/>
      <c r="BA481" s="0"/>
      <c r="BB481" s="0"/>
    </row>
    <row r="482" customFormat="false" ht="12.75" hidden="false" customHeight="false" outlineLevel="0" collapsed="false">
      <c r="A482" s="0"/>
      <c r="B482" s="0"/>
      <c r="C482" s="0"/>
      <c r="D482" s="0"/>
      <c r="E482" s="0"/>
      <c r="F482" s="0"/>
      <c r="G482" s="0"/>
      <c r="H482" s="0"/>
      <c r="I482" s="0"/>
      <c r="J482" s="0"/>
      <c r="K482" s="0"/>
      <c r="L482" s="0"/>
      <c r="M482" s="0"/>
      <c r="N482" s="0"/>
      <c r="O482" s="0"/>
      <c r="P482" s="0"/>
      <c r="Q482" s="0"/>
      <c r="R482" s="0"/>
      <c r="S482" s="0"/>
      <c r="T482" s="0"/>
      <c r="U482" s="0"/>
      <c r="V482" s="0"/>
      <c r="W482" s="0"/>
      <c r="X482" s="0"/>
      <c r="Y482" s="0"/>
      <c r="Z482" s="0"/>
      <c r="AA482" s="0"/>
      <c r="AB482" s="0"/>
      <c r="AC482" s="0"/>
      <c r="AD482" s="0"/>
      <c r="AE482" s="0"/>
      <c r="AF482" s="0"/>
      <c r="AG482" s="0"/>
      <c r="AH482" s="0"/>
      <c r="AI482" s="0"/>
      <c r="AJ482" s="0"/>
      <c r="AK482" s="0"/>
      <c r="AL482" s="0"/>
      <c r="AM482" s="0"/>
      <c r="AN482" s="0"/>
      <c r="AO482" s="0"/>
      <c r="AP482" s="0"/>
      <c r="AQ482" s="0"/>
      <c r="AR482" s="0"/>
      <c r="AS482" s="0"/>
      <c r="AT482" s="0"/>
      <c r="AU482" s="0"/>
      <c r="AV482" s="0"/>
      <c r="AW482" s="0"/>
      <c r="AX482" s="0"/>
      <c r="AY482" s="0"/>
      <c r="AZ482" s="0"/>
      <c r="BA482" s="0"/>
      <c r="BB482" s="0"/>
    </row>
    <row r="483" customFormat="false" ht="12.75" hidden="false" customHeight="false" outlineLevel="0" collapsed="false">
      <c r="A483" s="0"/>
      <c r="B483" s="0"/>
      <c r="C483" s="0"/>
      <c r="D483" s="0"/>
      <c r="E483" s="0"/>
      <c r="F483" s="0"/>
      <c r="G483" s="0"/>
      <c r="H483" s="0"/>
      <c r="I483" s="0"/>
      <c r="J483" s="0"/>
      <c r="K483" s="0"/>
      <c r="L483" s="0"/>
      <c r="M483" s="0"/>
      <c r="N483" s="0"/>
      <c r="O483" s="0"/>
      <c r="P483" s="0"/>
      <c r="Q483" s="0"/>
      <c r="R483" s="0"/>
      <c r="S483" s="0"/>
      <c r="T483" s="0"/>
      <c r="U483" s="0"/>
      <c r="V483" s="0"/>
      <c r="W483" s="0"/>
      <c r="X483" s="0"/>
      <c r="Y483" s="0"/>
      <c r="Z483" s="0"/>
      <c r="AA483" s="0"/>
      <c r="AB483" s="0"/>
      <c r="AC483" s="0"/>
      <c r="AD483" s="0"/>
      <c r="AE483" s="0"/>
      <c r="AF483" s="0"/>
      <c r="AG483" s="0"/>
      <c r="AH483" s="0"/>
      <c r="AI483" s="0"/>
      <c r="AJ483" s="0"/>
      <c r="AK483" s="0"/>
      <c r="AL483" s="0"/>
      <c r="AM483" s="0"/>
      <c r="AN483" s="0"/>
      <c r="AO483" s="0"/>
      <c r="AP483" s="0"/>
      <c r="AQ483" s="0"/>
      <c r="AR483" s="0"/>
      <c r="AS483" s="0"/>
      <c r="AT483" s="0"/>
      <c r="AU483" s="0"/>
      <c r="AV483" s="0"/>
      <c r="AW483" s="0"/>
      <c r="AX483" s="0"/>
      <c r="AY483" s="0"/>
      <c r="AZ483" s="0"/>
      <c r="BA483" s="0"/>
      <c r="BB483" s="0"/>
    </row>
    <row r="484" customFormat="false" ht="12.75" hidden="false" customHeight="false" outlineLevel="0" collapsed="false">
      <c r="A484" s="0"/>
      <c r="B484" s="0"/>
      <c r="C484" s="0"/>
      <c r="D484" s="0"/>
      <c r="E484" s="0"/>
      <c r="F484" s="0"/>
      <c r="G484" s="0"/>
      <c r="H484" s="0"/>
      <c r="I484" s="0"/>
      <c r="J484" s="0"/>
      <c r="K484" s="0"/>
      <c r="L484" s="0"/>
      <c r="M484" s="0"/>
      <c r="N484" s="0"/>
      <c r="O484" s="0"/>
      <c r="P484" s="0"/>
      <c r="Q484" s="0"/>
      <c r="R484" s="0"/>
      <c r="S484" s="0"/>
      <c r="T484" s="0"/>
      <c r="U484" s="0"/>
      <c r="V484" s="0"/>
      <c r="W484" s="0"/>
      <c r="X484" s="0"/>
      <c r="Y484" s="0"/>
      <c r="Z484" s="0"/>
      <c r="AA484" s="0"/>
      <c r="AB484" s="0"/>
      <c r="AC484" s="0"/>
      <c r="AD484" s="0"/>
      <c r="AE484" s="0"/>
      <c r="AF484" s="0"/>
      <c r="AG484" s="0"/>
      <c r="AH484" s="0"/>
      <c r="AI484" s="0"/>
      <c r="AJ484" s="0"/>
      <c r="AK484" s="0"/>
      <c r="AL484" s="0"/>
      <c r="AM484" s="0"/>
      <c r="AN484" s="0"/>
      <c r="AO484" s="0"/>
      <c r="AP484" s="0"/>
      <c r="AQ484" s="0"/>
      <c r="AR484" s="0"/>
      <c r="AS484" s="0"/>
      <c r="AT484" s="0"/>
      <c r="AU484" s="0"/>
      <c r="AV484" s="0"/>
      <c r="AW484" s="0"/>
      <c r="AX484" s="0"/>
      <c r="AY484" s="0"/>
      <c r="AZ484" s="0"/>
      <c r="BA484" s="0"/>
      <c r="BB484" s="0"/>
    </row>
    <row r="485" customFormat="false" ht="12.75" hidden="false" customHeight="false" outlineLevel="0" collapsed="false">
      <c r="A485" s="0"/>
      <c r="B485" s="0"/>
      <c r="C485" s="0"/>
      <c r="D485" s="0"/>
      <c r="E485" s="0"/>
      <c r="F485" s="0"/>
      <c r="G485" s="0"/>
      <c r="H485" s="0"/>
      <c r="I485" s="0"/>
      <c r="J485" s="0"/>
      <c r="K485" s="0"/>
      <c r="L485" s="0"/>
      <c r="M485" s="0"/>
      <c r="N485" s="0"/>
      <c r="O485" s="0"/>
      <c r="P485" s="0"/>
      <c r="Q485" s="0"/>
      <c r="R485" s="0"/>
      <c r="S485" s="0"/>
      <c r="T485" s="0"/>
      <c r="U485" s="0"/>
      <c r="V485" s="0"/>
      <c r="W485" s="0"/>
      <c r="X485" s="0"/>
      <c r="Y485" s="0"/>
      <c r="Z485" s="0"/>
      <c r="AA485" s="0"/>
      <c r="AB485" s="0"/>
      <c r="AC485" s="0"/>
      <c r="AD485" s="0"/>
      <c r="AE485" s="0"/>
      <c r="AF485" s="0"/>
      <c r="AG485" s="0"/>
      <c r="AH485" s="0"/>
      <c r="AI485" s="0"/>
      <c r="AJ485" s="0"/>
      <c r="AK485" s="0"/>
      <c r="AL485" s="0"/>
      <c r="AM485" s="0"/>
      <c r="AN485" s="0"/>
      <c r="AO485" s="0"/>
      <c r="AP485" s="0"/>
      <c r="AQ485" s="0"/>
      <c r="AR485" s="0"/>
      <c r="AS485" s="0"/>
      <c r="AT485" s="0"/>
      <c r="AU485" s="0"/>
      <c r="AV485" s="0"/>
      <c r="AW485" s="0"/>
      <c r="AX485" s="0"/>
      <c r="AY485" s="0"/>
      <c r="AZ485" s="0"/>
      <c r="BA485" s="0"/>
      <c r="BB485" s="0"/>
    </row>
    <row r="486" customFormat="false" ht="12.75" hidden="false" customHeight="false" outlineLevel="0" collapsed="false">
      <c r="A486" s="0"/>
      <c r="B486" s="0"/>
      <c r="C486" s="0"/>
      <c r="D486" s="0"/>
      <c r="E486" s="0"/>
      <c r="F486" s="0"/>
      <c r="G486" s="0"/>
      <c r="H486" s="0"/>
      <c r="I486" s="0"/>
      <c r="J486" s="0"/>
      <c r="K486" s="0"/>
      <c r="L486" s="0"/>
      <c r="M486" s="0"/>
      <c r="N486" s="0"/>
      <c r="O486" s="0"/>
      <c r="P486" s="0"/>
      <c r="Q486" s="0"/>
      <c r="R486" s="0"/>
      <c r="S486" s="0"/>
      <c r="T486" s="0"/>
      <c r="U486" s="0"/>
      <c r="V486" s="0"/>
      <c r="W486" s="0"/>
      <c r="X486" s="0"/>
      <c r="Y486" s="0"/>
      <c r="Z486" s="0"/>
      <c r="AA486" s="0"/>
      <c r="AB486" s="0"/>
      <c r="AC486" s="0"/>
      <c r="AD486" s="0"/>
      <c r="AE486" s="0"/>
      <c r="AF486" s="0"/>
      <c r="AG486" s="0"/>
      <c r="AH486" s="0"/>
      <c r="AI486" s="0"/>
      <c r="AJ486" s="0"/>
      <c r="AK486" s="0"/>
      <c r="AL486" s="0"/>
      <c r="AM486" s="0"/>
      <c r="AN486" s="0"/>
      <c r="AO486" s="0"/>
      <c r="AP486" s="0"/>
      <c r="AQ486" s="0"/>
      <c r="AR486" s="0"/>
      <c r="AS486" s="0"/>
      <c r="AT486" s="0"/>
      <c r="AU486" s="0"/>
      <c r="AV486" s="0"/>
      <c r="AW486" s="0"/>
      <c r="AX486" s="0"/>
      <c r="AY486" s="0"/>
      <c r="AZ486" s="0"/>
      <c r="BA486" s="0"/>
      <c r="BB486" s="0"/>
    </row>
    <row r="487" customFormat="false" ht="12.75" hidden="false" customHeight="false" outlineLevel="0" collapsed="false">
      <c r="A487" s="0"/>
      <c r="B487" s="0"/>
      <c r="C487" s="0"/>
      <c r="D487" s="0"/>
      <c r="E487" s="0"/>
      <c r="F487" s="0"/>
      <c r="G487" s="0"/>
      <c r="H487" s="0"/>
      <c r="I487" s="0"/>
      <c r="J487" s="0"/>
      <c r="K487" s="0"/>
      <c r="L487" s="0"/>
      <c r="M487" s="0"/>
      <c r="N487" s="0"/>
      <c r="O487" s="0"/>
      <c r="P487" s="0"/>
      <c r="Q487" s="0"/>
      <c r="R487" s="0"/>
      <c r="S487" s="0"/>
      <c r="T487" s="0"/>
      <c r="U487" s="0"/>
      <c r="V487" s="0"/>
      <c r="W487" s="0"/>
      <c r="X487" s="0"/>
      <c r="Y487" s="0"/>
      <c r="Z487" s="0"/>
      <c r="AA487" s="0"/>
      <c r="AB487" s="0"/>
      <c r="AC487" s="0"/>
      <c r="AD487" s="0"/>
      <c r="AE487" s="0"/>
      <c r="AF487" s="0"/>
      <c r="AG487" s="0"/>
      <c r="AH487" s="0"/>
      <c r="AI487" s="0"/>
      <c r="AJ487" s="0"/>
      <c r="AK487" s="0"/>
      <c r="AL487" s="0"/>
      <c r="AM487" s="0"/>
      <c r="AN487" s="0"/>
      <c r="AO487" s="0"/>
      <c r="AP487" s="0"/>
      <c r="AQ487" s="0"/>
      <c r="AR487" s="0"/>
      <c r="AS487" s="0"/>
      <c r="AT487" s="0"/>
      <c r="AU487" s="0"/>
      <c r="AV487" s="0"/>
      <c r="AW487" s="0"/>
      <c r="AX487" s="0"/>
      <c r="AY487" s="0"/>
      <c r="AZ487" s="0"/>
      <c r="BA487" s="0"/>
      <c r="BB487" s="0"/>
    </row>
    <row r="488" customFormat="false" ht="12.75" hidden="false" customHeight="false" outlineLevel="0" collapsed="false">
      <c r="A488" s="0"/>
      <c r="B488" s="0"/>
      <c r="C488" s="0"/>
      <c r="D488" s="0"/>
      <c r="E488" s="0"/>
      <c r="F488" s="0"/>
      <c r="G488" s="0"/>
      <c r="H488" s="0"/>
      <c r="I488" s="0"/>
      <c r="J488" s="0"/>
      <c r="K488" s="0"/>
      <c r="L488" s="0"/>
      <c r="M488" s="0"/>
      <c r="N488" s="0"/>
      <c r="O488" s="0"/>
      <c r="P488" s="0"/>
      <c r="Q488" s="0"/>
      <c r="R488" s="0"/>
      <c r="S488" s="0"/>
      <c r="T488" s="0"/>
      <c r="U488" s="0"/>
      <c r="V488" s="0"/>
      <c r="W488" s="0"/>
      <c r="X488" s="0"/>
      <c r="Y488" s="0"/>
      <c r="Z488" s="0"/>
      <c r="AA488" s="0"/>
      <c r="AB488" s="0"/>
      <c r="AC488" s="0"/>
      <c r="AD488" s="0"/>
      <c r="AE488" s="0"/>
      <c r="AF488" s="0"/>
      <c r="AG488" s="0"/>
      <c r="AH488" s="0"/>
      <c r="AI488" s="0"/>
      <c r="AJ488" s="0"/>
      <c r="AK488" s="0"/>
      <c r="AL488" s="0"/>
      <c r="AM488" s="0"/>
      <c r="AN488" s="0"/>
      <c r="AO488" s="0"/>
      <c r="AP488" s="0"/>
      <c r="AQ488" s="0"/>
      <c r="AR488" s="0"/>
      <c r="AS488" s="0"/>
      <c r="AT488" s="0"/>
      <c r="AU488" s="0"/>
      <c r="AV488" s="0"/>
      <c r="AW488" s="0"/>
      <c r="AX488" s="0"/>
      <c r="AY488" s="0"/>
      <c r="AZ488" s="0"/>
      <c r="BA488" s="0"/>
      <c r="BB488" s="0"/>
    </row>
    <row r="489" customFormat="false" ht="12.75" hidden="false" customHeight="false" outlineLevel="0" collapsed="false">
      <c r="A489" s="0"/>
      <c r="B489" s="0"/>
      <c r="C489" s="0"/>
      <c r="D489" s="0"/>
      <c r="E489" s="0"/>
      <c r="F489" s="0"/>
      <c r="G489" s="0"/>
      <c r="H489" s="0"/>
      <c r="I489" s="0"/>
      <c r="J489" s="0"/>
      <c r="K489" s="0"/>
      <c r="L489" s="0"/>
      <c r="M489" s="0"/>
      <c r="N489" s="0"/>
      <c r="O489" s="0"/>
      <c r="P489" s="0"/>
      <c r="Q489" s="0"/>
      <c r="R489" s="0"/>
      <c r="S489" s="0"/>
      <c r="T489" s="0"/>
      <c r="U489" s="0"/>
      <c r="V489" s="0"/>
      <c r="W489" s="0"/>
      <c r="X489" s="0"/>
      <c r="Y489" s="0"/>
      <c r="Z489" s="0"/>
      <c r="AA489" s="0"/>
      <c r="AB489" s="0"/>
      <c r="AC489" s="0"/>
      <c r="AD489" s="0"/>
      <c r="AE489" s="0"/>
      <c r="AF489" s="0"/>
      <c r="AG489" s="0"/>
      <c r="AH489" s="0"/>
      <c r="AI489" s="0"/>
      <c r="AJ489" s="0"/>
      <c r="AK489" s="0"/>
      <c r="AL489" s="0"/>
      <c r="AM489" s="0"/>
      <c r="AN489" s="0"/>
      <c r="AO489" s="0"/>
      <c r="AP489" s="0"/>
      <c r="AQ489" s="0"/>
      <c r="AR489" s="0"/>
      <c r="AS489" s="0"/>
      <c r="AT489" s="0"/>
      <c r="AU489" s="0"/>
      <c r="AV489" s="0"/>
      <c r="AW489" s="0"/>
      <c r="AX489" s="0"/>
      <c r="AY489" s="0"/>
      <c r="AZ489" s="0"/>
      <c r="BA489" s="0"/>
      <c r="BB489" s="0"/>
    </row>
    <row r="490" customFormat="false" ht="12.75" hidden="false" customHeight="false" outlineLevel="0" collapsed="false">
      <c r="A490" s="0"/>
      <c r="B490" s="0"/>
      <c r="C490" s="0"/>
      <c r="D490" s="0"/>
      <c r="E490" s="0"/>
      <c r="F490" s="0"/>
      <c r="G490" s="0"/>
      <c r="H490" s="0"/>
      <c r="I490" s="0"/>
      <c r="J490" s="0"/>
      <c r="K490" s="0"/>
      <c r="L490" s="0"/>
      <c r="M490" s="0"/>
      <c r="N490" s="0"/>
      <c r="O490" s="0"/>
      <c r="P490" s="0"/>
      <c r="Q490" s="0"/>
      <c r="R490" s="0"/>
      <c r="S490" s="0"/>
      <c r="T490" s="0"/>
      <c r="U490" s="0"/>
      <c r="V490" s="0"/>
      <c r="W490" s="0"/>
      <c r="X490" s="0"/>
      <c r="Y490" s="0"/>
      <c r="Z490" s="0"/>
      <c r="AA490" s="0"/>
      <c r="AB490" s="0"/>
      <c r="AC490" s="0"/>
      <c r="AD490" s="0"/>
      <c r="AE490" s="0"/>
      <c r="AF490" s="0"/>
      <c r="AG490" s="0"/>
      <c r="AH490" s="0"/>
      <c r="AI490" s="0"/>
      <c r="AJ490" s="0"/>
      <c r="AK490" s="0"/>
      <c r="AL490" s="0"/>
      <c r="AM490" s="0"/>
      <c r="AN490" s="0"/>
      <c r="AO490" s="0"/>
      <c r="AP490" s="0"/>
      <c r="AQ490" s="0"/>
      <c r="AR490" s="0"/>
      <c r="AS490" s="0"/>
      <c r="AT490" s="0"/>
      <c r="AU490" s="0"/>
      <c r="AV490" s="0"/>
      <c r="AW490" s="0"/>
      <c r="AX490" s="0"/>
      <c r="AY490" s="0"/>
      <c r="AZ490" s="0"/>
      <c r="BA490" s="0"/>
      <c r="BB490" s="0"/>
    </row>
    <row r="491" customFormat="false" ht="12.75" hidden="false" customHeight="false" outlineLevel="0" collapsed="false">
      <c r="A491" s="0"/>
      <c r="B491" s="0"/>
      <c r="C491" s="0"/>
      <c r="D491" s="0"/>
      <c r="E491" s="0"/>
      <c r="F491" s="0"/>
      <c r="G491" s="0"/>
      <c r="H491" s="0"/>
      <c r="I491" s="0"/>
      <c r="J491" s="0"/>
      <c r="K491" s="0"/>
      <c r="L491" s="0"/>
      <c r="M491" s="0"/>
      <c r="N491" s="0"/>
      <c r="O491" s="0"/>
      <c r="P491" s="0"/>
      <c r="Q491" s="0"/>
      <c r="R491" s="0"/>
      <c r="S491" s="0"/>
      <c r="T491" s="0"/>
      <c r="U491" s="0"/>
      <c r="V491" s="0"/>
      <c r="W491" s="0"/>
      <c r="X491" s="0"/>
      <c r="Y491" s="0"/>
      <c r="Z491" s="0"/>
      <c r="AA491" s="0"/>
      <c r="AB491" s="0"/>
      <c r="AC491" s="0"/>
      <c r="AD491" s="0"/>
      <c r="AE491" s="0"/>
      <c r="AF491" s="0"/>
      <c r="AG491" s="0"/>
      <c r="AH491" s="0"/>
      <c r="AI491" s="0"/>
      <c r="AJ491" s="0"/>
      <c r="AK491" s="0"/>
      <c r="AL491" s="0"/>
      <c r="AM491" s="0"/>
      <c r="AN491" s="0"/>
      <c r="AO491" s="0"/>
      <c r="AP491" s="0"/>
      <c r="AQ491" s="0"/>
      <c r="AR491" s="0"/>
      <c r="AS491" s="0"/>
      <c r="AT491" s="0"/>
      <c r="AU491" s="0"/>
      <c r="AV491" s="0"/>
      <c r="AW491" s="0"/>
      <c r="AX491" s="0"/>
      <c r="AY491" s="0"/>
      <c r="AZ491" s="0"/>
      <c r="BA491" s="0"/>
      <c r="BB491" s="0"/>
    </row>
    <row r="492" customFormat="false" ht="12.75" hidden="false" customHeight="false" outlineLevel="0" collapsed="false">
      <c r="A492" s="0"/>
      <c r="B492" s="0"/>
      <c r="C492" s="0"/>
      <c r="D492" s="0"/>
      <c r="E492" s="0"/>
      <c r="F492" s="0"/>
      <c r="G492" s="0"/>
      <c r="H492" s="0"/>
      <c r="I492" s="0"/>
      <c r="J492" s="0"/>
      <c r="K492" s="0"/>
      <c r="L492" s="0"/>
      <c r="M492" s="0"/>
      <c r="N492" s="0"/>
      <c r="O492" s="0"/>
      <c r="P492" s="0"/>
      <c r="Q492" s="0"/>
      <c r="R492" s="0"/>
      <c r="S492" s="0"/>
      <c r="T492" s="0"/>
      <c r="U492" s="0"/>
      <c r="V492" s="0"/>
      <c r="W492" s="0"/>
      <c r="X492" s="0"/>
      <c r="Y492" s="0"/>
      <c r="Z492" s="0"/>
      <c r="AA492" s="0"/>
      <c r="AB492" s="0"/>
      <c r="AC492" s="0"/>
      <c r="AD492" s="0"/>
      <c r="AE492" s="0"/>
      <c r="AF492" s="0"/>
      <c r="AG492" s="0"/>
      <c r="AH492" s="0"/>
      <c r="AI492" s="0"/>
      <c r="AJ492" s="0"/>
      <c r="AK492" s="0"/>
      <c r="AL492" s="0"/>
      <c r="AM492" s="0"/>
      <c r="AN492" s="0"/>
      <c r="AO492" s="0"/>
      <c r="AP492" s="0"/>
      <c r="AQ492" s="0"/>
      <c r="AR492" s="0"/>
      <c r="AS492" s="0"/>
      <c r="AT492" s="0"/>
      <c r="AU492" s="0"/>
      <c r="AV492" s="0"/>
      <c r="AW492" s="0"/>
      <c r="AX492" s="0"/>
      <c r="AY492" s="0"/>
      <c r="AZ492" s="0"/>
      <c r="BA492" s="0"/>
      <c r="BB492" s="0"/>
    </row>
    <row r="493" customFormat="false" ht="12.75" hidden="false" customHeight="false" outlineLevel="0" collapsed="false">
      <c r="A493" s="0"/>
      <c r="B493" s="0"/>
      <c r="C493" s="0"/>
      <c r="D493" s="0"/>
      <c r="E493" s="0"/>
      <c r="F493" s="0"/>
      <c r="G493" s="0"/>
      <c r="H493" s="0"/>
      <c r="I493" s="0"/>
      <c r="J493" s="0"/>
      <c r="K493" s="0"/>
      <c r="L493" s="0"/>
      <c r="M493" s="0"/>
      <c r="N493" s="0"/>
      <c r="O493" s="0"/>
      <c r="P493" s="0"/>
      <c r="Q493" s="0"/>
      <c r="R493" s="0"/>
      <c r="S493" s="0"/>
      <c r="T493" s="0"/>
      <c r="U493" s="0"/>
      <c r="V493" s="0"/>
      <c r="W493" s="0"/>
      <c r="X493" s="0"/>
      <c r="Y493" s="0"/>
      <c r="Z493" s="0"/>
      <c r="AA493" s="0"/>
      <c r="AB493" s="0"/>
      <c r="AC493" s="0"/>
      <c r="AD493" s="0"/>
      <c r="AE493" s="0"/>
      <c r="AF493" s="0"/>
      <c r="AG493" s="0"/>
      <c r="AH493" s="0"/>
      <c r="AI493" s="0"/>
      <c r="AJ493" s="0"/>
      <c r="AK493" s="0"/>
      <c r="AL493" s="0"/>
      <c r="AM493" s="0"/>
      <c r="AN493" s="0"/>
      <c r="AO493" s="0"/>
      <c r="AP493" s="0"/>
      <c r="AQ493" s="0"/>
      <c r="AR493" s="0"/>
      <c r="AS493" s="0"/>
      <c r="AT493" s="0"/>
      <c r="AU493" s="0"/>
      <c r="AV493" s="0"/>
      <c r="AW493" s="0"/>
      <c r="AX493" s="0"/>
      <c r="AY493" s="0"/>
      <c r="AZ493" s="0"/>
      <c r="BA493" s="0"/>
      <c r="BB493" s="0"/>
    </row>
    <row r="494" customFormat="false" ht="12.75" hidden="false" customHeight="false" outlineLevel="0" collapsed="false">
      <c r="A494" s="0"/>
      <c r="B494" s="0"/>
      <c r="C494" s="0"/>
      <c r="D494" s="0"/>
      <c r="E494" s="0"/>
      <c r="F494" s="0"/>
      <c r="G494" s="0"/>
      <c r="H494" s="0"/>
      <c r="I494" s="0"/>
      <c r="J494" s="0"/>
      <c r="K494" s="0"/>
      <c r="L494" s="0"/>
      <c r="M494" s="0"/>
      <c r="N494" s="0"/>
      <c r="O494" s="0"/>
      <c r="P494" s="0"/>
      <c r="Q494" s="0"/>
      <c r="R494" s="0"/>
      <c r="S494" s="0"/>
      <c r="T494" s="0"/>
      <c r="U494" s="0"/>
      <c r="V494" s="0"/>
      <c r="W494" s="0"/>
      <c r="X494" s="0"/>
      <c r="Y494" s="0"/>
      <c r="Z494" s="0"/>
      <c r="AA494" s="0"/>
      <c r="AB494" s="0"/>
      <c r="AC494" s="0"/>
      <c r="AD494" s="0"/>
      <c r="AE494" s="0"/>
      <c r="AF494" s="0"/>
      <c r="AG494" s="0"/>
      <c r="AH494" s="0"/>
      <c r="AI494" s="0"/>
      <c r="AJ494" s="0"/>
      <c r="AK494" s="0"/>
      <c r="AL494" s="0"/>
      <c r="AM494" s="0"/>
      <c r="AN494" s="0"/>
      <c r="AO494" s="0"/>
      <c r="AP494" s="0"/>
      <c r="AQ494" s="0"/>
      <c r="AR494" s="0"/>
      <c r="AS494" s="0"/>
      <c r="AT494" s="0"/>
      <c r="AU494" s="0"/>
      <c r="AV494" s="0"/>
      <c r="AW494" s="0"/>
      <c r="AX494" s="0"/>
      <c r="AY494" s="0"/>
      <c r="AZ494" s="0"/>
      <c r="BA494" s="0"/>
      <c r="BB494" s="0"/>
    </row>
    <row r="495" customFormat="false" ht="12.75" hidden="false" customHeight="false" outlineLevel="0" collapsed="false">
      <c r="A495" s="0"/>
      <c r="B495" s="0"/>
      <c r="C495" s="0"/>
      <c r="D495" s="0"/>
      <c r="E495" s="0"/>
      <c r="F495" s="0"/>
      <c r="G495" s="0"/>
      <c r="H495" s="0"/>
      <c r="I495" s="0"/>
      <c r="J495" s="0"/>
      <c r="K495" s="0"/>
      <c r="L495" s="0"/>
      <c r="M495" s="0"/>
      <c r="N495" s="0"/>
      <c r="O495" s="0"/>
      <c r="P495" s="0"/>
      <c r="Q495" s="0"/>
      <c r="R495" s="0"/>
      <c r="S495" s="0"/>
      <c r="T495" s="0"/>
      <c r="U495" s="0"/>
      <c r="V495" s="0"/>
      <c r="W495" s="0"/>
      <c r="X495" s="0"/>
      <c r="Y495" s="0"/>
      <c r="Z495" s="0"/>
      <c r="AA495" s="0"/>
      <c r="AB495" s="0"/>
      <c r="AC495" s="0"/>
      <c r="AD495" s="0"/>
      <c r="AE495" s="0"/>
      <c r="AF495" s="0"/>
      <c r="AG495" s="0"/>
      <c r="AH495" s="0"/>
      <c r="AI495" s="0"/>
      <c r="AJ495" s="0"/>
      <c r="AK495" s="0"/>
      <c r="AL495" s="0"/>
      <c r="AM495" s="0"/>
      <c r="AN495" s="0"/>
      <c r="AO495" s="0"/>
      <c r="AP495" s="0"/>
      <c r="AQ495" s="0"/>
      <c r="AR495" s="0"/>
      <c r="AS495" s="0"/>
      <c r="AT495" s="0"/>
      <c r="AU495" s="0"/>
      <c r="AV495" s="0"/>
      <c r="AW495" s="0"/>
      <c r="AX495" s="0"/>
      <c r="AY495" s="0"/>
      <c r="AZ495" s="0"/>
      <c r="BA495" s="0"/>
      <c r="BB495" s="0"/>
    </row>
    <row r="496" customFormat="false" ht="12.75" hidden="false" customHeight="false" outlineLevel="0" collapsed="false">
      <c r="A496" s="0"/>
      <c r="B496" s="0"/>
      <c r="C496" s="0"/>
      <c r="D496" s="0"/>
      <c r="E496" s="0"/>
      <c r="F496" s="0"/>
      <c r="G496" s="0"/>
      <c r="H496" s="0"/>
      <c r="I496" s="0"/>
      <c r="J496" s="0"/>
      <c r="K496" s="0"/>
      <c r="L496" s="0"/>
      <c r="M496" s="0"/>
      <c r="N496" s="0"/>
      <c r="O496" s="0"/>
      <c r="P496" s="0"/>
      <c r="Q496" s="0"/>
      <c r="R496" s="0"/>
      <c r="S496" s="0"/>
      <c r="T496" s="0"/>
      <c r="U496" s="0"/>
      <c r="V496" s="0"/>
      <c r="W496" s="0"/>
      <c r="X496" s="0"/>
      <c r="Y496" s="0"/>
      <c r="Z496" s="0"/>
      <c r="AA496" s="0"/>
      <c r="AB496" s="0"/>
      <c r="AC496" s="0"/>
      <c r="AD496" s="0"/>
      <c r="AE496" s="0"/>
      <c r="AF496" s="0"/>
      <c r="AG496" s="0"/>
      <c r="AH496" s="0"/>
      <c r="AI496" s="0"/>
      <c r="AJ496" s="0"/>
      <c r="AK496" s="0"/>
      <c r="AL496" s="0"/>
      <c r="AM496" s="0"/>
      <c r="AN496" s="0"/>
      <c r="AO496" s="0"/>
      <c r="AP496" s="0"/>
      <c r="AQ496" s="0"/>
      <c r="AR496" s="0"/>
      <c r="AS496" s="0"/>
      <c r="AT496" s="0"/>
      <c r="AU496" s="0"/>
      <c r="AV496" s="0"/>
      <c r="AW496" s="0"/>
      <c r="AX496" s="0"/>
      <c r="AY496" s="0"/>
      <c r="AZ496" s="0"/>
      <c r="BA496" s="0"/>
      <c r="BB496" s="0"/>
    </row>
    <row r="497" customFormat="false" ht="12.75" hidden="false" customHeight="false" outlineLevel="0" collapsed="false">
      <c r="A497" s="0"/>
      <c r="B497" s="0"/>
      <c r="C497" s="0"/>
      <c r="D497" s="0"/>
      <c r="E497" s="0"/>
      <c r="F497" s="0"/>
      <c r="G497" s="0"/>
      <c r="H497" s="0"/>
      <c r="I497" s="0"/>
      <c r="J497" s="0"/>
      <c r="K497" s="0"/>
      <c r="L497" s="0"/>
      <c r="M497" s="0"/>
      <c r="N497" s="0"/>
      <c r="O497" s="0"/>
      <c r="P497" s="0"/>
      <c r="Q497" s="0"/>
      <c r="R497" s="0"/>
      <c r="S497" s="0"/>
      <c r="T497" s="0"/>
      <c r="U497" s="0"/>
      <c r="V497" s="0"/>
      <c r="W497" s="0"/>
      <c r="X497" s="0"/>
      <c r="Y497" s="0"/>
      <c r="Z497" s="0"/>
      <c r="AA497" s="0"/>
      <c r="AB497" s="0"/>
      <c r="AC497" s="0"/>
      <c r="AD497" s="0"/>
      <c r="AE497" s="0"/>
      <c r="AF497" s="0"/>
      <c r="AG497" s="0"/>
      <c r="AH497" s="0"/>
      <c r="AI497" s="0"/>
      <c r="AJ497" s="0"/>
      <c r="AK497" s="0"/>
      <c r="AL497" s="0"/>
      <c r="AM497" s="0"/>
      <c r="AN497" s="0"/>
      <c r="AO497" s="0"/>
      <c r="AP497" s="0"/>
      <c r="AQ497" s="0"/>
      <c r="AR497" s="0"/>
      <c r="AS497" s="0"/>
      <c r="AT497" s="0"/>
      <c r="AU497" s="0"/>
      <c r="AV497" s="0"/>
      <c r="AW497" s="0"/>
      <c r="AX497" s="0"/>
      <c r="AY497" s="0"/>
      <c r="AZ497" s="0"/>
      <c r="BA497" s="0"/>
      <c r="BB497" s="0"/>
    </row>
    <row r="498" customFormat="false" ht="12.75" hidden="false" customHeight="false" outlineLevel="0" collapsed="false">
      <c r="A498" s="0"/>
      <c r="B498" s="0"/>
      <c r="C498" s="0"/>
      <c r="D498" s="0"/>
      <c r="E498" s="0"/>
      <c r="F498" s="0"/>
      <c r="G498" s="0"/>
      <c r="H498" s="0"/>
      <c r="I498" s="0"/>
      <c r="J498" s="0"/>
      <c r="K498" s="0"/>
      <c r="L498" s="0"/>
      <c r="M498" s="0"/>
      <c r="N498" s="0"/>
      <c r="O498" s="0"/>
      <c r="P498" s="0"/>
      <c r="Q498" s="0"/>
      <c r="R498" s="0"/>
      <c r="S498" s="0"/>
      <c r="T498" s="0"/>
      <c r="U498" s="0"/>
      <c r="V498" s="0"/>
      <c r="W498" s="0"/>
      <c r="X498" s="0"/>
      <c r="Y498" s="0"/>
      <c r="Z498" s="0"/>
      <c r="AA498" s="0"/>
      <c r="AB498" s="0"/>
      <c r="AC498" s="0"/>
      <c r="AD498" s="0"/>
      <c r="AE498" s="0"/>
      <c r="AF498" s="0"/>
      <c r="AG498" s="0"/>
      <c r="AH498" s="0"/>
      <c r="AI498" s="0"/>
      <c r="AJ498" s="0"/>
      <c r="AK498" s="0"/>
      <c r="AL498" s="0"/>
      <c r="AM498" s="0"/>
      <c r="AN498" s="0"/>
      <c r="AO498" s="0"/>
      <c r="AP498" s="0"/>
      <c r="AQ498" s="0"/>
      <c r="AR498" s="0"/>
      <c r="AS498" s="0"/>
      <c r="AT498" s="0"/>
      <c r="AU498" s="0"/>
      <c r="AV498" s="0"/>
      <c r="AW498" s="0"/>
      <c r="AX498" s="0"/>
      <c r="AY498" s="0"/>
      <c r="AZ498" s="0"/>
      <c r="BA498" s="0"/>
      <c r="BB498" s="0"/>
    </row>
    <row r="499" customFormat="false" ht="12.75" hidden="false" customHeight="false" outlineLevel="0" collapsed="false">
      <c r="A499" s="0"/>
      <c r="B499" s="0"/>
      <c r="C499" s="0"/>
      <c r="D499" s="0"/>
      <c r="E499" s="0"/>
      <c r="F499" s="0"/>
      <c r="G499" s="0"/>
      <c r="H499" s="0"/>
      <c r="I499" s="0"/>
      <c r="J499" s="0"/>
      <c r="K499" s="0"/>
      <c r="L499" s="0"/>
      <c r="M499" s="0"/>
      <c r="N499" s="0"/>
      <c r="O499" s="0"/>
      <c r="P499" s="0"/>
      <c r="Q499" s="0"/>
      <c r="R499" s="0"/>
      <c r="S499" s="0"/>
      <c r="T499" s="0"/>
      <c r="U499" s="0"/>
      <c r="V499" s="0"/>
      <c r="W499" s="0"/>
      <c r="X499" s="0"/>
      <c r="Y499" s="0"/>
      <c r="Z499" s="0"/>
      <c r="AA499" s="0"/>
      <c r="AB499" s="0"/>
      <c r="AC499" s="0"/>
      <c r="AD499" s="0"/>
      <c r="AE499" s="0"/>
      <c r="AF499" s="0"/>
      <c r="AG499" s="0"/>
      <c r="AH499" s="0"/>
      <c r="AI499" s="0"/>
      <c r="AJ499" s="0"/>
      <c r="AK499" s="0"/>
      <c r="AL499" s="0"/>
      <c r="AM499" s="0"/>
      <c r="AN499" s="0"/>
      <c r="AO499" s="0"/>
      <c r="AP499" s="0"/>
      <c r="AQ499" s="0"/>
      <c r="AR499" s="0"/>
      <c r="AS499" s="0"/>
      <c r="AT499" s="0"/>
      <c r="AU499" s="0"/>
      <c r="AV499" s="0"/>
      <c r="AW499" s="0"/>
      <c r="AX499" s="0"/>
      <c r="AY499" s="0"/>
      <c r="AZ499" s="0"/>
      <c r="BA499" s="0"/>
      <c r="BB499" s="0"/>
    </row>
    <row r="500" customFormat="false" ht="12.75" hidden="false" customHeight="false" outlineLevel="0" collapsed="false">
      <c r="A500" s="0"/>
      <c r="B500" s="0"/>
      <c r="C500" s="0"/>
      <c r="D500" s="0"/>
      <c r="E500" s="0"/>
      <c r="F500" s="0"/>
      <c r="G500" s="0"/>
      <c r="H500" s="0"/>
      <c r="I500" s="0"/>
      <c r="J500" s="0"/>
      <c r="K500" s="0"/>
      <c r="L500" s="0"/>
      <c r="M500" s="0"/>
      <c r="N500" s="0"/>
      <c r="O500" s="0"/>
      <c r="P500" s="0"/>
      <c r="Q500" s="0"/>
      <c r="R500" s="0"/>
      <c r="S500" s="0"/>
      <c r="T500" s="0"/>
      <c r="U500" s="0"/>
      <c r="V500" s="0"/>
      <c r="W500" s="0"/>
      <c r="X500" s="0"/>
      <c r="Y500" s="0"/>
      <c r="Z500" s="0"/>
      <c r="AA500" s="0"/>
      <c r="AB500" s="0"/>
      <c r="AC500" s="0"/>
      <c r="AD500" s="0"/>
      <c r="AE500" s="0"/>
      <c r="AF500" s="0"/>
      <c r="AG500" s="0"/>
      <c r="AH500" s="0"/>
      <c r="AI500" s="0"/>
      <c r="AJ500" s="0"/>
      <c r="AK500" s="0"/>
      <c r="AL500" s="0"/>
      <c r="AM500" s="0"/>
      <c r="AN500" s="0"/>
      <c r="AO500" s="0"/>
      <c r="AP500" s="0"/>
      <c r="AQ500" s="0"/>
      <c r="AR500" s="0"/>
      <c r="AS500" s="0"/>
      <c r="AT500" s="0"/>
      <c r="AU500" s="0"/>
      <c r="AV500" s="0"/>
      <c r="AW500" s="0"/>
      <c r="AX500" s="0"/>
      <c r="AY500" s="0"/>
      <c r="AZ500" s="0"/>
      <c r="BA500" s="0"/>
      <c r="BB500" s="0"/>
    </row>
    <row r="501" customFormat="false" ht="12.75" hidden="false" customHeight="false" outlineLevel="0" collapsed="false">
      <c r="A501" s="0"/>
      <c r="B501" s="0"/>
      <c r="C501" s="0"/>
      <c r="D501" s="0"/>
      <c r="E501" s="0"/>
      <c r="F501" s="0"/>
      <c r="G501" s="0"/>
      <c r="H501" s="0"/>
      <c r="I501" s="0"/>
      <c r="J501" s="0"/>
      <c r="K501" s="0"/>
      <c r="L501" s="0"/>
      <c r="M501" s="0"/>
      <c r="N501" s="0"/>
      <c r="O501" s="0"/>
      <c r="P501" s="0"/>
      <c r="Q501" s="0"/>
      <c r="R501" s="0"/>
      <c r="S501" s="0"/>
      <c r="T501" s="0"/>
      <c r="U501" s="0"/>
      <c r="V501" s="0"/>
      <c r="W501" s="0"/>
      <c r="X501" s="0"/>
      <c r="Y501" s="0"/>
      <c r="Z501" s="0"/>
      <c r="AA501" s="0"/>
      <c r="AB501" s="0"/>
      <c r="AC501" s="0"/>
      <c r="AD501" s="0"/>
      <c r="AE501" s="0"/>
      <c r="AF501" s="0"/>
      <c r="AG501" s="0"/>
      <c r="AH501" s="0"/>
      <c r="AI501" s="0"/>
      <c r="AJ501" s="0"/>
      <c r="AK501" s="0"/>
      <c r="AL501" s="0"/>
      <c r="AM501" s="0"/>
      <c r="AN501" s="0"/>
      <c r="AO501" s="0"/>
      <c r="AP501" s="0"/>
      <c r="AQ501" s="0"/>
      <c r="AR501" s="0"/>
      <c r="AS501" s="0"/>
      <c r="AT501" s="0"/>
      <c r="AU501" s="0"/>
      <c r="AV501" s="0"/>
      <c r="AW501" s="0"/>
      <c r="AX501" s="0"/>
      <c r="AY501" s="0"/>
      <c r="AZ501" s="0"/>
      <c r="BA501" s="0"/>
      <c r="BB501" s="0"/>
    </row>
    <row r="502" customFormat="false" ht="12.75" hidden="false" customHeight="false" outlineLevel="0" collapsed="false">
      <c r="A502" s="0"/>
      <c r="B502" s="0"/>
      <c r="C502" s="0"/>
      <c r="D502" s="0"/>
      <c r="E502" s="0"/>
      <c r="F502" s="0"/>
      <c r="G502" s="0"/>
      <c r="H502" s="0"/>
      <c r="I502" s="0"/>
      <c r="J502" s="0"/>
      <c r="K502" s="0"/>
      <c r="L502" s="0"/>
      <c r="M502" s="0"/>
      <c r="N502" s="0"/>
      <c r="O502" s="0"/>
      <c r="P502" s="0"/>
      <c r="Q502" s="0"/>
      <c r="R502" s="0"/>
      <c r="S502" s="0"/>
      <c r="T502" s="0"/>
      <c r="U502" s="0"/>
      <c r="V502" s="0"/>
      <c r="W502" s="0"/>
      <c r="X502" s="0"/>
      <c r="Y502" s="0"/>
      <c r="Z502" s="0"/>
      <c r="AA502" s="0"/>
      <c r="AB502" s="0"/>
      <c r="AC502" s="0"/>
      <c r="AD502" s="0"/>
      <c r="AE502" s="0"/>
      <c r="AF502" s="0"/>
      <c r="AG502" s="0"/>
      <c r="AH502" s="0"/>
      <c r="AI502" s="0"/>
      <c r="AJ502" s="0"/>
      <c r="AK502" s="0"/>
      <c r="AL502" s="0"/>
      <c r="AM502" s="0"/>
      <c r="AN502" s="0"/>
      <c r="AO502" s="0"/>
      <c r="AP502" s="0"/>
      <c r="AQ502" s="0"/>
      <c r="AR502" s="0"/>
      <c r="AS502" s="0"/>
      <c r="AT502" s="0"/>
      <c r="AU502" s="0"/>
      <c r="AV502" s="0"/>
      <c r="AW502" s="0"/>
      <c r="AX502" s="0"/>
      <c r="AY502" s="0"/>
      <c r="AZ502" s="0"/>
      <c r="BA502" s="0"/>
      <c r="BB502" s="0"/>
    </row>
    <row r="503" customFormat="false" ht="12.75" hidden="false" customHeight="false" outlineLevel="0" collapsed="false">
      <c r="A503" s="0"/>
      <c r="B503" s="0"/>
      <c r="C503" s="0"/>
      <c r="D503" s="0"/>
      <c r="E503" s="0"/>
      <c r="F503" s="0"/>
      <c r="G503" s="0"/>
      <c r="H503" s="0"/>
      <c r="I503" s="0"/>
      <c r="J503" s="0"/>
      <c r="K503" s="0"/>
      <c r="L503" s="0"/>
      <c r="M503" s="0"/>
      <c r="N503" s="0"/>
      <c r="O503" s="0"/>
      <c r="P503" s="0"/>
      <c r="Q503" s="0"/>
      <c r="R503" s="0"/>
      <c r="S503" s="0"/>
      <c r="T503" s="0"/>
      <c r="U503" s="0"/>
      <c r="V503" s="0"/>
      <c r="W503" s="0"/>
      <c r="X503" s="0"/>
      <c r="Y503" s="0"/>
      <c r="Z503" s="0"/>
      <c r="AA503" s="0"/>
      <c r="AB503" s="0"/>
      <c r="AC503" s="0"/>
      <c r="AD503" s="0"/>
      <c r="AE503" s="0"/>
      <c r="AF503" s="0"/>
      <c r="AG503" s="0"/>
      <c r="AH503" s="0"/>
      <c r="AI503" s="0"/>
      <c r="AJ503" s="0"/>
      <c r="AK503" s="0"/>
      <c r="AL503" s="0"/>
      <c r="AM503" s="0"/>
      <c r="AN503" s="0"/>
      <c r="AO503" s="0"/>
      <c r="AP503" s="0"/>
      <c r="AQ503" s="0"/>
      <c r="AR503" s="0"/>
      <c r="AS503" s="0"/>
      <c r="AT503" s="0"/>
      <c r="AU503" s="0"/>
      <c r="AV503" s="0"/>
      <c r="AW503" s="0"/>
      <c r="AX503" s="0"/>
      <c r="AY503" s="0"/>
      <c r="AZ503" s="0"/>
      <c r="BA503" s="0"/>
      <c r="BB503" s="0"/>
    </row>
    <row r="504" customFormat="false" ht="12.75" hidden="false" customHeight="false" outlineLevel="0" collapsed="false">
      <c r="A504" s="0"/>
      <c r="B504" s="0"/>
      <c r="C504" s="0"/>
      <c r="D504" s="0"/>
      <c r="E504" s="0"/>
      <c r="F504" s="0"/>
      <c r="G504" s="0"/>
      <c r="H504" s="0"/>
      <c r="I504" s="0"/>
      <c r="J504" s="0"/>
      <c r="K504" s="0"/>
      <c r="L504" s="0"/>
      <c r="M504" s="0"/>
      <c r="N504" s="0"/>
      <c r="O504" s="0"/>
      <c r="P504" s="0"/>
      <c r="Q504" s="0"/>
      <c r="R504" s="0"/>
      <c r="S504" s="0"/>
      <c r="T504" s="0"/>
      <c r="U504" s="0"/>
      <c r="V504" s="0"/>
      <c r="W504" s="0"/>
      <c r="X504" s="0"/>
      <c r="Y504" s="0"/>
      <c r="Z504" s="0"/>
      <c r="AA504" s="0"/>
      <c r="AB504" s="0"/>
      <c r="AC504" s="0"/>
      <c r="AD504" s="0"/>
      <c r="AE504" s="0"/>
      <c r="AF504" s="0"/>
      <c r="AG504" s="0"/>
      <c r="AH504" s="0"/>
      <c r="AI504" s="0"/>
      <c r="AJ504" s="0"/>
      <c r="AK504" s="0"/>
      <c r="AL504" s="0"/>
      <c r="AM504" s="0"/>
      <c r="AN504" s="0"/>
      <c r="AO504" s="0"/>
      <c r="AP504" s="0"/>
      <c r="AQ504" s="0"/>
      <c r="AR504" s="0"/>
      <c r="AS504" s="0"/>
      <c r="AT504" s="0"/>
      <c r="AU504" s="0"/>
      <c r="AV504" s="0"/>
      <c r="AW504" s="0"/>
      <c r="AX504" s="0"/>
      <c r="AY504" s="0"/>
      <c r="AZ504" s="0"/>
      <c r="BA504" s="0"/>
      <c r="BB504" s="0"/>
    </row>
    <row r="505" customFormat="false" ht="12.75" hidden="false" customHeight="false" outlineLevel="0" collapsed="false">
      <c r="A505" s="0"/>
      <c r="B505" s="0"/>
      <c r="C505" s="0"/>
      <c r="D505" s="0"/>
      <c r="E505" s="0"/>
      <c r="F505" s="0"/>
      <c r="G505" s="0"/>
      <c r="H505" s="0"/>
      <c r="I505" s="0"/>
      <c r="J505" s="0"/>
      <c r="K505" s="0"/>
      <c r="L505" s="0"/>
      <c r="M505" s="0"/>
      <c r="N505" s="0"/>
      <c r="O505" s="0"/>
      <c r="P505" s="0"/>
      <c r="Q505" s="0"/>
      <c r="R505" s="0"/>
      <c r="S505" s="0"/>
      <c r="T505" s="0"/>
      <c r="U505" s="0"/>
      <c r="V505" s="0"/>
      <c r="W505" s="0"/>
      <c r="X505" s="0"/>
      <c r="Y505" s="0"/>
      <c r="Z505" s="0"/>
      <c r="AA505" s="0"/>
      <c r="AB505" s="0"/>
      <c r="AC505" s="0"/>
      <c r="AD505" s="0"/>
      <c r="AE505" s="0"/>
      <c r="AF505" s="0"/>
      <c r="AG505" s="0"/>
      <c r="AH505" s="0"/>
      <c r="AI505" s="0"/>
      <c r="AJ505" s="0"/>
      <c r="AK505" s="0"/>
      <c r="AL505" s="0"/>
      <c r="AM505" s="0"/>
      <c r="AN505" s="0"/>
      <c r="AO505" s="0"/>
      <c r="AP505" s="0"/>
      <c r="AQ505" s="0"/>
      <c r="AR505" s="0"/>
      <c r="AS505" s="0"/>
      <c r="AT505" s="0"/>
      <c r="AU505" s="0"/>
      <c r="AV505" s="0"/>
      <c r="AW505" s="0"/>
      <c r="AX505" s="0"/>
      <c r="AY505" s="0"/>
      <c r="AZ505" s="0"/>
      <c r="BA505" s="0"/>
      <c r="BB505" s="0"/>
    </row>
    <row r="506" customFormat="false" ht="12.75" hidden="false" customHeight="false" outlineLevel="0" collapsed="false">
      <c r="A506" s="0"/>
      <c r="B506" s="0"/>
      <c r="C506" s="0"/>
      <c r="D506" s="0"/>
      <c r="E506" s="0"/>
      <c r="F506" s="0"/>
      <c r="G506" s="0"/>
      <c r="H506" s="0"/>
      <c r="I506" s="0"/>
      <c r="J506" s="0"/>
      <c r="K506" s="0"/>
      <c r="L506" s="0"/>
      <c r="M506" s="0"/>
      <c r="N506" s="0"/>
      <c r="O506" s="0"/>
      <c r="P506" s="0"/>
      <c r="Q506" s="0"/>
      <c r="R506" s="0"/>
      <c r="S506" s="0"/>
      <c r="T506" s="0"/>
      <c r="U506" s="0"/>
      <c r="V506" s="0"/>
      <c r="W506" s="0"/>
      <c r="X506" s="0"/>
      <c r="Y506" s="0"/>
      <c r="Z506" s="0"/>
      <c r="AA506" s="0"/>
      <c r="AB506" s="0"/>
      <c r="AC506" s="0"/>
      <c r="AD506" s="0"/>
      <c r="AE506" s="0"/>
      <c r="AF506" s="0"/>
      <c r="AG506" s="0"/>
      <c r="AH506" s="0"/>
      <c r="AI506" s="0"/>
      <c r="AJ506" s="0"/>
      <c r="AK506" s="0"/>
      <c r="AL506" s="0"/>
      <c r="AM506" s="0"/>
      <c r="AN506" s="0"/>
      <c r="AO506" s="0"/>
      <c r="AP506" s="0"/>
      <c r="AQ506" s="0"/>
      <c r="AR506" s="0"/>
      <c r="AS506" s="0"/>
      <c r="AT506" s="0"/>
      <c r="AU506" s="0"/>
      <c r="AV506" s="0"/>
      <c r="AW506" s="0"/>
      <c r="AX506" s="0"/>
      <c r="AY506" s="0"/>
      <c r="AZ506" s="0"/>
      <c r="BA506" s="0"/>
      <c r="BB506" s="0"/>
    </row>
    <row r="507" customFormat="false" ht="12.75" hidden="false" customHeight="false" outlineLevel="0" collapsed="false">
      <c r="A507" s="0"/>
      <c r="B507" s="0"/>
      <c r="C507" s="0"/>
      <c r="D507" s="0"/>
      <c r="E507" s="0"/>
      <c r="F507" s="0"/>
      <c r="G507" s="0"/>
      <c r="H507" s="0"/>
      <c r="I507" s="0"/>
      <c r="J507" s="0"/>
      <c r="K507" s="0"/>
      <c r="L507" s="0"/>
      <c r="M507" s="0"/>
      <c r="N507" s="0"/>
      <c r="O507" s="0"/>
      <c r="P507" s="0"/>
      <c r="Q507" s="0"/>
      <c r="R507" s="0"/>
      <c r="S507" s="0"/>
      <c r="T507" s="0"/>
      <c r="U507" s="0"/>
      <c r="V507" s="0"/>
      <c r="W507" s="0"/>
      <c r="X507" s="0"/>
      <c r="Y507" s="0"/>
      <c r="Z507" s="0"/>
      <c r="AA507" s="0"/>
      <c r="AB507" s="0"/>
      <c r="AC507" s="0"/>
      <c r="AD507" s="0"/>
      <c r="AE507" s="0"/>
      <c r="AF507" s="0"/>
      <c r="AG507" s="0"/>
      <c r="AH507" s="0"/>
      <c r="AI507" s="0"/>
      <c r="AJ507" s="0"/>
      <c r="AK507" s="0"/>
      <c r="AL507" s="0"/>
      <c r="AM507" s="0"/>
      <c r="AN507" s="0"/>
      <c r="AO507" s="0"/>
      <c r="AP507" s="0"/>
      <c r="AQ507" s="0"/>
      <c r="AR507" s="0"/>
      <c r="AS507" s="0"/>
      <c r="AT507" s="0"/>
      <c r="AU507" s="0"/>
      <c r="AV507" s="0"/>
      <c r="AW507" s="0"/>
      <c r="AX507" s="0"/>
      <c r="AY507" s="0"/>
      <c r="AZ507" s="0"/>
      <c r="BA507" s="0"/>
      <c r="BB507" s="0"/>
    </row>
    <row r="508" customFormat="false" ht="12.75" hidden="false" customHeight="false" outlineLevel="0" collapsed="false">
      <c r="A508" s="0"/>
      <c r="B508" s="0"/>
      <c r="C508" s="0"/>
      <c r="D508" s="0"/>
      <c r="E508" s="0"/>
      <c r="F508" s="0"/>
      <c r="G508" s="0"/>
      <c r="H508" s="0"/>
      <c r="I508" s="0"/>
      <c r="J508" s="0"/>
      <c r="K508" s="0"/>
      <c r="L508" s="0"/>
      <c r="M508" s="0"/>
      <c r="N508" s="0"/>
      <c r="O508" s="0"/>
      <c r="P508" s="0"/>
      <c r="Q508" s="0"/>
      <c r="R508" s="0"/>
      <c r="S508" s="0"/>
      <c r="T508" s="0"/>
      <c r="U508" s="0"/>
      <c r="V508" s="0"/>
      <c r="W508" s="0"/>
      <c r="X508" s="0"/>
      <c r="Y508" s="0"/>
      <c r="Z508" s="0"/>
      <c r="AA508" s="0"/>
      <c r="AB508" s="0"/>
      <c r="AC508" s="0"/>
      <c r="AD508" s="0"/>
      <c r="AE508" s="0"/>
      <c r="AF508" s="0"/>
      <c r="AG508" s="0"/>
      <c r="AH508" s="0"/>
      <c r="AI508" s="0"/>
      <c r="AJ508" s="0"/>
      <c r="AK508" s="0"/>
      <c r="AL508" s="0"/>
      <c r="AM508" s="0"/>
      <c r="AN508" s="0"/>
      <c r="AO508" s="0"/>
      <c r="AP508" s="0"/>
      <c r="AQ508" s="0"/>
      <c r="AR508" s="0"/>
      <c r="AS508" s="0"/>
      <c r="AT508" s="0"/>
      <c r="AU508" s="0"/>
      <c r="AV508" s="0"/>
      <c r="AW508" s="0"/>
      <c r="AX508" s="0"/>
      <c r="AY508" s="0"/>
      <c r="AZ508" s="0"/>
      <c r="BA508" s="0"/>
      <c r="BB508" s="0"/>
    </row>
    <row r="509" customFormat="false" ht="12.75" hidden="false" customHeight="false" outlineLevel="0" collapsed="false">
      <c r="A509" s="0"/>
      <c r="B509" s="0"/>
      <c r="C509" s="0"/>
      <c r="D509" s="0"/>
      <c r="E509" s="0"/>
      <c r="F509" s="0"/>
      <c r="G509" s="0"/>
      <c r="H509" s="0"/>
      <c r="I509" s="0"/>
      <c r="J509" s="0"/>
      <c r="K509" s="0"/>
      <c r="L509" s="0"/>
      <c r="M509" s="0"/>
      <c r="N509" s="0"/>
      <c r="O509" s="0"/>
      <c r="P509" s="0"/>
      <c r="Q509" s="0"/>
      <c r="R509" s="0"/>
      <c r="S509" s="0"/>
      <c r="T509" s="0"/>
      <c r="U509" s="0"/>
      <c r="V509" s="0"/>
      <c r="W509" s="0"/>
      <c r="X509" s="0"/>
      <c r="Y509" s="0"/>
      <c r="Z509" s="0"/>
      <c r="AA509" s="0"/>
      <c r="AB509" s="0"/>
      <c r="AC509" s="0"/>
      <c r="AD509" s="0"/>
      <c r="AE509" s="0"/>
      <c r="AF509" s="0"/>
      <c r="AG509" s="0"/>
      <c r="AH509" s="0"/>
      <c r="AI509" s="0"/>
      <c r="AJ509" s="0"/>
      <c r="AK509" s="0"/>
      <c r="AL509" s="0"/>
      <c r="AM509" s="0"/>
      <c r="AN509" s="0"/>
      <c r="AO509" s="0"/>
      <c r="AP509" s="0"/>
      <c r="AQ509" s="0"/>
      <c r="AR509" s="0"/>
      <c r="AS509" s="0"/>
      <c r="AT509" s="0"/>
      <c r="AU509" s="0"/>
      <c r="AV509" s="0"/>
      <c r="AW509" s="0"/>
      <c r="AX509" s="0"/>
      <c r="AY509" s="0"/>
      <c r="AZ509" s="0"/>
      <c r="BA509" s="0"/>
      <c r="BB509" s="0"/>
    </row>
    <row r="510" customFormat="false" ht="12.75" hidden="false" customHeight="false" outlineLevel="0" collapsed="false">
      <c r="A510" s="0"/>
      <c r="B510" s="0"/>
      <c r="C510" s="0"/>
      <c r="D510" s="0"/>
      <c r="E510" s="0"/>
      <c r="F510" s="0"/>
      <c r="G510" s="0"/>
      <c r="H510" s="0"/>
      <c r="I510" s="0"/>
      <c r="J510" s="0"/>
      <c r="K510" s="0"/>
      <c r="L510" s="0"/>
      <c r="M510" s="0"/>
      <c r="N510" s="0"/>
      <c r="O510" s="0"/>
      <c r="P510" s="0"/>
      <c r="Q510" s="0"/>
      <c r="R510" s="0"/>
      <c r="S510" s="0"/>
      <c r="T510" s="0"/>
      <c r="U510" s="0"/>
      <c r="V510" s="0"/>
      <c r="W510" s="0"/>
      <c r="X510" s="0"/>
      <c r="Y510" s="0"/>
      <c r="Z510" s="0"/>
      <c r="AA510" s="0"/>
      <c r="AB510" s="0"/>
      <c r="AC510" s="0"/>
      <c r="AD510" s="0"/>
      <c r="AE510" s="0"/>
      <c r="AF510" s="0"/>
      <c r="AG510" s="0"/>
      <c r="AH510" s="0"/>
      <c r="AI510" s="0"/>
      <c r="AJ510" s="0"/>
      <c r="AK510" s="0"/>
      <c r="AL510" s="0"/>
      <c r="AM510" s="0"/>
      <c r="AN510" s="0"/>
      <c r="AO510" s="0"/>
      <c r="AP510" s="0"/>
      <c r="AQ510" s="0"/>
      <c r="AR510" s="0"/>
      <c r="AS510" s="0"/>
      <c r="AT510" s="0"/>
      <c r="AU510" s="0"/>
      <c r="AV510" s="0"/>
      <c r="AW510" s="0"/>
      <c r="AX510" s="0"/>
      <c r="AY510" s="0"/>
      <c r="AZ510" s="0"/>
      <c r="BA510" s="0"/>
      <c r="BB510" s="0"/>
    </row>
    <row r="511" customFormat="false" ht="12.75" hidden="false" customHeight="false" outlineLevel="0" collapsed="false">
      <c r="A511" s="0"/>
      <c r="B511" s="0"/>
      <c r="C511" s="0"/>
      <c r="D511" s="0"/>
      <c r="E511" s="0"/>
      <c r="F511" s="0"/>
      <c r="G511" s="0"/>
      <c r="H511" s="0"/>
      <c r="I511" s="0"/>
      <c r="J511" s="0"/>
      <c r="K511" s="0"/>
      <c r="L511" s="0"/>
      <c r="M511" s="0"/>
      <c r="N511" s="0"/>
      <c r="O511" s="0"/>
      <c r="P511" s="0"/>
      <c r="Q511" s="0"/>
      <c r="R511" s="0"/>
      <c r="S511" s="0"/>
      <c r="T511" s="0"/>
      <c r="U511" s="0"/>
      <c r="V511" s="0"/>
      <c r="W511" s="0"/>
      <c r="X511" s="0"/>
      <c r="Y511" s="0"/>
      <c r="Z511" s="0"/>
      <c r="AA511" s="0"/>
      <c r="AB511" s="0"/>
      <c r="AC511" s="0"/>
      <c r="AD511" s="0"/>
      <c r="AE511" s="0"/>
      <c r="AF511" s="0"/>
      <c r="AG511" s="0"/>
      <c r="AH511" s="0"/>
      <c r="AI511" s="0"/>
      <c r="AJ511" s="0"/>
      <c r="AK511" s="0"/>
      <c r="AL511" s="0"/>
      <c r="AM511" s="0"/>
      <c r="AN511" s="0"/>
      <c r="AO511" s="0"/>
      <c r="AP511" s="0"/>
      <c r="AQ511" s="0"/>
      <c r="AR511" s="0"/>
      <c r="AS511" s="0"/>
      <c r="AT511" s="0"/>
      <c r="AU511" s="0"/>
      <c r="AV511" s="0"/>
      <c r="AW511" s="0"/>
      <c r="AX511" s="0"/>
      <c r="AY511" s="0"/>
      <c r="AZ511" s="0"/>
      <c r="BA511" s="0"/>
      <c r="BB511" s="0"/>
    </row>
    <row r="512" customFormat="false" ht="12.75" hidden="false" customHeight="false" outlineLevel="0" collapsed="false">
      <c r="A512" s="0"/>
      <c r="B512" s="0"/>
      <c r="C512" s="0"/>
      <c r="D512" s="0"/>
      <c r="E512" s="0"/>
      <c r="F512" s="0"/>
      <c r="G512" s="0"/>
      <c r="H512" s="0"/>
      <c r="I512" s="0"/>
      <c r="J512" s="0"/>
      <c r="K512" s="0"/>
      <c r="L512" s="0"/>
      <c r="M512" s="0"/>
      <c r="N512" s="0"/>
      <c r="O512" s="0"/>
      <c r="P512" s="0"/>
      <c r="Q512" s="0"/>
      <c r="R512" s="0"/>
      <c r="S512" s="0"/>
      <c r="T512" s="0"/>
      <c r="U512" s="0"/>
      <c r="V512" s="0"/>
      <c r="W512" s="0"/>
      <c r="X512" s="0"/>
      <c r="Y512" s="0"/>
      <c r="Z512" s="0"/>
      <c r="AA512" s="0"/>
      <c r="AB512" s="0"/>
      <c r="AC512" s="0"/>
      <c r="AD512" s="0"/>
      <c r="AE512" s="0"/>
      <c r="AF512" s="0"/>
      <c r="AG512" s="0"/>
      <c r="AH512" s="0"/>
      <c r="AI512" s="0"/>
      <c r="AJ512" s="0"/>
      <c r="AK512" s="0"/>
      <c r="AL512" s="0"/>
      <c r="AM512" s="0"/>
      <c r="AN512" s="0"/>
      <c r="AO512" s="0"/>
      <c r="AP512" s="0"/>
      <c r="AQ512" s="0"/>
      <c r="AR512" s="0"/>
      <c r="AS512" s="0"/>
      <c r="AT512" s="0"/>
      <c r="AU512" s="0"/>
      <c r="AV512" s="0"/>
      <c r="AW512" s="0"/>
      <c r="AX512" s="0"/>
      <c r="AY512" s="0"/>
      <c r="AZ512" s="0"/>
      <c r="BA512" s="0"/>
      <c r="BB512" s="0"/>
    </row>
    <row r="513" customFormat="false" ht="12.75" hidden="false" customHeight="false" outlineLevel="0" collapsed="false">
      <c r="A513" s="0"/>
      <c r="B513" s="0"/>
      <c r="C513" s="0"/>
      <c r="D513" s="0"/>
      <c r="E513" s="0"/>
      <c r="F513" s="0"/>
      <c r="G513" s="0"/>
      <c r="H513" s="0"/>
      <c r="I513" s="0"/>
      <c r="J513" s="0"/>
      <c r="K513" s="0"/>
      <c r="L513" s="0"/>
      <c r="M513" s="0"/>
      <c r="N513" s="0"/>
      <c r="O513" s="0"/>
      <c r="P513" s="0"/>
      <c r="Q513" s="0"/>
      <c r="R513" s="0"/>
      <c r="S513" s="0"/>
      <c r="T513" s="0"/>
      <c r="U513" s="0"/>
      <c r="V513" s="0"/>
      <c r="W513" s="0"/>
      <c r="X513" s="0"/>
      <c r="Y513" s="0"/>
      <c r="Z513" s="0"/>
      <c r="AA513" s="0"/>
      <c r="AB513" s="0"/>
      <c r="AC513" s="0"/>
      <c r="AD513" s="0"/>
      <c r="AE513" s="0"/>
      <c r="AF513" s="0"/>
      <c r="AG513" s="0"/>
      <c r="AH513" s="0"/>
      <c r="AI513" s="0"/>
      <c r="AJ513" s="0"/>
      <c r="AK513" s="0"/>
      <c r="AL513" s="0"/>
      <c r="AM513" s="0"/>
      <c r="AN513" s="0"/>
      <c r="AO513" s="0"/>
      <c r="AP513" s="0"/>
      <c r="AQ513" s="0"/>
      <c r="AR513" s="0"/>
      <c r="AS513" s="0"/>
      <c r="AT513" s="0"/>
      <c r="AU513" s="0"/>
      <c r="AV513" s="0"/>
      <c r="AW513" s="0"/>
      <c r="AX513" s="0"/>
      <c r="AY513" s="0"/>
      <c r="AZ513" s="0"/>
      <c r="BA513" s="0"/>
      <c r="BB513" s="0"/>
    </row>
    <row r="514" customFormat="false" ht="12.75" hidden="false" customHeight="false" outlineLevel="0" collapsed="false">
      <c r="A514" s="0"/>
      <c r="B514" s="0"/>
      <c r="C514" s="0"/>
      <c r="D514" s="0"/>
      <c r="E514" s="0"/>
      <c r="F514" s="0"/>
      <c r="G514" s="0"/>
      <c r="H514" s="0"/>
      <c r="I514" s="0"/>
      <c r="J514" s="0"/>
      <c r="K514" s="0"/>
      <c r="L514" s="0"/>
      <c r="M514" s="0"/>
      <c r="N514" s="0"/>
      <c r="O514" s="0"/>
      <c r="P514" s="0"/>
      <c r="Q514" s="0"/>
      <c r="R514" s="0"/>
      <c r="S514" s="0"/>
      <c r="T514" s="0"/>
      <c r="U514" s="0"/>
      <c r="V514" s="0"/>
      <c r="W514" s="0"/>
      <c r="X514" s="0"/>
      <c r="Y514" s="0"/>
      <c r="Z514" s="0"/>
      <c r="AA514" s="0"/>
      <c r="AB514" s="0"/>
      <c r="AC514" s="0"/>
      <c r="AD514" s="0"/>
      <c r="AE514" s="0"/>
      <c r="AF514" s="0"/>
      <c r="AG514" s="0"/>
      <c r="AH514" s="0"/>
      <c r="AI514" s="0"/>
      <c r="AJ514" s="0"/>
      <c r="AK514" s="0"/>
      <c r="AL514" s="0"/>
      <c r="AM514" s="0"/>
      <c r="AN514" s="0"/>
      <c r="AO514" s="0"/>
      <c r="AP514" s="0"/>
      <c r="AQ514" s="0"/>
      <c r="AR514" s="0"/>
      <c r="AS514" s="0"/>
      <c r="AT514" s="0"/>
      <c r="AU514" s="0"/>
      <c r="AV514" s="0"/>
      <c r="AW514" s="0"/>
      <c r="AX514" s="0"/>
      <c r="AY514" s="0"/>
      <c r="AZ514" s="0"/>
      <c r="BA514" s="0"/>
      <c r="BB514" s="0"/>
    </row>
    <row r="515" customFormat="false" ht="12.75" hidden="false" customHeight="false" outlineLevel="0" collapsed="false">
      <c r="A515" s="0"/>
      <c r="B515" s="0"/>
      <c r="C515" s="0"/>
      <c r="D515" s="0"/>
      <c r="E515" s="0"/>
      <c r="F515" s="0"/>
      <c r="G515" s="0"/>
      <c r="H515" s="0"/>
      <c r="I515" s="0"/>
      <c r="J515" s="0"/>
      <c r="K515" s="0"/>
      <c r="L515" s="0"/>
      <c r="M515" s="0"/>
      <c r="N515" s="0"/>
      <c r="O515" s="0"/>
      <c r="P515" s="0"/>
      <c r="Q515" s="0"/>
      <c r="R515" s="0"/>
      <c r="S515" s="0"/>
      <c r="T515" s="0"/>
      <c r="U515" s="0"/>
      <c r="V515" s="0"/>
      <c r="W515" s="0"/>
      <c r="X515" s="0"/>
      <c r="Y515" s="0"/>
      <c r="Z515" s="0"/>
      <c r="AA515" s="0"/>
      <c r="AB515" s="0"/>
      <c r="AC515" s="0"/>
      <c r="AD515" s="0"/>
      <c r="AE515" s="0"/>
      <c r="AF515" s="0"/>
      <c r="AG515" s="0"/>
      <c r="AH515" s="0"/>
      <c r="AI515" s="0"/>
      <c r="AJ515" s="0"/>
      <c r="AK515" s="0"/>
      <c r="AL515" s="0"/>
      <c r="AM515" s="0"/>
      <c r="AN515" s="0"/>
      <c r="AO515" s="0"/>
      <c r="AP515" s="0"/>
      <c r="AQ515" s="0"/>
      <c r="AR515" s="0"/>
      <c r="AS515" s="0"/>
      <c r="AT515" s="0"/>
      <c r="AU515" s="0"/>
      <c r="AV515" s="0"/>
      <c r="AW515" s="0"/>
      <c r="AX515" s="0"/>
      <c r="AY515" s="0"/>
      <c r="AZ515" s="0"/>
      <c r="BA515" s="0"/>
      <c r="BB515" s="0"/>
    </row>
    <row r="516" customFormat="false" ht="12.75" hidden="false" customHeight="false" outlineLevel="0" collapsed="false">
      <c r="A516" s="0"/>
      <c r="B516" s="0"/>
      <c r="C516" s="0"/>
      <c r="D516" s="0"/>
      <c r="E516" s="0"/>
      <c r="F516" s="0"/>
      <c r="G516" s="0"/>
      <c r="H516" s="0"/>
      <c r="I516" s="0"/>
      <c r="J516" s="0"/>
      <c r="K516" s="0"/>
      <c r="L516" s="0"/>
      <c r="M516" s="0"/>
      <c r="N516" s="0"/>
      <c r="O516" s="0"/>
      <c r="P516" s="0"/>
      <c r="Q516" s="0"/>
      <c r="R516" s="0"/>
      <c r="S516" s="0"/>
      <c r="T516" s="0"/>
      <c r="U516" s="0"/>
      <c r="V516" s="0"/>
      <c r="W516" s="0"/>
      <c r="X516" s="0"/>
      <c r="Y516" s="0"/>
      <c r="Z516" s="0"/>
      <c r="AA516" s="0"/>
      <c r="AB516" s="0"/>
      <c r="AC516" s="0"/>
      <c r="AD516" s="0"/>
      <c r="AE516" s="0"/>
      <c r="AF516" s="0"/>
      <c r="AG516" s="0"/>
      <c r="AH516" s="0"/>
      <c r="AI516" s="0"/>
      <c r="AJ516" s="0"/>
      <c r="AK516" s="0"/>
      <c r="AL516" s="0"/>
      <c r="AM516" s="0"/>
      <c r="AN516" s="0"/>
      <c r="AO516" s="0"/>
      <c r="AP516" s="0"/>
      <c r="AQ516" s="0"/>
      <c r="AR516" s="0"/>
      <c r="AS516" s="0"/>
      <c r="AT516" s="0"/>
      <c r="AU516" s="0"/>
      <c r="AV516" s="0"/>
      <c r="AW516" s="0"/>
      <c r="AX516" s="0"/>
      <c r="AY516" s="0"/>
      <c r="AZ516" s="0"/>
      <c r="BA516" s="0"/>
      <c r="BB516" s="0"/>
    </row>
    <row r="517" customFormat="false" ht="12.75" hidden="false" customHeight="false" outlineLevel="0" collapsed="false">
      <c r="A517" s="0"/>
      <c r="B517" s="0"/>
      <c r="C517" s="0"/>
      <c r="D517" s="0"/>
      <c r="E517" s="0"/>
      <c r="F517" s="0"/>
      <c r="G517" s="0"/>
      <c r="H517" s="0"/>
      <c r="I517" s="0"/>
      <c r="J517" s="0"/>
      <c r="K517" s="0"/>
      <c r="L517" s="0"/>
      <c r="M517" s="0"/>
      <c r="N517" s="0"/>
      <c r="O517" s="0"/>
      <c r="P517" s="0"/>
      <c r="Q517" s="0"/>
      <c r="R517" s="0"/>
      <c r="S517" s="0"/>
      <c r="T517" s="0"/>
      <c r="U517" s="0"/>
      <c r="V517" s="0"/>
      <c r="W517" s="0"/>
      <c r="X517" s="0"/>
      <c r="Y517" s="0"/>
      <c r="Z517" s="0"/>
      <c r="AA517" s="0"/>
      <c r="AB517" s="0"/>
      <c r="AC517" s="0"/>
      <c r="AD517" s="0"/>
      <c r="AE517" s="0"/>
      <c r="AF517" s="0"/>
      <c r="AG517" s="0"/>
      <c r="AH517" s="0"/>
      <c r="AI517" s="0"/>
      <c r="AJ517" s="0"/>
      <c r="AK517" s="0"/>
      <c r="AL517" s="0"/>
      <c r="AM517" s="0"/>
      <c r="AN517" s="0"/>
      <c r="AO517" s="0"/>
      <c r="AP517" s="0"/>
      <c r="AQ517" s="0"/>
      <c r="AR517" s="0"/>
      <c r="AS517" s="0"/>
      <c r="AT517" s="0"/>
      <c r="AU517" s="0"/>
      <c r="AV517" s="0"/>
      <c r="AW517" s="0"/>
      <c r="AX517" s="0"/>
      <c r="AY517" s="0"/>
      <c r="AZ517" s="0"/>
      <c r="BA517" s="0"/>
      <c r="BB517" s="0"/>
    </row>
    <row r="518" customFormat="false" ht="12.75" hidden="false" customHeight="false" outlineLevel="0" collapsed="false">
      <c r="A518" s="0"/>
      <c r="B518" s="0"/>
      <c r="C518" s="0"/>
      <c r="D518" s="0"/>
      <c r="E518" s="0"/>
      <c r="F518" s="0"/>
      <c r="G518" s="0"/>
      <c r="H518" s="0"/>
      <c r="I518" s="0"/>
      <c r="J518" s="0"/>
      <c r="K518" s="0"/>
      <c r="L518" s="0"/>
      <c r="M518" s="0"/>
      <c r="N518" s="0"/>
      <c r="O518" s="0"/>
      <c r="P518" s="0"/>
      <c r="Q518" s="0"/>
      <c r="R518" s="0"/>
      <c r="S518" s="0"/>
      <c r="T518" s="0"/>
      <c r="U518" s="0"/>
      <c r="V518" s="0"/>
      <c r="W518" s="0"/>
      <c r="X518" s="0"/>
      <c r="Y518" s="0"/>
      <c r="Z518" s="0"/>
      <c r="AA518" s="0"/>
      <c r="AB518" s="0"/>
      <c r="AC518" s="0"/>
      <c r="AD518" s="0"/>
      <c r="AE518" s="0"/>
      <c r="AF518" s="0"/>
      <c r="AG518" s="0"/>
      <c r="AH518" s="0"/>
      <c r="AI518" s="0"/>
      <c r="AJ518" s="0"/>
      <c r="AK518" s="0"/>
      <c r="AL518" s="0"/>
      <c r="AM518" s="0"/>
      <c r="AN518" s="0"/>
      <c r="AO518" s="0"/>
      <c r="AP518" s="0"/>
      <c r="AQ518" s="0"/>
      <c r="AR518" s="0"/>
      <c r="AS518" s="0"/>
      <c r="AT518" s="0"/>
      <c r="AU518" s="0"/>
      <c r="AV518" s="0"/>
      <c r="AW518" s="0"/>
      <c r="AX518" s="0"/>
      <c r="AY518" s="0"/>
      <c r="AZ518" s="0"/>
      <c r="BA518" s="0"/>
      <c r="BB518" s="0"/>
    </row>
    <row r="519" customFormat="false" ht="12.75" hidden="false" customHeight="false" outlineLevel="0" collapsed="false">
      <c r="A519" s="0"/>
      <c r="B519" s="0"/>
      <c r="C519" s="0"/>
      <c r="D519" s="0"/>
      <c r="E519" s="0"/>
      <c r="F519" s="0"/>
      <c r="G519" s="0"/>
      <c r="H519" s="0"/>
      <c r="I519" s="0"/>
      <c r="J519" s="0"/>
      <c r="K519" s="0"/>
      <c r="L519" s="0"/>
      <c r="M519" s="0"/>
      <c r="N519" s="0"/>
      <c r="O519" s="0"/>
      <c r="P519" s="0"/>
      <c r="Q519" s="0"/>
      <c r="R519" s="0"/>
      <c r="S519" s="0"/>
      <c r="T519" s="0"/>
      <c r="U519" s="0"/>
      <c r="V519" s="0"/>
      <c r="W519" s="0"/>
      <c r="X519" s="0"/>
      <c r="Y519" s="0"/>
      <c r="Z519" s="0"/>
      <c r="AA519" s="0"/>
      <c r="AB519" s="0"/>
      <c r="AC519" s="0"/>
      <c r="AD519" s="0"/>
      <c r="AE519" s="0"/>
      <c r="AF519" s="0"/>
      <c r="AG519" s="0"/>
      <c r="AH519" s="0"/>
      <c r="AI519" s="0"/>
      <c r="AJ519" s="0"/>
      <c r="AK519" s="0"/>
      <c r="AL519" s="0"/>
      <c r="AM519" s="0"/>
      <c r="AN519" s="0"/>
      <c r="AO519" s="0"/>
      <c r="AP519" s="0"/>
      <c r="AQ519" s="0"/>
      <c r="AR519" s="0"/>
      <c r="AS519" s="0"/>
      <c r="AT519" s="0"/>
      <c r="AU519" s="0"/>
      <c r="AV519" s="0"/>
      <c r="AW519" s="0"/>
      <c r="AX519" s="0"/>
      <c r="AY519" s="0"/>
      <c r="AZ519" s="0"/>
      <c r="BA519" s="0"/>
      <c r="BB519" s="0"/>
    </row>
    <row r="520" customFormat="false" ht="12.75" hidden="false" customHeight="false" outlineLevel="0" collapsed="false">
      <c r="A520" s="0"/>
      <c r="B520" s="0"/>
      <c r="C520" s="0"/>
      <c r="D520" s="0"/>
      <c r="E520" s="0"/>
      <c r="F520" s="0"/>
      <c r="G520" s="0"/>
      <c r="H520" s="0"/>
      <c r="I520" s="0"/>
      <c r="J520" s="0"/>
      <c r="K520" s="0"/>
      <c r="L520" s="0"/>
      <c r="M520" s="0"/>
      <c r="N520" s="0"/>
      <c r="O520" s="0"/>
      <c r="P520" s="0"/>
      <c r="Q520" s="0"/>
      <c r="R520" s="0"/>
      <c r="S520" s="0"/>
      <c r="T520" s="0"/>
      <c r="U520" s="0"/>
      <c r="V520" s="0"/>
      <c r="W520" s="0"/>
      <c r="X520" s="0"/>
      <c r="Y520" s="0"/>
      <c r="Z520" s="0"/>
      <c r="AA520" s="0"/>
      <c r="AB520" s="0"/>
      <c r="AC520" s="0"/>
      <c r="AD520" s="0"/>
      <c r="AE520" s="0"/>
      <c r="AF520" s="0"/>
      <c r="AG520" s="0"/>
      <c r="AH520" s="0"/>
      <c r="AI520" s="0"/>
      <c r="AJ520" s="0"/>
      <c r="AK520" s="0"/>
      <c r="AL520" s="0"/>
      <c r="AM520" s="0"/>
      <c r="AN520" s="0"/>
      <c r="AO520" s="0"/>
      <c r="AP520" s="0"/>
      <c r="AQ520" s="0"/>
      <c r="AR520" s="0"/>
      <c r="AS520" s="0"/>
      <c r="AT520" s="0"/>
      <c r="AU520" s="0"/>
      <c r="AV520" s="0"/>
      <c r="AW520" s="0"/>
      <c r="AX520" s="0"/>
      <c r="AY520" s="0"/>
      <c r="AZ520" s="0"/>
      <c r="BA520" s="0"/>
      <c r="BB520" s="0"/>
    </row>
    <row r="521" customFormat="false" ht="12.75" hidden="false" customHeight="false" outlineLevel="0" collapsed="false">
      <c r="A521" s="0"/>
      <c r="B521" s="0"/>
      <c r="C521" s="0"/>
      <c r="D521" s="0"/>
      <c r="E521" s="0"/>
      <c r="F521" s="0"/>
      <c r="G521" s="0"/>
      <c r="H521" s="0"/>
      <c r="I521" s="0"/>
      <c r="J521" s="0"/>
      <c r="K521" s="0"/>
      <c r="L521" s="0"/>
      <c r="M521" s="0"/>
      <c r="N521" s="0"/>
      <c r="O521" s="0"/>
      <c r="P521" s="0"/>
      <c r="Q521" s="0"/>
      <c r="R521" s="0"/>
      <c r="S521" s="0"/>
      <c r="T521" s="0"/>
      <c r="U521" s="0"/>
      <c r="V521" s="0"/>
      <c r="W521" s="0"/>
      <c r="X521" s="0"/>
      <c r="Y521" s="0"/>
      <c r="Z521" s="0"/>
      <c r="AA521" s="0"/>
      <c r="AB521" s="0"/>
      <c r="AC521" s="0"/>
      <c r="AD521" s="0"/>
      <c r="AE521" s="0"/>
      <c r="AF521" s="0"/>
      <c r="AG521" s="0"/>
      <c r="AH521" s="0"/>
      <c r="AI521" s="0"/>
      <c r="AJ521" s="0"/>
      <c r="AK521" s="0"/>
      <c r="AL521" s="0"/>
      <c r="AM521" s="0"/>
      <c r="AN521" s="0"/>
      <c r="AO521" s="0"/>
      <c r="AP521" s="0"/>
      <c r="AQ521" s="0"/>
      <c r="AR521" s="0"/>
      <c r="AS521" s="0"/>
      <c r="AT521" s="0"/>
      <c r="AU521" s="0"/>
      <c r="AV521" s="0"/>
      <c r="AW521" s="0"/>
      <c r="AX521" s="0"/>
      <c r="AY521" s="0"/>
      <c r="AZ521" s="0"/>
      <c r="BA521" s="0"/>
      <c r="BB521" s="0"/>
    </row>
    <row r="522" customFormat="false" ht="12.75" hidden="false" customHeight="false" outlineLevel="0" collapsed="false">
      <c r="A522" s="0"/>
      <c r="B522" s="0"/>
      <c r="C522" s="0"/>
      <c r="D522" s="0"/>
      <c r="E522" s="0"/>
      <c r="F522" s="0"/>
      <c r="G522" s="0"/>
      <c r="H522" s="0"/>
      <c r="I522" s="0"/>
      <c r="J522" s="0"/>
      <c r="K522" s="0"/>
      <c r="L522" s="0"/>
      <c r="M522" s="0"/>
      <c r="N522" s="0"/>
      <c r="O522" s="0"/>
      <c r="P522" s="0"/>
      <c r="Q522" s="0"/>
      <c r="R522" s="0"/>
      <c r="S522" s="0"/>
      <c r="T522" s="0"/>
      <c r="U522" s="0"/>
      <c r="V522" s="0"/>
      <c r="W522" s="0"/>
      <c r="X522" s="0"/>
      <c r="Y522" s="0"/>
      <c r="Z522" s="0"/>
      <c r="AA522" s="0"/>
      <c r="AB522" s="0"/>
      <c r="AC522" s="0"/>
      <c r="AD522" s="0"/>
      <c r="AE522" s="0"/>
      <c r="AF522" s="0"/>
      <c r="AG522" s="0"/>
      <c r="AH522" s="0"/>
      <c r="AI522" s="0"/>
      <c r="AJ522" s="0"/>
      <c r="AK522" s="0"/>
      <c r="AL522" s="0"/>
      <c r="AM522" s="0"/>
      <c r="AN522" s="0"/>
      <c r="AO522" s="0"/>
      <c r="AP522" s="0"/>
      <c r="AQ522" s="0"/>
      <c r="AR522" s="0"/>
      <c r="AS522" s="0"/>
      <c r="AT522" s="0"/>
      <c r="AU522" s="0"/>
      <c r="AV522" s="0"/>
      <c r="AW522" s="0"/>
      <c r="AX522" s="0"/>
      <c r="AY522" s="0"/>
      <c r="AZ522" s="0"/>
      <c r="BA522" s="0"/>
      <c r="BB522" s="0"/>
    </row>
    <row r="523" customFormat="false" ht="12.75" hidden="false" customHeight="false" outlineLevel="0" collapsed="false">
      <c r="A523" s="0"/>
      <c r="B523" s="0"/>
      <c r="C523" s="0"/>
      <c r="D523" s="0"/>
      <c r="E523" s="0"/>
      <c r="F523" s="0"/>
      <c r="G523" s="0"/>
      <c r="H523" s="0"/>
      <c r="I523" s="0"/>
      <c r="J523" s="0"/>
      <c r="K523" s="0"/>
      <c r="L523" s="0"/>
      <c r="M523" s="0"/>
      <c r="N523" s="0"/>
      <c r="O523" s="0"/>
      <c r="P523" s="0"/>
      <c r="Q523" s="0"/>
      <c r="R523" s="0"/>
      <c r="S523" s="0"/>
      <c r="T523" s="0"/>
      <c r="U523" s="0"/>
      <c r="V523" s="0"/>
      <c r="W523" s="0"/>
      <c r="X523" s="0"/>
      <c r="Y523" s="0"/>
      <c r="Z523" s="0"/>
      <c r="AA523" s="0"/>
      <c r="AB523" s="0"/>
      <c r="AC523" s="0"/>
      <c r="AD523" s="0"/>
      <c r="AE523" s="0"/>
      <c r="AF523" s="0"/>
      <c r="AG523" s="0"/>
      <c r="AH523" s="0"/>
      <c r="AI523" s="0"/>
      <c r="AJ523" s="0"/>
      <c r="AK523" s="0"/>
      <c r="AL523" s="0"/>
      <c r="AM523" s="0"/>
      <c r="AN523" s="0"/>
      <c r="AO523" s="0"/>
      <c r="AP523" s="0"/>
      <c r="AQ523" s="0"/>
      <c r="AR523" s="0"/>
      <c r="AS523" s="0"/>
      <c r="AT523" s="0"/>
      <c r="AU523" s="0"/>
      <c r="AV523" s="0"/>
      <c r="AW523" s="0"/>
      <c r="AX523" s="0"/>
      <c r="AY523" s="0"/>
      <c r="AZ523" s="0"/>
      <c r="BA523" s="0"/>
      <c r="BB523" s="0"/>
    </row>
    <row r="524" customFormat="false" ht="12.75" hidden="false" customHeight="false" outlineLevel="0" collapsed="false">
      <c r="A524" s="0"/>
      <c r="B524" s="0"/>
      <c r="C524" s="0"/>
      <c r="D524" s="0"/>
      <c r="E524" s="0"/>
      <c r="F524" s="0"/>
      <c r="G524" s="0"/>
      <c r="H524" s="0"/>
      <c r="I524" s="0"/>
      <c r="J524" s="0"/>
      <c r="K524" s="0"/>
      <c r="L524" s="0"/>
      <c r="M524" s="0"/>
      <c r="N524" s="0"/>
      <c r="O524" s="0"/>
      <c r="P524" s="0"/>
      <c r="Q524" s="0"/>
      <c r="R524" s="0"/>
      <c r="S524" s="0"/>
      <c r="T524" s="0"/>
      <c r="U524" s="0"/>
      <c r="V524" s="0"/>
      <c r="W524" s="0"/>
      <c r="X524" s="0"/>
      <c r="Y524" s="0"/>
      <c r="Z524" s="0"/>
      <c r="AA524" s="0"/>
      <c r="AB524" s="0"/>
      <c r="AC524" s="0"/>
      <c r="AD524" s="0"/>
      <c r="AE524" s="0"/>
      <c r="AF524" s="0"/>
      <c r="AG524" s="0"/>
      <c r="AH524" s="0"/>
      <c r="AI524" s="0"/>
      <c r="AJ524" s="0"/>
      <c r="AK524" s="0"/>
      <c r="AL524" s="0"/>
      <c r="AM524" s="0"/>
      <c r="AN524" s="0"/>
      <c r="AO524" s="0"/>
      <c r="AP524" s="0"/>
      <c r="AQ524" s="0"/>
      <c r="AR524" s="0"/>
      <c r="AS524" s="0"/>
      <c r="AT524" s="0"/>
      <c r="AU524" s="0"/>
      <c r="AV524" s="0"/>
      <c r="AW524" s="0"/>
      <c r="AX524" s="0"/>
      <c r="AY524" s="0"/>
      <c r="AZ524" s="0"/>
      <c r="BA524" s="0"/>
      <c r="BB524" s="0"/>
    </row>
    <row r="525" customFormat="false" ht="12.75" hidden="false" customHeight="false" outlineLevel="0" collapsed="false">
      <c r="A525" s="0"/>
      <c r="B525" s="0"/>
      <c r="C525" s="0"/>
      <c r="D525" s="0"/>
      <c r="E525" s="0"/>
      <c r="F525" s="0"/>
      <c r="G525" s="0"/>
      <c r="H525" s="0"/>
      <c r="I525" s="0"/>
      <c r="J525" s="0"/>
      <c r="K525" s="0"/>
      <c r="L525" s="0"/>
      <c r="M525" s="0"/>
      <c r="N525" s="0"/>
      <c r="O525" s="0"/>
      <c r="P525" s="0"/>
      <c r="Q525" s="0"/>
      <c r="R525" s="0"/>
      <c r="S525" s="0"/>
      <c r="T525" s="0"/>
      <c r="U525" s="0"/>
      <c r="V525" s="0"/>
      <c r="W525" s="0"/>
      <c r="X525" s="0"/>
      <c r="Y525" s="0"/>
      <c r="Z525" s="0"/>
      <c r="AA525" s="0"/>
      <c r="AB525" s="0"/>
      <c r="AC525" s="0"/>
      <c r="AD525" s="0"/>
      <c r="AE525" s="0"/>
      <c r="AF525" s="0"/>
      <c r="AG525" s="0"/>
      <c r="AH525" s="0"/>
      <c r="AI525" s="0"/>
      <c r="AJ525" s="0"/>
      <c r="AK525" s="0"/>
      <c r="AL525" s="0"/>
      <c r="AM525" s="0"/>
      <c r="AN525" s="0"/>
      <c r="AO525" s="0"/>
      <c r="AP525" s="0"/>
      <c r="AQ525" s="0"/>
      <c r="AR525" s="0"/>
      <c r="AS525" s="0"/>
      <c r="AT525" s="0"/>
      <c r="AU525" s="0"/>
      <c r="AV525" s="0"/>
      <c r="AW525" s="0"/>
      <c r="AX525" s="0"/>
      <c r="AY525" s="0"/>
      <c r="AZ525" s="0"/>
      <c r="BA525" s="0"/>
      <c r="BB525" s="0"/>
    </row>
    <row r="526" customFormat="false" ht="12.75" hidden="false" customHeight="false" outlineLevel="0" collapsed="false">
      <c r="A526" s="166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</row>
    <row r="527" customFormat="false" ht="12.75" hidden="false" customHeight="false" outlineLevel="0" collapsed="false">
      <c r="A527" s="166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</row>
    <row r="528" customFormat="false" ht="12.75" hidden="false" customHeight="false" outlineLevel="0" collapsed="false">
      <c r="A528" s="166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</row>
    <row r="529" customFormat="false" ht="12.75" hidden="false" customHeight="false" outlineLevel="0" collapsed="false">
      <c r="A529" s="166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</row>
    <row r="530" customFormat="false" ht="12.75" hidden="false" customHeight="false" outlineLevel="0" collapsed="false">
      <c r="A530" s="166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</row>
    <row r="531" customFormat="false" ht="12.75" hidden="false" customHeight="false" outlineLevel="0" collapsed="false">
      <c r="A531" s="166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</row>
    <row r="532" customFormat="false" ht="12.75" hidden="false" customHeight="false" outlineLevel="0" collapsed="false">
      <c r="A532" s="166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</row>
    <row r="533" customFormat="false" ht="12.75" hidden="false" customHeight="false" outlineLevel="0" collapsed="false">
      <c r="A533" s="166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</row>
    <row r="534" customFormat="false" ht="12.75" hidden="false" customHeight="false" outlineLevel="0" collapsed="false">
      <c r="A534" s="166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</row>
    <row r="535" customFormat="false" ht="12.75" hidden="false" customHeight="false" outlineLevel="0" collapsed="false">
      <c r="A535" s="166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</row>
    <row r="536" customFormat="false" ht="12.75" hidden="false" customHeight="false" outlineLevel="0" collapsed="false">
      <c r="A536" s="167"/>
      <c r="B536" s="168"/>
      <c r="C536" s="168"/>
      <c r="D536" s="168"/>
      <c r="E536" s="168"/>
      <c r="F536" s="168"/>
      <c r="G536" s="168"/>
      <c r="H536" s="168"/>
      <c r="I536" s="168"/>
      <c r="J536" s="168"/>
      <c r="K536" s="168"/>
      <c r="L536" s="168"/>
      <c r="M536" s="168"/>
      <c r="N536" s="168"/>
      <c r="O536" s="168"/>
      <c r="P536" s="168"/>
      <c r="Q536" s="168"/>
      <c r="R536" s="168"/>
      <c r="S536" s="168"/>
      <c r="T536" s="168"/>
      <c r="U536" s="168"/>
      <c r="V536" s="168"/>
      <c r="W536" s="168"/>
      <c r="X536" s="168"/>
      <c r="Y536" s="168"/>
      <c r="Z536" s="168"/>
      <c r="AA536" s="168"/>
      <c r="AB536" s="168"/>
    </row>
  </sheetData>
  <printOptions headings="tru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F229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pane xSplit="1" ySplit="0" topLeftCell="B1" activePane="topRight" state="frozen"/>
      <selection pane="topLeft" activeCell="A20" activeCellId="0" sqref="A20"/>
      <selection pane="topRight" activeCell="C39" activeCellId="0" sqref="C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7"/>
    <col collapsed="false" customWidth="true" hidden="false" outlineLevel="0" max="2" min="2" style="1" width="10.99"/>
    <col collapsed="false" customWidth="true" hidden="false" outlineLevel="0" max="3" min="3" style="1" width="9.14"/>
    <col collapsed="false" customWidth="true" hidden="false" outlineLevel="0" max="4" min="4" style="1" width="9.41"/>
    <col collapsed="false" customWidth="true" hidden="false" outlineLevel="0" max="5" min="5" style="1" width="10.13"/>
    <col collapsed="false" customWidth="true" hidden="false" outlineLevel="0" max="6" min="6" style="1" width="9.41"/>
    <col collapsed="false" customWidth="true" hidden="false" outlineLevel="0" max="11" min="7" style="1" width="9.14"/>
    <col collapsed="false" customWidth="true" hidden="false" outlineLevel="0" max="12" min="12" style="1" width="10.28"/>
    <col collapsed="false" customWidth="true" hidden="false" outlineLevel="0" max="46" min="13" style="1" width="9.14"/>
    <col collapsed="false" customWidth="true" hidden="false" outlineLevel="0" max="47" min="47" style="1" width="10.41"/>
    <col collapsed="false" customWidth="true" hidden="false" outlineLevel="0" max="49" min="48" style="1" width="9.14"/>
    <col collapsed="false" customWidth="true" hidden="false" outlineLevel="0" max="50" min="50" style="1" width="10.13"/>
    <col collapsed="false" customWidth="true" hidden="false" outlineLevel="0" max="53" min="51" style="1" width="9.99"/>
    <col collapsed="false" customWidth="true" hidden="false" outlineLevel="0" max="67" min="54" style="1" width="9.14"/>
    <col collapsed="false" customWidth="true" hidden="false" outlineLevel="0" max="68" min="68" style="1" width="9.85"/>
    <col collapsed="false" customWidth="true" hidden="false" outlineLevel="0" max="74" min="69" style="1" width="9.14"/>
    <col collapsed="false" customWidth="true" hidden="false" outlineLevel="0" max="86" min="76" style="1" width="9.14"/>
    <col collapsed="false" customWidth="true" hidden="false" outlineLevel="0" max="98" min="88" style="1" width="9.14"/>
    <col collapsed="false" customWidth="true" hidden="false" outlineLevel="0" max="109" min="100" style="1" width="9.14"/>
  </cols>
  <sheetData>
    <row r="1" customFormat="false" ht="12.75" hidden="false" customHeight="false" outlineLevel="0" collapsed="false">
      <c r="A1" s="2"/>
      <c r="B1" s="3"/>
      <c r="C1" s="4"/>
      <c r="D1" s="5" t="s">
        <v>0</v>
      </c>
      <c r="E1" s="5" t="n">
        <f aca="false">summerstrip</f>
        <v>0</v>
      </c>
      <c r="F1" s="5"/>
      <c r="G1" s="6" t="s">
        <v>1</v>
      </c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 t="s">
        <v>2</v>
      </c>
      <c r="AV1" s="0"/>
      <c r="AW1" s="0"/>
      <c r="AX1" s="0"/>
      <c r="AY1" s="0"/>
      <c r="AZ1" s="0"/>
      <c r="BA1" s="0"/>
      <c r="BB1" s="0"/>
      <c r="BC1" s="0"/>
      <c r="BD1" s="0"/>
    </row>
    <row r="2" customFormat="false" ht="12.75" hidden="false" customHeight="false" outlineLevel="0" collapsed="false">
      <c r="A2" s="2" t="s">
        <v>3</v>
      </c>
      <c r="B2" s="7" t="n">
        <f aca="true">TODAY()</f>
        <v>45927</v>
      </c>
      <c r="C2" s="4"/>
      <c r="D2" s="5" t="s">
        <v>4</v>
      </c>
      <c r="E2" s="5" t="n">
        <f aca="false">winterstrip</f>
        <v>0</v>
      </c>
      <c r="F2" s="5"/>
      <c r="G2" s="5"/>
      <c r="I2" s="0"/>
      <c r="J2" s="0"/>
      <c r="K2" s="0"/>
      <c r="L2" s="9" t="s">
        <v>16</v>
      </c>
      <c r="M2" s="0"/>
      <c r="N2" s="9" t="s">
        <v>84</v>
      </c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V2" s="0" t="s">
        <v>5</v>
      </c>
      <c r="AW2" s="0" t="s">
        <v>6</v>
      </c>
      <c r="AX2" s="0"/>
      <c r="AY2" s="0"/>
      <c r="AZ2" s="0"/>
      <c r="BA2" s="0"/>
      <c r="BB2" s="0"/>
      <c r="BC2" s="0"/>
      <c r="BD2" s="0"/>
      <c r="BI2" s="8"/>
      <c r="BJ2" s="8"/>
      <c r="BK2" s="38"/>
      <c r="BL2" s="8"/>
      <c r="BM2" s="38"/>
      <c r="BX2" s="8"/>
      <c r="BY2" s="38"/>
      <c r="CJ2" s="8"/>
      <c r="CK2" s="38"/>
      <c r="CV2" s="8"/>
      <c r="CW2" s="38"/>
    </row>
    <row r="3" customFormat="false" ht="12.75" hidden="false" customHeight="false" outlineLevel="0" collapsed="false">
      <c r="A3" s="2"/>
      <c r="B3" s="3"/>
      <c r="D3" s="5"/>
      <c r="E3" s="5"/>
      <c r="F3" s="9"/>
      <c r="G3" s="5"/>
      <c r="I3" s="0"/>
      <c r="J3" s="0"/>
      <c r="K3" s="0"/>
      <c r="L3" s="9" t="s">
        <v>18</v>
      </c>
      <c r="M3" s="0"/>
      <c r="N3" s="9" t="s">
        <v>16</v>
      </c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1" t="n">
        <v>1</v>
      </c>
      <c r="AV3" s="11" t="e">
        <f aca="false">B28</f>
        <v>#DIV/0!</v>
      </c>
      <c r="AW3" s="11" t="e">
        <f aca="false">B29</f>
        <v>#DIV/0!</v>
      </c>
      <c r="AX3" s="0"/>
      <c r="AY3" s="0"/>
      <c r="AZ3" s="0"/>
      <c r="BA3" s="0"/>
      <c r="BB3" s="0"/>
      <c r="BC3" s="0"/>
      <c r="BD3" s="0"/>
      <c r="BI3" s="8"/>
      <c r="BJ3" s="8"/>
      <c r="BK3" s="38"/>
      <c r="BL3" s="8"/>
      <c r="BM3" s="38"/>
      <c r="BX3" s="8"/>
      <c r="BY3" s="38"/>
      <c r="CJ3" s="8"/>
      <c r="CK3" s="38"/>
      <c r="CV3" s="8"/>
      <c r="CW3" s="38"/>
    </row>
    <row r="4" customFormat="false" ht="12.75" hidden="false" customHeight="false" outlineLevel="0" collapsed="false">
      <c r="A4" s="5" t="s">
        <v>7</v>
      </c>
      <c r="B4" s="9" t="str">
        <f aca="false">STRADDLES!L2</f>
        <v>IF-TETCO/M3</v>
      </c>
      <c r="D4" s="9" t="str">
        <f aca="false">STRADDLES!M2</f>
        <v>IF-HPL/SHPCHAN</v>
      </c>
      <c r="E4" s="5"/>
      <c r="F4" s="9" t="str">
        <f aca="false">STRADDLES!N2</f>
        <v>NGI-SOCAL</v>
      </c>
      <c r="H4" s="9" t="str">
        <f aca="false">STRADDLES!O2</f>
        <v>IF-TRANSCO/Z6</v>
      </c>
      <c r="I4" s="10"/>
      <c r="J4" s="10"/>
      <c r="K4" s="10"/>
      <c r="L4" s="9" t="s">
        <v>16</v>
      </c>
      <c r="M4" s="10"/>
      <c r="N4" s="9" t="s">
        <v>26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69"/>
      <c r="AU4" s="1" t="n">
        <v>-1</v>
      </c>
      <c r="AV4" s="11" t="e">
        <f aca="false">D28</f>
        <v>#DIV/0!</v>
      </c>
      <c r="AW4" s="11" t="e">
        <f aca="false">D29</f>
        <v>#DIV/0!</v>
      </c>
      <c r="AX4" s="169"/>
      <c r="AY4" s="169"/>
      <c r="AZ4" s="169"/>
      <c r="BA4" s="169"/>
      <c r="BB4" s="10"/>
      <c r="BC4" s="10"/>
      <c r="BD4" s="10"/>
      <c r="BI4" s="8"/>
      <c r="BJ4" s="8"/>
      <c r="BK4" s="38"/>
      <c r="BL4" s="8"/>
      <c r="BM4" s="38"/>
      <c r="BX4" s="8"/>
      <c r="BY4" s="38"/>
      <c r="CJ4" s="8"/>
      <c r="CK4" s="38"/>
      <c r="CV4" s="8"/>
      <c r="CW4" s="38"/>
    </row>
    <row r="5" customFormat="false" ht="12.75" hidden="false" customHeight="false" outlineLevel="0" collapsed="false">
      <c r="A5" s="5" t="s">
        <v>161</v>
      </c>
      <c r="B5" s="9" t="str">
        <f aca="false">STRADDLES!L3</f>
        <v>IF-HEHUB</v>
      </c>
      <c r="D5" s="9" t="str">
        <f aca="false">STRADDLES!M3</f>
        <v>IF-HEHUB</v>
      </c>
      <c r="E5" s="5"/>
      <c r="F5" s="9" t="str">
        <f aca="false">STRADDLES!N3</f>
        <v>NGI-SOCAL</v>
      </c>
      <c r="H5" s="9" t="str">
        <f aca="false">STRADDLES!O3</f>
        <v>IF-TRANSCO/Z6</v>
      </c>
      <c r="I5" s="10"/>
      <c r="J5" s="10"/>
      <c r="K5" s="10"/>
      <c r="L5" s="9" t="s">
        <v>21</v>
      </c>
      <c r="M5" s="10"/>
      <c r="N5" s="9" t="s">
        <v>116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69"/>
      <c r="AV5" s="11"/>
      <c r="AW5" s="11"/>
      <c r="AX5" s="169"/>
      <c r="AY5" s="169"/>
      <c r="AZ5" s="169"/>
      <c r="BA5" s="169"/>
      <c r="BB5" s="10"/>
      <c r="BC5" s="10"/>
      <c r="BD5" s="10"/>
      <c r="BI5" s="8"/>
      <c r="BJ5" s="8"/>
      <c r="BK5" s="38"/>
      <c r="BL5" s="8"/>
      <c r="BM5" s="38"/>
      <c r="BX5" s="8"/>
      <c r="BY5" s="38"/>
      <c r="CJ5" s="8"/>
      <c r="CK5" s="38"/>
      <c r="CV5" s="8"/>
      <c r="CW5" s="38"/>
    </row>
    <row r="6" customFormat="false" ht="12.75" hidden="false" customHeight="false" outlineLevel="0" collapsed="false">
      <c r="A6" s="5"/>
      <c r="B6" s="5" t="s">
        <v>8</v>
      </c>
      <c r="D6" s="5" t="s">
        <v>9</v>
      </c>
      <c r="F6" s="5" t="s">
        <v>10</v>
      </c>
      <c r="H6" s="5" t="s">
        <v>11</v>
      </c>
      <c r="L6" s="9" t="s">
        <v>128</v>
      </c>
      <c r="N6" s="9" t="s">
        <v>41</v>
      </c>
      <c r="AV6" s="11" t="e">
        <f aca="false">F28</f>
        <v>#NAME?</v>
      </c>
      <c r="AW6" s="11" t="e">
        <f aca="false">F29</f>
        <v>#NAME?</v>
      </c>
      <c r="BI6" s="8"/>
      <c r="BJ6" s="8"/>
      <c r="BK6" s="38"/>
      <c r="BL6" s="8"/>
      <c r="BM6" s="38"/>
      <c r="BX6" s="8"/>
      <c r="BY6" s="38"/>
      <c r="CJ6" s="8"/>
      <c r="CK6" s="38"/>
      <c r="CV6" s="8"/>
      <c r="CW6" s="38"/>
    </row>
    <row r="7" customFormat="false" ht="12.75" hidden="false" customHeight="false" outlineLevel="0" collapsed="false">
      <c r="A7" s="5" t="s">
        <v>12</v>
      </c>
      <c r="B7" s="12" t="n">
        <f aca="false">STRADDLES!L4</f>
        <v>37226</v>
      </c>
      <c r="C7" s="13"/>
      <c r="D7" s="12" t="n">
        <f aca="false">STRADDLES!M4</f>
        <v>37226</v>
      </c>
      <c r="E7" s="13"/>
      <c r="F7" s="12" t="n">
        <f aca="false">STRADDLES!N4</f>
        <v>37347</v>
      </c>
      <c r="G7" s="13"/>
      <c r="H7" s="12" t="n">
        <f aca="false">STRADDLES!O4</f>
        <v>37257</v>
      </c>
      <c r="L7" s="9" t="s">
        <v>24</v>
      </c>
      <c r="N7" s="9" t="s">
        <v>81</v>
      </c>
      <c r="AV7" s="11" t="e">
        <f aca="false">H28</f>
        <v>#NAME?</v>
      </c>
      <c r="AW7" s="11" t="e">
        <f aca="false">H29</f>
        <v>#NAME?</v>
      </c>
      <c r="BI7" s="8"/>
      <c r="BJ7" s="8"/>
      <c r="BK7" s="38"/>
      <c r="BL7" s="8"/>
      <c r="BM7" s="38"/>
      <c r="BX7" s="8"/>
      <c r="BY7" s="38"/>
      <c r="CJ7" s="8"/>
      <c r="CK7" s="38"/>
      <c r="CV7" s="8"/>
      <c r="CW7" s="38"/>
    </row>
    <row r="8" customFormat="false" ht="12.75" hidden="false" customHeight="false" outlineLevel="0" collapsed="false">
      <c r="A8" s="2" t="s">
        <v>13</v>
      </c>
      <c r="B8" s="12" t="n">
        <f aca="false">STRADDLES!L5</f>
        <v>37226</v>
      </c>
      <c r="C8" s="13"/>
      <c r="D8" s="12" t="n">
        <f aca="false">STRADDLES!M5</f>
        <v>37226</v>
      </c>
      <c r="E8" s="13"/>
      <c r="F8" s="12" t="n">
        <f aca="false">STRADDLES!N5</f>
        <v>37530</v>
      </c>
      <c r="G8" s="13"/>
      <c r="H8" s="12" t="n">
        <f aca="false">STRADDLES!O5</f>
        <v>37316</v>
      </c>
      <c r="L8" s="9" t="s">
        <v>26</v>
      </c>
      <c r="N8" s="9" t="s">
        <v>81</v>
      </c>
      <c r="AT8" s="16"/>
      <c r="AV8" s="15"/>
      <c r="AW8" s="16"/>
      <c r="AX8" s="16"/>
      <c r="AY8" s="16"/>
      <c r="AZ8" s="16"/>
      <c r="BA8" s="16"/>
      <c r="BC8" s="9" t="s">
        <v>16</v>
      </c>
      <c r="BD8" s="9"/>
      <c r="BI8" s="8"/>
      <c r="BJ8" s="8"/>
      <c r="BK8" s="38"/>
      <c r="BL8" s="8"/>
      <c r="BM8" s="38"/>
      <c r="BX8" s="8"/>
      <c r="BY8" s="38"/>
      <c r="CJ8" s="8"/>
      <c r="CK8" s="38"/>
      <c r="CV8" s="8"/>
      <c r="CW8" s="38"/>
    </row>
    <row r="9" customFormat="false" ht="12.75" hidden="false" customHeight="false" outlineLevel="0" collapsed="false">
      <c r="I9" s="19"/>
      <c r="J9" s="19"/>
      <c r="K9" s="19"/>
      <c r="L9" s="9" t="s">
        <v>28</v>
      </c>
      <c r="M9" s="19"/>
      <c r="N9" s="9" t="s">
        <v>21</v>
      </c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U9" s="9"/>
      <c r="AV9" s="1" t="e">
        <f aca="false">(AV3*$AU3)+(AV4*$AU4)+(AV6*$AU6)+(AV7*$AU7)</f>
        <v>#DIV/0!</v>
      </c>
      <c r="AW9" s="1" t="e">
        <f aca="false">(AW3*$AU3)+(AW4*$AU4)+(AW6*$AU6)+(AW7*$AU7)</f>
        <v>#DIV/0!</v>
      </c>
      <c r="BC9" s="9"/>
      <c r="BD9" s="9"/>
      <c r="BI9" s="8"/>
      <c r="BJ9" s="8"/>
      <c r="BK9" s="38"/>
      <c r="BL9" s="8"/>
      <c r="BM9" s="38"/>
      <c r="BX9" s="8"/>
      <c r="BY9" s="38"/>
      <c r="CJ9" s="8"/>
      <c r="CK9" s="38"/>
      <c r="CV9" s="8"/>
      <c r="CW9" s="38"/>
    </row>
    <row r="10" customFormat="false" ht="12.75" hidden="false" customHeight="false" outlineLevel="0" collapsed="false">
      <c r="A10" s="21" t="s">
        <v>162</v>
      </c>
      <c r="B10" s="170" t="n">
        <f aca="false">STRADDLES!M1</f>
        <v>1</v>
      </c>
      <c r="D10" s="170"/>
      <c r="F10" s="170"/>
      <c r="H10" s="170"/>
      <c r="I10" s="19"/>
      <c r="J10" s="19"/>
      <c r="K10" s="19"/>
      <c r="L10" s="9" t="s">
        <v>30</v>
      </c>
      <c r="M10" s="19"/>
      <c r="N10" s="9" t="s">
        <v>28</v>
      </c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U10" s="9"/>
      <c r="BC10" s="9"/>
      <c r="BD10" s="9"/>
      <c r="BI10" s="8"/>
      <c r="BJ10" s="8"/>
      <c r="BK10" s="38"/>
      <c r="BL10" s="8"/>
      <c r="BM10" s="38"/>
      <c r="BX10" s="8"/>
      <c r="BY10" s="38"/>
      <c r="CJ10" s="8"/>
      <c r="CK10" s="38"/>
      <c r="CV10" s="8"/>
      <c r="CW10" s="38"/>
    </row>
    <row r="11" customFormat="false" ht="12.75" hidden="false" customHeight="false" outlineLevel="0" collapsed="false">
      <c r="A11" s="17" t="s">
        <v>163</v>
      </c>
      <c r="B11" s="18" t="e">
        <f aca="false">BN31</f>
        <v>#DIV/0!</v>
      </c>
      <c r="C11" s="19"/>
      <c r="D11" s="18" t="e">
        <f aca="false">BZ31</f>
        <v>#DIV/0!</v>
      </c>
      <c r="E11" s="19"/>
      <c r="F11" s="18" t="n">
        <f aca="false">CL31</f>
        <v>2.8959953271028</v>
      </c>
      <c r="G11" s="19"/>
      <c r="H11" s="18" t="n">
        <f aca="false">CX31</f>
        <v>2.7682</v>
      </c>
      <c r="I11" s="19"/>
      <c r="J11" s="19"/>
      <c r="K11" s="19"/>
      <c r="L11" s="9" t="s">
        <v>32</v>
      </c>
      <c r="M11" s="19"/>
      <c r="N11" s="9" t="s">
        <v>39</v>
      </c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BC11" s="9" t="s">
        <v>21</v>
      </c>
      <c r="BD11" s="9"/>
      <c r="BI11" s="8"/>
      <c r="BJ11" s="8"/>
      <c r="BK11" s="38"/>
      <c r="BL11" s="8"/>
      <c r="BM11" s="38"/>
      <c r="BX11" s="8"/>
      <c r="BY11" s="38"/>
      <c r="CJ11" s="8"/>
      <c r="CK11" s="38"/>
      <c r="CV11" s="8"/>
      <c r="CW11" s="38"/>
    </row>
    <row r="12" customFormat="false" ht="12.75" hidden="false" customHeight="false" outlineLevel="0" collapsed="false">
      <c r="A12" s="17" t="s">
        <v>164</v>
      </c>
      <c r="B12" s="18" t="e">
        <f aca="false">BO31</f>
        <v>#DIV/0!</v>
      </c>
      <c r="C12" s="19"/>
      <c r="D12" s="18" t="e">
        <f aca="false">CA31</f>
        <v>#DIV/0!</v>
      </c>
      <c r="E12" s="19"/>
      <c r="F12" s="18" t="n">
        <f aca="false">CM31</f>
        <v>2.92146261682243</v>
      </c>
      <c r="G12" s="19"/>
      <c r="H12" s="18" t="n">
        <f aca="false">CY31</f>
        <v>4.10997777777778</v>
      </c>
      <c r="I12" s="19"/>
      <c r="J12" s="19"/>
      <c r="K12" s="33"/>
      <c r="L12" s="9" t="s">
        <v>33</v>
      </c>
      <c r="M12" s="33"/>
      <c r="N12" s="9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19"/>
      <c r="AU12" s="9"/>
      <c r="AW12" s="9"/>
      <c r="AX12" s="49"/>
      <c r="AY12" s="49"/>
      <c r="AZ12" s="49"/>
      <c r="BA12" s="49"/>
      <c r="BD12" s="9"/>
      <c r="BI12" s="8"/>
      <c r="BJ12" s="8"/>
      <c r="BK12" s="38"/>
      <c r="BL12" s="8"/>
      <c r="BM12" s="38"/>
      <c r="BX12" s="8"/>
      <c r="BY12" s="38"/>
      <c r="CJ12" s="8"/>
      <c r="CK12" s="38"/>
      <c r="CV12" s="8"/>
      <c r="CW12" s="38"/>
    </row>
    <row r="13" customFormat="false" ht="12.75" hidden="false" customHeight="false" outlineLevel="0" collapsed="false">
      <c r="A13" s="17" t="s">
        <v>14</v>
      </c>
      <c r="B13" s="18" t="e">
        <f aca="false">B12-B11</f>
        <v>#DIV/0!</v>
      </c>
      <c r="C13" s="18"/>
      <c r="D13" s="18" t="e">
        <f aca="false">D12-D11</f>
        <v>#DIV/0!</v>
      </c>
      <c r="E13" s="18"/>
      <c r="F13" s="18" t="n">
        <f aca="false">F12-F11</f>
        <v>0.0254672897196269</v>
      </c>
      <c r="G13" s="18"/>
      <c r="H13" s="18" t="n">
        <f aca="false">H12-H11</f>
        <v>1.34177777777778</v>
      </c>
      <c r="I13" s="19"/>
      <c r="J13" s="19"/>
      <c r="K13" s="33"/>
      <c r="L13" s="9" t="s">
        <v>35</v>
      </c>
      <c r="M13" s="19"/>
      <c r="N13" s="9" t="s">
        <v>30</v>
      </c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BC13" s="9"/>
      <c r="BD13" s="9"/>
      <c r="BI13" s="8"/>
      <c r="BJ13" s="8"/>
      <c r="BK13" s="38"/>
      <c r="BL13" s="8"/>
      <c r="BM13" s="38"/>
      <c r="BX13" s="8"/>
      <c r="BY13" s="38"/>
      <c r="CJ13" s="8"/>
      <c r="CK13" s="38"/>
      <c r="CV13" s="8"/>
      <c r="CW13" s="38"/>
    </row>
    <row r="14" customFormat="false" ht="12.75" hidden="false" customHeight="false" outlineLevel="0" collapsed="false">
      <c r="A14" s="17" t="s">
        <v>165</v>
      </c>
      <c r="B14" s="18" t="n">
        <f aca="false">STRADDLES!L10</f>
        <v>0</v>
      </c>
      <c r="C14" s="19"/>
      <c r="D14" s="18" t="n">
        <f aca="false">STRADDLES!M10</f>
        <v>0</v>
      </c>
      <c r="E14" s="19"/>
      <c r="F14" s="18" t="n">
        <f aca="false">STRADDLES!N10</f>
        <v>0</v>
      </c>
      <c r="G14" s="19"/>
      <c r="H14" s="18" t="n">
        <f aca="false">STRADDLES!O10</f>
        <v>0</v>
      </c>
      <c r="I14" s="19"/>
      <c r="J14" s="19"/>
      <c r="K14" s="33"/>
      <c r="L14" s="9" t="s">
        <v>37</v>
      </c>
      <c r="M14" s="33"/>
      <c r="N14" s="9" t="s">
        <v>35</v>
      </c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19"/>
      <c r="AU14" s="9"/>
      <c r="AV14" s="9" t="s">
        <v>16</v>
      </c>
      <c r="AW14" s="9"/>
      <c r="AX14" s="49"/>
      <c r="AY14" s="49"/>
      <c r="AZ14" s="49"/>
      <c r="BA14" s="49"/>
      <c r="BC14" s="9"/>
      <c r="BD14" s="9"/>
      <c r="BI14" s="8"/>
      <c r="BJ14" s="8"/>
      <c r="BK14" s="38"/>
      <c r="BL14" s="8"/>
      <c r="BM14" s="38"/>
      <c r="BX14" s="8"/>
      <c r="BY14" s="38"/>
      <c r="CJ14" s="8"/>
      <c r="CK14" s="38"/>
      <c r="CV14" s="8"/>
      <c r="CW14" s="38"/>
    </row>
    <row r="15" customFormat="false" ht="12.75" hidden="false" customHeight="false" outlineLevel="0" collapsed="false">
      <c r="A15" s="17" t="s">
        <v>166</v>
      </c>
      <c r="B15" s="23" t="n">
        <f aca="false">STRADDLES!L9</f>
        <v>0.03</v>
      </c>
      <c r="C15" s="24"/>
      <c r="D15" s="23" t="n">
        <f aca="false">STRADDLES!M9</f>
        <v>-0.03</v>
      </c>
      <c r="E15" s="24"/>
      <c r="F15" s="23" t="n">
        <f aca="false">STRADDLES!N9</f>
        <v>0</v>
      </c>
      <c r="G15" s="24"/>
      <c r="H15" s="23" t="n">
        <f aca="false">STRADDLES!O9</f>
        <v>0</v>
      </c>
      <c r="I15" s="19"/>
      <c r="J15" s="19"/>
      <c r="K15" s="19"/>
      <c r="L15" s="9" t="s">
        <v>39</v>
      </c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U15" s="9"/>
      <c r="AV15" s="9" t="s">
        <v>18</v>
      </c>
      <c r="AW15" s="9"/>
      <c r="AX15" s="49"/>
      <c r="AY15" s="49"/>
      <c r="AZ15" s="49"/>
      <c r="BA15" s="49"/>
      <c r="BD15" s="9"/>
      <c r="BI15" s="8"/>
      <c r="BJ15" s="8"/>
      <c r="BK15" s="38"/>
      <c r="BL15" s="8"/>
      <c r="BM15" s="38"/>
      <c r="BX15" s="8"/>
      <c r="BY15" s="38"/>
      <c r="CJ15" s="8"/>
      <c r="CK15" s="38"/>
      <c r="CV15" s="8"/>
      <c r="CW15" s="38"/>
    </row>
    <row r="16" customFormat="false" ht="12.75" hidden="false" customHeight="false" outlineLevel="0" collapsed="false">
      <c r="A16" s="17" t="s">
        <v>17</v>
      </c>
      <c r="B16" s="23" t="n">
        <v>0</v>
      </c>
      <c r="C16" s="24"/>
      <c r="D16" s="23" t="n">
        <v>0</v>
      </c>
      <c r="E16" s="24"/>
      <c r="F16" s="23" t="n">
        <v>0</v>
      </c>
      <c r="G16" s="24"/>
      <c r="H16" s="23" t="n">
        <v>0</v>
      </c>
      <c r="I16" s="26"/>
      <c r="J16" s="26"/>
      <c r="K16" s="26"/>
      <c r="L16" s="9" t="s">
        <v>41</v>
      </c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8"/>
      <c r="AU16" s="9"/>
      <c r="AV16" s="9" t="s">
        <v>16</v>
      </c>
      <c r="AW16" s="9"/>
      <c r="AX16" s="8"/>
      <c r="BD16" s="9"/>
      <c r="BH16" s="10"/>
      <c r="BI16" s="8"/>
      <c r="BJ16" s="8"/>
      <c r="BK16" s="38"/>
      <c r="BL16" s="8"/>
      <c r="BM16" s="38"/>
      <c r="BX16" s="8"/>
      <c r="BY16" s="38"/>
      <c r="CJ16" s="8"/>
      <c r="CK16" s="38"/>
      <c r="CV16" s="8"/>
      <c r="CW16" s="38"/>
    </row>
    <row r="17" customFormat="false" ht="12.75" hidden="false" customHeight="false" outlineLevel="0" collapsed="false">
      <c r="A17" s="21" t="s">
        <v>64</v>
      </c>
      <c r="B17" s="27" t="n">
        <f aca="false">STRADDLES!L11</f>
        <v>0.1</v>
      </c>
      <c r="C17" s="27"/>
      <c r="D17" s="27" t="n">
        <f aca="false">STRADDLES!M11</f>
        <v>0</v>
      </c>
      <c r="E17" s="27"/>
      <c r="F17" s="27" t="n">
        <f aca="false">STRADDLES!N11</f>
        <v>0</v>
      </c>
      <c r="G17" s="27"/>
      <c r="H17" s="27" t="n">
        <f aca="false">STRADDLES!O11</f>
        <v>0</v>
      </c>
      <c r="I17" s="28"/>
      <c r="J17" s="28"/>
      <c r="K17" s="28"/>
      <c r="L17" s="9" t="s">
        <v>123</v>
      </c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8"/>
      <c r="AU17" s="8"/>
      <c r="AV17" s="9" t="s">
        <v>21</v>
      </c>
      <c r="AW17" s="9"/>
      <c r="AX17" s="8"/>
      <c r="BD17" s="9"/>
      <c r="BH17" s="10"/>
      <c r="BI17" s="8"/>
      <c r="BJ17" s="8"/>
      <c r="BK17" s="38"/>
      <c r="BL17" s="8"/>
      <c r="BM17" s="38"/>
      <c r="BX17" s="8"/>
      <c r="BY17" s="38"/>
      <c r="CJ17" s="8"/>
      <c r="CK17" s="38"/>
      <c r="CV17" s="8"/>
      <c r="CW17" s="38"/>
    </row>
    <row r="18" customFormat="false" ht="12.75" hidden="false" customHeight="false" outlineLevel="0" collapsed="false">
      <c r="A18" s="21" t="s">
        <v>167</v>
      </c>
      <c r="B18" s="27" t="n">
        <f aca="false">STRADDLES!L12</f>
        <v>0.1</v>
      </c>
      <c r="C18" s="27"/>
      <c r="D18" s="27" t="n">
        <f aca="false">STRADDLES!M12</f>
        <v>0.1</v>
      </c>
      <c r="E18" s="27"/>
      <c r="F18" s="27" t="n">
        <f aca="false">STRADDLES!N12</f>
        <v>0</v>
      </c>
      <c r="G18" s="27"/>
      <c r="H18" s="27" t="n">
        <f aca="false">STRADDLES!O12</f>
        <v>0.5</v>
      </c>
      <c r="I18" s="28"/>
      <c r="J18" s="28"/>
      <c r="K18" s="28"/>
      <c r="L18" s="9" t="s">
        <v>132</v>
      </c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8"/>
      <c r="AU18" s="8"/>
      <c r="AV18" s="9"/>
      <c r="AW18" s="9"/>
      <c r="AX18" s="8"/>
      <c r="BD18" s="9"/>
      <c r="BH18" s="10"/>
      <c r="BI18" s="8"/>
      <c r="BJ18" s="8"/>
      <c r="BK18" s="38"/>
      <c r="BL18" s="8"/>
      <c r="BM18" s="38"/>
      <c r="BX18" s="8"/>
      <c r="BY18" s="38"/>
      <c r="CJ18" s="8"/>
      <c r="CK18" s="38"/>
      <c r="CV18" s="8"/>
      <c r="CW18" s="38"/>
    </row>
    <row r="19" customFormat="false" ht="12.75" hidden="false" customHeight="false" outlineLevel="0" collapsed="false">
      <c r="A19" s="21" t="s">
        <v>168</v>
      </c>
      <c r="B19" s="27" t="e">
        <f aca="false">BV31</f>
        <v>#DIV/0!</v>
      </c>
      <c r="C19" s="27"/>
      <c r="D19" s="27" t="e">
        <f aca="false">CH31</f>
        <v>#DIV/0!</v>
      </c>
      <c r="E19" s="27"/>
      <c r="F19" s="27" t="n">
        <f aca="false">CT31</f>
        <v>0.744485981308411</v>
      </c>
      <c r="G19" s="27"/>
      <c r="H19" s="27" t="n">
        <f aca="false">DF31</f>
        <v>2.88277777777778</v>
      </c>
      <c r="I19" s="28"/>
      <c r="J19" s="28"/>
      <c r="K19" s="28"/>
      <c r="L19" s="9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8"/>
      <c r="AU19" s="8"/>
      <c r="AV19" s="9"/>
      <c r="AW19" s="9"/>
      <c r="AX19" s="8"/>
      <c r="BD19" s="9"/>
      <c r="BH19" s="10"/>
      <c r="BI19" s="8"/>
      <c r="BJ19" s="8"/>
      <c r="BK19" s="38"/>
      <c r="BL19" s="8"/>
      <c r="BM19" s="38"/>
      <c r="BX19" s="8"/>
      <c r="BY19" s="38"/>
      <c r="CJ19" s="8"/>
      <c r="CK19" s="38"/>
      <c r="CV19" s="8"/>
      <c r="CW19" s="38"/>
    </row>
    <row r="20" customFormat="false" ht="12.75" hidden="false" customHeight="false" outlineLevel="0" collapsed="false">
      <c r="A20" s="31" t="s">
        <v>27</v>
      </c>
      <c r="B20" s="122" t="n">
        <v>0</v>
      </c>
      <c r="C20" s="29"/>
      <c r="D20" s="122" t="n">
        <v>0</v>
      </c>
      <c r="E20" s="30"/>
      <c r="F20" s="122" t="n">
        <v>0</v>
      </c>
      <c r="G20" s="30"/>
      <c r="H20" s="122" t="n">
        <v>0</v>
      </c>
      <c r="I20" s="19"/>
      <c r="J20" s="19"/>
      <c r="K20" s="19"/>
      <c r="L20" s="19" t="n">
        <v>37027</v>
      </c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V20" s="9" t="s">
        <v>24</v>
      </c>
      <c r="BC20" s="9"/>
      <c r="BD20" s="9"/>
      <c r="BI20" s="8"/>
      <c r="BJ20" s="8"/>
      <c r="BK20" s="38"/>
      <c r="BL20" s="8"/>
      <c r="BM20" s="38"/>
      <c r="BX20" s="8"/>
      <c r="BY20" s="38"/>
      <c r="CJ20" s="8"/>
      <c r="CK20" s="38"/>
      <c r="CV20" s="8"/>
      <c r="CW20" s="38"/>
    </row>
    <row r="21" customFormat="false" ht="12.75" hidden="false" customHeight="false" outlineLevel="0" collapsed="false">
      <c r="A21" s="17"/>
      <c r="B21" s="23"/>
      <c r="C21" s="24"/>
      <c r="D21" s="23"/>
      <c r="E21" s="24"/>
      <c r="F21" s="23"/>
      <c r="G21" s="24"/>
      <c r="H21" s="23"/>
      <c r="I21" s="26"/>
      <c r="J21" s="26"/>
      <c r="K21" s="26"/>
      <c r="L21" s="171" t="n">
        <v>37150</v>
      </c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V21" s="9" t="s">
        <v>26</v>
      </c>
      <c r="AW21" s="9"/>
      <c r="AX21" s="49"/>
      <c r="AY21" s="49"/>
      <c r="AZ21" s="49"/>
      <c r="BA21" s="49"/>
      <c r="BD21" s="9"/>
      <c r="BI21" s="8"/>
      <c r="BJ21" s="8"/>
      <c r="BK21" s="38"/>
      <c r="BL21" s="8"/>
      <c r="BM21" s="38"/>
      <c r="BP21" s="76" t="n">
        <f aca="false">$A$40-$B$2</f>
        <v>-8611</v>
      </c>
      <c r="BX21" s="8"/>
      <c r="BY21" s="38"/>
      <c r="CJ21" s="8"/>
      <c r="CK21" s="38"/>
      <c r="CV21" s="8"/>
      <c r="CW21" s="38"/>
    </row>
    <row r="22" customFormat="false" ht="12.75" hidden="false" customHeight="false" outlineLevel="0" collapsed="false">
      <c r="A22" s="21" t="s">
        <v>29</v>
      </c>
      <c r="B22" s="34" t="n">
        <f aca="false">STRADDLES!L13</f>
        <v>2</v>
      </c>
      <c r="C22" s="30"/>
      <c r="D22" s="34" t="n">
        <f aca="false">STRADDLES!M13</f>
        <v>2.42</v>
      </c>
      <c r="E22" s="34"/>
      <c r="F22" s="34" t="n">
        <f aca="false">STRADDLES!N13</f>
        <v>2.8</v>
      </c>
      <c r="G22" s="34"/>
      <c r="H22" s="34" t="n">
        <f aca="false">STRADDLES!O13</f>
        <v>3.5</v>
      </c>
      <c r="I22" s="26"/>
      <c r="J22" s="26"/>
      <c r="K22" s="26"/>
      <c r="L22" s="172" t="n">
        <f aca="false">(L21-L20)+1</f>
        <v>124</v>
      </c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8"/>
      <c r="AU22" s="9"/>
      <c r="AV22" s="9" t="s">
        <v>28</v>
      </c>
      <c r="AW22" s="9"/>
      <c r="AX22" s="8"/>
      <c r="BD22" s="9"/>
      <c r="BI22" s="8"/>
      <c r="BJ22" s="8"/>
      <c r="BK22" s="38"/>
      <c r="BL22" s="8"/>
      <c r="BM22" s="38"/>
      <c r="BP22" s="76" t="n">
        <f aca="false">$BG$40-$A40</f>
        <v>0</v>
      </c>
      <c r="BX22" s="8"/>
      <c r="BY22" s="38"/>
      <c r="CJ22" s="8"/>
      <c r="CK22" s="38"/>
      <c r="CV22" s="8"/>
      <c r="CW22" s="38"/>
    </row>
    <row r="23" customFormat="false" ht="12.75" hidden="false" customHeight="false" outlineLevel="0" collapsed="false">
      <c r="A23" s="21" t="s">
        <v>169</v>
      </c>
      <c r="B23" s="27" t="n">
        <v>1</v>
      </c>
      <c r="C23" s="30"/>
      <c r="D23" s="27" t="n">
        <v>1</v>
      </c>
      <c r="E23" s="27"/>
      <c r="F23" s="27" t="n">
        <v>1</v>
      </c>
      <c r="G23" s="27"/>
      <c r="H23" s="27" t="n">
        <v>1</v>
      </c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8"/>
      <c r="AU23" s="9"/>
      <c r="AV23" s="9"/>
      <c r="AW23" s="9"/>
      <c r="AX23" s="8"/>
      <c r="BD23" s="9"/>
      <c r="BI23" s="8"/>
      <c r="BJ23" s="8"/>
      <c r="BK23" s="8"/>
      <c r="BL23" s="8"/>
      <c r="BM23" s="8"/>
      <c r="BP23" s="76" t="n">
        <f aca="false">$BH$40-$A40</f>
        <v>30</v>
      </c>
      <c r="BX23" s="8"/>
      <c r="BY23" s="8"/>
      <c r="CJ23" s="8"/>
      <c r="CK23" s="8"/>
      <c r="CV23" s="8"/>
      <c r="CW23" s="8"/>
    </row>
    <row r="24" customFormat="false" ht="12.75" hidden="false" customHeight="false" outlineLevel="0" collapsed="false">
      <c r="A24" s="21" t="s">
        <v>108</v>
      </c>
      <c r="B24" s="34" t="n">
        <f aca="false">STRADDLES!L14</f>
        <v>0</v>
      </c>
      <c r="C24" s="30"/>
      <c r="D24" s="34" t="n">
        <f aca="false">STRADDLES!M14</f>
        <v>0</v>
      </c>
      <c r="E24" s="34"/>
      <c r="F24" s="34" t="n">
        <f aca="false">STRADDLES!N14</f>
        <v>0</v>
      </c>
      <c r="G24" s="34"/>
      <c r="H24" s="34" t="n">
        <f aca="false">STRADDLES!O14</f>
        <v>0</v>
      </c>
      <c r="I24" s="26"/>
      <c r="J24" s="26"/>
      <c r="K24" s="26"/>
      <c r="L24" s="26" t="n">
        <v>0.45</v>
      </c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8"/>
      <c r="AU24" s="9"/>
      <c r="AV24" s="9"/>
      <c r="AW24" s="9"/>
      <c r="AX24" s="8"/>
      <c r="BD24" s="9"/>
      <c r="BI24" s="8"/>
      <c r="BJ24" s="8"/>
      <c r="BK24" s="8"/>
      <c r="BL24" s="8"/>
      <c r="BM24" s="8"/>
      <c r="BX24" s="8"/>
      <c r="BY24" s="8"/>
      <c r="CJ24" s="8"/>
      <c r="CK24" s="8"/>
      <c r="CV24" s="8"/>
      <c r="CW24" s="8"/>
    </row>
    <row r="25" customFormat="false" ht="12.75" hidden="false" customHeight="false" outlineLevel="0" collapsed="false">
      <c r="B25" s="34"/>
      <c r="C25" s="30"/>
      <c r="D25" s="34"/>
      <c r="E25" s="34"/>
      <c r="F25" s="34"/>
      <c r="G25" s="34"/>
      <c r="H25" s="34"/>
      <c r="I25" s="26"/>
      <c r="J25" s="26"/>
      <c r="K25" s="26"/>
      <c r="L25" s="173" t="n">
        <f aca="false">(L24*57)/L22</f>
        <v>0.206854838709677</v>
      </c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8"/>
      <c r="AU25" s="9"/>
      <c r="AV25" s="9"/>
      <c r="AW25" s="9"/>
      <c r="AX25" s="8"/>
      <c r="BD25" s="9"/>
      <c r="BI25" s="8"/>
      <c r="BJ25" s="8"/>
      <c r="BK25" s="8"/>
      <c r="BL25" s="8"/>
      <c r="BM25" s="8"/>
      <c r="BT25" s="174" t="e">
        <f aca="false">BS40/BL40</f>
        <v>#DIV/0!</v>
      </c>
      <c r="BX25" s="8"/>
      <c r="BY25" s="8"/>
      <c r="CJ25" s="8"/>
      <c r="CK25" s="8"/>
      <c r="CV25" s="8"/>
      <c r="CW25" s="8"/>
    </row>
    <row r="26" customFormat="false" ht="12.75" hidden="false" customHeight="false" outlineLevel="0" collapsed="false">
      <c r="A26" s="21" t="s">
        <v>31</v>
      </c>
      <c r="B26" s="35" t="n">
        <f aca="false">STRADDLES!L15</f>
        <v>0</v>
      </c>
      <c r="C26" s="30"/>
      <c r="D26" s="35" t="n">
        <f aca="false">STRADDLES!M15</f>
        <v>0</v>
      </c>
      <c r="E26" s="35"/>
      <c r="F26" s="35" t="n">
        <f aca="false">STRADDLES!N15</f>
        <v>0</v>
      </c>
      <c r="G26" s="35"/>
      <c r="H26" s="35" t="n">
        <f aca="false">STRADDLES!O15</f>
        <v>1</v>
      </c>
      <c r="AV26" s="9" t="s">
        <v>30</v>
      </c>
    </row>
    <row r="27" customFormat="false" ht="12.75" hidden="false" customHeight="false" outlineLevel="0" collapsed="false">
      <c r="A27" s="1" t="s">
        <v>170</v>
      </c>
      <c r="AV27" s="9" t="s">
        <v>32</v>
      </c>
      <c r="BC27" s="1" t="n">
        <f aca="false">500000/(300*10000)</f>
        <v>0.166666666666667</v>
      </c>
    </row>
    <row r="28" customFormat="false" ht="12.75" hidden="false" customHeight="false" outlineLevel="0" collapsed="false">
      <c r="A28" s="21" t="s">
        <v>34</v>
      </c>
      <c r="B28" s="33" t="e">
        <f aca="false">BS31</f>
        <v>#DIV/0!</v>
      </c>
      <c r="C28" s="26"/>
      <c r="D28" s="33" t="e">
        <f aca="false">CE31</f>
        <v>#DIV/0!</v>
      </c>
      <c r="E28" s="26"/>
      <c r="F28" s="33" t="e">
        <f aca="false">CQ31</f>
        <v>#NAME?</v>
      </c>
      <c r="G28" s="26"/>
      <c r="H28" s="33" t="e">
        <f aca="false">DC31</f>
        <v>#NAME?</v>
      </c>
      <c r="L28" s="9" t="s">
        <v>131</v>
      </c>
      <c r="AV28" s="9" t="s">
        <v>33</v>
      </c>
      <c r="BF28" s="1" t="n">
        <f aca="false">500000/181</f>
        <v>2762.43093922652</v>
      </c>
    </row>
    <row r="29" customFormat="false" ht="12.75" hidden="false" customHeight="false" outlineLevel="0" collapsed="false">
      <c r="A29" s="21" t="s">
        <v>63</v>
      </c>
      <c r="B29" s="33" t="e">
        <f aca="false">BT31</f>
        <v>#DIV/0!</v>
      </c>
      <c r="C29" s="26"/>
      <c r="D29" s="33" t="e">
        <f aca="false">CF31</f>
        <v>#DIV/0!</v>
      </c>
      <c r="E29" s="26"/>
      <c r="F29" s="33" t="e">
        <f aca="false">CR31</f>
        <v>#NAME?</v>
      </c>
      <c r="G29" s="26"/>
      <c r="H29" s="33" t="e">
        <f aca="false">DD31</f>
        <v>#NAME?</v>
      </c>
      <c r="AV29" s="9" t="s">
        <v>35</v>
      </c>
    </row>
    <row r="30" customFormat="false" ht="12.75" hidden="false" customHeight="false" outlineLevel="0" collapsed="false">
      <c r="A30" s="21" t="str">
        <f aca="false">G1</f>
        <v>VEGA</v>
      </c>
      <c r="B30" s="33" t="e">
        <f aca="false">BU31</f>
        <v>#DIV/0!</v>
      </c>
      <c r="C30" s="26"/>
      <c r="D30" s="33" t="e">
        <f aca="false">CG31</f>
        <v>#DIV/0!</v>
      </c>
      <c r="E30" s="26"/>
      <c r="F30" s="33" t="e">
        <f aca="false">CS31</f>
        <v>#NAME?</v>
      </c>
      <c r="G30" s="26"/>
      <c r="H30" s="33" t="e">
        <f aca="false">DE31</f>
        <v>#NAME?</v>
      </c>
      <c r="AV30" s="9" t="s">
        <v>128</v>
      </c>
      <c r="BE30" s="4" t="e">
        <f aca="false">VLOOKUP($A30,STRADDLE,14,FALSE())</f>
        <v>#N/A</v>
      </c>
    </row>
    <row r="31" customFormat="false" ht="12.75" hidden="false" customHeight="false" outlineLevel="0" collapsed="false">
      <c r="A31" s="8"/>
      <c r="B31" s="175"/>
      <c r="C31" s="8"/>
      <c r="D31" s="175"/>
      <c r="E31" s="8"/>
      <c r="F31" s="175"/>
      <c r="G31" s="8"/>
      <c r="H31" s="8"/>
      <c r="I31" s="8"/>
      <c r="J31" s="8"/>
      <c r="K31" s="8" t="n">
        <f aca="false">0.6*0.26</f>
        <v>0.156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9"/>
      <c r="AV31" s="9" t="s">
        <v>171</v>
      </c>
      <c r="AW31" s="8"/>
      <c r="AX31" s="8"/>
      <c r="BD31" s="9"/>
      <c r="BI31" s="8"/>
      <c r="BJ31" s="8"/>
      <c r="BK31" s="38"/>
      <c r="BL31" s="8"/>
      <c r="BN31" s="1" t="e">
        <f aca="false">BN33/BL35</f>
        <v>#DIV/0!</v>
      </c>
      <c r="BO31" s="1" t="e">
        <f aca="false">BO33/BL35</f>
        <v>#DIV/0!</v>
      </c>
      <c r="BS31" s="41" t="e">
        <f aca="false">BS33/BL35</f>
        <v>#DIV/0!</v>
      </c>
      <c r="BT31" s="41" t="e">
        <f aca="false">BT33/BL35</f>
        <v>#DIV/0!</v>
      </c>
      <c r="BU31" s="41" t="e">
        <f aca="false">BU33/BL35</f>
        <v>#DIV/0!</v>
      </c>
      <c r="BV31" s="176" t="e">
        <f aca="false">SUM(BV38:BV157)/BL35</f>
        <v>#DIV/0!</v>
      </c>
      <c r="BX31" s="8"/>
      <c r="BZ31" s="1" t="e">
        <f aca="false">BZ33/BX35</f>
        <v>#DIV/0!</v>
      </c>
      <c r="CA31" s="1" t="e">
        <f aca="false">CA33/BX35</f>
        <v>#DIV/0!</v>
      </c>
      <c r="CE31" s="41" t="e">
        <f aca="false">CE33/BX35</f>
        <v>#DIV/0!</v>
      </c>
      <c r="CF31" s="41" t="e">
        <f aca="false">CF33/BX35</f>
        <v>#DIV/0!</v>
      </c>
      <c r="CG31" s="41" t="e">
        <f aca="false">CG33/BX35</f>
        <v>#DIV/0!</v>
      </c>
      <c r="CH31" s="176" t="e">
        <f aca="false">SUM(CH38:CH157)/BX35</f>
        <v>#DIV/0!</v>
      </c>
      <c r="CJ31" s="8"/>
      <c r="CL31" s="1" t="n">
        <f aca="false">CL33/CJ35</f>
        <v>2.8959953271028</v>
      </c>
      <c r="CM31" s="1" t="n">
        <f aca="false">CM33/CJ35</f>
        <v>2.92146261682243</v>
      </c>
      <c r="CQ31" s="41" t="e">
        <f aca="false">CQ33/CJ35</f>
        <v>#NAME?</v>
      </c>
      <c r="CR31" s="41" t="e">
        <f aca="false">CR33/CJ35</f>
        <v>#NAME?</v>
      </c>
      <c r="CS31" s="41" t="e">
        <f aca="false">CS33/CJ35</f>
        <v>#NAME?</v>
      </c>
      <c r="CT31" s="176" t="n">
        <f aca="false">SUM(CT38:CT157)/CJ35</f>
        <v>0.744485981308411</v>
      </c>
      <c r="CV31" s="8"/>
      <c r="CX31" s="1" t="n">
        <f aca="false">CX33/CV35</f>
        <v>2.7682</v>
      </c>
      <c r="CY31" s="1" t="n">
        <f aca="false">CY33/CV35</f>
        <v>4.10997777777778</v>
      </c>
      <c r="DC31" s="41" t="e">
        <f aca="false">DC33/CV35</f>
        <v>#NAME?</v>
      </c>
      <c r="DD31" s="41" t="e">
        <f aca="false">DD33/CV35</f>
        <v>#NAME?</v>
      </c>
      <c r="DE31" s="41" t="e">
        <f aca="false">DE33/CV35</f>
        <v>#NAME?</v>
      </c>
      <c r="DF31" s="176" t="n">
        <f aca="false">SUM(DF38:DF157)/CV35</f>
        <v>2.88277777777778</v>
      </c>
    </row>
    <row r="32" customFormat="false" ht="12.75" hidden="false" customHeight="false" outlineLevel="0" collapsed="false">
      <c r="A32" s="8"/>
      <c r="B32" s="175" t="e">
        <f aca="false">B28-D28</f>
        <v>#DIV/0!</v>
      </c>
      <c r="C32" s="177" t="e">
        <f aca="false">B30*30.5*100</f>
        <v>#DIV/0!</v>
      </c>
      <c r="D32" s="8"/>
      <c r="E32" s="8"/>
      <c r="F32" s="175" t="e">
        <f aca="false">F28-H28</f>
        <v>#NAME?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9"/>
      <c r="AV32" s="8"/>
      <c r="AW32" s="8"/>
      <c r="AX32" s="8"/>
      <c r="BD32" s="9"/>
      <c r="BE32" s="178"/>
      <c r="BI32" s="8"/>
      <c r="BJ32" s="8"/>
      <c r="BK32" s="38"/>
      <c r="BL32" s="8"/>
      <c r="BM32" s="179" t="n">
        <f aca="false">B7</f>
        <v>37226</v>
      </c>
      <c r="BU32" s="0"/>
      <c r="BV32" s="0"/>
      <c r="BX32" s="8"/>
      <c r="BY32" s="42" t="n">
        <f aca="false">D7</f>
        <v>37226</v>
      </c>
      <c r="CG32" s="0"/>
      <c r="CH32" s="0"/>
      <c r="CJ32" s="8"/>
      <c r="CK32" s="42" t="n">
        <f aca="false">F7</f>
        <v>37347</v>
      </c>
      <c r="CS32" s="0"/>
      <c r="CT32" s="0"/>
      <c r="CV32" s="8"/>
      <c r="CW32" s="42" t="n">
        <f aca="false">H7</f>
        <v>37257</v>
      </c>
      <c r="DE32" s="0"/>
    </row>
    <row r="33" customFormat="false" ht="12.75" hidden="false" customHeight="false" outlineLevel="0" collapsed="false">
      <c r="A33" s="8" t="n">
        <v>0.385604298895453</v>
      </c>
      <c r="B33" s="180"/>
      <c r="C33" s="8"/>
      <c r="D33" s="180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54"/>
      <c r="AU33" s="54"/>
      <c r="AV33" s="54"/>
      <c r="AW33" s="54"/>
      <c r="AX33" s="54"/>
      <c r="AY33" s="181"/>
      <c r="AZ33" s="181"/>
      <c r="BA33" s="181"/>
      <c r="BB33" s="43"/>
      <c r="BC33" s="44"/>
      <c r="BD33" s="44"/>
      <c r="BE33" s="44"/>
      <c r="BF33" s="45"/>
      <c r="BG33" s="45"/>
      <c r="BH33" s="46"/>
      <c r="BI33" s="8"/>
      <c r="BJ33" s="8"/>
      <c r="BK33" s="38"/>
      <c r="BL33" s="8" t="s">
        <v>50</v>
      </c>
      <c r="BM33" s="179" t="n">
        <f aca="false">B8</f>
        <v>37226</v>
      </c>
      <c r="BN33" s="47" t="n">
        <f aca="false">SUM(BN38:BN157)</f>
        <v>0</v>
      </c>
      <c r="BO33" s="47" t="n">
        <f aca="false">SUM(BO38:BO157)</f>
        <v>0</v>
      </c>
      <c r="BP33" s="47"/>
      <c r="BQ33" s="47"/>
      <c r="BR33" s="47"/>
      <c r="BS33" s="47" t="n">
        <f aca="false">SUM(BS38:BS157)</f>
        <v>0</v>
      </c>
      <c r="BT33" s="47" t="n">
        <f aca="false">SUM(BT38:BT157)</f>
        <v>0</v>
      </c>
      <c r="BU33" s="47" t="n">
        <f aca="false">SUM(BU38:BU157)</f>
        <v>0</v>
      </c>
      <c r="BV33" s="47"/>
      <c r="BX33" s="8" t="s">
        <v>51</v>
      </c>
      <c r="BY33" s="42" t="n">
        <f aca="false">D8</f>
        <v>37226</v>
      </c>
      <c r="BZ33" s="47" t="n">
        <f aca="false">SUM(BZ38:BZ157)</f>
        <v>0</v>
      </c>
      <c r="CA33" s="47" t="n">
        <f aca="false">SUM(CA38:CA157)</f>
        <v>0</v>
      </c>
      <c r="CB33" s="47"/>
      <c r="CC33" s="47"/>
      <c r="CD33" s="47"/>
      <c r="CE33" s="47" t="n">
        <f aca="false">SUM(CE38:CE157)</f>
        <v>0</v>
      </c>
      <c r="CF33" s="47" t="n">
        <f aca="false">SUM(CF38:CF157)</f>
        <v>0</v>
      </c>
      <c r="CG33" s="47" t="n">
        <f aca="false">SUM(CG38:CG157)</f>
        <v>0</v>
      </c>
      <c r="CH33" s="47"/>
      <c r="CJ33" s="8" t="s">
        <v>52</v>
      </c>
      <c r="CK33" s="42" t="n">
        <f aca="false">F8</f>
        <v>37530</v>
      </c>
      <c r="CL33" s="47" t="n">
        <f aca="false">SUM(CL38:CL157)</f>
        <v>619.743</v>
      </c>
      <c r="CM33" s="47" t="n">
        <f aca="false">SUM(CM38:CM157)</f>
        <v>625.193</v>
      </c>
      <c r="CN33" s="47"/>
      <c r="CO33" s="47"/>
      <c r="CP33" s="47"/>
      <c r="CQ33" s="47" t="e">
        <f aca="false">SUM(CQ38:CQ157)</f>
        <v>#NAME?</v>
      </c>
      <c r="CR33" s="47" t="e">
        <f aca="false">SUM(CR38:CR157)</f>
        <v>#NAME?</v>
      </c>
      <c r="CS33" s="47" t="e">
        <f aca="false">SUM(CS38:CS157)</f>
        <v>#NAME?</v>
      </c>
      <c r="CT33" s="47"/>
      <c r="CV33" s="8" t="s">
        <v>53</v>
      </c>
      <c r="CW33" s="42" t="n">
        <f aca="false">H8</f>
        <v>37316</v>
      </c>
      <c r="CX33" s="47" t="n">
        <f aca="false">SUM(CX38:CX157)</f>
        <v>249.138</v>
      </c>
      <c r="CY33" s="47" t="n">
        <f aca="false">SUM(CY38:CY157)</f>
        <v>369.898</v>
      </c>
      <c r="CZ33" s="47"/>
      <c r="DA33" s="47"/>
      <c r="DB33" s="47"/>
      <c r="DC33" s="47" t="e">
        <f aca="false">SUM(DC38:DC157)</f>
        <v>#NAME?</v>
      </c>
      <c r="DD33" s="47" t="e">
        <f aca="false">SUM(DD38:DD157)</f>
        <v>#NAME?</v>
      </c>
      <c r="DE33" s="47" t="e">
        <f aca="false">SUM(DE38:DE157)</f>
        <v>#NAME?</v>
      </c>
    </row>
    <row r="34" customFormat="false" ht="12.75" hidden="false" customHeight="false" outlineLevel="0" collapsed="false">
      <c r="A34" s="8" t="n">
        <v>0.390509017260553</v>
      </c>
      <c r="B34" s="49"/>
      <c r="C34" s="8"/>
      <c r="D34" s="5" t="s">
        <v>8</v>
      </c>
      <c r="E34" s="8"/>
      <c r="F34" s="49"/>
      <c r="G34" s="8"/>
      <c r="H34" s="49"/>
      <c r="I34" s="66" t="n">
        <f aca="false">IF($B$10=1,(($BM34-B$14)*$B$23)+B$24,$B$22)</f>
        <v>0</v>
      </c>
      <c r="J34" s="67" t="n">
        <f aca="false">I34-BM34+$B$24</f>
        <v>0</v>
      </c>
      <c r="K34" s="8"/>
      <c r="L34" s="8"/>
      <c r="M34" s="8"/>
      <c r="N34" s="5" t="s">
        <v>9</v>
      </c>
      <c r="O34" s="8"/>
      <c r="P34" s="49"/>
      <c r="Q34" s="8"/>
      <c r="R34" s="49"/>
      <c r="S34" s="8"/>
      <c r="T34" s="8"/>
      <c r="U34" s="8"/>
      <c r="V34" s="8"/>
      <c r="W34" s="8"/>
      <c r="X34" s="5" t="s">
        <v>10</v>
      </c>
      <c r="Y34" s="8"/>
      <c r="Z34" s="49"/>
      <c r="AA34" s="8"/>
      <c r="AB34" s="49"/>
      <c r="AC34" s="8"/>
      <c r="AD34" s="8"/>
      <c r="AE34" s="8"/>
      <c r="AF34" s="8"/>
      <c r="AG34" s="8"/>
      <c r="AH34" s="5" t="s">
        <v>11</v>
      </c>
      <c r="AI34" s="8"/>
      <c r="AJ34" s="49"/>
      <c r="AK34" s="8"/>
      <c r="AL34" s="49"/>
      <c r="AM34" s="8"/>
      <c r="AN34" s="8"/>
      <c r="AO34" s="8"/>
      <c r="AP34" s="8"/>
      <c r="AQ34" s="8"/>
      <c r="AR34" s="8"/>
      <c r="AS34" s="8"/>
      <c r="AT34" s="65"/>
      <c r="AU34" s="0"/>
      <c r="AV34" s="0"/>
      <c r="AW34" s="0"/>
      <c r="AX34" s="0"/>
      <c r="AY34" s="0"/>
      <c r="AZ34" s="0"/>
      <c r="BA34" s="0"/>
      <c r="BC34" s="65"/>
      <c r="BD34" s="65"/>
      <c r="BE34" s="65"/>
      <c r="BI34" s="8"/>
      <c r="BJ34" s="8"/>
      <c r="BK34" s="38"/>
      <c r="BL34" s="8"/>
      <c r="BP34" s="1" t="s">
        <v>31</v>
      </c>
      <c r="BQ34" s="1" t="n">
        <f aca="false">$B$26</f>
        <v>0</v>
      </c>
      <c r="BU34" s="0"/>
      <c r="BV34" s="0"/>
      <c r="BX34" s="8"/>
      <c r="CB34" s="1" t="s">
        <v>31</v>
      </c>
      <c r="CC34" s="1" t="n">
        <f aca="false">D26</f>
        <v>0</v>
      </c>
      <c r="CG34" s="0"/>
      <c r="CH34" s="0"/>
      <c r="CJ34" s="8"/>
      <c r="CN34" s="1" t="s">
        <v>31</v>
      </c>
      <c r="CO34" s="1" t="n">
        <f aca="false">F26</f>
        <v>0</v>
      </c>
      <c r="CS34" s="0"/>
      <c r="CT34" s="0"/>
      <c r="CV34" s="8"/>
      <c r="CZ34" s="1" t="s">
        <v>31</v>
      </c>
      <c r="DA34" s="1" t="n">
        <f aca="false">H26</f>
        <v>1</v>
      </c>
      <c r="DE34" s="0"/>
    </row>
    <row r="35" customFormat="false" ht="12.75" hidden="false" customHeight="false" outlineLevel="0" collapsed="false">
      <c r="A35" s="8" t="n">
        <f aca="false">A34+A33</f>
        <v>0.776113316156006</v>
      </c>
      <c r="B35" s="52"/>
      <c r="C35" s="52"/>
      <c r="D35" s="9" t="str">
        <f aca="false">B4</f>
        <v>IF-TETCO/M3</v>
      </c>
      <c r="N35" s="9" t="str">
        <f aca="false">D4</f>
        <v>IF-HPL/SHPCHAN</v>
      </c>
      <c r="X35" s="9" t="str">
        <f aca="false">F4</f>
        <v>NGI-SOCAL</v>
      </c>
      <c r="AH35" s="9" t="str">
        <f aca="false">H4</f>
        <v>IF-TRANSCO/Z6</v>
      </c>
      <c r="AU35" s="0"/>
      <c r="AV35" s="0"/>
      <c r="AW35" s="0"/>
      <c r="AX35" s="0"/>
      <c r="AY35" s="0"/>
      <c r="AZ35" s="0"/>
      <c r="BA35" s="0"/>
      <c r="BC35" s="54"/>
      <c r="BD35" s="54"/>
      <c r="BE35" s="54"/>
      <c r="BG35" s="1" t="n">
        <v>0</v>
      </c>
      <c r="BJ35" s="1" t="n">
        <f aca="false">STRADDLES!M1</f>
        <v>1</v>
      </c>
      <c r="BK35" s="38"/>
      <c r="BL35" s="55" t="n">
        <f aca="false">SUM(BL38:BL157)</f>
        <v>0</v>
      </c>
      <c r="BP35" s="1" t="s">
        <v>172</v>
      </c>
      <c r="BQ35" s="1" t="n">
        <v>3</v>
      </c>
      <c r="BU35" s="0"/>
      <c r="BV35" s="0"/>
      <c r="BX35" s="55" t="n">
        <f aca="false">SUM(BX38:BX157)</f>
        <v>0</v>
      </c>
      <c r="CB35" s="1" t="s">
        <v>172</v>
      </c>
      <c r="CC35" s="1" t="n">
        <v>3</v>
      </c>
      <c r="CG35" s="0"/>
      <c r="CH35" s="0"/>
      <c r="CJ35" s="55" t="n">
        <f aca="false">SUM(CJ38:CJ157)</f>
        <v>214</v>
      </c>
      <c r="CN35" s="1" t="s">
        <v>172</v>
      </c>
      <c r="CO35" s="1" t="n">
        <v>3</v>
      </c>
      <c r="CS35" s="0"/>
      <c r="CT35" s="0"/>
      <c r="CV35" s="55" t="n">
        <f aca="false">SUM(CV38:CV157)</f>
        <v>90</v>
      </c>
      <c r="CZ35" s="1" t="s">
        <v>172</v>
      </c>
      <c r="DA35" s="1" t="n">
        <v>3</v>
      </c>
      <c r="DE35" s="0"/>
    </row>
    <row r="36" customFormat="false" ht="13.5" hidden="false" customHeight="false" outlineLevel="0" collapsed="false">
      <c r="B36" s="56"/>
      <c r="C36" s="56"/>
      <c r="D36" s="9" t="str">
        <f aca="false">B5</f>
        <v>IF-HEHUB</v>
      </c>
      <c r="E36" s="8"/>
      <c r="F36" s="8"/>
      <c r="G36" s="8"/>
      <c r="H36" s="8"/>
      <c r="I36" s="8"/>
      <c r="J36" s="8"/>
      <c r="K36" s="8"/>
      <c r="L36" s="8"/>
      <c r="M36" s="8"/>
      <c r="N36" s="9" t="str">
        <f aca="false">D5</f>
        <v>IF-HEHUB</v>
      </c>
      <c r="O36" s="8"/>
      <c r="P36" s="8"/>
      <c r="Q36" s="8"/>
      <c r="R36" s="8"/>
      <c r="S36" s="8"/>
      <c r="T36" s="8"/>
      <c r="U36" s="8"/>
      <c r="V36" s="8"/>
      <c r="W36" s="8"/>
      <c r="X36" s="9" t="str">
        <f aca="false">F5</f>
        <v>NGI-SOCAL</v>
      </c>
      <c r="Y36" s="8"/>
      <c r="Z36" s="8"/>
      <c r="AA36" s="8"/>
      <c r="AB36" s="8"/>
      <c r="AC36" s="8"/>
      <c r="AD36" s="8"/>
      <c r="AE36" s="8"/>
      <c r="AF36" s="8"/>
      <c r="AG36" s="8"/>
      <c r="AH36" s="9" t="str">
        <f aca="false">H5</f>
        <v>IF-TRANSCO/Z6</v>
      </c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0"/>
      <c r="AV36" s="0"/>
      <c r="AW36" s="0"/>
      <c r="AX36" s="0"/>
      <c r="AY36" s="0"/>
      <c r="AZ36" s="0"/>
      <c r="BA36" s="0"/>
      <c r="BB36" s="43"/>
      <c r="BF36" s="8"/>
      <c r="BG36" s="8"/>
      <c r="BH36" s="8"/>
      <c r="BJ36" s="8" t="str">
        <f aca="false">STRADDLES!P1</f>
        <v>nymex</v>
      </c>
      <c r="BM36" s="1" t="s">
        <v>173</v>
      </c>
      <c r="BN36" s="57" t="s">
        <v>54</v>
      </c>
      <c r="BO36" s="57" t="s">
        <v>55</v>
      </c>
      <c r="BP36" s="57" t="s">
        <v>34</v>
      </c>
      <c r="BQ36" s="57" t="s">
        <v>63</v>
      </c>
      <c r="BR36" s="57" t="str">
        <f aca="false">$G1</f>
        <v>VEGA</v>
      </c>
      <c r="BS36" s="4" t="s">
        <v>34</v>
      </c>
      <c r="BT36" s="4" t="s">
        <v>63</v>
      </c>
      <c r="BU36" s="4" t="str">
        <f aca="false">BR36</f>
        <v>VEGA</v>
      </c>
      <c r="BV36" s="65"/>
      <c r="BY36" s="1" t="s">
        <v>173</v>
      </c>
      <c r="BZ36" s="57" t="s">
        <v>54</v>
      </c>
      <c r="CA36" s="57" t="s">
        <v>55</v>
      </c>
      <c r="CB36" s="57" t="s">
        <v>34</v>
      </c>
      <c r="CC36" s="57" t="s">
        <v>63</v>
      </c>
      <c r="CD36" s="57" t="str">
        <f aca="false">$G1</f>
        <v>VEGA</v>
      </c>
      <c r="CE36" s="4" t="s">
        <v>34</v>
      </c>
      <c r="CF36" s="4" t="s">
        <v>63</v>
      </c>
      <c r="CG36" s="4" t="str">
        <f aca="false">CD36</f>
        <v>VEGA</v>
      </c>
      <c r="CH36" s="65"/>
      <c r="CK36" s="1" t="s">
        <v>173</v>
      </c>
      <c r="CL36" s="57" t="s">
        <v>54</v>
      </c>
      <c r="CM36" s="57" t="s">
        <v>55</v>
      </c>
      <c r="CN36" s="57" t="s">
        <v>34</v>
      </c>
      <c r="CO36" s="57" t="s">
        <v>63</v>
      </c>
      <c r="CP36" s="57" t="str">
        <f aca="false">$G1</f>
        <v>VEGA</v>
      </c>
      <c r="CQ36" s="4" t="s">
        <v>34</v>
      </c>
      <c r="CR36" s="4" t="s">
        <v>63</v>
      </c>
      <c r="CS36" s="4" t="str">
        <f aca="false">CP36</f>
        <v>VEGA</v>
      </c>
      <c r="CT36" s="65"/>
      <c r="CW36" s="1" t="s">
        <v>173</v>
      </c>
      <c r="CX36" s="57" t="s">
        <v>54</v>
      </c>
      <c r="CY36" s="57" t="s">
        <v>55</v>
      </c>
      <c r="CZ36" s="57" t="s">
        <v>34</v>
      </c>
      <c r="DA36" s="57" t="s">
        <v>63</v>
      </c>
      <c r="DB36" s="57" t="str">
        <f aca="false">$G1</f>
        <v>VEGA</v>
      </c>
      <c r="DC36" s="4" t="s">
        <v>34</v>
      </c>
      <c r="DD36" s="4" t="s">
        <v>63</v>
      </c>
      <c r="DE36" s="4" t="str">
        <f aca="false">DB36</f>
        <v>VEGA</v>
      </c>
    </row>
    <row r="37" customFormat="false" ht="14.25" hidden="false" customHeight="false" outlineLevel="0" collapsed="false">
      <c r="A37" s="59" t="s">
        <v>59</v>
      </c>
      <c r="B37" s="59" t="s">
        <v>60</v>
      </c>
      <c r="C37" s="59" t="s">
        <v>61</v>
      </c>
      <c r="D37" s="59" t="s">
        <v>14</v>
      </c>
      <c r="E37" s="59" t="s">
        <v>64</v>
      </c>
      <c r="F37" s="59" t="s">
        <v>174</v>
      </c>
      <c r="G37" s="59" t="s">
        <v>175</v>
      </c>
      <c r="H37" s="59" t="s">
        <v>176</v>
      </c>
      <c r="I37" s="59" t="s">
        <v>177</v>
      </c>
      <c r="J37" s="59" t="s">
        <v>178</v>
      </c>
      <c r="K37" s="0"/>
      <c r="L37" s="0"/>
      <c r="M37" s="60"/>
      <c r="N37" s="59" t="s">
        <v>14</v>
      </c>
      <c r="O37" s="59" t="s">
        <v>64</v>
      </c>
      <c r="P37" s="59" t="s">
        <v>174</v>
      </c>
      <c r="Q37" s="59" t="s">
        <v>175</v>
      </c>
      <c r="R37" s="59" t="s">
        <v>176</v>
      </c>
      <c r="S37" s="59" t="s">
        <v>177</v>
      </c>
      <c r="T37" s="59" t="s">
        <v>178</v>
      </c>
      <c r="U37" s="0"/>
      <c r="V37" s="0"/>
      <c r="W37" s="0"/>
      <c r="X37" s="59" t="s">
        <v>14</v>
      </c>
      <c r="Y37" s="59" t="s">
        <v>64</v>
      </c>
      <c r="Z37" s="59" t="s">
        <v>174</v>
      </c>
      <c r="AA37" s="59" t="s">
        <v>175</v>
      </c>
      <c r="AB37" s="59" t="s">
        <v>176</v>
      </c>
      <c r="AC37" s="59" t="s">
        <v>177</v>
      </c>
      <c r="AD37" s="59" t="s">
        <v>178</v>
      </c>
      <c r="AE37" s="0"/>
      <c r="AF37" s="0"/>
      <c r="AG37" s="0"/>
      <c r="AH37" s="59" t="s">
        <v>14</v>
      </c>
      <c r="AI37" s="59" t="s">
        <v>64</v>
      </c>
      <c r="AJ37" s="59" t="s">
        <v>174</v>
      </c>
      <c r="AK37" s="59" t="s">
        <v>175</v>
      </c>
      <c r="AL37" s="59" t="s">
        <v>176</v>
      </c>
      <c r="AM37" s="59" t="s">
        <v>177</v>
      </c>
      <c r="AN37" s="59" t="s">
        <v>178</v>
      </c>
      <c r="AO37" s="0"/>
      <c r="AP37" s="0"/>
      <c r="AQ37" s="60"/>
      <c r="AR37" s="60"/>
      <c r="AU37" s="0"/>
      <c r="AV37" s="0"/>
      <c r="AW37" s="0"/>
      <c r="AX37" s="0"/>
      <c r="AY37" s="0"/>
      <c r="AZ37" s="0"/>
      <c r="BA37" s="0"/>
      <c r="BD37" s="59"/>
      <c r="BE37" s="59" t="s">
        <v>67</v>
      </c>
      <c r="BF37" s="8"/>
      <c r="BG37" s="8" t="s">
        <v>179</v>
      </c>
      <c r="BH37" s="1" t="s">
        <v>180</v>
      </c>
      <c r="BJ37" s="60"/>
      <c r="BL37" s="1" t="s">
        <v>68</v>
      </c>
      <c r="BO37" s="38"/>
      <c r="BP37" s="8"/>
      <c r="BQ37" s="8"/>
      <c r="BR37" s="8"/>
      <c r="BU37" s="0" t="s">
        <v>181</v>
      </c>
      <c r="BV37" s="0"/>
      <c r="BX37" s="1" t="s">
        <v>68</v>
      </c>
      <c r="CA37" s="38"/>
      <c r="CB37" s="8"/>
      <c r="CC37" s="8"/>
      <c r="CD37" s="8"/>
      <c r="CG37" s="0" t="s">
        <v>181</v>
      </c>
      <c r="CH37" s="0"/>
      <c r="CJ37" s="1" t="s">
        <v>68</v>
      </c>
      <c r="CM37" s="38"/>
      <c r="CN37" s="8"/>
      <c r="CO37" s="8"/>
      <c r="CP37" s="8"/>
      <c r="CS37" s="0" t="s">
        <v>181</v>
      </c>
      <c r="CT37" s="0"/>
      <c r="CV37" s="1" t="s">
        <v>68</v>
      </c>
      <c r="CY37" s="38"/>
      <c r="CZ37" s="8"/>
      <c r="DA37" s="8"/>
      <c r="DB37" s="8"/>
      <c r="DE37" s="0" t="s">
        <v>181</v>
      </c>
    </row>
    <row r="38" customFormat="false" ht="13.5" hidden="false" customHeight="false" outlineLevel="0" collapsed="false">
      <c r="A38" s="62" t="n">
        <v>37257</v>
      </c>
      <c r="B38" s="63" t="n">
        <f aca="false">VLOOKUP(A38,STRADDLE,5,FALSE())</f>
        <v>2.719</v>
      </c>
      <c r="C38" s="4" t="n">
        <f aca="false">VLOOKUP(A38,STRADDLE,8,FALSE())</f>
        <v>0.87</v>
      </c>
      <c r="D38" s="63" t="n">
        <f aca="false">IF(D$35="nymex",0,VLOOKUP($A38,curvesettle,HLOOKUP(D$35,curvesettle,2,FALSE())))</f>
        <v>0.78</v>
      </c>
      <c r="E38" s="65" t="n">
        <f aca="false">IF(ISNUMBER(VLOOKUP($A38,VOLCURVES,HLOOKUP(D$35,VOLCURVES,2,FALSE()),FALSE())),VLOOKUP($A38,VOLCURVES,HLOOKUP(D$35,VOLCURVES,2,FALSE()),FALSE()),1)</f>
        <v>1</v>
      </c>
      <c r="F38" s="4" t="n">
        <f aca="false">(($C38+H38)*$E38)+B$17</f>
        <v>0.97</v>
      </c>
      <c r="G38" s="65" t="n">
        <f aca="false">VLOOKUP($A38,GASDVOLCURVES,HLOOKUP(D$36,GASDVOLCURVES,2,FALSE()),FALSE())+$B$18</f>
        <v>1.09</v>
      </c>
      <c r="H38" s="4" t="n">
        <f aca="false">IF($B$20=1,VLOOKUP($A38,skewtable,HLOOKUP(ROUND(I38-BM38,1),skewtable,2,FALSE()),FALSE())/100,0)</f>
        <v>0</v>
      </c>
      <c r="I38" s="182" t="e">
        <f aca="false">IF($B$10=1,($BM38*$B$23)-$B$14,$B$22)</f>
        <v>#DIV/0!</v>
      </c>
      <c r="J38" s="67" t="e">
        <f aca="false">I38-BM38+$B$24</f>
        <v>#DIV/0!</v>
      </c>
      <c r="K38" s="67" t="n">
        <v>-0.05</v>
      </c>
      <c r="L38" s="183"/>
      <c r="M38" s="183"/>
      <c r="N38" s="63" t="n">
        <f aca="false">IF(N$35="nymex",0,VLOOKUP($A38,curvesettle,HLOOKUP(N$35,curvesettle,2,FALSE())))</f>
        <v>-0.0225</v>
      </c>
      <c r="O38" s="65" t="n">
        <f aca="false">IF(ISNUMBER(VLOOKUP($A38,VOLCURVES,HLOOKUP(N$35,VOLCURVES,2,FALSE()),FALSE())),VLOOKUP($A38,VOLCURVES,HLOOKUP(N$35,VOLCURVES,2,FALSE()),FALSE()),1)</f>
        <v>1</v>
      </c>
      <c r="P38" s="184" t="n">
        <f aca="false">(($C38+R38)*O38)+$D$17</f>
        <v>0.87</v>
      </c>
      <c r="Q38" s="65" t="n">
        <f aca="false">VLOOKUP($A38,GASDVOLCURVES,HLOOKUP(N$36,GASDVOLCURVES,2,FALSE()),FALSE())+$D$18</f>
        <v>1.09</v>
      </c>
      <c r="R38" s="4" t="n">
        <f aca="false">IF($D$20=1,VLOOKUP($A38,skewtable,HLOOKUP(ROUND(S38-BY38,1),skewtable,2,FALSE()),FALSE())/100,0)</f>
        <v>0</v>
      </c>
      <c r="S38" s="66" t="e">
        <f aca="false">IF(B$10=1,($BY38*$D$23)-$D$14,$D$22)</f>
        <v>#DIV/0!</v>
      </c>
      <c r="T38" s="67" t="e">
        <f aca="false">S38-$BY38+$D$24</f>
        <v>#DIV/0!</v>
      </c>
      <c r="U38" s="0"/>
      <c r="V38" s="0"/>
      <c r="W38" s="0"/>
      <c r="X38" s="63" t="n">
        <f aca="false">IF(X$35="nymex",0,VLOOKUP($A38,curvesettle,HLOOKUP(X$35,curvesettle,2,FALSE())))</f>
        <v>-0.015</v>
      </c>
      <c r="Y38" s="65" t="n">
        <f aca="false">IF(ISNUMBER(VLOOKUP($A38,VOLCURVES,HLOOKUP(X$35,VOLCURVES,2,FALSE()),FALSE())),VLOOKUP($A38,VOLCURVES,HLOOKUP(X$35,VOLCURVES,2,FALSE()),FALSE()),1)</f>
        <v>1.08</v>
      </c>
      <c r="Z38" s="184" t="n">
        <f aca="false">(($C38+AB38)*Y38)+$F$17</f>
        <v>0.9396</v>
      </c>
      <c r="AA38" s="65" t="n">
        <f aca="false">VLOOKUP($A38,GASDVOLCURVES,HLOOKUP(X$36,GASDVOLCURVES,2,FALSE()),FALSE())+$F$18</f>
        <v>1.12</v>
      </c>
      <c r="AB38" s="4" t="n">
        <f aca="false">IF($F$20=1,VLOOKUP($A38,skewtable,HLOOKUP(ROUND(AC38-CK38,1),skewtable,2,FALSE()),FALSE())/100,0)</f>
        <v>0</v>
      </c>
      <c r="AC38" s="66" t="e">
        <f aca="false">IF($B$10=1,($CK38*$F$23)-$F$14,$F$22)</f>
        <v>#DIV/0!</v>
      </c>
      <c r="AD38" s="67" t="e">
        <f aca="false">AC38-$CK38+$F$24</f>
        <v>#DIV/0!</v>
      </c>
      <c r="AE38" s="0"/>
      <c r="AF38" s="0"/>
      <c r="AG38" s="0"/>
      <c r="AH38" s="63" t="n">
        <f aca="false">IF(AH$35="nymex",0,VLOOKUP($A38,curvesettle,HLOOKUP(AH$35,curvesettle,2,FALSE())))</f>
        <v>1.72</v>
      </c>
      <c r="AI38" s="65" t="n">
        <f aca="false">IF(ISNUMBER(VLOOKUP($A38,VOLCURVES,HLOOKUP(AH$35,VOLCURVES,2,FALSE()),FALSE())),VLOOKUP($A38,VOLCURVES,HLOOKUP(AH$35,VOLCURVES,2,FALSE()),FALSE()),1)</f>
        <v>1.15</v>
      </c>
      <c r="AJ38" s="184" t="n">
        <f aca="false">(($C38+AL38)*AI38)+$H$17</f>
        <v>1.0005</v>
      </c>
      <c r="AK38" s="65" t="n">
        <f aca="false">VLOOKUP($A38,GASDVOLCURVES,HLOOKUP(AH$36,GASDVOLCURVES,2,FALSE()),FALSE())+$H$18</f>
        <v>3.365</v>
      </c>
      <c r="AL38" s="4" t="n">
        <f aca="false">IF($H$20=1,VLOOKUP($A38,skewtable,HLOOKUP(ROUND(AM38-CW38,1),skewtable,2,FALSE()),FALSE())/100,0)</f>
        <v>0</v>
      </c>
      <c r="AM38" s="66" t="n">
        <f aca="false">IF($B$10=1,($CW38*$H$23)-$H$14,$H$22)</f>
        <v>4.439</v>
      </c>
      <c r="AN38" s="67" t="n">
        <f aca="false">AM38-CW38+$H$24</f>
        <v>0</v>
      </c>
      <c r="AO38" s="0"/>
      <c r="AP38" s="0"/>
      <c r="AQ38" s="183"/>
      <c r="AR38" s="183"/>
      <c r="AU38" s="0"/>
      <c r="AV38" s="0"/>
      <c r="AW38" s="0"/>
      <c r="AX38" s="0"/>
      <c r="AY38" s="0"/>
      <c r="AZ38" s="0"/>
      <c r="BA38" s="0"/>
      <c r="BC38" s="64"/>
      <c r="BD38" s="64"/>
      <c r="BE38" s="4" t="n">
        <f aca="false">VLOOKUP($A38,STRADDLE,14,FALSE())</f>
        <v>0.018936902743822</v>
      </c>
      <c r="BF38" s="72" t="n">
        <f aca="false">A39-A38</f>
        <v>31</v>
      </c>
      <c r="BG38" s="179" t="n">
        <f aca="false">A38+BG$35</f>
        <v>37257</v>
      </c>
      <c r="BH38" s="179" t="n">
        <f aca="false">A39-1</f>
        <v>37287</v>
      </c>
      <c r="BI38" s="1" t="n">
        <f aca="false">BH38-BG38</f>
        <v>30</v>
      </c>
      <c r="BJ38" s="179" t="n">
        <f aca="true">IF(BJ$35=0,TODAY(),IF(BJ$36="NYMEX",VLOOKUP($A38,expiration,2,FALSE())+1,BG38))</f>
        <v>37253</v>
      </c>
      <c r="BK38" s="73"/>
      <c r="BL38" s="73" t="n">
        <f aca="false">IF($A38&gt;=BM$32,IF($A38&lt;=BM$33,$BF38,0),0)</f>
        <v>0</v>
      </c>
      <c r="BM38" s="185" t="e">
        <f aca="false">BO38/BL38</f>
        <v>#DIV/0!</v>
      </c>
      <c r="BN38" s="1" t="n">
        <f aca="false">BL38*($B38+B$15)</f>
        <v>0</v>
      </c>
      <c r="BO38" s="47" t="n">
        <f aca="false">IF(ISNUMBER(((BN38/BL38)+B$16+$D38+$B$14)*BL38),((BN38/BL38)+B$16+$D38+$B$14)*BL38,0)</f>
        <v>0</v>
      </c>
      <c r="BP38" s="76" t="n">
        <f aca="false">IF($BL38=0,0,OSTRIP($BM38,$I38,$BJ38-$B$2,$BG38-$BJ38,$BH38-$BJ38,$B$10,$BE38,$F38,$G38,$B$23,$J38,$BQ$34,0))</f>
        <v>0</v>
      </c>
      <c r="BQ38" s="76" t="n">
        <f aca="false">IF($BL38=0,0,OSTRIP($BM38,$I38,$BJ38-$B$2,$BG38-$BJ38,$BH38-$BJ38,$B$10,$BE38,$F38,$G38,$B$23,$J38,$BQ$34,1))</f>
        <v>0</v>
      </c>
      <c r="BR38" s="76" t="n">
        <f aca="false">IF($BL38=0,0,OSTRIP($BM38,$I38,$BJ38-$B$2,$BG38-$BJ38,$BH38-$BJ38,$B$10,$BE38,$F38,$G38,$B$23,$J38,$BQ$34,BQ$35))</f>
        <v>0</v>
      </c>
      <c r="BS38" s="37" t="n">
        <f aca="false">BL38*BP38</f>
        <v>0</v>
      </c>
      <c r="BT38" s="37" t="n">
        <f aca="false">BL38*BQ38</f>
        <v>0</v>
      </c>
      <c r="BU38" s="37" t="n">
        <f aca="false">BL38*BR38</f>
        <v>0</v>
      </c>
      <c r="BV38" s="37" t="n">
        <f aca="false">BL38*G38</f>
        <v>0</v>
      </c>
      <c r="BX38" s="73" t="n">
        <f aca="false">IF($A38&gt;=BY$32,IF($A38&lt;=BY$33,$BF38,0),0)</f>
        <v>0</v>
      </c>
      <c r="BY38" s="186" t="e">
        <f aca="false">CA38/BX38</f>
        <v>#DIV/0!</v>
      </c>
      <c r="BZ38" s="1" t="n">
        <f aca="false">BX38*($B38+$D$15)</f>
        <v>0</v>
      </c>
      <c r="CA38" s="47" t="n">
        <f aca="false">IF(ISNUMBER(((BZ38/BX38)+$D$16+$N38+$D$14)*BX38),((BZ38/BX38)+$D$16+$N38+$D$14)*BX38,0)</f>
        <v>0</v>
      </c>
      <c r="CB38" s="76" t="n">
        <f aca="false">IF($BX38=0,0,OSTRIP($BY38,$S38,$BJ38-$B$2,$BG38-$BJ38,$BH38-$BJ38,$B$10,$BE38,$P38,$Q38,$D$23,$T38,$CC$34,0))</f>
        <v>0</v>
      </c>
      <c r="CC38" s="76" t="n">
        <f aca="false">IF($BX38=0,0,OSTRIP($BY38,$S38,$BJ38-$B$2,$BG38-$BJ38,$BH38-$BJ38,$B$10,$BE38,$P38,$Q38,$D$23,$T38,$CC$34,1))</f>
        <v>0</v>
      </c>
      <c r="CD38" s="76" t="n">
        <f aca="false">IF($BX38=0,0,OSTRIP($BY38,$S38,$BJ38-$B$2,$BG38-$BJ38,$BH38-$BJ38,$B$10,$BE38,$P38,$Q38,$D$23,$T38,$CC$34,CC$35))</f>
        <v>0</v>
      </c>
      <c r="CE38" s="37" t="n">
        <f aca="false">BX38*CB38</f>
        <v>0</v>
      </c>
      <c r="CF38" s="37" t="n">
        <f aca="false">BX38*CC38</f>
        <v>0</v>
      </c>
      <c r="CG38" s="37" t="n">
        <f aca="false">BX38*CD38</f>
        <v>0</v>
      </c>
      <c r="CH38" s="37" t="n">
        <f aca="false">BX38*Q38</f>
        <v>0</v>
      </c>
      <c r="CJ38" s="73" t="n">
        <f aca="false">IF($A38&gt;=CK$32,IF($A38&lt;=CK$33,$BF38,0),0)</f>
        <v>0</v>
      </c>
      <c r="CK38" s="186" t="e">
        <f aca="false">CM38/CJ38</f>
        <v>#DIV/0!</v>
      </c>
      <c r="CL38" s="1" t="n">
        <f aca="false">CJ38*($B38+$F$15)</f>
        <v>0</v>
      </c>
      <c r="CM38" s="47" t="n">
        <f aca="false">IF(ISNUMBER(((CL38/CJ38)+$F$16+$X38+$F$14)*CJ38),((CL38/CJ38)+$F$16+$X38+$F$14)*CJ38,0)</f>
        <v>0</v>
      </c>
      <c r="CN38" s="76" t="n">
        <f aca="false">IF($CJ38=0,0,OSTRIP($CK38,$AC38,$BJ38-$B$2,$BG38-$BJ38,$BH38-$BJ38,$B$10,$BE38,$Z38,$AA38,$F$23,$AD38,$CO$34,0))</f>
        <v>0</v>
      </c>
      <c r="CO38" s="76" t="n">
        <f aca="false">IF($CJ38=0,0,OSTRIP($CK38,$AC38,$BJ38-$B$2,$BG38-$BJ38,$BH38-$BJ38,$B$10,$BE38,$Z38,$AA38,$F$23,$AD38,$CO$34,1))</f>
        <v>0</v>
      </c>
      <c r="CP38" s="76" t="n">
        <f aca="false">IF($CJ38=0,0,OSTRIP($CK38,$AC38,$BJ38-$B$2,$BG38-$BJ38,$BH38-$BJ38,$B$10,$BE38,$Z38,$AA38,$F$23,$AD38,$CO$34,$CO$35))</f>
        <v>0</v>
      </c>
      <c r="CQ38" s="37" t="n">
        <f aca="false">CJ38*CN38</f>
        <v>0</v>
      </c>
      <c r="CR38" s="37" t="n">
        <f aca="false">CJ38*CO38</f>
        <v>0</v>
      </c>
      <c r="CS38" s="37" t="n">
        <f aca="false">CJ38*CP38</f>
        <v>0</v>
      </c>
      <c r="CT38" s="37" t="n">
        <f aca="false">CJ38*AA38</f>
        <v>0</v>
      </c>
      <c r="CV38" s="73" t="n">
        <f aca="false">IF($A38&gt;=CW$32,IF($A38&lt;=CW$33,$BF38,0),0)</f>
        <v>31</v>
      </c>
      <c r="CW38" s="186" t="n">
        <f aca="false">CY38/CV38</f>
        <v>4.439</v>
      </c>
      <c r="CX38" s="1" t="n">
        <f aca="false">CV38*($B38+$H$15)</f>
        <v>84.289</v>
      </c>
      <c r="CY38" s="47" t="n">
        <f aca="false">IF(ISNUMBER(((CX38/CV38)+$H$16+$AH38+$H$14)*CV38),((CX38/CV38)+$H$16+$AH38+$H$14)*CV38,0)</f>
        <v>137.609</v>
      </c>
      <c r="CZ38" s="76" t="e">
        <f aca="false">IF($CV38=0,0,OSTRIP($CW38,$AM38,$BJ38-$B$2,$BG38-$BJ38,$BH38-$BJ38,$B$10,$BE38,$AJ38,$AK38,$H$23,$AN38,$DA$34,0))</f>
        <v>#NAME?</v>
      </c>
      <c r="DA38" s="76" t="e">
        <f aca="false">IF($CV38=0,0,OSTRIP($CW38,$AM38,$BJ38-$B$2,$BG38-$BJ38,$BH38-$BJ38,$B$10,$BE38,$AJ38,$AK38,$H$23,$AN38,$DA$34,1))</f>
        <v>#NAME?</v>
      </c>
      <c r="DB38" s="76" t="e">
        <f aca="false">IF($CV38=0,0,OSTRIP($CW38,$AM38,$BJ38-$B$2,$BG38-$BJ38,$BH38-$BJ38,$B$10,$BE38,$AJ38,$AK38,$H$23,$AN38,$DA$34,DA$35))</f>
        <v>#NAME?</v>
      </c>
      <c r="DC38" s="37" t="e">
        <f aca="false">CV38*CZ38</f>
        <v>#NAME?</v>
      </c>
      <c r="DD38" s="37" t="e">
        <f aca="false">CV38*DA38</f>
        <v>#NAME?</v>
      </c>
      <c r="DE38" s="37" t="e">
        <f aca="false">CV38*DB38</f>
        <v>#NAME?</v>
      </c>
      <c r="DF38" s="37" t="n">
        <f aca="false">CV38*AK38</f>
        <v>104.315</v>
      </c>
    </row>
    <row r="39" customFormat="false" ht="12.75" hidden="false" customHeight="false" outlineLevel="0" collapsed="false">
      <c r="A39" s="187" t="n">
        <f aca="false">DATE(YEAR(A38),MONTH(A38)+1,1)</f>
        <v>37288</v>
      </c>
      <c r="B39" s="63" t="n">
        <f aca="false">VLOOKUP(A39,STRADDLE,5,FALSE())</f>
        <v>2.793</v>
      </c>
      <c r="C39" s="4" t="n">
        <f aca="false">VLOOKUP(A39,STRADDLE,8,FALSE())</f>
        <v>0.865</v>
      </c>
      <c r="D39" s="63" t="n">
        <f aca="false">IF(D$35="nymex",0,VLOOKUP($A39,curvesettle,HLOOKUP(D$35,curvesettle,2,FALSE())))</f>
        <v>0.78</v>
      </c>
      <c r="E39" s="65" t="n">
        <f aca="false">IF(ISNUMBER(VLOOKUP($A39,VOLCURVES,HLOOKUP(D$35,VOLCURVES,2,FALSE()),FALSE())),VLOOKUP($A39,VOLCURVES,HLOOKUP(D$35,VOLCURVES,2,FALSE()),FALSE()),1)</f>
        <v>1.1</v>
      </c>
      <c r="F39" s="4" t="n">
        <f aca="false">(($C39+H39)*$E39)+B$17</f>
        <v>1.0515</v>
      </c>
      <c r="G39" s="65" t="n">
        <f aca="false">VLOOKUP($A39,GASDVOLCURVES,HLOOKUP(D$36,GASDVOLCURVES,2,FALSE()),FALSE())+$B$18</f>
        <v>1.09</v>
      </c>
      <c r="H39" s="4" t="n">
        <f aca="false">IF($B$20=1,VLOOKUP($A39,skewtable,HLOOKUP(ROUND(I39-BM39,1),skewtable,2,FALSE()),FALSE())/100,0)</f>
        <v>0</v>
      </c>
      <c r="I39" s="66" t="e">
        <f aca="false">IF($B$10=1,($BM39*$B$23)-$B$14,$B$22)</f>
        <v>#DIV/0!</v>
      </c>
      <c r="J39" s="67" t="e">
        <f aca="false">I39-BM39+$B$24</f>
        <v>#DIV/0!</v>
      </c>
      <c r="K39" s="67" t="n">
        <v>-0.2</v>
      </c>
      <c r="L39" s="183"/>
      <c r="M39" s="183"/>
      <c r="N39" s="63" t="n">
        <f aca="false">IF(N$35="nymex",0,VLOOKUP($A39,curvesettle,HLOOKUP(N$35,curvesettle,2,FALSE())))</f>
        <v>-0.0175</v>
      </c>
      <c r="O39" s="65" t="n">
        <f aca="false">IF(ISNUMBER(VLOOKUP($A39,VOLCURVES,HLOOKUP(N$35,VOLCURVES,2,FALSE()),FALSE())),VLOOKUP($A39,VOLCURVES,HLOOKUP(N$35,VOLCURVES,2,FALSE()),FALSE()),1)</f>
        <v>1</v>
      </c>
      <c r="P39" s="184" t="n">
        <f aca="false">(($C39+R39)*O39)+$D$17</f>
        <v>0.865</v>
      </c>
      <c r="Q39" s="65" t="n">
        <f aca="false">VLOOKUP($A39,GASDVOLCURVES,HLOOKUP(N$36,GASDVOLCURVES,2,FALSE()),FALSE())+$D$18</f>
        <v>1.09</v>
      </c>
      <c r="R39" s="4" t="n">
        <f aca="false">IF($D$20=1,VLOOKUP($A39,skewtable,HLOOKUP(ROUND(S39-BY39,1),skewtable,2,FALSE()),FALSE())/100,0)</f>
        <v>0</v>
      </c>
      <c r="S39" s="66" t="e">
        <f aca="false">IF(B$10=1,($BY39*$D$23)-$D$14,$D$22)</f>
        <v>#DIV/0!</v>
      </c>
      <c r="T39" s="67" t="e">
        <f aca="false">S39-$BY39+$D$24</f>
        <v>#DIV/0!</v>
      </c>
      <c r="U39" s="0"/>
      <c r="V39" s="0"/>
      <c r="W39" s="0"/>
      <c r="X39" s="63" t="n">
        <f aca="false">IF(X$35="nymex",0,VLOOKUP($A39,curvesettle,HLOOKUP(X$35,curvesettle,2,FALSE())))</f>
        <v>-0.09</v>
      </c>
      <c r="Y39" s="65" t="n">
        <f aca="false">IF(ISNUMBER(VLOOKUP($A39,VOLCURVES,HLOOKUP(X$35,VOLCURVES,2,FALSE()),FALSE())),VLOOKUP($A39,VOLCURVES,HLOOKUP(X$35,VOLCURVES,2,FALSE()),FALSE()),1)</f>
        <v>1.08</v>
      </c>
      <c r="Z39" s="184" t="n">
        <f aca="false">(($C39+AB39)*Y39)+$F$17</f>
        <v>0.9342</v>
      </c>
      <c r="AA39" s="65" t="n">
        <f aca="false">VLOOKUP($A39,GASDVOLCURVES,HLOOKUP(X$36,GASDVOLCURVES,2,FALSE()),FALSE())+$F$18</f>
        <v>1.12</v>
      </c>
      <c r="AB39" s="4" t="n">
        <f aca="false">IF($F$20=1,VLOOKUP($A39,skewtable,HLOOKUP(ROUND(AC39-CK39,1),skewtable,2,FALSE()),FALSE())/100,0)</f>
        <v>0</v>
      </c>
      <c r="AC39" s="66" t="e">
        <f aca="false">IF($B$10=1,($CK39*$F$23)-$F$14,$F$22)</f>
        <v>#DIV/0!</v>
      </c>
      <c r="AD39" s="67" t="e">
        <f aca="false">AC39-$CK39+$F$24</f>
        <v>#DIV/0!</v>
      </c>
      <c r="AE39" s="0"/>
      <c r="AF39" s="0"/>
      <c r="AG39" s="0"/>
      <c r="AH39" s="63" t="n">
        <f aca="false">IF(AH$35="nymex",0,VLOOKUP($A39,curvesettle,HLOOKUP(AH$35,curvesettle,2,FALSE())))</f>
        <v>1.7</v>
      </c>
      <c r="AI39" s="65" t="n">
        <f aca="false">IF(ISNUMBER(VLOOKUP($A39,VOLCURVES,HLOOKUP(AH$35,VOLCURVES,2,FALSE()),FALSE())),VLOOKUP($A39,VOLCURVES,HLOOKUP(AH$35,VOLCURVES,2,FALSE()),FALSE()),1)</f>
        <v>1.15</v>
      </c>
      <c r="AJ39" s="184" t="n">
        <f aca="false">(($C39+AL39)*AI39)+$H$17</f>
        <v>0.99475</v>
      </c>
      <c r="AK39" s="65" t="n">
        <f aca="false">VLOOKUP($A39,GASDVOLCURVES,HLOOKUP(AH$36,GASDVOLCURVES,2,FALSE()),FALSE())+$H$18</f>
        <v>3.365</v>
      </c>
      <c r="AL39" s="4" t="n">
        <f aca="false">IF($H$20=1,VLOOKUP($A39,skewtable,HLOOKUP(ROUND(AM39-CW39,1),skewtable,2,FALSE()),FALSE())/100,0)</f>
        <v>0</v>
      </c>
      <c r="AM39" s="66" t="n">
        <f aca="false">IF($B$10=1,($CW39*$H$23)-$H$14,$H$22)</f>
        <v>4.493</v>
      </c>
      <c r="AN39" s="67" t="n">
        <f aca="false">AM39-CW39+$H$24</f>
        <v>0</v>
      </c>
      <c r="AO39" s="0"/>
      <c r="AP39" s="0"/>
      <c r="AQ39" s="183"/>
      <c r="AR39" s="183"/>
      <c r="AU39" s="0"/>
      <c r="AV39" s="0"/>
      <c r="AW39" s="0"/>
      <c r="AX39" s="0"/>
      <c r="AY39" s="0"/>
      <c r="AZ39" s="0"/>
      <c r="BA39" s="0"/>
      <c r="BC39" s="64"/>
      <c r="BD39" s="64"/>
      <c r="BE39" s="4" t="n">
        <f aca="false">VLOOKUP($A39,STRADDLE,14,FALSE())</f>
        <v>0.0191878596638237</v>
      </c>
      <c r="BF39" s="72" t="n">
        <f aca="false">A40-A39</f>
        <v>28</v>
      </c>
      <c r="BG39" s="179" t="n">
        <f aca="false">A39+BG$35</f>
        <v>37288</v>
      </c>
      <c r="BH39" s="179" t="n">
        <f aca="false">A40-1</f>
        <v>37315</v>
      </c>
      <c r="BJ39" s="179" t="n">
        <f aca="true">IF(BJ$35=0,TODAY(),IF(BJ$36="NYMEX",VLOOKUP($A39,expiration,2,FALSE())+1,BG39))</f>
        <v>37286</v>
      </c>
      <c r="BK39" s="73"/>
      <c r="BL39" s="73" t="n">
        <f aca="false">IF($A39&gt;=BM$32,IF($A39&lt;=BM$33,$BF39,0),0)</f>
        <v>0</v>
      </c>
      <c r="BM39" s="186" t="e">
        <f aca="false">BO39/BL39</f>
        <v>#DIV/0!</v>
      </c>
      <c r="BN39" s="1" t="n">
        <f aca="false">BL39*($B39+B$15)</f>
        <v>0</v>
      </c>
      <c r="BO39" s="47" t="n">
        <f aca="false">IF(ISNUMBER(((BN39/BL39)+B$16+$D39+$B$14)*BL39),((BN39/BL39)+B$16+$D39+$B$14)*BL39,0)</f>
        <v>0</v>
      </c>
      <c r="BP39" s="76" t="n">
        <f aca="false">IF($BL39=0,0,OSTRIP($BM39,$I39,$BJ39-$B$2,$BG39-$BJ39,$BH39-$BJ39,$B$10,$BE39,$F39,$G39,$B$23,$J39,$BQ$34,0))</f>
        <v>0</v>
      </c>
      <c r="BQ39" s="76" t="n">
        <f aca="false">IF($BL39=0,0,OSTRIP($BM39,$I39,$BJ39-$B$2,$BG39-$BJ39,$BH39-$BJ39,$B$10,$BE39,$F39,$G39,$B$23,$J39,$BQ$34,1))</f>
        <v>0</v>
      </c>
      <c r="BR39" s="76" t="n">
        <f aca="false">IF($BL39=0,0,OSTRIP($BM39,$I39,$BJ39-$B$2,$BG39-$BJ39,$BH39-$BJ39,$B$10,$BE39,$F39,$G39,$B$23,$J39,$BQ$34,BQ$35))</f>
        <v>0</v>
      </c>
      <c r="BS39" s="37" t="n">
        <f aca="false">BL39*BP39</f>
        <v>0</v>
      </c>
      <c r="BT39" s="37" t="n">
        <f aca="false">BL39*BQ39</f>
        <v>0</v>
      </c>
      <c r="BU39" s="37" t="n">
        <f aca="false">BL39*BR39</f>
        <v>0</v>
      </c>
      <c r="BV39" s="37" t="n">
        <f aca="false">BL39*G39</f>
        <v>0</v>
      </c>
      <c r="BX39" s="73" t="n">
        <f aca="false">IF($A39&gt;=BY$32,IF($A39&lt;=BY$33,$BF39,0),0)</f>
        <v>0</v>
      </c>
      <c r="BY39" s="186" t="e">
        <f aca="false">CA39/BX39</f>
        <v>#DIV/0!</v>
      </c>
      <c r="BZ39" s="1" t="n">
        <f aca="false">BX39*($B39+$D$15)</f>
        <v>0</v>
      </c>
      <c r="CA39" s="47" t="n">
        <f aca="false">IF(ISNUMBER(((BZ39/BX39)+$D$16+$N39+$D$14)*BX39),((BZ39/BX39)+$D$16+$N39+$D$14)*BX39,0)</f>
        <v>0</v>
      </c>
      <c r="CB39" s="76" t="n">
        <f aca="false">IF($BX39=0,0,OSTRIP($BY39,$S39,$BJ39-$B$2,$BG39-$BJ39,$BH39-$BJ39,$B$10,$BE39,$P39,$Q39,$D$23,$T39,$CC$34,0))</f>
        <v>0</v>
      </c>
      <c r="CC39" s="76" t="n">
        <f aca="false">IF($BX39=0,0,OSTRIP($BY39,$S39,$BJ39-$B$2,$BG39-$BJ39,$BH39-$BJ39,$B$10,$BE39,$P39,$Q39,$D$23,$T39,$CC$34,1))</f>
        <v>0</v>
      </c>
      <c r="CD39" s="76" t="n">
        <f aca="false">IF($BX39=0,0,OSTRIP($BY39,$S39,$BJ39-$B$2,$BG39-$BJ39,$BH39-$BJ39,$B$10,$BE39,$P39,$Q39,$D$23,$T39,$CC$34,CC$35))</f>
        <v>0</v>
      </c>
      <c r="CE39" s="37" t="n">
        <f aca="false">BX39*CB39</f>
        <v>0</v>
      </c>
      <c r="CF39" s="37" t="n">
        <f aca="false">BX39*CC39</f>
        <v>0</v>
      </c>
      <c r="CG39" s="37" t="n">
        <f aca="false">BX39*CD39</f>
        <v>0</v>
      </c>
      <c r="CH39" s="37" t="n">
        <f aca="false">BX39*Q39</f>
        <v>0</v>
      </c>
      <c r="CJ39" s="73" t="n">
        <f aca="false">IF($A39&gt;=CK$32,IF($A39&lt;=CK$33,$BF39,0),0)</f>
        <v>0</v>
      </c>
      <c r="CK39" s="186" t="e">
        <f aca="false">CM39/CJ39</f>
        <v>#DIV/0!</v>
      </c>
      <c r="CL39" s="1" t="n">
        <f aca="false">CJ39*($B39+$F$15)</f>
        <v>0</v>
      </c>
      <c r="CM39" s="47" t="n">
        <f aca="false">IF(ISNUMBER(((CL39/CJ39)+$F$16+$X39+$F$14)*CJ39),((CL39/CJ39)+$F$16+$X39+$F$14)*CJ39,0)</f>
        <v>0</v>
      </c>
      <c r="CN39" s="76" t="n">
        <f aca="false">IF($CJ39=0,0,OSTRIP($CK39,$AC39,$BJ39-$B$2,$BG39-$BJ39,$BH39-$BJ39,$B$10,$BE39,$Z39,$AA39,$F$23,$AD39,$CO$34,0))</f>
        <v>0</v>
      </c>
      <c r="CO39" s="76" t="n">
        <f aca="false">IF($CJ39=0,0,OSTRIP($CK39,$AC39,$BJ39-$B$2,$BG39-$BJ39,$BH39-$BJ39,$B$10,$BE39,$Z39,$AA39,$F$23,$AD39,$CO$34,1))</f>
        <v>0</v>
      </c>
      <c r="CP39" s="76" t="n">
        <f aca="false">IF($CJ39=0,0,OSTRIP($CK39,$AC39,$BJ39-$B$2,$BG39-$BJ39,$BH39-$BJ39,$B$10,$BE39,$Z39,$AA39,$F$23,$AD39,$CO$34,$CO$35))</f>
        <v>0</v>
      </c>
      <c r="CQ39" s="37" t="n">
        <f aca="false">CJ39*CN39</f>
        <v>0</v>
      </c>
      <c r="CR39" s="37" t="n">
        <f aca="false">CJ39*CO39</f>
        <v>0</v>
      </c>
      <c r="CS39" s="37" t="n">
        <f aca="false">CJ39*CP39</f>
        <v>0</v>
      </c>
      <c r="CT39" s="37" t="n">
        <f aca="false">CJ39*AA39</f>
        <v>0</v>
      </c>
      <c r="CV39" s="73" t="n">
        <f aca="false">IF($A39&gt;=CW$32,IF($A39&lt;=CW$33,$BF39,0),0)</f>
        <v>28</v>
      </c>
      <c r="CW39" s="186" t="n">
        <f aca="false">CY39/CV39</f>
        <v>4.493</v>
      </c>
      <c r="CX39" s="1" t="n">
        <f aca="false">CV39*($B39+$H$15)</f>
        <v>78.204</v>
      </c>
      <c r="CY39" s="47" t="n">
        <f aca="false">IF(ISNUMBER(((CX39/CV39)+$H$16+$AH39+$H$14)*CV39),((CX39/CV39)+$H$16+$AH39+$H$14)*CV39,0)</f>
        <v>125.804</v>
      </c>
      <c r="CZ39" s="76" t="e">
        <f aca="false">IF($CV39=0,0,OSTRIP($CW39,$AM39,$BJ39-$B$2,$BG39-$BJ39,$BH39-$BJ39,$B$10,$BE39,$AJ39,$AK39,$H$23,$AN39,$DA$34,0))</f>
        <v>#NAME?</v>
      </c>
      <c r="DA39" s="76" t="e">
        <f aca="false">IF($CV39=0,0,OSTRIP($CW39,$AM39,$BJ39-$B$2,$BG39-$BJ39,$BH39-$BJ39,$B$10,$BE39,$AJ39,$AK39,$H$23,$AN39,$DA$34,1))</f>
        <v>#NAME?</v>
      </c>
      <c r="DB39" s="76" t="e">
        <f aca="false">IF($CV39=0,0,OSTRIP($CW39,$AM39,$BJ39-$B$2,$BG39-$BJ39,$BH39-$BJ39,$B$10,$BE39,$AJ39,$AK39,$H$23,$AN39,$DA$34,DA$35))</f>
        <v>#NAME?</v>
      </c>
      <c r="DC39" s="37" t="e">
        <f aca="false">CV39*CZ39</f>
        <v>#NAME?</v>
      </c>
      <c r="DD39" s="37" t="e">
        <f aca="false">CV39*DA39</f>
        <v>#NAME?</v>
      </c>
      <c r="DE39" s="37" t="e">
        <f aca="false">CV39*DB39</f>
        <v>#NAME?</v>
      </c>
      <c r="DF39" s="37" t="n">
        <f aca="false">CV39*AK39</f>
        <v>94.22</v>
      </c>
    </row>
    <row r="40" customFormat="false" ht="12.75" hidden="false" customHeight="false" outlineLevel="0" collapsed="false">
      <c r="A40" s="62" t="n">
        <f aca="false">DATE(YEAR(A39),MONTH(A39)+1,1)</f>
        <v>37316</v>
      </c>
      <c r="B40" s="63" t="n">
        <f aca="false">VLOOKUP(A40,STRADDLE,5,FALSE())</f>
        <v>2.795</v>
      </c>
      <c r="C40" s="4" t="n">
        <f aca="false">VLOOKUP(A40,STRADDLE,8,FALSE())</f>
        <v>0.78</v>
      </c>
      <c r="D40" s="63" t="n">
        <f aca="false">IF(D$35="nymex",0,VLOOKUP($A40,curvesettle,HLOOKUP(D$35,curvesettle,2,FALSE())))</f>
        <v>0.48</v>
      </c>
      <c r="E40" s="65" t="n">
        <f aca="false">IF(ISNUMBER(VLOOKUP($A40,VOLCURVES,HLOOKUP(D$35,VOLCURVES,2,FALSE()),FALSE())),VLOOKUP($A40,VOLCURVES,HLOOKUP(D$35,VOLCURVES,2,FALSE()),FALSE()),1)</f>
        <v>1.1</v>
      </c>
      <c r="F40" s="4" t="n">
        <f aca="false">(($C40+H40)*$E40)+B$17</f>
        <v>0.958</v>
      </c>
      <c r="G40" s="65" t="n">
        <f aca="false">VLOOKUP($A40,GASDVOLCURVES,HLOOKUP(D$36,GASDVOLCURVES,2,FALSE()),FALSE())+$B$18</f>
        <v>0.84</v>
      </c>
      <c r="H40" s="4" t="n">
        <f aca="false">IF($B$20=1,VLOOKUP($A40,skewtable,HLOOKUP(ROUND(I40-BM40,1),skewtable,2,FALSE()),FALSE())/100,0)</f>
        <v>0</v>
      </c>
      <c r="I40" s="66" t="e">
        <f aca="false">IF($B$10=1,($BM40*$B$23)-$B$14,$B$22)</f>
        <v>#DIV/0!</v>
      </c>
      <c r="J40" s="67" t="e">
        <f aca="false">I40-BM40+$B$24</f>
        <v>#DIV/0!</v>
      </c>
      <c r="K40" s="67" t="n">
        <v>-0.15</v>
      </c>
      <c r="L40" s="183"/>
      <c r="M40" s="183"/>
      <c r="N40" s="63" t="n">
        <f aca="false">IF(N$35="nymex",0,VLOOKUP($A40,curvesettle,HLOOKUP(N$35,curvesettle,2,FALSE())))</f>
        <v>-0.0125</v>
      </c>
      <c r="O40" s="65" t="n">
        <f aca="false">IF(ISNUMBER(VLOOKUP($A40,VOLCURVES,HLOOKUP(N$35,VOLCURVES,2,FALSE()),FALSE())),VLOOKUP($A40,VOLCURVES,HLOOKUP(N$35,VOLCURVES,2,FALSE()),FALSE()),1)</f>
        <v>1</v>
      </c>
      <c r="P40" s="184" t="n">
        <f aca="false">(($C40+R40)*O40)+$D$17</f>
        <v>0.78</v>
      </c>
      <c r="Q40" s="65" t="n">
        <f aca="false">VLOOKUP($A40,GASDVOLCURVES,HLOOKUP(N$36,GASDVOLCURVES,2,FALSE()),FALSE())+$D$18</f>
        <v>0.84</v>
      </c>
      <c r="R40" s="4" t="n">
        <f aca="false">IF($D$20=1,VLOOKUP($A40,skewtable,HLOOKUP(ROUND(S40-BY40,1),skewtable,2,FALSE()),FALSE())/100,0)</f>
        <v>0</v>
      </c>
      <c r="S40" s="66" t="e">
        <f aca="false">IF(B$10=1,($BY40*$D$23)-$D$14,$D$22)</f>
        <v>#DIV/0!</v>
      </c>
      <c r="T40" s="67" t="e">
        <f aca="false">S40-$BY40+$D$24</f>
        <v>#DIV/0!</v>
      </c>
      <c r="U40" s="0"/>
      <c r="V40" s="0"/>
      <c r="W40" s="0"/>
      <c r="X40" s="63" t="n">
        <f aca="false">IF(X$35="nymex",0,VLOOKUP($A40,curvesettle,HLOOKUP(X$35,curvesettle,2,FALSE())))</f>
        <v>-0.01</v>
      </c>
      <c r="Y40" s="65" t="n">
        <f aca="false">IF(ISNUMBER(VLOOKUP($A40,VOLCURVES,HLOOKUP(X$35,VOLCURVES,2,FALSE()),FALSE())),VLOOKUP($A40,VOLCURVES,HLOOKUP(X$35,VOLCURVES,2,FALSE()),FALSE()),1)</f>
        <v>1.08</v>
      </c>
      <c r="Z40" s="184" t="n">
        <f aca="false">(($C40+AB40)*Y40)+$F$17</f>
        <v>0.8424</v>
      </c>
      <c r="AA40" s="65" t="n">
        <f aca="false">VLOOKUP($A40,GASDVOLCURVES,HLOOKUP(X$36,GASDVOLCURVES,2,FALSE()),FALSE())+$F$18</f>
        <v>0.87</v>
      </c>
      <c r="AB40" s="4" t="n">
        <f aca="false">IF($F$20=1,VLOOKUP($A40,skewtable,HLOOKUP(ROUND(AC40-CK40,1),skewtable,2,FALSE()),FALSE())/100,0)</f>
        <v>0</v>
      </c>
      <c r="AC40" s="66" t="e">
        <f aca="false">IF($B$10=1,($CK40*$F$23)-$F$14,$F$22)</f>
        <v>#DIV/0!</v>
      </c>
      <c r="AD40" s="67" t="e">
        <f aca="false">AC40-$CK40+$F$24</f>
        <v>#DIV/0!</v>
      </c>
      <c r="AE40" s="0"/>
      <c r="AF40" s="0"/>
      <c r="AG40" s="0"/>
      <c r="AH40" s="63" t="n">
        <f aca="false">IF(AH$35="nymex",0,VLOOKUP($A40,curvesettle,HLOOKUP(AH$35,curvesettle,2,FALSE())))</f>
        <v>0.64</v>
      </c>
      <c r="AI40" s="65" t="n">
        <f aca="false">IF(ISNUMBER(VLOOKUP($A40,VOLCURVES,HLOOKUP(AH$35,VOLCURVES,2,FALSE()),FALSE())),VLOOKUP($A40,VOLCURVES,HLOOKUP(AH$35,VOLCURVES,2,FALSE()),FALSE()),1)</f>
        <v>1.08</v>
      </c>
      <c r="AJ40" s="184" t="n">
        <f aca="false">(($C40+AL40)*AI40)+$H$17</f>
        <v>0.8424</v>
      </c>
      <c r="AK40" s="65" t="n">
        <f aca="false">VLOOKUP($A40,GASDVOLCURVES,HLOOKUP(AH$36,GASDVOLCURVES,2,FALSE()),FALSE())+$H$18</f>
        <v>1.965</v>
      </c>
      <c r="AL40" s="4" t="n">
        <f aca="false">IF($H$20=1,VLOOKUP($A40,skewtable,HLOOKUP(ROUND(AM40-CW40,1),skewtable,2,FALSE()),FALSE())/100,0)</f>
        <v>0</v>
      </c>
      <c r="AM40" s="66" t="n">
        <f aca="false">IF($B$10=1,($CW40*$H$23)-$H$14,$H$22)</f>
        <v>3.435</v>
      </c>
      <c r="AN40" s="67" t="n">
        <f aca="false">AM40-CW40+$H$24</f>
        <v>0</v>
      </c>
      <c r="AO40" s="0"/>
      <c r="AP40" s="0"/>
      <c r="AQ40" s="183"/>
      <c r="AR40" s="183"/>
      <c r="AU40" s="0"/>
      <c r="AV40" s="0"/>
      <c r="AW40" s="0"/>
      <c r="AX40" s="0"/>
      <c r="AY40" s="0"/>
      <c r="AZ40" s="0"/>
      <c r="BA40" s="0"/>
      <c r="BC40" s="64"/>
      <c r="BD40" s="64"/>
      <c r="BE40" s="4" t="n">
        <f aca="false">VLOOKUP($A40,STRADDLE,14,FALSE())</f>
        <v>0.0190229841898146</v>
      </c>
      <c r="BF40" s="72" t="n">
        <f aca="false">A41-A40</f>
        <v>31</v>
      </c>
      <c r="BG40" s="179" t="n">
        <f aca="false">A40+BG$35</f>
        <v>37316</v>
      </c>
      <c r="BH40" s="179" t="n">
        <f aca="false">A41-1</f>
        <v>37346</v>
      </c>
      <c r="BJ40" s="179" t="n">
        <f aca="true">IF(BJ$35=0,TODAY(),IF(BJ$36="NYMEX",VLOOKUP($A40,expiration,2,FALSE())+1,BG40))</f>
        <v>37314</v>
      </c>
      <c r="BK40" s="73"/>
      <c r="BL40" s="73" t="n">
        <f aca="false">IF($A40&gt;=BM$32,IF($A40&lt;=BM$33,$BF40,0),0)</f>
        <v>0</v>
      </c>
      <c r="BM40" s="186" t="e">
        <f aca="false">BO40/BL40</f>
        <v>#DIV/0!</v>
      </c>
      <c r="BN40" s="1" t="n">
        <f aca="false">BL40*($B40+B$15)</f>
        <v>0</v>
      </c>
      <c r="BO40" s="47" t="n">
        <f aca="false">IF(ISNUMBER(((BN40/BL40)+B$16+$D40+$B$14)*BL40),((BN40/BL40)+B$16+$D40+$B$14)*BL40,0)</f>
        <v>0</v>
      </c>
      <c r="BP40" s="76" t="n">
        <f aca="false">IF($BL40=0,0,OSTRIP($BM40,$I40,$BJ40-$B$2,$BG40-$BJ40,$BH40-$BJ40,$B$10,$BE40,$F40,$G40,$B$23,$J40,$BQ$34,0))</f>
        <v>0</v>
      </c>
      <c r="BQ40" s="76" t="n">
        <f aca="false">IF($BL40=0,0,OSTRIP($BM40,$I40,$BJ40-$B$2,$BG40-$BJ40,$BH40-$BJ40,$B$10,$BE40,$F40,$G40,$B$23,$J40,$BQ$34,1))</f>
        <v>0</v>
      </c>
      <c r="BR40" s="76" t="n">
        <f aca="false">IF($BL40=0,0,OSTRIP($BM40,$I40,$BJ40-$B$2,$BG40-$BJ40,$BH40-$BJ40,$B$10,$BE40,$F40,$G40,$B$23,$J40,$BQ$34,BQ$35))</f>
        <v>0</v>
      </c>
      <c r="BS40" s="37" t="n">
        <f aca="false">BL40*BP40</f>
        <v>0</v>
      </c>
      <c r="BT40" s="37" t="n">
        <f aca="false">BL40*BQ40</f>
        <v>0</v>
      </c>
      <c r="BU40" s="37" t="n">
        <f aca="false">BL40*BR40</f>
        <v>0</v>
      </c>
      <c r="BV40" s="37" t="n">
        <f aca="false">BL40*G40</f>
        <v>0</v>
      </c>
      <c r="BX40" s="73" t="n">
        <f aca="false">IF($A40&gt;=BY$32,IF($A40&lt;=BY$33,$BF40,0),0)</f>
        <v>0</v>
      </c>
      <c r="BY40" s="186" t="e">
        <f aca="false">CA40/BX40</f>
        <v>#DIV/0!</v>
      </c>
      <c r="BZ40" s="1" t="n">
        <f aca="false">BX40*($B40+$D$15)</f>
        <v>0</v>
      </c>
      <c r="CA40" s="47" t="n">
        <f aca="false">IF(ISNUMBER(((BZ40/BX40)+$D$16+$N40+$D$14)*BX40),((BZ40/BX40)+$D$16+$N40+$D$14)*BX40,0)</f>
        <v>0</v>
      </c>
      <c r="CB40" s="76" t="n">
        <f aca="false">IF($BX40=0,0,OSTRIP($BY40,$S40,$BJ40-$B$2,$BG40-$BJ40,$BH40-$BJ40,$B$10,$BE40,$P40,$Q40,$D$23,$T40,$CC$34,0))</f>
        <v>0</v>
      </c>
      <c r="CC40" s="76" t="n">
        <f aca="false">IF($BX40=0,0,OSTRIP($BY40,$S40,$BJ40-$B$2,$BG40-$BJ40,$BH40-$BJ40,$B$10,$BE40,$P40,$Q40,$D$23,$T40,$CC$34,1))</f>
        <v>0</v>
      </c>
      <c r="CD40" s="76" t="n">
        <f aca="false">IF($BX40=0,0,OSTRIP($BY40,$S40,$BJ40-$B$2,$BG40-$BJ40,$BH40-$BJ40,$B$10,$BE40,$P40,$Q40,$D$23,$T40,$CC$34,CC$35))</f>
        <v>0</v>
      </c>
      <c r="CE40" s="37" t="n">
        <f aca="false">BX40*CB40</f>
        <v>0</v>
      </c>
      <c r="CF40" s="37" t="n">
        <f aca="false">BX40*CC40</f>
        <v>0</v>
      </c>
      <c r="CG40" s="37" t="n">
        <f aca="false">BX40*CD40</f>
        <v>0</v>
      </c>
      <c r="CH40" s="37" t="n">
        <f aca="false">BX40*Q40</f>
        <v>0</v>
      </c>
      <c r="CJ40" s="73" t="n">
        <f aca="false">IF($A40&gt;=CK$32,IF($A40&lt;=CK$33,$BF40,0),0)</f>
        <v>0</v>
      </c>
      <c r="CK40" s="186" t="e">
        <f aca="false">CM40/CJ40</f>
        <v>#DIV/0!</v>
      </c>
      <c r="CL40" s="1" t="n">
        <f aca="false">CJ40*($B40+$F$15)</f>
        <v>0</v>
      </c>
      <c r="CM40" s="47" t="n">
        <f aca="false">IF(ISNUMBER(((CL40/CJ40)+$F$16+$X40+$F$14)*CJ40),((CL40/CJ40)+$F$16+$X40+$F$14)*CJ40,0)</f>
        <v>0</v>
      </c>
      <c r="CN40" s="76" t="n">
        <f aca="false">IF($CJ40=0,0,OSTRIP($CK40,$AC40,$BJ40-$B$2,$BG40-$BJ40,$BH40-$BJ40,$B$10,$BE40,$Z40,$AA40,$F$23,$AD40,$CO$34,0))</f>
        <v>0</v>
      </c>
      <c r="CO40" s="76" t="n">
        <f aca="false">IF($CJ40=0,0,OSTRIP($CK40,$AC40,$BJ40-$B$2,$BG40-$BJ40,$BH40-$BJ40,$B$10,$BE40,$Z40,$AA40,$F$23,$AD40,$CO$34,1))</f>
        <v>0</v>
      </c>
      <c r="CP40" s="76" t="n">
        <f aca="false">IF($CJ40=0,0,OSTRIP($CK40,$AC40,$BJ40-$B$2,$BG40-$BJ40,$BH40-$BJ40,$B$10,$BE40,$Z40,$AA40,$F$23,$AD40,$CO$34,$CO$35))</f>
        <v>0</v>
      </c>
      <c r="CQ40" s="37" t="n">
        <f aca="false">CJ40*CN40</f>
        <v>0</v>
      </c>
      <c r="CR40" s="37" t="n">
        <f aca="false">CJ40*CO40</f>
        <v>0</v>
      </c>
      <c r="CS40" s="37" t="n">
        <f aca="false">CJ40*CP40</f>
        <v>0</v>
      </c>
      <c r="CT40" s="37" t="n">
        <f aca="false">CJ40*AA40</f>
        <v>0</v>
      </c>
      <c r="CV40" s="73" t="n">
        <f aca="false">IF($A40&gt;=CW$32,IF($A40&lt;=CW$33,$BF40,0),0)</f>
        <v>31</v>
      </c>
      <c r="CW40" s="186" t="n">
        <f aca="false">CY40/CV40</f>
        <v>3.435</v>
      </c>
      <c r="CX40" s="1" t="n">
        <f aca="false">CV40*($B40+$H$15)</f>
        <v>86.645</v>
      </c>
      <c r="CY40" s="47" t="n">
        <f aca="false">IF(ISNUMBER(((CX40/CV40)+$H$16+$AH40+$H$14)*CV40),((CX40/CV40)+$H$16+$AH40+$H$14)*CV40,0)</f>
        <v>106.485</v>
      </c>
      <c r="CZ40" s="76" t="e">
        <f aca="false">IF($CV40=0,0,OSTRIP($CW40,$AM40,$BJ40-$B$2,$BG40-$BJ40,$BH40-$BJ40,$B$10,$BE40,$AJ40,$AK40,$H$23,$AN40,$DA$34,0))</f>
        <v>#NAME?</v>
      </c>
      <c r="DA40" s="76" t="e">
        <f aca="false">IF($CV40=0,0,OSTRIP($CW40,$AM40,$BJ40-$B$2,$BG40-$BJ40,$BH40-$BJ40,$B$10,$BE40,$AJ40,$AK40,$H$23,$AN40,$DA$34,1))</f>
        <v>#NAME?</v>
      </c>
      <c r="DB40" s="76" t="e">
        <f aca="false">IF($CV40=0,0,OSTRIP($CW40,$AM40,$BJ40-$B$2,$BG40-$BJ40,$BH40-$BJ40,$B$10,$BE40,$AJ40,$AK40,$H$23,$AN40,$DA$34,DA$35))</f>
        <v>#NAME?</v>
      </c>
      <c r="DC40" s="37" t="e">
        <f aca="false">CV40*CZ40</f>
        <v>#NAME?</v>
      </c>
      <c r="DD40" s="37" t="e">
        <f aca="false">CV40*DA40</f>
        <v>#NAME?</v>
      </c>
      <c r="DE40" s="37" t="e">
        <f aca="false">CV40*DB40</f>
        <v>#NAME?</v>
      </c>
      <c r="DF40" s="37" t="n">
        <f aca="false">CV40*AK40</f>
        <v>60.915</v>
      </c>
    </row>
    <row r="41" customFormat="false" ht="12.75" hidden="false" customHeight="false" outlineLevel="0" collapsed="false">
      <c r="A41" s="62" t="n">
        <f aca="false">DATE(YEAR(A40),MONTH(A40)+1,1)</f>
        <v>37347</v>
      </c>
      <c r="B41" s="63" t="n">
        <f aca="false">VLOOKUP(A41,STRADDLE,5,FALSE())</f>
        <v>2.765</v>
      </c>
      <c r="C41" s="4" t="n">
        <f aca="false">VLOOKUP(A41,STRADDLE,8,FALSE())</f>
        <v>0.6</v>
      </c>
      <c r="D41" s="63" t="n">
        <f aca="false">IF(D$35="nymex",0,VLOOKUP($A41,curvesettle,HLOOKUP(D$35,curvesettle,2,FALSE())))</f>
        <v>0.34</v>
      </c>
      <c r="E41" s="65" t="n">
        <f aca="false">IF(ISNUMBER(VLOOKUP($A41,VOLCURVES,HLOOKUP(D$35,VOLCURVES,2,FALSE()),FALSE())),VLOOKUP($A41,VOLCURVES,HLOOKUP(D$35,VOLCURVES,2,FALSE()),FALSE()),1)</f>
        <v>0.98</v>
      </c>
      <c r="F41" s="4" t="n">
        <f aca="false">(($C41+H41)*$E41)+B$17</f>
        <v>0.688</v>
      </c>
      <c r="G41" s="65" t="n">
        <f aca="false">VLOOKUP($A41,GASDVOLCURVES,HLOOKUP(D$36,GASDVOLCURVES,2,FALSE()),FALSE())+$B$18</f>
        <v>0.58</v>
      </c>
      <c r="H41" s="4" t="n">
        <f aca="false">IF($B$20=1,VLOOKUP($A41,skewtable,HLOOKUP(ROUND(I41-BM41,1),skewtable,2,FALSE()),FALSE())/100,0)</f>
        <v>0</v>
      </c>
      <c r="I41" s="66" t="e">
        <f aca="false">IF($B$10=1,($BM41*$B$23)-$B$14,$B$22)</f>
        <v>#DIV/0!</v>
      </c>
      <c r="J41" s="67" t="e">
        <f aca="false">I41-BM41+$B$24</f>
        <v>#DIV/0!</v>
      </c>
      <c r="K41" s="67" t="n">
        <v>-0.15</v>
      </c>
      <c r="L41" s="183"/>
      <c r="M41" s="183"/>
      <c r="N41" s="63" t="n">
        <f aca="false">IF(N$35="nymex",0,VLOOKUP($A41,curvesettle,HLOOKUP(N$35,curvesettle,2,FALSE())))</f>
        <v>0.015</v>
      </c>
      <c r="O41" s="65" t="n">
        <f aca="false">IF(ISNUMBER(VLOOKUP($A41,VOLCURVES,HLOOKUP(N$35,VOLCURVES,2,FALSE()),FALSE())),VLOOKUP($A41,VOLCURVES,HLOOKUP(N$35,VOLCURVES,2,FALSE()),FALSE()),1)</f>
        <v>1</v>
      </c>
      <c r="P41" s="184" t="n">
        <f aca="false">(($C41+R41)*O41)+$D$17</f>
        <v>0.6</v>
      </c>
      <c r="Q41" s="65" t="n">
        <f aca="false">VLOOKUP($A41,GASDVOLCURVES,HLOOKUP(N$36,GASDVOLCURVES,2,FALSE()),FALSE())+$D$18</f>
        <v>0.58</v>
      </c>
      <c r="R41" s="4" t="n">
        <f aca="false">IF($D$20=1,VLOOKUP($A41,skewtable,HLOOKUP(ROUND(S41-BY41,1),skewtable,2,FALSE()),FALSE())/100,0)</f>
        <v>0</v>
      </c>
      <c r="S41" s="66" t="e">
        <f aca="false">IF(B$10=1,($BY41*$D$23)-$D$14,$D$22)</f>
        <v>#DIV/0!</v>
      </c>
      <c r="T41" s="67" t="e">
        <f aca="false">S41-$BY41+$D$24</f>
        <v>#DIV/0!</v>
      </c>
      <c r="U41" s="0"/>
      <c r="V41" s="0"/>
      <c r="W41" s="0"/>
      <c r="X41" s="63" t="n">
        <f aca="false">IF(X$35="nymex",0,VLOOKUP($A41,curvesettle,HLOOKUP(X$35,curvesettle,2,FALSE())))</f>
        <v>-0.09</v>
      </c>
      <c r="Y41" s="65" t="n">
        <f aca="false">IF(ISNUMBER(VLOOKUP($A41,VOLCURVES,HLOOKUP(X$35,VOLCURVES,2,FALSE()),FALSE())),VLOOKUP($A41,VOLCURVES,HLOOKUP(X$35,VOLCURVES,2,FALSE()),FALSE()),1)</f>
        <v>1</v>
      </c>
      <c r="Z41" s="184" t="n">
        <f aca="false">(($C41+AB41)*Y41)+$F$17</f>
        <v>0.6</v>
      </c>
      <c r="AA41" s="65" t="n">
        <f aca="false">VLOOKUP($A41,GASDVOLCURVES,HLOOKUP(X$36,GASDVOLCURVES,2,FALSE()),FALSE())+$F$18</f>
        <v>0.68</v>
      </c>
      <c r="AB41" s="4" t="n">
        <f aca="false">IF($F$20=1,VLOOKUP($A41,skewtable,HLOOKUP(ROUND(AC41-CK41,1),skewtable,2,FALSE()),FALSE())/100,0)</f>
        <v>0</v>
      </c>
      <c r="AC41" s="66" t="n">
        <f aca="false">IF($B$10=1,($CK41*$F$23)-$F$14,$F$22)</f>
        <v>2.675</v>
      </c>
      <c r="AD41" s="67" t="n">
        <f aca="false">AC41-$CK41+$F$24</f>
        <v>0</v>
      </c>
      <c r="AE41" s="0"/>
      <c r="AF41" s="0"/>
      <c r="AG41" s="0"/>
      <c r="AH41" s="63" t="n">
        <f aca="false">IF(AH$35="nymex",0,VLOOKUP($A41,curvesettle,HLOOKUP(AH$35,curvesettle,2,FALSE())))</f>
        <v>0.41</v>
      </c>
      <c r="AI41" s="65" t="n">
        <f aca="false">IF(ISNUMBER(VLOOKUP($A41,VOLCURVES,HLOOKUP(AH$35,VOLCURVES,2,FALSE()),FALSE())),VLOOKUP($A41,VOLCURVES,HLOOKUP(AH$35,VOLCURVES,2,FALSE()),FALSE()),1)</f>
        <v>1</v>
      </c>
      <c r="AJ41" s="184" t="n">
        <f aca="false">(($C41+AL41)*AI41)+$H$17</f>
        <v>0.6</v>
      </c>
      <c r="AK41" s="65" t="n">
        <f aca="false">VLOOKUP($A41,GASDVOLCURVES,HLOOKUP(AH$36,GASDVOLCURVES,2,FALSE()),FALSE())+$H$18</f>
        <v>1.03</v>
      </c>
      <c r="AL41" s="4" t="n">
        <f aca="false">IF($H$20=1,VLOOKUP($A41,skewtable,HLOOKUP(ROUND(AM41-CW41,1),skewtable,2,FALSE()),FALSE())/100,0)</f>
        <v>0</v>
      </c>
      <c r="AM41" s="66" t="e">
        <f aca="false">IF($B$10=1,($CW41*$H$23)-$H$14,$H$22)</f>
        <v>#DIV/0!</v>
      </c>
      <c r="AN41" s="67" t="e">
        <f aca="false">AM41-CW41+$H$24</f>
        <v>#DIV/0!</v>
      </c>
      <c r="AO41" s="0"/>
      <c r="AP41" s="0"/>
      <c r="AQ41" s="183"/>
      <c r="AR41" s="183"/>
      <c r="AU41" s="0"/>
      <c r="AV41" s="0"/>
      <c r="AW41" s="0"/>
      <c r="AX41" s="0"/>
      <c r="AY41" s="0"/>
      <c r="AZ41" s="0"/>
      <c r="BA41" s="0"/>
      <c r="BC41" s="64"/>
      <c r="BD41" s="64"/>
      <c r="BE41" s="4" t="n">
        <f aca="false">VLOOKUP($A41,STRADDLE,14,FALSE())</f>
        <v>0.0189361632757947</v>
      </c>
      <c r="BF41" s="72" t="n">
        <f aca="false">A42-A41</f>
        <v>30</v>
      </c>
      <c r="BG41" s="179" t="n">
        <f aca="false">A41+BG$35</f>
        <v>37347</v>
      </c>
      <c r="BH41" s="179" t="n">
        <f aca="false">A42-1</f>
        <v>37376</v>
      </c>
      <c r="BJ41" s="179" t="n">
        <f aca="true">IF(BJ$35=0,TODAY(),IF(BJ$36="NYMEX",VLOOKUP($A41,expiration,2,FALSE())+1,BG41))</f>
        <v>37342</v>
      </c>
      <c r="BK41" s="73"/>
      <c r="BL41" s="73" t="n">
        <f aca="false">IF($A41&gt;=BM$32,IF($A41&lt;=BM$33,$BF41,0),0)</f>
        <v>0</v>
      </c>
      <c r="BM41" s="186" t="e">
        <f aca="false">BO41/BL41</f>
        <v>#DIV/0!</v>
      </c>
      <c r="BN41" s="1" t="n">
        <f aca="false">BL41*($B41+B$15)</f>
        <v>0</v>
      </c>
      <c r="BO41" s="47" t="n">
        <f aca="false">IF(ISNUMBER(((BN41/BL41)+B$16+$D41+$B$14)*BL41),((BN41/BL41)+B$16+$D41+$B$14)*BL41,0)</f>
        <v>0</v>
      </c>
      <c r="BP41" s="76" t="n">
        <f aca="false">IF($BL41=0,0,OSTRIP($BM41,$I41,$BJ41-$B$2,$BG41-$BJ41,$BH41-$BJ41,$B$10,$BE41,$F41,$G41,$B$23,$J41,$BQ$34,0))</f>
        <v>0</v>
      </c>
      <c r="BQ41" s="76" t="n">
        <f aca="false">IF($BL41=0,0,OSTRIP($BM41,$I41,$BJ41-$B$2,$BG41-$BJ41,$BH41-$BJ41,$B$10,$BE41,$F41,$G41,$B$23,$J41,$BQ$34,1))</f>
        <v>0</v>
      </c>
      <c r="BR41" s="76" t="n">
        <f aca="false">IF($BL41=0,0,OSTRIP($BM41,$I41,$BJ41-$B$2,$BG41-$BJ41,$BH41-$BJ41,$B$10,$BE41,$F41,$G41,$B$23,$J41,$BQ$34,BQ$35))</f>
        <v>0</v>
      </c>
      <c r="BS41" s="37" t="n">
        <f aca="false">BL41*BP41</f>
        <v>0</v>
      </c>
      <c r="BT41" s="37" t="n">
        <f aca="false">BL41*BQ41</f>
        <v>0</v>
      </c>
      <c r="BU41" s="37" t="n">
        <f aca="false">BL41*BR41</f>
        <v>0</v>
      </c>
      <c r="BV41" s="37" t="n">
        <f aca="false">BL41*G41</f>
        <v>0</v>
      </c>
      <c r="BX41" s="73" t="n">
        <f aca="false">IF($A41&gt;=BY$32,IF($A41&lt;=BY$33,$BF41,0),0)</f>
        <v>0</v>
      </c>
      <c r="BY41" s="186" t="e">
        <f aca="false">CA41/BX41</f>
        <v>#DIV/0!</v>
      </c>
      <c r="BZ41" s="1" t="n">
        <f aca="false">BX41*($B41+$D$15)</f>
        <v>0</v>
      </c>
      <c r="CA41" s="47" t="n">
        <f aca="false">IF(ISNUMBER(((BZ41/BX41)+$D$16+$N41+$D$14)*BX41),((BZ41/BX41)+$D$16+$N41+$D$14)*BX41,0)</f>
        <v>0</v>
      </c>
      <c r="CB41" s="76" t="n">
        <f aca="false">IF($BX41=0,0,OSTRIP($BY41,$S41,$BJ41-$B$2,$BG41-$BJ41,$BH41-$BJ41,$B$10,$BE41,$P41,$Q41,$D$23,$T41,$CC$34,0))</f>
        <v>0</v>
      </c>
      <c r="CC41" s="76" t="n">
        <f aca="false">IF($BX41=0,0,OSTRIP($BY41,$S41,$BJ41-$B$2,$BG41-$BJ41,$BH41-$BJ41,$B$10,$BE41,$P41,$Q41,$D$23,$T41,$CC$34,1))</f>
        <v>0</v>
      </c>
      <c r="CD41" s="76" t="n">
        <f aca="false">IF($BX41=0,0,OSTRIP($BY41,$S41,$BJ41-$B$2,$BG41-$BJ41,$BH41-$BJ41,$B$10,$BE41,$P41,$Q41,$D$23,$T41,$CC$34,CC$35))</f>
        <v>0</v>
      </c>
      <c r="CE41" s="37" t="n">
        <f aca="false">BX41*CB41</f>
        <v>0</v>
      </c>
      <c r="CF41" s="37" t="n">
        <f aca="false">BX41*CC41</f>
        <v>0</v>
      </c>
      <c r="CG41" s="37" t="n">
        <f aca="false">BX41*CD41</f>
        <v>0</v>
      </c>
      <c r="CH41" s="37" t="n">
        <f aca="false">BX41*Q41</f>
        <v>0</v>
      </c>
      <c r="CJ41" s="73" t="n">
        <f aca="false">IF($A41&gt;=CK$32,IF($A41&lt;=CK$33,$BF41,0),0)</f>
        <v>30</v>
      </c>
      <c r="CK41" s="186" t="n">
        <f aca="false">CM41/CJ41</f>
        <v>2.675</v>
      </c>
      <c r="CL41" s="1" t="n">
        <f aca="false">CJ41*($B41+$F$15)</f>
        <v>82.95</v>
      </c>
      <c r="CM41" s="47" t="n">
        <f aca="false">IF(ISNUMBER(((CL41/CJ41)+$F$16+$X41+$F$14)*CJ41),((CL41/CJ41)+$F$16+$X41+$F$14)*CJ41,0)</f>
        <v>80.25</v>
      </c>
      <c r="CN41" s="76" t="e">
        <f aca="false">IF($CJ41=0,0,OSTRIP($CK41,$AC41,$BJ41-$B$2,$BG41-$BJ41,$BH41-$BJ41,$B$10,$BE41,$Z41,$AA41,$F$23,$AD41,$CO$34,0))</f>
        <v>#NAME?</v>
      </c>
      <c r="CO41" s="76" t="e">
        <f aca="false">IF($CJ41=0,0,OSTRIP($CK41,$AC41,$BJ41-$B$2,$BG41-$BJ41,$BH41-$BJ41,$B$10,$BE41,$Z41,$AA41,$F$23,$AD41,$CO$34,1))</f>
        <v>#NAME?</v>
      </c>
      <c r="CP41" s="76" t="e">
        <f aca="false">IF($CJ41=0,0,OSTRIP($CK41,$AC41,$BJ41-$B$2,$BG41-$BJ41,$BH41-$BJ41,$B$10,$BE41,$Z41,$AA41,$F$23,$AD41,$CO$34,$CO$35))</f>
        <v>#NAME?</v>
      </c>
      <c r="CQ41" s="37" t="e">
        <f aca="false">CJ41*CN41</f>
        <v>#NAME?</v>
      </c>
      <c r="CR41" s="37" t="e">
        <f aca="false">CJ41*CO41</f>
        <v>#NAME?</v>
      </c>
      <c r="CS41" s="37" t="e">
        <f aca="false">CJ41*CP41</f>
        <v>#NAME?</v>
      </c>
      <c r="CT41" s="37" t="n">
        <f aca="false">CJ41*AA41</f>
        <v>20.4</v>
      </c>
      <c r="CV41" s="73" t="n">
        <f aca="false">IF($A41&gt;=CW$32,IF($A41&lt;=CW$33,$BF41,0),0)</f>
        <v>0</v>
      </c>
      <c r="CW41" s="186" t="e">
        <f aca="false">CY41/CV41</f>
        <v>#DIV/0!</v>
      </c>
      <c r="CX41" s="1" t="n">
        <f aca="false">CV41*($B41+$H$15)</f>
        <v>0</v>
      </c>
      <c r="CY41" s="47" t="n">
        <f aca="false">IF(ISNUMBER(((CX41/CV41)+$H$16+$AH41+$H$14)*CV41),((CX41/CV41)+$H$16+$AH41+$H$14)*CV41,0)</f>
        <v>0</v>
      </c>
      <c r="CZ41" s="76" t="n">
        <f aca="false">IF($CV41=0,0,OSTRIP($CW41,$AM41,$BJ41-$B$2,$BG41-$BJ41,$BH41-$BJ41,$B$10,$BE41,$AJ41,$AK41,$H$23,$AN41,$DA$34,0))</f>
        <v>0</v>
      </c>
      <c r="DA41" s="76" t="n">
        <f aca="false">IF($CV41=0,0,OSTRIP($CW41,$AM41,$BJ41-$B$2,$BG41-$BJ41,$BH41-$BJ41,$B$10,$BE41,$AJ41,$AK41,$H$23,$AN41,$DA$34,1))</f>
        <v>0</v>
      </c>
      <c r="DB41" s="76" t="n">
        <f aca="false">IF($CV41=0,0,OSTRIP($CW41,$AM41,$BJ41-$B$2,$BG41-$BJ41,$BH41-$BJ41,$B$10,$BE41,$AJ41,$AK41,$H$23,$AN41,$DA$34,DA$35))</f>
        <v>0</v>
      </c>
      <c r="DC41" s="37" t="n">
        <f aca="false">CV41*CZ41</f>
        <v>0</v>
      </c>
      <c r="DD41" s="37" t="n">
        <f aca="false">CV41*DA41</f>
        <v>0</v>
      </c>
      <c r="DE41" s="37" t="n">
        <f aca="false">CV41*DB41</f>
        <v>0</v>
      </c>
      <c r="DF41" s="37" t="n">
        <f aca="false">CV41*AK41</f>
        <v>0</v>
      </c>
    </row>
    <row r="42" customFormat="false" ht="12.75" hidden="false" customHeight="false" outlineLevel="0" collapsed="false">
      <c r="A42" s="62" t="n">
        <f aca="false">DATE(YEAR(A41),MONTH(A41)+1,1)</f>
        <v>37377</v>
      </c>
      <c r="B42" s="63" t="n">
        <f aca="false">VLOOKUP(A42,STRADDLE,5,FALSE())</f>
        <v>2.818</v>
      </c>
      <c r="C42" s="4" t="n">
        <f aca="false">VLOOKUP(A42,STRADDLE,8,FALSE())</f>
        <v>0.5425</v>
      </c>
      <c r="D42" s="63" t="n">
        <f aca="false">IF(D$35="nymex",0,VLOOKUP($A42,curvesettle,HLOOKUP(D$35,curvesettle,2,FALSE())))</f>
        <v>0.3125</v>
      </c>
      <c r="E42" s="65" t="n">
        <f aca="false">IF(ISNUMBER(VLOOKUP($A42,VOLCURVES,HLOOKUP(D$35,VOLCURVES,2,FALSE()),FALSE())),VLOOKUP($A42,VOLCURVES,HLOOKUP(D$35,VOLCURVES,2,FALSE()),FALSE()),1)</f>
        <v>0.98</v>
      </c>
      <c r="F42" s="4" t="n">
        <f aca="false">(($C42+H42)*$E42)+B$17</f>
        <v>0.63165</v>
      </c>
      <c r="G42" s="65" t="n">
        <f aca="false">VLOOKUP($A42,GASDVOLCURVES,HLOOKUP(D$36,GASDVOLCURVES,2,FALSE()),FALSE())+$B$18</f>
        <v>0.63</v>
      </c>
      <c r="H42" s="4" t="n">
        <f aca="false">IF($B$20=1,VLOOKUP($A42,skewtable,HLOOKUP(ROUND(I42-BM42,1),skewtable,2,FALSE()),FALSE())/100,0)</f>
        <v>0</v>
      </c>
      <c r="I42" s="66" t="e">
        <f aca="false">IF($B$10=1,($BM42*$B$23)-$B$14,$B$22)</f>
        <v>#DIV/0!</v>
      </c>
      <c r="J42" s="67" t="e">
        <f aca="false">I42-BM42+$B$24</f>
        <v>#DIV/0!</v>
      </c>
      <c r="K42" s="67" t="n">
        <v>-0.05</v>
      </c>
      <c r="L42" s="183"/>
      <c r="M42" s="183"/>
      <c r="N42" s="63" t="n">
        <f aca="false">IF(N$35="nymex",0,VLOOKUP($A42,curvesettle,HLOOKUP(N$35,curvesettle,2,FALSE())))</f>
        <v>0.02</v>
      </c>
      <c r="O42" s="65" t="n">
        <f aca="false">IF(ISNUMBER(VLOOKUP($A42,VOLCURVES,HLOOKUP(N$35,VOLCURVES,2,FALSE()),FALSE())),VLOOKUP($A42,VOLCURVES,HLOOKUP(N$35,VOLCURVES,2,FALSE()),FALSE()),1)</f>
        <v>1</v>
      </c>
      <c r="P42" s="184" t="n">
        <f aca="false">(($C42+R42)*O42)+$D$17</f>
        <v>0.5425</v>
      </c>
      <c r="Q42" s="65" t="n">
        <f aca="false">VLOOKUP($A42,GASDVOLCURVES,HLOOKUP(N$36,GASDVOLCURVES,2,FALSE()),FALSE())+$D$18</f>
        <v>0.63</v>
      </c>
      <c r="R42" s="4" t="n">
        <f aca="false">IF($D$20=1,VLOOKUP($A42,skewtable,HLOOKUP(ROUND(S42-BY42,1),skewtable,2,FALSE()),FALSE())/100,0)</f>
        <v>0</v>
      </c>
      <c r="S42" s="66" t="e">
        <f aca="false">IF(B$10=1,($BY42*$D$23)-$D$14,$D$22)</f>
        <v>#DIV/0!</v>
      </c>
      <c r="T42" s="67" t="e">
        <f aca="false">S42-$BY42+$D$24</f>
        <v>#DIV/0!</v>
      </c>
      <c r="U42" s="0"/>
      <c r="V42" s="0"/>
      <c r="W42" s="0"/>
      <c r="X42" s="63" t="n">
        <f aca="false">IF(X$35="nymex",0,VLOOKUP($A42,curvesettle,HLOOKUP(X$35,curvesettle,2,FALSE())))</f>
        <v>-0.07</v>
      </c>
      <c r="Y42" s="65" t="n">
        <f aca="false">IF(ISNUMBER(VLOOKUP($A42,VOLCURVES,HLOOKUP(X$35,VOLCURVES,2,FALSE()),FALSE())),VLOOKUP($A42,VOLCURVES,HLOOKUP(X$35,VOLCURVES,2,FALSE()),FALSE()),1)</f>
        <v>1</v>
      </c>
      <c r="Z42" s="184" t="n">
        <f aca="false">(($C42+AB42)*Y42)+$F$17</f>
        <v>0.5425</v>
      </c>
      <c r="AA42" s="65" t="n">
        <f aca="false">VLOOKUP($A42,GASDVOLCURVES,HLOOKUP(X$36,GASDVOLCURVES,2,FALSE()),FALSE())+$F$18</f>
        <v>0.63</v>
      </c>
      <c r="AB42" s="4" t="n">
        <f aca="false">IF($F$20=1,VLOOKUP($A42,skewtable,HLOOKUP(ROUND(AC42-CK42,1),skewtable,2,FALSE()),FALSE())/100,0)</f>
        <v>0</v>
      </c>
      <c r="AC42" s="66" t="n">
        <f aca="false">IF($B$10=1,($CK42*$F$23)-$F$14,$F$22)</f>
        <v>2.748</v>
      </c>
      <c r="AD42" s="67" t="n">
        <f aca="false">AC42-$CK42+$F$24</f>
        <v>0</v>
      </c>
      <c r="AE42" s="0"/>
      <c r="AF42" s="0"/>
      <c r="AG42" s="0"/>
      <c r="AH42" s="63" t="n">
        <f aca="false">IF(AH$35="nymex",0,VLOOKUP($A42,curvesettle,HLOOKUP(AH$35,curvesettle,2,FALSE())))</f>
        <v>0.38</v>
      </c>
      <c r="AI42" s="65" t="n">
        <f aca="false">IF(ISNUMBER(VLOOKUP($A42,VOLCURVES,HLOOKUP(AH$35,VOLCURVES,2,FALSE()),FALSE())),VLOOKUP($A42,VOLCURVES,HLOOKUP(AH$35,VOLCURVES,2,FALSE()),FALSE()),1)</f>
        <v>1</v>
      </c>
      <c r="AJ42" s="184" t="n">
        <f aca="false">(($C42+AL42)*AI42)+$H$17</f>
        <v>0.5425</v>
      </c>
      <c r="AK42" s="65" t="n">
        <f aca="false">VLOOKUP($A42,GASDVOLCURVES,HLOOKUP(AH$36,GASDVOLCURVES,2,FALSE()),FALSE())+$H$18</f>
        <v>1.08</v>
      </c>
      <c r="AL42" s="4" t="n">
        <f aca="false">IF($H$20=1,VLOOKUP($A42,skewtable,HLOOKUP(ROUND(AM42-CW42,1),skewtable,2,FALSE()),FALSE())/100,0)</f>
        <v>0</v>
      </c>
      <c r="AM42" s="66" t="e">
        <f aca="false">IF($B$10=1,($CW42*$H$23)-$H$14,$H$22)</f>
        <v>#DIV/0!</v>
      </c>
      <c r="AN42" s="67" t="e">
        <f aca="false">AM42-CW42+$H$24</f>
        <v>#DIV/0!</v>
      </c>
      <c r="AO42" s="0"/>
      <c r="AP42" s="0"/>
      <c r="AQ42" s="183"/>
      <c r="AR42" s="183"/>
      <c r="AU42" s="0"/>
      <c r="AV42" s="0"/>
      <c r="AW42" s="0"/>
      <c r="AX42" s="0"/>
      <c r="AY42" s="0"/>
      <c r="AZ42" s="0"/>
      <c r="BA42" s="0"/>
      <c r="BC42" s="64"/>
      <c r="BD42" s="64"/>
      <c r="BE42" s="4" t="n">
        <f aca="false">VLOOKUP($A42,STRADDLE,14,FALSE())</f>
        <v>0.0191064797925966</v>
      </c>
      <c r="BF42" s="72" t="n">
        <f aca="false">A43-A42</f>
        <v>31</v>
      </c>
      <c r="BG42" s="179" t="n">
        <f aca="false">A42+BG$35</f>
        <v>37377</v>
      </c>
      <c r="BH42" s="179" t="n">
        <f aca="false">A43-1</f>
        <v>37407</v>
      </c>
      <c r="BJ42" s="179" t="n">
        <f aca="true">IF(BJ$35=0,TODAY(),IF(BJ$36="NYMEX",VLOOKUP($A42,expiration,2,FALSE())+1,BG42))</f>
        <v>37373</v>
      </c>
      <c r="BK42" s="73"/>
      <c r="BL42" s="73" t="n">
        <f aca="false">IF($A42&gt;=BM$32,IF($A42&lt;=BM$33,$BF42,0),0)</f>
        <v>0</v>
      </c>
      <c r="BM42" s="186" t="e">
        <f aca="false">BO42/BL42</f>
        <v>#DIV/0!</v>
      </c>
      <c r="BN42" s="1" t="n">
        <f aca="false">BL42*($B42+B$15)</f>
        <v>0</v>
      </c>
      <c r="BO42" s="47" t="n">
        <f aca="false">IF(ISNUMBER(((BN42/BL42)+B$16+$D42+$B$14)*BL42),((BN42/BL42)+B$16+$D42+$B$14)*BL42,0)</f>
        <v>0</v>
      </c>
      <c r="BP42" s="76" t="n">
        <f aca="false">IF($BL42=0,0,OSTRIP($BM42,$I42,$BJ42-$B$2,$BG42-$BJ42,$BH42-$BJ42,$B$10,$BE42,$F42,$G42,$B$23,$J42,$BQ$34,0))</f>
        <v>0</v>
      </c>
      <c r="BQ42" s="76" t="n">
        <f aca="false">IF($BL42=0,0,OSTRIP($BM42,$I42,$BJ42-$B$2,$BG42-$BJ42,$BH42-$BJ42,$B$10,$BE42,$F42,$G42,$B$23,$J42,$BQ$34,1))</f>
        <v>0</v>
      </c>
      <c r="BR42" s="76" t="n">
        <f aca="false">IF($BL42=0,0,OSTRIP($BM42,$I42,$BJ42-$B$2,$BG42-$BJ42,$BH42-$BJ42,$B$10,$BE42,$F42,$G42,$B$23,$J42,$BQ$34,BQ$35))</f>
        <v>0</v>
      </c>
      <c r="BS42" s="37" t="n">
        <f aca="false">BL42*BP42</f>
        <v>0</v>
      </c>
      <c r="BT42" s="37" t="n">
        <f aca="false">BL42*BQ42</f>
        <v>0</v>
      </c>
      <c r="BU42" s="37" t="n">
        <f aca="false">BL42*BR42</f>
        <v>0</v>
      </c>
      <c r="BV42" s="37" t="n">
        <f aca="false">BL42*G42</f>
        <v>0</v>
      </c>
      <c r="BX42" s="73" t="n">
        <f aca="false">IF($A42&gt;=BY$32,IF($A42&lt;=BY$33,$BF42,0),0)</f>
        <v>0</v>
      </c>
      <c r="BY42" s="186" t="e">
        <f aca="false">CA42/BX42</f>
        <v>#DIV/0!</v>
      </c>
      <c r="BZ42" s="1" t="n">
        <f aca="false">BX42*($B42+$D$15)</f>
        <v>0</v>
      </c>
      <c r="CA42" s="47" t="n">
        <f aca="false">IF(ISNUMBER(((BZ42/BX42)+$D$16+$N42+$D$14)*BX42),((BZ42/BX42)+$D$16+$N42+$D$14)*BX42,0)</f>
        <v>0</v>
      </c>
      <c r="CB42" s="76" t="n">
        <f aca="false">IF($BX42=0,0,OSTRIP($BY42,$S42,$BJ42-$B$2,$BG42-$BJ42,$BH42-$BJ42,$B$10,$BE42,$P42,$Q42,$D$23,$T42,$CC$34,0))</f>
        <v>0</v>
      </c>
      <c r="CC42" s="76" t="n">
        <f aca="false">IF($BX42=0,0,OSTRIP($BY42,$S42,$BJ42-$B$2,$BG42-$BJ42,$BH42-$BJ42,$B$10,$BE42,$P42,$Q42,$D$23,$T42,$CC$34,1))</f>
        <v>0</v>
      </c>
      <c r="CD42" s="76" t="n">
        <f aca="false">IF($BX42=0,0,OSTRIP($BY42,$S42,$BJ42-$B$2,$BG42-$BJ42,$BH42-$BJ42,$B$10,$BE42,$P42,$Q42,$D$23,$T42,$CC$34,CC$35))</f>
        <v>0</v>
      </c>
      <c r="CE42" s="37" t="n">
        <f aca="false">BX42*CB42</f>
        <v>0</v>
      </c>
      <c r="CF42" s="37" t="n">
        <f aca="false">BX42*CC42</f>
        <v>0</v>
      </c>
      <c r="CG42" s="37" t="n">
        <f aca="false">BX42*CD42</f>
        <v>0</v>
      </c>
      <c r="CH42" s="37" t="n">
        <f aca="false">BX42*Q42</f>
        <v>0</v>
      </c>
      <c r="CJ42" s="73" t="n">
        <f aca="false">IF($A42&gt;=CK$32,IF($A42&lt;=CK$33,$BF42,0),0)</f>
        <v>31</v>
      </c>
      <c r="CK42" s="186" t="n">
        <f aca="false">CM42/CJ42</f>
        <v>2.748</v>
      </c>
      <c r="CL42" s="1" t="n">
        <f aca="false">CJ42*($B42+$F$15)</f>
        <v>87.358</v>
      </c>
      <c r="CM42" s="47" t="n">
        <f aca="false">IF(ISNUMBER(((CL42/CJ42)+$F$16+$X42+$F$14)*CJ42),((CL42/CJ42)+$F$16+$X42+$F$14)*CJ42,0)</f>
        <v>85.188</v>
      </c>
      <c r="CN42" s="76" t="e">
        <f aca="false">IF($CJ42=0,0,OSTRIP($CK42,$AC42,$BJ42-$B$2,$BG42-$BJ42,$BH42-$BJ42,$B$10,$BE42,$Z42,$AA42,$F$23,$AD42,$CO$34,0))</f>
        <v>#NAME?</v>
      </c>
      <c r="CO42" s="76" t="e">
        <f aca="false">IF($CJ42=0,0,OSTRIP($CK42,$AC42,$BJ42-$B$2,$BG42-$BJ42,$BH42-$BJ42,$B$10,$BE42,$Z42,$AA42,$F$23,$AD42,$CO$34,1))</f>
        <v>#NAME?</v>
      </c>
      <c r="CP42" s="76" t="e">
        <f aca="false">IF($CJ42=0,0,OSTRIP($CK42,$AC42,$BJ42-$B$2,$BG42-$BJ42,$BH42-$BJ42,$B$10,$BE42,$Z42,$AA42,$F$23,$AD42,$CO$34,$CO$35))</f>
        <v>#NAME?</v>
      </c>
      <c r="CQ42" s="37" t="e">
        <f aca="false">CJ42*CN42</f>
        <v>#NAME?</v>
      </c>
      <c r="CR42" s="37" t="e">
        <f aca="false">CJ42*CO42</f>
        <v>#NAME?</v>
      </c>
      <c r="CS42" s="37" t="e">
        <f aca="false">CJ42*CP42</f>
        <v>#NAME?</v>
      </c>
      <c r="CT42" s="37" t="n">
        <f aca="false">CJ42*AA42</f>
        <v>19.53</v>
      </c>
      <c r="CV42" s="73" t="n">
        <f aca="false">IF($A42&gt;=CW$32,IF($A42&lt;=CW$33,$BF42,0),0)</f>
        <v>0</v>
      </c>
      <c r="CW42" s="186" t="e">
        <f aca="false">CY42/CV42</f>
        <v>#DIV/0!</v>
      </c>
      <c r="CX42" s="1" t="n">
        <f aca="false">CV42*($B42+$H$15)</f>
        <v>0</v>
      </c>
      <c r="CY42" s="47" t="n">
        <f aca="false">IF(ISNUMBER(((CX42/CV42)+$H$16+$AH42+$H$14)*CV42),((CX42/CV42)+$H$16+$AH42+$H$14)*CV42,0)</f>
        <v>0</v>
      </c>
      <c r="CZ42" s="76" t="n">
        <f aca="false">IF($CV42=0,0,OSTRIP($CW42,$AM42,$BJ42-$B$2,$BG42-$BJ42,$BH42-$BJ42,$B$10,$BE42,$AJ42,$AK42,$H$23,$AN42,$DA$34,0))</f>
        <v>0</v>
      </c>
      <c r="DA42" s="76" t="n">
        <f aca="false">IF($CV42=0,0,OSTRIP($CW42,$AM42,$BJ42-$B$2,$BG42-$BJ42,$BH42-$BJ42,$B$10,$BE42,$AJ42,$AK42,$H$23,$AN42,$DA$34,1))</f>
        <v>0</v>
      </c>
      <c r="DB42" s="76" t="n">
        <f aca="false">IF($CV42=0,0,OSTRIP($CW42,$AM42,$BJ42-$B$2,$BG42-$BJ42,$BH42-$BJ42,$B$10,$BE42,$AJ42,$AK42,$H$23,$AN42,$DA$34,DA$35))</f>
        <v>0</v>
      </c>
      <c r="DC42" s="37" t="n">
        <f aca="false">CV42*CZ42</f>
        <v>0</v>
      </c>
      <c r="DD42" s="37" t="n">
        <f aca="false">CV42*DA42</f>
        <v>0</v>
      </c>
      <c r="DE42" s="37" t="n">
        <f aca="false">CV42*DB42</f>
        <v>0</v>
      </c>
      <c r="DF42" s="37" t="n">
        <f aca="false">CV42*AK42</f>
        <v>0</v>
      </c>
    </row>
    <row r="43" customFormat="false" ht="12.75" hidden="false" customHeight="false" outlineLevel="0" collapsed="false">
      <c r="A43" s="62" t="n">
        <f aca="false">DATE(YEAR(A42),MONTH(A42)+1,1)</f>
        <v>37408</v>
      </c>
      <c r="B43" s="63" t="n">
        <f aca="false">VLOOKUP(A43,STRADDLE,5,FALSE())</f>
        <v>2.872</v>
      </c>
      <c r="C43" s="4" t="n">
        <f aca="false">VLOOKUP(A43,STRADDLE,8,FALSE())</f>
        <v>0.5275</v>
      </c>
      <c r="D43" s="63" t="n">
        <f aca="false">IF(D$35="nymex",0,VLOOKUP($A43,curvesettle,HLOOKUP(D$35,curvesettle,2,FALSE())))</f>
        <v>0.31</v>
      </c>
      <c r="E43" s="65" t="n">
        <f aca="false">IF(ISNUMBER(VLOOKUP($A43,VOLCURVES,HLOOKUP(D$35,VOLCURVES,2,FALSE()),FALSE())),VLOOKUP($A43,VOLCURVES,HLOOKUP(D$35,VOLCURVES,2,FALSE()),FALSE()),1)</f>
        <v>0.98</v>
      </c>
      <c r="F43" s="4" t="n">
        <f aca="false">(($C43+H43)*$E43)+B$17</f>
        <v>0.61695</v>
      </c>
      <c r="G43" s="65" t="n">
        <f aca="false">VLOOKUP($A43,GASDVOLCURVES,HLOOKUP(D$36,GASDVOLCURVES,2,FALSE()),FALSE())+$B$18</f>
        <v>0.63</v>
      </c>
      <c r="H43" s="4" t="n">
        <f aca="false">IF($B$20=1,VLOOKUP($A43,skewtable,HLOOKUP(ROUND(I43-BM43,1),skewtable,2,FALSE()),FALSE())/100,0)</f>
        <v>0</v>
      </c>
      <c r="I43" s="66" t="e">
        <f aca="false">IF($B$10=1,($BM43*$B$23)-$B$14,$B$22)</f>
        <v>#DIV/0!</v>
      </c>
      <c r="J43" s="67" t="e">
        <f aca="false">I43-BM43+$B$24</f>
        <v>#DIV/0!</v>
      </c>
      <c r="K43" s="67" t="n">
        <v>-0.05</v>
      </c>
      <c r="L43" s="183"/>
      <c r="M43" s="183"/>
      <c r="N43" s="63" t="n">
        <f aca="false">IF(N$35="nymex",0,VLOOKUP($A43,curvesettle,HLOOKUP(N$35,curvesettle,2,FALSE())))</f>
        <v>0.0325</v>
      </c>
      <c r="O43" s="65" t="n">
        <f aca="false">IF(ISNUMBER(VLOOKUP($A43,VOLCURVES,HLOOKUP(N$35,VOLCURVES,2,FALSE()),FALSE())),VLOOKUP($A43,VOLCURVES,HLOOKUP(N$35,VOLCURVES,2,FALSE()),FALSE()),1)</f>
        <v>1</v>
      </c>
      <c r="P43" s="184" t="n">
        <f aca="false">(($C43+R43)*O43)+$D$17</f>
        <v>0.5275</v>
      </c>
      <c r="Q43" s="65" t="n">
        <f aca="false">VLOOKUP($A43,GASDVOLCURVES,HLOOKUP(N$36,GASDVOLCURVES,2,FALSE()),FALSE())+$D$18</f>
        <v>0.63</v>
      </c>
      <c r="R43" s="4" t="n">
        <f aca="false">IF($D$20=1,VLOOKUP($A43,skewtable,HLOOKUP(ROUND(S43-BY43,1),skewtable,2,FALSE()),FALSE())/100,0)</f>
        <v>0</v>
      </c>
      <c r="S43" s="66" t="e">
        <f aca="false">IF(B$10=1,($BY43*$D$23)-$D$14,$D$22)</f>
        <v>#DIV/0!</v>
      </c>
      <c r="T43" s="67" t="e">
        <f aca="false">S43-$BY43+$D$24</f>
        <v>#DIV/0!</v>
      </c>
      <c r="U43" s="0"/>
      <c r="V43" s="0"/>
      <c r="W43" s="0"/>
      <c r="X43" s="63" t="n">
        <f aca="false">IF(X$35="nymex",0,VLOOKUP($A43,curvesettle,HLOOKUP(X$35,curvesettle,2,FALSE())))</f>
        <v>-0.05</v>
      </c>
      <c r="Y43" s="65" t="n">
        <f aca="false">IF(ISNUMBER(VLOOKUP($A43,VOLCURVES,HLOOKUP(X$35,VOLCURVES,2,FALSE()),FALSE())),VLOOKUP($A43,VOLCURVES,HLOOKUP(X$35,VOLCURVES,2,FALSE()),FALSE()),1)</f>
        <v>1</v>
      </c>
      <c r="Z43" s="184" t="n">
        <f aca="false">(($C43+AB43)*Y43)+$F$17</f>
        <v>0.5275</v>
      </c>
      <c r="AA43" s="65" t="n">
        <f aca="false">VLOOKUP($A43,GASDVOLCURVES,HLOOKUP(X$36,GASDVOLCURVES,2,FALSE()),FALSE())+$F$18</f>
        <v>0.73</v>
      </c>
      <c r="AB43" s="4" t="n">
        <f aca="false">IF($F$20=1,VLOOKUP($A43,skewtable,HLOOKUP(ROUND(AC43-CK43,1),skewtable,2,FALSE()),FALSE())/100,0)</f>
        <v>0</v>
      </c>
      <c r="AC43" s="66" t="n">
        <f aca="false">IF($B$10=1,($CK43*$F$23)-$F$14,$F$22)</f>
        <v>2.822</v>
      </c>
      <c r="AD43" s="67" t="n">
        <f aca="false">AC43-$CK43+$F$24</f>
        <v>0</v>
      </c>
      <c r="AE43" s="0"/>
      <c r="AF43" s="0"/>
      <c r="AG43" s="0"/>
      <c r="AH43" s="63" t="n">
        <f aca="false">IF(AH$35="nymex",0,VLOOKUP($A43,curvesettle,HLOOKUP(AH$35,curvesettle,2,FALSE())))</f>
        <v>0.365</v>
      </c>
      <c r="AI43" s="65" t="n">
        <f aca="false">IF(ISNUMBER(VLOOKUP($A43,VOLCURVES,HLOOKUP(AH$35,VOLCURVES,2,FALSE()),FALSE())),VLOOKUP($A43,VOLCURVES,HLOOKUP(AH$35,VOLCURVES,2,FALSE()),FALSE()),1)</f>
        <v>1</v>
      </c>
      <c r="AJ43" s="184" t="n">
        <f aca="false">(($C43+AL43)*AI43)+$H$17</f>
        <v>0.5275</v>
      </c>
      <c r="AK43" s="65" t="n">
        <f aca="false">VLOOKUP($A43,GASDVOLCURVES,HLOOKUP(AH$36,GASDVOLCURVES,2,FALSE()),FALSE())+$H$18</f>
        <v>1.08</v>
      </c>
      <c r="AL43" s="4" t="n">
        <f aca="false">IF($H$20=1,VLOOKUP($A43,skewtable,HLOOKUP(ROUND(AM43-CW43,1),skewtable,2,FALSE()),FALSE())/100,0)</f>
        <v>0</v>
      </c>
      <c r="AM43" s="66" t="e">
        <f aca="false">IF($B$10=1,($CW43*$H$23)-$H$14,$H$22)</f>
        <v>#DIV/0!</v>
      </c>
      <c r="AN43" s="67" t="e">
        <f aca="false">AM43-CW43+$H$24</f>
        <v>#DIV/0!</v>
      </c>
      <c r="AO43" s="0"/>
      <c r="AP43" s="0"/>
      <c r="AQ43" s="183"/>
      <c r="AR43" s="183"/>
      <c r="AT43" s="41" t="e">
        <f aca="false">ROUND(I43-B43,1)</f>
        <v>#DIV/0!</v>
      </c>
      <c r="AU43" s="0"/>
      <c r="AV43" s="0"/>
      <c r="AW43" s="0"/>
      <c r="AX43" s="0"/>
      <c r="AY43" s="0"/>
      <c r="AZ43" s="0"/>
      <c r="BA43" s="0"/>
      <c r="BC43" s="64"/>
      <c r="BD43" s="64"/>
      <c r="BE43" s="4" t="n">
        <f aca="false">VLOOKUP($A43,STRADDLE,14,FALSE())</f>
        <v>0.0192824735369563</v>
      </c>
      <c r="BF43" s="72" t="n">
        <f aca="false">A44-A43</f>
        <v>30</v>
      </c>
      <c r="BG43" s="179" t="n">
        <f aca="false">A43+BG$35</f>
        <v>37408</v>
      </c>
      <c r="BH43" s="179" t="n">
        <f aca="false">A44-1</f>
        <v>37437</v>
      </c>
      <c r="BJ43" s="179" t="n">
        <f aca="true">IF(BJ$35=0,TODAY(),IF(BJ$36="NYMEX",VLOOKUP($A43,expiration,2,FALSE())+1,BG43))</f>
        <v>37406</v>
      </c>
      <c r="BK43" s="73"/>
      <c r="BL43" s="73" t="n">
        <f aca="false">IF($A43&gt;=BM$32,IF($A43&lt;=BM$33,$BF43,0),0)</f>
        <v>0</v>
      </c>
      <c r="BM43" s="186" t="e">
        <f aca="false">BO43/BL43</f>
        <v>#DIV/0!</v>
      </c>
      <c r="BN43" s="1" t="n">
        <f aca="false">BL43*($B43+B$15)</f>
        <v>0</v>
      </c>
      <c r="BO43" s="47" t="n">
        <f aca="false">IF(ISNUMBER(((BN43/BL43)+B$16+$D43+$B$14)*BL43),((BN43/BL43)+B$16+$D43+$B$14)*BL43,0)</f>
        <v>0</v>
      </c>
      <c r="BP43" s="76" t="n">
        <f aca="false">IF($BL43=0,0,OSTRIP($BM43,$I43,$BJ43-$B$2,$BG43-$BJ43,$BH43-$BJ43,$B$10,$BE43,$F43,$G43,$B$23,$J43,$BQ$34,0))</f>
        <v>0</v>
      </c>
      <c r="BQ43" s="76" t="n">
        <f aca="false">IF($BL43=0,0,OSTRIP($BM43,$I43,$BJ43-$B$2,$BG43-$BJ43,$BH43-$BJ43,$B$10,$BE43,$F43,$G43,$B$23,$J43,$BQ$34,1))</f>
        <v>0</v>
      </c>
      <c r="BR43" s="76" t="n">
        <f aca="false">IF($BL43=0,0,OSTRIP($BM43,$I43,$BJ43-$B$2,$BG43-$BJ43,$BH43-$BJ43,$B$10,$BE43,$F43,$G43,$B$23,$J43,$BQ$34,BQ$35))</f>
        <v>0</v>
      </c>
      <c r="BS43" s="37" t="n">
        <f aca="false">BL43*BP43</f>
        <v>0</v>
      </c>
      <c r="BT43" s="37" t="n">
        <f aca="false">BL43*BQ43</f>
        <v>0</v>
      </c>
      <c r="BU43" s="37" t="n">
        <f aca="false">BL43*BR43</f>
        <v>0</v>
      </c>
      <c r="BV43" s="37" t="n">
        <f aca="false">BL43*G43</f>
        <v>0</v>
      </c>
      <c r="BX43" s="73" t="n">
        <f aca="false">IF($A43&gt;=BY$32,IF($A43&lt;=BY$33,$BF43,0),0)</f>
        <v>0</v>
      </c>
      <c r="BY43" s="186" t="e">
        <f aca="false">CA43/BX43</f>
        <v>#DIV/0!</v>
      </c>
      <c r="BZ43" s="1" t="n">
        <f aca="false">BX43*($B43+$D$15)</f>
        <v>0</v>
      </c>
      <c r="CA43" s="47" t="n">
        <f aca="false">IF(ISNUMBER(((BZ43/BX43)+$D$16+$N43+$D$14)*BX43),((BZ43/BX43)+$D$16+$N43+$D$14)*BX43,0)</f>
        <v>0</v>
      </c>
      <c r="CB43" s="76" t="n">
        <f aca="false">IF($BX43=0,0,OSTRIP($BY43,$S43,$BJ43-$B$2,$BG43-$BJ43,$BH43-$BJ43,$B$10,$BE43,$P43,$Q43,$D$23,$T43,$CC$34,0))</f>
        <v>0</v>
      </c>
      <c r="CC43" s="76" t="n">
        <f aca="false">IF($BX43=0,0,OSTRIP($BY43,$S43,$BJ43-$B$2,$BG43-$BJ43,$BH43-$BJ43,$B$10,$BE43,$P43,$Q43,$D$23,$T43,$CC$34,1))</f>
        <v>0</v>
      </c>
      <c r="CD43" s="76" t="n">
        <f aca="false">IF($BX43=0,0,OSTRIP($BY43,$S43,$BJ43-$B$2,$BG43-$BJ43,$BH43-$BJ43,$B$10,$BE43,$P43,$Q43,$D$23,$T43,$CC$34,CC$35))</f>
        <v>0</v>
      </c>
      <c r="CE43" s="37" t="n">
        <f aca="false">BX43*CB43</f>
        <v>0</v>
      </c>
      <c r="CF43" s="37" t="n">
        <f aca="false">BX43*CC43</f>
        <v>0</v>
      </c>
      <c r="CG43" s="37" t="n">
        <f aca="false">BX43*CD43</f>
        <v>0</v>
      </c>
      <c r="CH43" s="37" t="n">
        <f aca="false">BX43*Q43</f>
        <v>0</v>
      </c>
      <c r="CJ43" s="73" t="n">
        <f aca="false">IF($A43&gt;=CK$32,IF($A43&lt;=CK$33,$BF43,0),0)</f>
        <v>30</v>
      </c>
      <c r="CK43" s="186" t="n">
        <f aca="false">CM43/CJ43</f>
        <v>2.822</v>
      </c>
      <c r="CL43" s="1" t="n">
        <f aca="false">CJ43*($B43+$F$15)</f>
        <v>86.16</v>
      </c>
      <c r="CM43" s="47" t="n">
        <f aca="false">IF(ISNUMBER(((CL43/CJ43)+$F$16+$X43+$F$14)*CJ43),((CL43/CJ43)+$F$16+$X43+$F$14)*CJ43,0)</f>
        <v>84.66</v>
      </c>
      <c r="CN43" s="76" t="e">
        <f aca="false">IF($CJ43=0,0,OSTRIP($CK43,$AC43,$BJ43-$B$2,$BG43-$BJ43,$BH43-$BJ43,$B$10,$BE43,$Z43,$AA43,$F$23,$AD43,$CO$34,0))</f>
        <v>#NAME?</v>
      </c>
      <c r="CO43" s="76" t="e">
        <f aca="false">IF($CJ43=0,0,OSTRIP($CK43,$AC43,$BJ43-$B$2,$BG43-$BJ43,$BH43-$BJ43,$B$10,$BE43,$Z43,$AA43,$F$23,$AD43,$CO$34,1))</f>
        <v>#NAME?</v>
      </c>
      <c r="CP43" s="76" t="e">
        <f aca="false">IF($CJ43=0,0,OSTRIP($CK43,$AC43,$BJ43-$B$2,$BG43-$BJ43,$BH43-$BJ43,$B$10,$BE43,$Z43,$AA43,$F$23,$AD43,$CO$34,$CO$35))</f>
        <v>#NAME?</v>
      </c>
      <c r="CQ43" s="37" t="e">
        <f aca="false">CJ43*CN43</f>
        <v>#NAME?</v>
      </c>
      <c r="CR43" s="37" t="e">
        <f aca="false">CJ43*CO43</f>
        <v>#NAME?</v>
      </c>
      <c r="CS43" s="37" t="e">
        <f aca="false">CJ43*CP43</f>
        <v>#NAME?</v>
      </c>
      <c r="CT43" s="37" t="n">
        <f aca="false">CJ43*AA43</f>
        <v>21.9</v>
      </c>
      <c r="CV43" s="73" t="n">
        <f aca="false">IF($A43&gt;=CW$32,IF($A43&lt;=CW$33,$BF43,0),0)</f>
        <v>0</v>
      </c>
      <c r="CW43" s="186" t="e">
        <f aca="false">CY43/CV43</f>
        <v>#DIV/0!</v>
      </c>
      <c r="CX43" s="1" t="n">
        <f aca="false">CV43*($B43+$H$15)</f>
        <v>0</v>
      </c>
      <c r="CY43" s="47" t="n">
        <f aca="false">IF(ISNUMBER(((CX43/CV43)+$H$16+$AH43+$H$14)*CV43),((CX43/CV43)+$H$16+$AH43+$H$14)*CV43,0)</f>
        <v>0</v>
      </c>
      <c r="CZ43" s="76" t="n">
        <f aca="false">IF($CV43=0,0,OSTRIP($CW43,$AM43,$BJ43-$B$2,$BG43-$BJ43,$BH43-$BJ43,$B$10,$BE43,$AJ43,$AK43,$H$23,$AN43,$DA$34,0))</f>
        <v>0</v>
      </c>
      <c r="DA43" s="76" t="n">
        <f aca="false">IF($CV43=0,0,OSTRIP($CW43,$AM43,$BJ43-$B$2,$BG43-$BJ43,$BH43-$BJ43,$B$10,$BE43,$AJ43,$AK43,$H$23,$AN43,$DA$34,1))</f>
        <v>0</v>
      </c>
      <c r="DB43" s="76" t="n">
        <f aca="false">IF($CV43=0,0,OSTRIP($CW43,$AM43,$BJ43-$B$2,$BG43-$BJ43,$BH43-$BJ43,$B$10,$BE43,$AJ43,$AK43,$H$23,$AN43,$DA$34,DA$35))</f>
        <v>0</v>
      </c>
      <c r="DC43" s="37" t="n">
        <f aca="false">CV43*CZ43</f>
        <v>0</v>
      </c>
      <c r="DD43" s="37" t="n">
        <f aca="false">CV43*DA43</f>
        <v>0</v>
      </c>
      <c r="DE43" s="37" t="n">
        <f aca="false">CV43*DB43</f>
        <v>0</v>
      </c>
      <c r="DF43" s="37" t="n">
        <f aca="false">CV43*AK43</f>
        <v>0</v>
      </c>
    </row>
    <row r="44" customFormat="false" ht="12.75" hidden="false" customHeight="false" outlineLevel="0" collapsed="false">
      <c r="A44" s="62" t="n">
        <f aca="false">DATE(YEAR(A43),MONTH(A43)+1,1)</f>
        <v>37438</v>
      </c>
      <c r="B44" s="63" t="n">
        <f aca="false">VLOOKUP(A44,STRADDLE,5,FALSE())</f>
        <v>2.917</v>
      </c>
      <c r="C44" s="4" t="n">
        <f aca="false">VLOOKUP(A44,STRADDLE,8,FALSE())</f>
        <v>0.5275</v>
      </c>
      <c r="D44" s="63" t="n">
        <f aca="false">IF(D$35="nymex",0,VLOOKUP($A44,curvesettle,HLOOKUP(D$35,curvesettle,2,FALSE())))</f>
        <v>0.33</v>
      </c>
      <c r="E44" s="65" t="n">
        <f aca="false">IF(ISNUMBER(VLOOKUP($A44,VOLCURVES,HLOOKUP(D$35,VOLCURVES,2,FALSE()),FALSE())),VLOOKUP($A44,VOLCURVES,HLOOKUP(D$35,VOLCURVES,2,FALSE()),FALSE()),1)</f>
        <v>0.98</v>
      </c>
      <c r="F44" s="4" t="n">
        <f aca="false">(($C44+H44)*$E44)+B$17</f>
        <v>0.61695</v>
      </c>
      <c r="G44" s="65" t="n">
        <f aca="false">VLOOKUP($A44,GASDVOLCURVES,HLOOKUP(D$36,GASDVOLCURVES,2,FALSE()),FALSE())+$B$18</f>
        <v>0.68</v>
      </c>
      <c r="H44" s="4" t="n">
        <f aca="false">IF($B$20=1,VLOOKUP($A44,skewtable,HLOOKUP(ROUND(I44-BM44,1),skewtable,2,FALSE()),FALSE())/100,0)</f>
        <v>0</v>
      </c>
      <c r="I44" s="66" t="e">
        <f aca="false">IF($B$10=1,($BM44*$B$23)-$B$14,$B$22)</f>
        <v>#DIV/0!</v>
      </c>
      <c r="J44" s="67" t="e">
        <f aca="false">I44-BM44+$B$24</f>
        <v>#DIV/0!</v>
      </c>
      <c r="K44" s="67" t="n">
        <v>-0.05</v>
      </c>
      <c r="L44" s="183"/>
      <c r="M44" s="183"/>
      <c r="N44" s="63" t="n">
        <f aca="false">IF(N$35="nymex",0,VLOOKUP($A44,curvesettle,HLOOKUP(N$35,curvesettle,2,FALSE())))</f>
        <v>0.045</v>
      </c>
      <c r="O44" s="65" t="n">
        <f aca="false">IF(ISNUMBER(VLOOKUP($A44,VOLCURVES,HLOOKUP(N$35,VOLCURVES,2,FALSE()),FALSE())),VLOOKUP($A44,VOLCURVES,HLOOKUP(N$35,VOLCURVES,2,FALSE()),FALSE()),1)</f>
        <v>1</v>
      </c>
      <c r="P44" s="184" t="n">
        <f aca="false">(($C44+R44)*O44)+$D$17</f>
        <v>0.5275</v>
      </c>
      <c r="Q44" s="65" t="n">
        <f aca="false">VLOOKUP($A44,GASDVOLCURVES,HLOOKUP(N$36,GASDVOLCURVES,2,FALSE()),FALSE())+$D$18</f>
        <v>0.68</v>
      </c>
      <c r="R44" s="4" t="n">
        <f aca="false">IF($D$20=1,VLOOKUP($A44,skewtable,HLOOKUP(ROUND(S44-BY44,1),skewtable,2,FALSE()),FALSE())/100,0)</f>
        <v>0</v>
      </c>
      <c r="S44" s="66" t="e">
        <f aca="false">IF(B$10=1,($BY44*$D$23)-$D$14,$D$22)</f>
        <v>#DIV/0!</v>
      </c>
      <c r="T44" s="67" t="e">
        <f aca="false">S44-$BY44+$D$24</f>
        <v>#DIV/0!</v>
      </c>
      <c r="U44" s="0"/>
      <c r="V44" s="0"/>
      <c r="W44" s="0"/>
      <c r="X44" s="63" t="n">
        <f aca="false">IF(X$35="nymex",0,VLOOKUP($A44,curvesettle,HLOOKUP(X$35,curvesettle,2,FALSE())))</f>
        <v>0.115</v>
      </c>
      <c r="Y44" s="65" t="n">
        <f aca="false">IF(ISNUMBER(VLOOKUP($A44,VOLCURVES,HLOOKUP(X$35,VOLCURVES,2,FALSE()),FALSE())),VLOOKUP($A44,VOLCURVES,HLOOKUP(X$35,VOLCURVES,2,FALSE()),FALSE()),1)</f>
        <v>1</v>
      </c>
      <c r="Z44" s="184" t="n">
        <f aca="false">(($C44+AB44)*Y44)+$F$17</f>
        <v>0.5275</v>
      </c>
      <c r="AA44" s="65" t="n">
        <f aca="false">VLOOKUP($A44,GASDVOLCURVES,HLOOKUP(X$36,GASDVOLCURVES,2,FALSE()),FALSE())+$F$18</f>
        <v>0.73</v>
      </c>
      <c r="AB44" s="4" t="n">
        <f aca="false">IF($F$20=1,VLOOKUP($A44,skewtable,HLOOKUP(ROUND(AC44-CK44,1),skewtable,2,FALSE()),FALSE())/100,0)</f>
        <v>0</v>
      </c>
      <c r="AC44" s="66" t="n">
        <f aca="false">IF($B$10=1,($CK44*$F$23)-$F$14,$F$22)</f>
        <v>3.032</v>
      </c>
      <c r="AD44" s="67" t="n">
        <f aca="false">AC44-$CK44+$F$24</f>
        <v>0</v>
      </c>
      <c r="AE44" s="0"/>
      <c r="AF44" s="0"/>
      <c r="AG44" s="0"/>
      <c r="AH44" s="63" t="n">
        <f aca="false">IF(AH$35="nymex",0,VLOOKUP($A44,curvesettle,HLOOKUP(AH$35,curvesettle,2,FALSE())))</f>
        <v>0.42</v>
      </c>
      <c r="AI44" s="65" t="n">
        <f aca="false">IF(ISNUMBER(VLOOKUP($A44,VOLCURVES,HLOOKUP(AH$35,VOLCURVES,2,FALSE()),FALSE())),VLOOKUP($A44,VOLCURVES,HLOOKUP(AH$35,VOLCURVES,2,FALSE()),FALSE()),1)</f>
        <v>1</v>
      </c>
      <c r="AJ44" s="184" t="n">
        <f aca="false">(($C44+AL44)*AI44)+$H$17</f>
        <v>0.5275</v>
      </c>
      <c r="AK44" s="65" t="n">
        <f aca="false">VLOOKUP($A44,GASDVOLCURVES,HLOOKUP(AH$36,GASDVOLCURVES,2,FALSE()),FALSE())+$H$18</f>
        <v>1.08</v>
      </c>
      <c r="AL44" s="4" t="n">
        <f aca="false">IF($H$20=1,VLOOKUP($A44,skewtable,HLOOKUP(ROUND(AM44-CW44,1),skewtable,2,FALSE()),FALSE())/100,0)</f>
        <v>0</v>
      </c>
      <c r="AM44" s="66" t="e">
        <f aca="false">IF($B$10=1,($CW44*$H$23)-$H$14,$H$22)</f>
        <v>#DIV/0!</v>
      </c>
      <c r="AN44" s="67" t="e">
        <f aca="false">AM44-CW44+$H$24</f>
        <v>#DIV/0!</v>
      </c>
      <c r="AO44" s="0"/>
      <c r="AP44" s="0"/>
      <c r="AQ44" s="183"/>
      <c r="AR44" s="183"/>
      <c r="AU44" s="0"/>
      <c r="AV44" s="0"/>
      <c r="AW44" s="0"/>
      <c r="AX44" s="0"/>
      <c r="AY44" s="0"/>
      <c r="AZ44" s="0"/>
      <c r="BA44" s="0"/>
      <c r="BC44" s="64"/>
      <c r="BD44" s="64"/>
      <c r="BE44" s="4" t="n">
        <f aca="false">VLOOKUP($A44,STRADDLE,14,FALSE())</f>
        <v>0.0195950648415604</v>
      </c>
      <c r="BF44" s="72" t="n">
        <f aca="false">A45-A44</f>
        <v>31</v>
      </c>
      <c r="BG44" s="179" t="n">
        <f aca="false">A44+BG$35</f>
        <v>37438</v>
      </c>
      <c r="BH44" s="179" t="n">
        <f aca="false">A45-1</f>
        <v>37468</v>
      </c>
      <c r="BJ44" s="179" t="n">
        <f aca="true">IF(BJ$35=0,TODAY(),IF(BJ$36="NYMEX",VLOOKUP($A44,expiration,2,FALSE())+1,BG44))</f>
        <v>37434</v>
      </c>
      <c r="BK44" s="73"/>
      <c r="BL44" s="73" t="n">
        <f aca="false">IF($A44&gt;=BM$32,IF($A44&lt;=BM$33,$BF44,0),0)</f>
        <v>0</v>
      </c>
      <c r="BM44" s="73" t="e">
        <f aca="false">BO44/BL44</f>
        <v>#DIV/0!</v>
      </c>
      <c r="BN44" s="1" t="n">
        <f aca="false">BL44*($B44+B$15)</f>
        <v>0</v>
      </c>
      <c r="BO44" s="47" t="n">
        <f aca="false">IF(ISNUMBER(((BN44/BL44)+B$16+$D44+$B$14)*BL44),((BN44/BL44)+B$16+$D44+$B$14)*BL44,0)</f>
        <v>0</v>
      </c>
      <c r="BP44" s="76" t="n">
        <f aca="false">IF($BL44=0,0,OSTRIP($BM44,$I44,$BJ44-$B$2,$BG44-$BJ44,$BH44-$BJ44,$B$10,$BE44,$F44,$G44,$B$23,$J44,$BQ$34,0))</f>
        <v>0</v>
      </c>
      <c r="BQ44" s="76" t="n">
        <f aca="false">IF($BL44=0,0,OSTRIP($BM44,$I44,$BJ44-$B$2,$BG44-$BJ44,$BH44-$BJ44,$B$10,$BE44,$F44,$G44,$B$23,$J44,$BQ$34,1))</f>
        <v>0</v>
      </c>
      <c r="BR44" s="76" t="n">
        <f aca="false">IF($BL44=0,0,OSTRIP($BM44,$I44,$BJ44-$B$2,$BG44-$BJ44,$BH44-$BJ44,$B$10,$BE44,$F44,$G44,$B$23,$J44,$BQ$34,BQ$35))</f>
        <v>0</v>
      </c>
      <c r="BS44" s="37" t="n">
        <f aca="false">BL44*BP44</f>
        <v>0</v>
      </c>
      <c r="BT44" s="37" t="n">
        <f aca="false">BL44*BQ44</f>
        <v>0</v>
      </c>
      <c r="BU44" s="37" t="n">
        <f aca="false">BL44*BR44</f>
        <v>0</v>
      </c>
      <c r="BV44" s="37" t="n">
        <f aca="false">BL44*G44</f>
        <v>0</v>
      </c>
      <c r="BX44" s="73" t="n">
        <f aca="false">IF($A44&gt;=BY$32,IF($A44&lt;=BY$33,$BF44,0),0)</f>
        <v>0</v>
      </c>
      <c r="BY44" s="186" t="e">
        <f aca="false">CA44/BX44</f>
        <v>#DIV/0!</v>
      </c>
      <c r="BZ44" s="1" t="n">
        <f aca="false">BX44*($B44+$D$15)</f>
        <v>0</v>
      </c>
      <c r="CA44" s="47" t="n">
        <f aca="false">IF(ISNUMBER(((BZ44/BX44)+$D$16+$N44+$D$14)*BX44),((BZ44/BX44)+$D$16+$N44+$D$14)*BX44,0)</f>
        <v>0</v>
      </c>
      <c r="CB44" s="76" t="n">
        <f aca="false">IF($BX44=0,0,OSTRIP($BY44,$S44,$BJ44-$B$2,$BG44-$BJ44,$BH44-$BJ44,$B$10,$BE44,$P44,$Q44,$D$23,$T44,$CC$34,0))</f>
        <v>0</v>
      </c>
      <c r="CC44" s="76" t="n">
        <f aca="false">IF($BX44=0,0,OSTRIP($BY44,$S44,$BJ44-$B$2,$BG44-$BJ44,$BH44-$BJ44,$B$10,$BE44,$P44,$Q44,$D$23,$T44,$CC$34,1))</f>
        <v>0</v>
      </c>
      <c r="CD44" s="76" t="n">
        <f aca="false">IF($BX44=0,0,OSTRIP($BY44,$S44,$BJ44-$B$2,$BG44-$BJ44,$BH44-$BJ44,$B$10,$BE44,$P44,$Q44,$D$23,$T44,$CC$34,CC$35))</f>
        <v>0</v>
      </c>
      <c r="CE44" s="37" t="n">
        <f aca="false">BX44*CB44</f>
        <v>0</v>
      </c>
      <c r="CF44" s="37" t="n">
        <f aca="false">BX44*CC44</f>
        <v>0</v>
      </c>
      <c r="CG44" s="37" t="n">
        <f aca="false">BX44*CD44</f>
        <v>0</v>
      </c>
      <c r="CH44" s="37" t="n">
        <f aca="false">BX44*Q44</f>
        <v>0</v>
      </c>
      <c r="CJ44" s="73" t="n">
        <f aca="false">IF($A44&gt;=CK$32,IF($A44&lt;=CK$33,$BF44,0),0)</f>
        <v>31</v>
      </c>
      <c r="CK44" s="186" t="n">
        <f aca="false">CM44/CJ44</f>
        <v>3.032</v>
      </c>
      <c r="CL44" s="1" t="n">
        <f aca="false">CJ44*($B44+$F$15)</f>
        <v>90.427</v>
      </c>
      <c r="CM44" s="47" t="n">
        <f aca="false">IF(ISNUMBER(((CL44/CJ44)+$F$16+$X44+$F$14)*CJ44),((CL44/CJ44)+$F$16+$X44+$F$14)*CJ44,0)</f>
        <v>93.992</v>
      </c>
      <c r="CN44" s="76" t="e">
        <f aca="false">IF($CJ44=0,0,OSTRIP($CK44,$AC44,$BJ44-$B$2,$BG44-$BJ44,$BH44-$BJ44,$B$10,$BE44,$Z44,$AA44,$F$23,$AD44,$CO$34,0))</f>
        <v>#NAME?</v>
      </c>
      <c r="CO44" s="76" t="e">
        <f aca="false">IF($CJ44=0,0,OSTRIP($CK44,$AC44,$BJ44-$B$2,$BG44-$BJ44,$BH44-$BJ44,$B$10,$BE44,$Z44,$AA44,$F$23,$AD44,$CO$34,1))</f>
        <v>#NAME?</v>
      </c>
      <c r="CP44" s="76" t="e">
        <f aca="false">IF($CJ44=0,0,OSTRIP($CK44,$AC44,$BJ44-$B$2,$BG44-$BJ44,$BH44-$BJ44,$B$10,$BE44,$Z44,$AA44,$F$23,$AD44,$CO$34,$CO$35))</f>
        <v>#NAME?</v>
      </c>
      <c r="CQ44" s="37" t="e">
        <f aca="false">CJ44*CN44</f>
        <v>#NAME?</v>
      </c>
      <c r="CR44" s="37" t="e">
        <f aca="false">CJ44*CO44</f>
        <v>#NAME?</v>
      </c>
      <c r="CS44" s="37" t="e">
        <f aca="false">CJ44*CP44</f>
        <v>#NAME?</v>
      </c>
      <c r="CT44" s="37" t="n">
        <f aca="false">CJ44*AA44</f>
        <v>22.63</v>
      </c>
      <c r="CV44" s="73" t="n">
        <f aca="false">IF($A44&gt;=CW$32,IF($A44&lt;=CW$33,$BF44,0),0)</f>
        <v>0</v>
      </c>
      <c r="CW44" s="186" t="e">
        <f aca="false">CY44/CV44</f>
        <v>#DIV/0!</v>
      </c>
      <c r="CX44" s="1" t="n">
        <f aca="false">CV44*($B44+$H$15)</f>
        <v>0</v>
      </c>
      <c r="CY44" s="47" t="n">
        <f aca="false">IF(ISNUMBER(((CX44/CV44)+$H$16+$AH44+$H$14)*CV44),((CX44/CV44)+$H$16+$AH44+$H$14)*CV44,0)</f>
        <v>0</v>
      </c>
      <c r="CZ44" s="76" t="n">
        <f aca="false">IF($CV44=0,0,OSTRIP($CW44,$AM44,$BJ44-$B$2,$BG44-$BJ44,$BH44-$BJ44,$B$10,$BE44,$AJ44,$AK44,$H$23,$AN44,$DA$34,0))</f>
        <v>0</v>
      </c>
      <c r="DA44" s="76" t="n">
        <f aca="false">IF($CV44=0,0,OSTRIP($CW44,$AM44,$BJ44-$B$2,$BG44-$BJ44,$BH44-$BJ44,$B$10,$BE44,$AJ44,$AK44,$H$23,$AN44,$DA$34,1))</f>
        <v>0</v>
      </c>
      <c r="DB44" s="76" t="n">
        <f aca="false">IF($CV44=0,0,OSTRIP($CW44,$AM44,$BJ44-$B$2,$BG44-$BJ44,$BH44-$BJ44,$B$10,$BE44,$AJ44,$AK44,$H$23,$AN44,$DA$34,DA$35))</f>
        <v>0</v>
      </c>
      <c r="DC44" s="37" t="n">
        <f aca="false">CV44*CZ44</f>
        <v>0</v>
      </c>
      <c r="DD44" s="37" t="n">
        <f aca="false">CV44*DA44</f>
        <v>0</v>
      </c>
      <c r="DE44" s="37" t="n">
        <f aca="false">CV44*DB44</f>
        <v>0</v>
      </c>
      <c r="DF44" s="37" t="n">
        <f aca="false">CV44*AK44</f>
        <v>0</v>
      </c>
    </row>
    <row r="45" customFormat="false" ht="12.75" hidden="false" customHeight="false" outlineLevel="0" collapsed="false">
      <c r="A45" s="62" t="n">
        <f aca="false">DATE(YEAR(A44),MONTH(A44)+1,1)</f>
        <v>37469</v>
      </c>
      <c r="B45" s="63" t="n">
        <f aca="false">VLOOKUP(A45,STRADDLE,5,FALSE())</f>
        <v>2.962</v>
      </c>
      <c r="C45" s="4" t="n">
        <f aca="false">VLOOKUP(A45,STRADDLE,8,FALSE())</f>
        <v>0.53</v>
      </c>
      <c r="D45" s="63" t="n">
        <f aca="false">IF(D$35="nymex",0,VLOOKUP($A45,curvesettle,HLOOKUP(D$35,curvesettle,2,FALSE())))</f>
        <v>0.33</v>
      </c>
      <c r="E45" s="65" t="n">
        <f aca="false">IF(ISNUMBER(VLOOKUP($A45,VOLCURVES,HLOOKUP(D$35,VOLCURVES,2,FALSE()),FALSE())),VLOOKUP($A45,VOLCURVES,HLOOKUP(D$35,VOLCURVES,2,FALSE()),FALSE()),1)</f>
        <v>0.98</v>
      </c>
      <c r="F45" s="4" t="n">
        <f aca="false">(($C45+H45)*$E45)+B$17</f>
        <v>0.6194</v>
      </c>
      <c r="G45" s="65" t="n">
        <f aca="false">VLOOKUP($A45,GASDVOLCURVES,HLOOKUP(D$36,GASDVOLCURVES,2,FALSE()),FALSE())+$B$18</f>
        <v>0.73</v>
      </c>
      <c r="H45" s="4" t="n">
        <f aca="false">IF($B$20=1,VLOOKUP($A45,skewtable,HLOOKUP(ROUND(I45-BM45,1),skewtable,2,FALSE()),FALSE())/100,0)</f>
        <v>0</v>
      </c>
      <c r="I45" s="66" t="e">
        <f aca="false">IF($B$10=1,($BM45*$B$23)-$B$14,$B$22)</f>
        <v>#DIV/0!</v>
      </c>
      <c r="J45" s="67" t="e">
        <f aca="false">I45-BM45+$B$24</f>
        <v>#DIV/0!</v>
      </c>
      <c r="K45" s="67" t="n">
        <v>-0.05</v>
      </c>
      <c r="L45" s="183"/>
      <c r="M45" s="183"/>
      <c r="N45" s="63" t="n">
        <f aca="false">IF(N$35="nymex",0,VLOOKUP($A45,curvesettle,HLOOKUP(N$35,curvesettle,2,FALSE())))</f>
        <v>0.05</v>
      </c>
      <c r="O45" s="65" t="n">
        <f aca="false">IF(ISNUMBER(VLOOKUP($A45,VOLCURVES,HLOOKUP(N$35,VOLCURVES,2,FALSE()),FALSE())),VLOOKUP($A45,VOLCURVES,HLOOKUP(N$35,VOLCURVES,2,FALSE()),FALSE()),1)</f>
        <v>1</v>
      </c>
      <c r="P45" s="184" t="n">
        <f aca="false">(($C45+R45)*O45)+$D$17</f>
        <v>0.53</v>
      </c>
      <c r="Q45" s="65" t="n">
        <f aca="false">VLOOKUP($A45,GASDVOLCURVES,HLOOKUP(N$36,GASDVOLCURVES,2,FALSE()),FALSE())+$D$18</f>
        <v>0.73</v>
      </c>
      <c r="R45" s="4" t="n">
        <f aca="false">IF($D$20=1,VLOOKUP($A45,skewtable,HLOOKUP(ROUND(S45-BY45,1),skewtable,2,FALSE()),FALSE())/100,0)</f>
        <v>0</v>
      </c>
      <c r="S45" s="66" t="e">
        <f aca="false">IF(B$10=1,($BY45*$D$23)-$D$14,$D$22)</f>
        <v>#DIV/0!</v>
      </c>
      <c r="T45" s="67" t="e">
        <f aca="false">S45-$BY45+$D$24</f>
        <v>#DIV/0!</v>
      </c>
      <c r="U45" s="0"/>
      <c r="V45" s="0"/>
      <c r="W45" s="0"/>
      <c r="X45" s="63" t="n">
        <f aca="false">IF(X$35="nymex",0,VLOOKUP($A45,curvesettle,HLOOKUP(X$35,curvesettle,2,FALSE())))</f>
        <v>0.125</v>
      </c>
      <c r="Y45" s="65" t="n">
        <f aca="false">IF(ISNUMBER(VLOOKUP($A45,VOLCURVES,HLOOKUP(X$35,VOLCURVES,2,FALSE()),FALSE())),VLOOKUP($A45,VOLCURVES,HLOOKUP(X$35,VOLCURVES,2,FALSE()),FALSE()),1)</f>
        <v>1</v>
      </c>
      <c r="Z45" s="184" t="n">
        <f aca="false">(($C45+AB45)*Y45)+$F$17</f>
        <v>0.53</v>
      </c>
      <c r="AA45" s="65" t="n">
        <f aca="false">VLOOKUP($A45,GASDVOLCURVES,HLOOKUP(X$36,GASDVOLCURVES,2,FALSE()),FALSE())+$F$18</f>
        <v>0.83</v>
      </c>
      <c r="AB45" s="4" t="n">
        <f aca="false">IF($F$20=1,VLOOKUP($A45,skewtable,HLOOKUP(ROUND(AC45-CK45,1),skewtable,2,FALSE()),FALSE())/100,0)</f>
        <v>0</v>
      </c>
      <c r="AC45" s="66" t="n">
        <f aca="false">IF($B$10=1,($CK45*$F$23)-$F$14,$F$22)</f>
        <v>3.087</v>
      </c>
      <c r="AD45" s="67" t="n">
        <f aca="false">AC45-$CK45+$F$24</f>
        <v>0</v>
      </c>
      <c r="AE45" s="0"/>
      <c r="AF45" s="0"/>
      <c r="AG45" s="0"/>
      <c r="AH45" s="63" t="n">
        <f aca="false">IF(AH$35="nymex",0,VLOOKUP($A45,curvesettle,HLOOKUP(AH$35,curvesettle,2,FALSE())))</f>
        <v>0.42</v>
      </c>
      <c r="AI45" s="65" t="n">
        <f aca="false">IF(ISNUMBER(VLOOKUP($A45,VOLCURVES,HLOOKUP(AH$35,VOLCURVES,2,FALSE()),FALSE())),VLOOKUP($A45,VOLCURVES,HLOOKUP(AH$35,VOLCURVES,2,FALSE()),FALSE()),1)</f>
        <v>1</v>
      </c>
      <c r="AJ45" s="184" t="n">
        <f aca="false">(($C45+AL45)*AI45)+$H$17</f>
        <v>0.53</v>
      </c>
      <c r="AK45" s="65" t="n">
        <f aca="false">VLOOKUP($A45,GASDVOLCURVES,HLOOKUP(AH$36,GASDVOLCURVES,2,FALSE()),FALSE())+$H$18</f>
        <v>1.18</v>
      </c>
      <c r="AL45" s="4" t="n">
        <f aca="false">IF($H$20=1,VLOOKUP($A45,skewtable,HLOOKUP(ROUND(AM45-CW45,1),skewtable,2,FALSE()),FALSE())/100,0)</f>
        <v>0</v>
      </c>
      <c r="AM45" s="66" t="e">
        <f aca="false">IF($B$10=1,($CW45*$H$23)-$H$14,$H$22)</f>
        <v>#DIV/0!</v>
      </c>
      <c r="AN45" s="67" t="e">
        <f aca="false">AM45-CW45+$H$24</f>
        <v>#DIV/0!</v>
      </c>
      <c r="AO45" s="0"/>
      <c r="AP45" s="0"/>
      <c r="AQ45" s="183"/>
      <c r="AR45" s="183"/>
      <c r="AU45" s="0"/>
      <c r="AV45" s="0"/>
      <c r="AW45" s="0"/>
      <c r="AX45" s="0"/>
      <c r="AY45" s="0"/>
      <c r="AZ45" s="0"/>
      <c r="BA45" s="0"/>
      <c r="BC45" s="64"/>
      <c r="BD45" s="64"/>
      <c r="BE45" s="4" t="n">
        <f aca="false">VLOOKUP($A45,STRADDLE,14,FALSE())</f>
        <v>0.0201466105621213</v>
      </c>
      <c r="BF45" s="72" t="n">
        <f aca="false">A46-A45</f>
        <v>31</v>
      </c>
      <c r="BG45" s="179" t="n">
        <f aca="false">A45+BG$35</f>
        <v>37469</v>
      </c>
      <c r="BH45" s="179" t="n">
        <f aca="false">A46-1</f>
        <v>37499</v>
      </c>
      <c r="BJ45" s="179" t="n">
        <f aca="true">IF(BJ$35=0,TODAY(),IF(BJ$36="NYMEX",VLOOKUP($A45,expiration,2,FALSE())+1,BG45))</f>
        <v>37467</v>
      </c>
      <c r="BK45" s="73"/>
      <c r="BL45" s="73" t="n">
        <f aca="false">IF($A45&gt;=BM$32,IF($A45&lt;=BM$33,$BF45,0),0)</f>
        <v>0</v>
      </c>
      <c r="BM45" s="73" t="e">
        <f aca="false">BO45/BL45</f>
        <v>#DIV/0!</v>
      </c>
      <c r="BN45" s="1" t="n">
        <f aca="false">BL45*($B45+B$15)</f>
        <v>0</v>
      </c>
      <c r="BO45" s="47" t="n">
        <f aca="false">IF(ISNUMBER(((BN45/BL45)+B$16+$D45+$B$14)*BL45),((BN45/BL45)+B$16+$D45+$B$14)*BL45,0)</f>
        <v>0</v>
      </c>
      <c r="BP45" s="76" t="n">
        <f aca="false">IF($BL45=0,0,OSTRIP($BM45,$I45,$BJ45-$B$2,$BG45-$BJ45,$BH45-$BJ45,$B$10,$BE45,$F45,$G45,$B$23,$J45,$BQ$34,0))</f>
        <v>0</v>
      </c>
      <c r="BQ45" s="76" t="n">
        <f aca="false">IF($BL45=0,0,OSTRIP($BM45,$I45,$BJ45-$B$2,$BG45-$BJ45,$BH45-$BJ45,$B$10,$BE45,$F45,$G45,$B$23,$J45,$BQ$34,1))</f>
        <v>0</v>
      </c>
      <c r="BR45" s="76" t="n">
        <f aca="false">IF($BL45=0,0,OSTRIP($BM45,$I45,$BJ45-$B$2,$BG45-$BJ45,$BH45-$BJ45,$B$10,$BE45,$F45,$G45,$B$23,$J45,$BQ$34,BQ$35))</f>
        <v>0</v>
      </c>
      <c r="BS45" s="37" t="n">
        <f aca="false">BL45*BP45</f>
        <v>0</v>
      </c>
      <c r="BT45" s="37" t="n">
        <f aca="false">BL45*BQ45</f>
        <v>0</v>
      </c>
      <c r="BU45" s="37" t="n">
        <f aca="false">BL45*BR45</f>
        <v>0</v>
      </c>
      <c r="BV45" s="37" t="n">
        <f aca="false">BL45*G45</f>
        <v>0</v>
      </c>
      <c r="BX45" s="73" t="n">
        <f aca="false">IF($A45&gt;=BY$32,IF($A45&lt;=BY$33,$BF45,0),0)</f>
        <v>0</v>
      </c>
      <c r="BY45" s="186" t="e">
        <f aca="false">CA45/BX45</f>
        <v>#DIV/0!</v>
      </c>
      <c r="BZ45" s="1" t="n">
        <f aca="false">BX45*($B45+$D$15)</f>
        <v>0</v>
      </c>
      <c r="CA45" s="47" t="n">
        <f aca="false">IF(ISNUMBER(((BZ45/BX45)+$D$16+$N45+$D$14)*BX45),((BZ45/BX45)+$D$16+$N45+$D$14)*BX45,0)</f>
        <v>0</v>
      </c>
      <c r="CB45" s="76" t="n">
        <f aca="false">IF($BX45=0,0,OSTRIP($BY45,$S45,$BJ45-$B$2,$BG45-$BJ45,$BH45-$BJ45,$B$10,$BE45,$P45,$Q45,$D$23,$T45,$CC$34,0))</f>
        <v>0</v>
      </c>
      <c r="CC45" s="76" t="n">
        <f aca="false">IF($BX45=0,0,OSTRIP($BY45,$S45,$BJ45-$B$2,$BG45-$BJ45,$BH45-$BJ45,$B$10,$BE45,$P45,$Q45,$D$23,$T45,$CC$34,1))</f>
        <v>0</v>
      </c>
      <c r="CD45" s="76" t="n">
        <f aca="false">IF($BX45=0,0,OSTRIP($BY45,$S45,$BJ45-$B$2,$BG45-$BJ45,$BH45-$BJ45,$B$10,$BE45,$P45,$Q45,$D$23,$T45,$CC$34,CC$35))</f>
        <v>0</v>
      </c>
      <c r="CE45" s="37" t="n">
        <f aca="false">BX45*CB45</f>
        <v>0</v>
      </c>
      <c r="CF45" s="37" t="n">
        <f aca="false">BX45*CC45</f>
        <v>0</v>
      </c>
      <c r="CG45" s="37" t="n">
        <f aca="false">BX45*CD45</f>
        <v>0</v>
      </c>
      <c r="CH45" s="37" t="n">
        <f aca="false">BX45*Q45</f>
        <v>0</v>
      </c>
      <c r="CJ45" s="73" t="n">
        <f aca="false">IF($A45&gt;=CK$32,IF($A45&lt;=CK$33,$BF45,0),0)</f>
        <v>31</v>
      </c>
      <c r="CK45" s="186" t="n">
        <f aca="false">CM45/CJ45</f>
        <v>3.087</v>
      </c>
      <c r="CL45" s="1" t="n">
        <f aca="false">CJ45*($B45+$F$15)</f>
        <v>91.822</v>
      </c>
      <c r="CM45" s="47" t="n">
        <f aca="false">IF(ISNUMBER(((CL45/CJ45)+$F$16+$X45+$F$14)*CJ45),((CL45/CJ45)+$F$16+$X45+$F$14)*CJ45,0)</f>
        <v>95.697</v>
      </c>
      <c r="CN45" s="76" t="e">
        <f aca="false">IF($CJ45=0,0,OSTRIP($CK45,$AC45,$BJ45-$B$2,$BG45-$BJ45,$BH45-$BJ45,$B$10,$BE45,$Z45,$AA45,$F$23,$AD45,$CO$34,0))</f>
        <v>#NAME?</v>
      </c>
      <c r="CO45" s="76" t="e">
        <f aca="false">IF($CJ45=0,0,OSTRIP($CK45,$AC45,$BJ45-$B$2,$BG45-$BJ45,$BH45-$BJ45,$B$10,$BE45,$Z45,$AA45,$F$23,$AD45,$CO$34,1))</f>
        <v>#NAME?</v>
      </c>
      <c r="CP45" s="76" t="e">
        <f aca="false">IF($CJ45=0,0,OSTRIP($CK45,$AC45,$BJ45-$B$2,$BG45-$BJ45,$BH45-$BJ45,$B$10,$BE45,$Z45,$AA45,$F$23,$AD45,$CO$34,$CO$35))</f>
        <v>#NAME?</v>
      </c>
      <c r="CQ45" s="37" t="e">
        <f aca="false">CJ45*CN45</f>
        <v>#NAME?</v>
      </c>
      <c r="CR45" s="37" t="e">
        <f aca="false">CJ45*CO45</f>
        <v>#NAME?</v>
      </c>
      <c r="CS45" s="37" t="e">
        <f aca="false">CJ45*CP45</f>
        <v>#NAME?</v>
      </c>
      <c r="CT45" s="37" t="n">
        <f aca="false">CJ45*AA45</f>
        <v>25.73</v>
      </c>
      <c r="CV45" s="73" t="n">
        <f aca="false">IF($A45&gt;=CW$32,IF($A45&lt;=CW$33,$BF45,0),0)</f>
        <v>0</v>
      </c>
      <c r="CW45" s="186" t="e">
        <f aca="false">CY45/CV45</f>
        <v>#DIV/0!</v>
      </c>
      <c r="CX45" s="1" t="n">
        <f aca="false">CV45*($B45+$H$15)</f>
        <v>0</v>
      </c>
      <c r="CY45" s="47" t="n">
        <f aca="false">IF(ISNUMBER(((CX45/CV45)+$H$16+$AH45+$H$14)*CV45),((CX45/CV45)+$H$16+$AH45+$H$14)*CV45,0)</f>
        <v>0</v>
      </c>
      <c r="CZ45" s="76" t="n">
        <f aca="false">IF($CV45=0,0,OSTRIP($CW45,$AM45,$BJ45-$B$2,$BG45-$BJ45,$BH45-$BJ45,$B$10,$BE45,$AJ45,$AK45,$H$23,$AN45,$DA$34,0))</f>
        <v>0</v>
      </c>
      <c r="DA45" s="76" t="n">
        <f aca="false">IF($CV45=0,0,OSTRIP($CW45,$AM45,$BJ45-$B$2,$BG45-$BJ45,$BH45-$BJ45,$B$10,$BE45,$AJ45,$AK45,$H$23,$AN45,$DA$34,1))</f>
        <v>0</v>
      </c>
      <c r="DB45" s="76" t="n">
        <f aca="false">IF($CV45=0,0,OSTRIP($CW45,$AM45,$BJ45-$B$2,$BG45-$BJ45,$BH45-$BJ45,$B$10,$BE45,$AJ45,$AK45,$H$23,$AN45,$DA$34,DA$35))</f>
        <v>0</v>
      </c>
      <c r="DC45" s="37" t="n">
        <f aca="false">CV45*CZ45</f>
        <v>0</v>
      </c>
      <c r="DD45" s="37" t="n">
        <f aca="false">CV45*DA45</f>
        <v>0</v>
      </c>
      <c r="DE45" s="37" t="n">
        <f aca="false">CV45*DB45</f>
        <v>0</v>
      </c>
      <c r="DF45" s="37" t="n">
        <f aca="false">CV45*AK45</f>
        <v>0</v>
      </c>
    </row>
    <row r="46" customFormat="false" ht="12.75" hidden="false" customHeight="false" outlineLevel="0" collapsed="false">
      <c r="A46" s="62" t="n">
        <f aca="false">DATE(YEAR(A45),MONTH(A45)+1,1)</f>
        <v>37500</v>
      </c>
      <c r="B46" s="63" t="n">
        <f aca="false">VLOOKUP(A46,STRADDLE,5,FALSE())</f>
        <v>2.959</v>
      </c>
      <c r="C46" s="4" t="n">
        <f aca="false">VLOOKUP(A46,STRADDLE,8,FALSE())</f>
        <v>0.53</v>
      </c>
      <c r="D46" s="63" t="n">
        <f aca="false">IF(D$35="nymex",0,VLOOKUP($A46,curvesettle,HLOOKUP(D$35,curvesettle,2,FALSE())))</f>
        <v>0.32</v>
      </c>
      <c r="E46" s="65" t="n">
        <f aca="false">IF(ISNUMBER(VLOOKUP($A46,VOLCURVES,HLOOKUP(D$35,VOLCURVES,2,FALSE()),FALSE())),VLOOKUP($A46,VOLCURVES,HLOOKUP(D$35,VOLCURVES,2,FALSE()),FALSE()),1)</f>
        <v>0.98</v>
      </c>
      <c r="F46" s="4" t="n">
        <f aca="false">(($C46+H46)*$E46)+B$17</f>
        <v>0.6194</v>
      </c>
      <c r="G46" s="65" t="n">
        <f aca="false">VLOOKUP($A46,GASDVOLCURVES,HLOOKUP(D$36,GASDVOLCURVES,2,FALSE()),FALSE())+$B$18</f>
        <v>0.73</v>
      </c>
      <c r="H46" s="4" t="n">
        <f aca="false">IF($B$20=1,VLOOKUP($A46,skewtable,HLOOKUP(ROUND(I46-BM46,1),skewtable,2,FALSE()),FALSE())/100,0)</f>
        <v>0</v>
      </c>
      <c r="I46" s="66" t="e">
        <f aca="false">IF($B$10=1,($BM46*$B$23)-$B$14,$B$22)</f>
        <v>#DIV/0!</v>
      </c>
      <c r="J46" s="67" t="e">
        <f aca="false">I46-BM46+$B$24</f>
        <v>#DIV/0!</v>
      </c>
      <c r="K46" s="67" t="n">
        <v>-0.05</v>
      </c>
      <c r="L46" s="183"/>
      <c r="M46" s="183"/>
      <c r="N46" s="63" t="n">
        <f aca="false">IF(N$35="nymex",0,VLOOKUP($A46,curvesettle,HLOOKUP(N$35,curvesettle,2,FALSE())))</f>
        <v>0.04</v>
      </c>
      <c r="O46" s="65" t="n">
        <f aca="false">IF(ISNUMBER(VLOOKUP($A46,VOLCURVES,HLOOKUP(N$35,VOLCURVES,2,FALSE()),FALSE())),VLOOKUP($A46,VOLCURVES,HLOOKUP(N$35,VOLCURVES,2,FALSE()),FALSE()),1)</f>
        <v>1</v>
      </c>
      <c r="P46" s="184" t="n">
        <f aca="false">(($C46+R46)*O46)+$D$17</f>
        <v>0.53</v>
      </c>
      <c r="Q46" s="65" t="n">
        <f aca="false">VLOOKUP($A46,GASDVOLCURVES,HLOOKUP(N$36,GASDVOLCURVES,2,FALSE()),FALSE())+$D$18</f>
        <v>0.73</v>
      </c>
      <c r="R46" s="4" t="n">
        <f aca="false">IF($D$20=1,VLOOKUP($A46,skewtable,HLOOKUP(ROUND(S46-BY46,1),skewtable,2,FALSE()),FALSE())/100,0)</f>
        <v>0</v>
      </c>
      <c r="S46" s="66" t="e">
        <f aca="false">IF(B$10=1,($BY46*$D$23)-$D$14,$D$22)</f>
        <v>#DIV/0!</v>
      </c>
      <c r="T46" s="67" t="e">
        <f aca="false">S46-$BY46+$D$24</f>
        <v>#DIV/0!</v>
      </c>
      <c r="U46" s="0"/>
      <c r="V46" s="0"/>
      <c r="W46" s="0"/>
      <c r="X46" s="63" t="n">
        <f aca="false">IF(X$35="nymex",0,VLOOKUP($A46,curvesettle,HLOOKUP(X$35,curvesettle,2,FALSE())))</f>
        <v>0.115</v>
      </c>
      <c r="Y46" s="65" t="n">
        <f aca="false">IF(ISNUMBER(VLOOKUP($A46,VOLCURVES,HLOOKUP(X$35,VOLCURVES,2,FALSE()),FALSE())),VLOOKUP($A46,VOLCURVES,HLOOKUP(X$35,VOLCURVES,2,FALSE()),FALSE()),1)</f>
        <v>1</v>
      </c>
      <c r="Z46" s="184" t="n">
        <f aca="false">(($C46+AB46)*Y46)+$F$17</f>
        <v>0.53</v>
      </c>
      <c r="AA46" s="65" t="n">
        <f aca="false">VLOOKUP($A46,GASDVOLCURVES,HLOOKUP(X$36,GASDVOLCURVES,2,FALSE()),FALSE())+$F$18</f>
        <v>0.78</v>
      </c>
      <c r="AB46" s="4" t="n">
        <f aca="false">IF($F$20=1,VLOOKUP($A46,skewtable,HLOOKUP(ROUND(AC46-CK46,1),skewtable,2,FALSE()),FALSE())/100,0)</f>
        <v>0</v>
      </c>
      <c r="AC46" s="66" t="n">
        <f aca="false">IF($B$10=1,($CK46*$F$23)-$F$14,$F$22)</f>
        <v>3.074</v>
      </c>
      <c r="AD46" s="67" t="n">
        <f aca="false">AC46-$CK46+$F$24</f>
        <v>0</v>
      </c>
      <c r="AE46" s="0"/>
      <c r="AF46" s="0"/>
      <c r="AG46" s="0"/>
      <c r="AH46" s="63" t="n">
        <f aca="false">IF(AH$35="nymex",0,VLOOKUP($A46,curvesettle,HLOOKUP(AH$35,curvesettle,2,FALSE())))</f>
        <v>0.34</v>
      </c>
      <c r="AI46" s="65" t="n">
        <f aca="false">IF(ISNUMBER(VLOOKUP($A46,VOLCURVES,HLOOKUP(AH$35,VOLCURVES,2,FALSE()),FALSE())),VLOOKUP($A46,VOLCURVES,HLOOKUP(AH$35,VOLCURVES,2,FALSE()),FALSE()),1)</f>
        <v>1</v>
      </c>
      <c r="AJ46" s="184" t="n">
        <f aca="false">(($C46+AL46)*AI46)+$H$17</f>
        <v>0.53</v>
      </c>
      <c r="AK46" s="65" t="n">
        <f aca="false">VLOOKUP($A46,GASDVOLCURVES,HLOOKUP(AH$36,GASDVOLCURVES,2,FALSE()),FALSE())+$H$18</f>
        <v>1.18</v>
      </c>
      <c r="AL46" s="4" t="n">
        <f aca="false">IF($H$20=1,VLOOKUP($A46,skewtable,HLOOKUP(ROUND(AM46-CW46,1),skewtable,2,FALSE()),FALSE())/100,0)</f>
        <v>0</v>
      </c>
      <c r="AM46" s="66" t="e">
        <f aca="false">IF($B$10=1,($CW46*$H$23)-$H$14,$H$22)</f>
        <v>#DIV/0!</v>
      </c>
      <c r="AN46" s="67" t="e">
        <f aca="false">AM46-CW46+$H$24</f>
        <v>#DIV/0!</v>
      </c>
      <c r="AO46" s="0"/>
      <c r="AP46" s="0"/>
      <c r="AQ46" s="183"/>
      <c r="AR46" s="183"/>
      <c r="AU46" s="0"/>
      <c r="AV46" s="0"/>
      <c r="AW46" s="0"/>
      <c r="AX46" s="0"/>
      <c r="AY46" s="0"/>
      <c r="AZ46" s="0"/>
      <c r="BA46" s="0"/>
      <c r="BC46" s="64"/>
      <c r="BD46" s="64"/>
      <c r="BE46" s="4" t="n">
        <f aca="false">VLOOKUP($A46,STRADDLE,14,FALSE())</f>
        <v>0.0206981563857513</v>
      </c>
      <c r="BF46" s="72" t="n">
        <f aca="false">A47-A46</f>
        <v>30</v>
      </c>
      <c r="BG46" s="179" t="n">
        <f aca="false">A46+BG$35</f>
        <v>37500</v>
      </c>
      <c r="BH46" s="179" t="n">
        <f aca="false">A47-1</f>
        <v>37529</v>
      </c>
      <c r="BJ46" s="179" t="n">
        <f aca="true">IF(BJ$35=0,TODAY(),IF(BJ$36="NYMEX",VLOOKUP($A46,expiration,2,FALSE())+1,BG46))</f>
        <v>37497</v>
      </c>
      <c r="BK46" s="73"/>
      <c r="BL46" s="73" t="n">
        <f aca="false">IF($A46&gt;=BM$32,IF($A46&lt;=BM$33,$BF46,0),0)</f>
        <v>0</v>
      </c>
      <c r="BM46" s="73" t="e">
        <f aca="false">BO46/BL46</f>
        <v>#DIV/0!</v>
      </c>
      <c r="BN46" s="1" t="n">
        <f aca="false">BL46*($B46+B$15)</f>
        <v>0</v>
      </c>
      <c r="BO46" s="47" t="n">
        <f aca="false">IF(ISNUMBER(((BN46/BL46)+B$16+$D46+$B$14)*BL46),((BN46/BL46)+B$16+$D46+$B$14)*BL46,0)</f>
        <v>0</v>
      </c>
      <c r="BP46" s="76" t="n">
        <f aca="false">IF($BL46=0,0,OSTRIP($BM46,$I46,$BJ46-$B$2,$BG46-$BJ46,$BH46-$BJ46,$B$10,$BE46,$F46,$G46,$B$23,$J46,$BQ$34,0))</f>
        <v>0</v>
      </c>
      <c r="BQ46" s="76" t="n">
        <f aca="false">IF($BL46=0,0,OSTRIP($BM46,$I46,$BJ46-$B$2,$BG46-$BJ46,$BH46-$BJ46,$B$10,$BE46,$F46,$G46,$B$23,$J46,$BQ$34,1))</f>
        <v>0</v>
      </c>
      <c r="BR46" s="76" t="n">
        <f aca="false">IF($BL46=0,0,OSTRIP($BM46,$I46,$BJ46-$B$2,$BG46-$BJ46,$BH46-$BJ46,$B$10,$BE46,$F46,$G46,$B$23,$J46,$BQ$34,BQ$35))</f>
        <v>0</v>
      </c>
      <c r="BS46" s="37" t="n">
        <f aca="false">BL46*BP46</f>
        <v>0</v>
      </c>
      <c r="BT46" s="37" t="n">
        <f aca="false">BL46*BQ46</f>
        <v>0</v>
      </c>
      <c r="BU46" s="37" t="n">
        <f aca="false">BL46*BR46</f>
        <v>0</v>
      </c>
      <c r="BV46" s="37" t="n">
        <f aca="false">BL46*G46</f>
        <v>0</v>
      </c>
      <c r="BX46" s="73" t="n">
        <f aca="false">IF($A46&gt;=BY$32,IF($A46&lt;=BY$33,$BF46,0),0)</f>
        <v>0</v>
      </c>
      <c r="BY46" s="186" t="e">
        <f aca="false">CA46/BX46</f>
        <v>#DIV/0!</v>
      </c>
      <c r="BZ46" s="1" t="n">
        <f aca="false">BX46*($B46+$D$15)</f>
        <v>0</v>
      </c>
      <c r="CA46" s="47" t="n">
        <f aca="false">IF(ISNUMBER(((BZ46/BX46)+$D$16+$N46+$D$14)*BX46),((BZ46/BX46)+$D$16+$N46+$D$14)*BX46,0)</f>
        <v>0</v>
      </c>
      <c r="CB46" s="76" t="n">
        <f aca="false">IF($BX46=0,0,OSTRIP($BY46,$S46,$BJ46-$B$2,$BG46-$BJ46,$BH46-$BJ46,$B$10,$BE46,$P46,$Q46,$D$23,$T46,$CC$34,0))</f>
        <v>0</v>
      </c>
      <c r="CC46" s="76" t="n">
        <f aca="false">IF($BX46=0,0,OSTRIP($BY46,$S46,$BJ46-$B$2,$BG46-$BJ46,$BH46-$BJ46,$B$10,$BE46,$P46,$Q46,$D$23,$T46,$CC$34,1))</f>
        <v>0</v>
      </c>
      <c r="CD46" s="76" t="n">
        <f aca="false">IF($BX46=0,0,OSTRIP($BY46,$S46,$BJ46-$B$2,$BG46-$BJ46,$BH46-$BJ46,$B$10,$BE46,$P46,$Q46,$D$23,$T46,$CC$34,CC$35))</f>
        <v>0</v>
      </c>
      <c r="CE46" s="37" t="n">
        <f aca="false">BX46*CB46</f>
        <v>0</v>
      </c>
      <c r="CF46" s="37" t="n">
        <f aca="false">BX46*CC46</f>
        <v>0</v>
      </c>
      <c r="CG46" s="37" t="n">
        <f aca="false">BX46*CD46</f>
        <v>0</v>
      </c>
      <c r="CH46" s="37" t="n">
        <f aca="false">BX46*Q46</f>
        <v>0</v>
      </c>
      <c r="CJ46" s="73" t="n">
        <f aca="false">IF($A46&gt;=CK$32,IF($A46&lt;=CK$33,$BF46,0),0)</f>
        <v>30</v>
      </c>
      <c r="CK46" s="186" t="n">
        <f aca="false">CM46/CJ46</f>
        <v>3.074</v>
      </c>
      <c r="CL46" s="1" t="n">
        <f aca="false">CJ46*($B46+$F$15)</f>
        <v>88.77</v>
      </c>
      <c r="CM46" s="47" t="n">
        <f aca="false">IF(ISNUMBER(((CL46/CJ46)+$F$16+$X46+$F$14)*CJ46),((CL46/CJ46)+$F$16+$X46+$F$14)*CJ46,0)</f>
        <v>92.22</v>
      </c>
      <c r="CN46" s="76" t="e">
        <f aca="false">IF($CJ46=0,0,OSTRIP($CK46,$AC46,$BJ46-$B$2,$BG46-$BJ46,$BH46-$BJ46,$B$10,$BE46,$Z46,$AA46,$F$23,$AD46,$CO$34,0))</f>
        <v>#NAME?</v>
      </c>
      <c r="CO46" s="76" t="e">
        <f aca="false">IF($CJ46=0,0,OSTRIP($CK46,$AC46,$BJ46-$B$2,$BG46-$BJ46,$BH46-$BJ46,$B$10,$BE46,$Z46,$AA46,$F$23,$AD46,$CO$34,1))</f>
        <v>#NAME?</v>
      </c>
      <c r="CP46" s="76" t="e">
        <f aca="false">IF($CJ46=0,0,OSTRIP($CK46,$AC46,$BJ46-$B$2,$BG46-$BJ46,$BH46-$BJ46,$B$10,$BE46,$Z46,$AA46,$F$23,$AD46,$CO$34,$CO$35))</f>
        <v>#NAME?</v>
      </c>
      <c r="CQ46" s="37" t="e">
        <f aca="false">CJ46*CN46</f>
        <v>#NAME?</v>
      </c>
      <c r="CR46" s="37" t="e">
        <f aca="false">CJ46*CO46</f>
        <v>#NAME?</v>
      </c>
      <c r="CS46" s="37" t="e">
        <f aca="false">CJ46*CP46</f>
        <v>#NAME?</v>
      </c>
      <c r="CT46" s="37" t="n">
        <f aca="false">CJ46*AA46</f>
        <v>23.4</v>
      </c>
      <c r="CV46" s="73" t="n">
        <f aca="false">IF($A46&gt;=CW$32,IF($A46&lt;=CW$33,$BF46,0),0)</f>
        <v>0</v>
      </c>
      <c r="CW46" s="186" t="e">
        <f aca="false">CY46/CV46</f>
        <v>#DIV/0!</v>
      </c>
      <c r="CX46" s="1" t="n">
        <f aca="false">CV46*($B46+$H$15)</f>
        <v>0</v>
      </c>
      <c r="CY46" s="47" t="n">
        <f aca="false">IF(ISNUMBER(((CX46/CV46)+$H$16+$AH46+$H$14)*CV46),((CX46/CV46)+$H$16+$AH46+$H$14)*CV46,0)</f>
        <v>0</v>
      </c>
      <c r="CZ46" s="76" t="n">
        <f aca="false">IF($CV46=0,0,OSTRIP($CW46,$AM46,$BJ46-$B$2,$BG46-$BJ46,$BH46-$BJ46,$B$10,$BE46,$AJ46,$AK46,$H$23,$AN46,$DA$34,0))</f>
        <v>0</v>
      </c>
      <c r="DA46" s="76" t="n">
        <f aca="false">IF($CV46=0,0,OSTRIP($CW46,$AM46,$BJ46-$B$2,$BG46-$BJ46,$BH46-$BJ46,$B$10,$BE46,$AJ46,$AK46,$H$23,$AN46,$DA$34,1))</f>
        <v>0</v>
      </c>
      <c r="DB46" s="76" t="n">
        <f aca="false">IF($CV46=0,0,OSTRIP($CW46,$AM46,$BJ46-$B$2,$BG46-$BJ46,$BH46-$BJ46,$B$10,$BE46,$AJ46,$AK46,$H$23,$AN46,$DA$34,DA$35))</f>
        <v>0</v>
      </c>
      <c r="DC46" s="37" t="n">
        <f aca="false">CV46*CZ46</f>
        <v>0</v>
      </c>
      <c r="DD46" s="37" t="n">
        <f aca="false">CV46*DA46</f>
        <v>0</v>
      </c>
      <c r="DE46" s="37" t="n">
        <f aca="false">CV46*DB46</f>
        <v>0</v>
      </c>
      <c r="DF46" s="37" t="n">
        <f aca="false">CV46*AK46</f>
        <v>0</v>
      </c>
    </row>
    <row r="47" customFormat="false" ht="12.75" hidden="false" customHeight="false" outlineLevel="0" collapsed="false">
      <c r="A47" s="62" t="n">
        <f aca="false">DATE(YEAR(A46),MONTH(A46)+1,1)</f>
        <v>37530</v>
      </c>
      <c r="B47" s="63" t="n">
        <f aca="false">VLOOKUP(A47,STRADDLE,5,FALSE())</f>
        <v>2.976</v>
      </c>
      <c r="C47" s="4" t="n">
        <f aca="false">VLOOKUP(A47,STRADDLE,8,FALSE())</f>
        <v>0.53</v>
      </c>
      <c r="D47" s="63" t="n">
        <f aca="false">IF(D$35="nymex",0,VLOOKUP($A47,curvesettle,HLOOKUP(D$35,curvesettle,2,FALSE())))</f>
        <v>0.38</v>
      </c>
      <c r="E47" s="65" t="n">
        <f aca="false">IF(ISNUMBER(VLOOKUP($A47,VOLCURVES,HLOOKUP(D$35,VOLCURVES,2,FALSE()),FALSE())),VLOOKUP($A47,VOLCURVES,HLOOKUP(D$35,VOLCURVES,2,FALSE()),FALSE()),1)</f>
        <v>0.98</v>
      </c>
      <c r="F47" s="4" t="n">
        <f aca="false">(($C47+H47)*$E47)+B$17</f>
        <v>0.6194</v>
      </c>
      <c r="G47" s="65" t="n">
        <f aca="false">VLOOKUP($A47,GASDVOLCURVES,HLOOKUP(D$36,GASDVOLCURVES,2,FALSE()),FALSE())+$B$18</f>
        <v>0.78</v>
      </c>
      <c r="H47" s="4" t="n">
        <f aca="false">IF($B$20=1,VLOOKUP($A47,skewtable,HLOOKUP(ROUND(I47-BM47,1),skewtable,2,FALSE()),FALSE())/100,0)</f>
        <v>0</v>
      </c>
      <c r="I47" s="66" t="e">
        <f aca="false">IF($B$10=1,($BM47*$B$23)-$B$14,$B$22)</f>
        <v>#DIV/0!</v>
      </c>
      <c r="J47" s="67" t="e">
        <f aca="false">I47-BM47+$B$24</f>
        <v>#DIV/0!</v>
      </c>
      <c r="K47" s="67" t="n">
        <v>-0.05</v>
      </c>
      <c r="L47" s="183"/>
      <c r="M47" s="183"/>
      <c r="N47" s="63" t="n">
        <f aca="false">IF(N$35="nymex",0,VLOOKUP($A47,curvesettle,HLOOKUP(N$35,curvesettle,2,FALSE())))</f>
        <v>0.0075</v>
      </c>
      <c r="O47" s="65" t="n">
        <f aca="false">IF(ISNUMBER(VLOOKUP($A47,VOLCURVES,HLOOKUP(N$35,VOLCURVES,2,FALSE()),FALSE())),VLOOKUP($A47,VOLCURVES,HLOOKUP(N$35,VOLCURVES,2,FALSE()),FALSE()),1)</f>
        <v>1</v>
      </c>
      <c r="P47" s="184" t="n">
        <f aca="false">(($C47+R47)*O47)+$D$17</f>
        <v>0.53</v>
      </c>
      <c r="Q47" s="65" t="n">
        <f aca="false">VLOOKUP($A47,GASDVOLCURVES,HLOOKUP(N$36,GASDVOLCURVES,2,FALSE()),FALSE())+$D$18</f>
        <v>0.78</v>
      </c>
      <c r="R47" s="4" t="n">
        <f aca="false">IF($D$20=1,VLOOKUP($A47,skewtable,HLOOKUP(ROUND(S47-BY47,1),skewtable,2,FALSE()),FALSE())/100,0)</f>
        <v>0</v>
      </c>
      <c r="S47" s="66" t="e">
        <f aca="false">IF(B$10=1,($BY47*$D$23)-$D$14,$D$22)</f>
        <v>#DIV/0!</v>
      </c>
      <c r="T47" s="67" t="e">
        <f aca="false">S47-$BY47+$D$24</f>
        <v>#DIV/0!</v>
      </c>
      <c r="U47" s="0"/>
      <c r="V47" s="0"/>
      <c r="W47" s="0"/>
      <c r="X47" s="63" t="n">
        <f aca="false">IF(X$35="nymex",0,VLOOKUP($A47,curvesettle,HLOOKUP(X$35,curvesettle,2,FALSE())))</f>
        <v>0.03</v>
      </c>
      <c r="Y47" s="65" t="n">
        <f aca="false">IF(ISNUMBER(VLOOKUP($A47,VOLCURVES,HLOOKUP(X$35,VOLCURVES,2,FALSE()),FALSE())),VLOOKUP($A47,VOLCURVES,HLOOKUP(X$35,VOLCURVES,2,FALSE()),FALSE()),1)</f>
        <v>1</v>
      </c>
      <c r="Z47" s="184" t="n">
        <f aca="false">(($C47+AB47)*Y47)+$F$17</f>
        <v>0.53</v>
      </c>
      <c r="AA47" s="65" t="n">
        <f aca="false">VLOOKUP($A47,GASDVOLCURVES,HLOOKUP(X$36,GASDVOLCURVES,2,FALSE()),FALSE())+$F$18</f>
        <v>0.83</v>
      </c>
      <c r="AB47" s="4" t="n">
        <f aca="false">IF($F$20=1,VLOOKUP($A47,skewtable,HLOOKUP(ROUND(AC47-CK47,1),skewtable,2,FALSE()),FALSE())/100,0)</f>
        <v>0</v>
      </c>
      <c r="AC47" s="66" t="n">
        <f aca="false">IF($B$10=1,($CK47*$F$23)-$F$14,$F$22)</f>
        <v>3.006</v>
      </c>
      <c r="AD47" s="67" t="n">
        <f aca="false">AC47-$CK47+$F$24</f>
        <v>0</v>
      </c>
      <c r="AE47" s="0"/>
      <c r="AF47" s="0"/>
      <c r="AG47" s="0"/>
      <c r="AH47" s="63" t="n">
        <f aca="false">IF(AH$35="nymex",0,VLOOKUP($A47,curvesettle,HLOOKUP(AH$35,curvesettle,2,FALSE())))</f>
        <v>0.36</v>
      </c>
      <c r="AI47" s="65" t="n">
        <f aca="false">IF(ISNUMBER(VLOOKUP($A47,VOLCURVES,HLOOKUP(AH$35,VOLCURVES,2,FALSE()),FALSE())),VLOOKUP($A47,VOLCURVES,HLOOKUP(AH$35,VOLCURVES,2,FALSE()),FALSE()),1)</f>
        <v>1</v>
      </c>
      <c r="AJ47" s="184" t="n">
        <f aca="false">(($C47+AL47)*AI47)+$H$17</f>
        <v>0.53</v>
      </c>
      <c r="AK47" s="65" t="n">
        <f aca="false">VLOOKUP($A47,GASDVOLCURVES,HLOOKUP(AH$36,GASDVOLCURVES,2,FALSE()),FALSE())+$H$18</f>
        <v>1.23</v>
      </c>
      <c r="AL47" s="4" t="n">
        <f aca="false">IF($H$20=1,VLOOKUP($A47,skewtable,HLOOKUP(ROUND(AM47-CW47,1),skewtable,2,FALSE()),FALSE())/100,0)</f>
        <v>0</v>
      </c>
      <c r="AM47" s="66" t="e">
        <f aca="false">IF($B$10=1,($CW47*$H$23)-$H$14,$H$22)</f>
        <v>#DIV/0!</v>
      </c>
      <c r="AN47" s="67" t="e">
        <f aca="false">AM47-CW47+$H$24</f>
        <v>#DIV/0!</v>
      </c>
      <c r="AO47" s="0"/>
      <c r="AP47" s="0"/>
      <c r="AQ47" s="183"/>
      <c r="AR47" s="183"/>
      <c r="AU47" s="0"/>
      <c r="AV47" s="0"/>
      <c r="AW47" s="0"/>
      <c r="AX47" s="0"/>
      <c r="AY47" s="0"/>
      <c r="AZ47" s="0"/>
      <c r="BA47" s="0"/>
      <c r="BC47" s="64"/>
      <c r="BD47" s="64"/>
      <c r="BE47" s="4" t="n">
        <f aca="false">VLOOKUP($A47,STRADDLE,14,FALSE())</f>
        <v>0.0213202408866033</v>
      </c>
      <c r="BF47" s="72" t="n">
        <f aca="false">A48-A47</f>
        <v>31</v>
      </c>
      <c r="BG47" s="179" t="n">
        <f aca="false">A47+BG$35</f>
        <v>37530</v>
      </c>
      <c r="BH47" s="179" t="n">
        <f aca="false">A48-1</f>
        <v>37560</v>
      </c>
      <c r="BJ47" s="179" t="n">
        <f aca="true">IF(BJ$35=0,TODAY(),IF(BJ$36="NYMEX",VLOOKUP($A47,expiration,2,FALSE())+1,BG47))</f>
        <v>37526</v>
      </c>
      <c r="BK47" s="73"/>
      <c r="BL47" s="73" t="n">
        <f aca="false">IF($A47&gt;=BM$32,IF($A47&lt;=BM$33,$BF47,0),0)</f>
        <v>0</v>
      </c>
      <c r="BM47" s="73" t="e">
        <f aca="false">BO47/BL47</f>
        <v>#DIV/0!</v>
      </c>
      <c r="BN47" s="1" t="n">
        <f aca="false">BL47*($B47+B$15)</f>
        <v>0</v>
      </c>
      <c r="BO47" s="47" t="n">
        <f aca="false">IF(ISNUMBER(((BN47/BL47)+B$16+$D47+$B$14)*BL47),((BN47/BL47)+B$16+$D47+$B$14)*BL47,0)</f>
        <v>0</v>
      </c>
      <c r="BP47" s="76" t="n">
        <f aca="false">IF($BL47=0,0,OSTRIP($BM47,$I47,$BJ47-$B$2,$BG47-$BJ47,$BH47-$BJ47,$B$10,$BE47,$F47,$G47,$B$23,$J47,$BQ$34,0))</f>
        <v>0</v>
      </c>
      <c r="BQ47" s="76" t="n">
        <f aca="false">IF($BL47=0,0,OSTRIP($BM47,$I47,$BJ47-$B$2,$BG47-$BJ47,$BH47-$BJ47,$B$10,$BE47,$F47,$G47,$B$23,$J47,$BQ$34,1))</f>
        <v>0</v>
      </c>
      <c r="BR47" s="76" t="n">
        <f aca="false">IF($BL47=0,0,OSTRIP($BM47,$I47,$BJ47-$B$2,$BG47-$BJ47,$BH47-$BJ47,$B$10,$BE47,$F47,$G47,$B$23,$J47,$BQ$34,BQ$35))</f>
        <v>0</v>
      </c>
      <c r="BS47" s="37" t="n">
        <f aca="false">BL47*BP47</f>
        <v>0</v>
      </c>
      <c r="BT47" s="37" t="n">
        <f aca="false">BL47*BQ47</f>
        <v>0</v>
      </c>
      <c r="BU47" s="37" t="n">
        <f aca="false">BL47*BR47</f>
        <v>0</v>
      </c>
      <c r="BV47" s="37" t="n">
        <f aca="false">BL47*G47</f>
        <v>0</v>
      </c>
      <c r="BX47" s="73" t="n">
        <f aca="false">IF($A47&gt;=BY$32,IF($A47&lt;=BY$33,$BF47,0),0)</f>
        <v>0</v>
      </c>
      <c r="BY47" s="186" t="e">
        <f aca="false">CA47/BX47</f>
        <v>#DIV/0!</v>
      </c>
      <c r="BZ47" s="1" t="n">
        <f aca="false">BX47*($B47+$D$15)</f>
        <v>0</v>
      </c>
      <c r="CA47" s="47" t="n">
        <f aca="false">IF(ISNUMBER(((BZ47/BX47)+$D$16+$N47+$D$14)*BX47),((BZ47/BX47)+$D$16+$N47+$D$14)*BX47,0)</f>
        <v>0</v>
      </c>
      <c r="CB47" s="76" t="n">
        <f aca="false">IF($BX47=0,0,OSTRIP($BY47,$S47,$BJ47-$B$2,$BG47-$BJ47,$BH47-$BJ47,$B$10,$BE47,$P47,$Q47,$D$23,$T47,$CC$34,0))</f>
        <v>0</v>
      </c>
      <c r="CC47" s="76" t="n">
        <f aca="false">IF($BX47=0,0,OSTRIP($BY47,$S47,$BJ47-$B$2,$BG47-$BJ47,$BH47-$BJ47,$B$10,$BE47,$P47,$Q47,$D$23,$T47,$CC$34,1))</f>
        <v>0</v>
      </c>
      <c r="CD47" s="76" t="n">
        <f aca="false">IF($BX47=0,0,OSTRIP($BY47,$S47,$BJ47-$B$2,$BG47-$BJ47,$BH47-$BJ47,$B$10,$BE47,$P47,$Q47,$D$23,$T47,$CC$34,CC$35))</f>
        <v>0</v>
      </c>
      <c r="CE47" s="37" t="n">
        <f aca="false">BX47*CB47</f>
        <v>0</v>
      </c>
      <c r="CF47" s="37" t="n">
        <f aca="false">BX47*CC47</f>
        <v>0</v>
      </c>
      <c r="CG47" s="37" t="n">
        <f aca="false">BX47*CD47</f>
        <v>0</v>
      </c>
      <c r="CH47" s="37" t="n">
        <f aca="false">BX47*Q47</f>
        <v>0</v>
      </c>
      <c r="CJ47" s="73" t="n">
        <f aca="false">IF($A47&gt;=CK$32,IF($A47&lt;=CK$33,$BF47,0),0)</f>
        <v>31</v>
      </c>
      <c r="CK47" s="186" t="n">
        <f aca="false">CM47/CJ47</f>
        <v>3.006</v>
      </c>
      <c r="CL47" s="1" t="n">
        <f aca="false">CJ47*($B47+$F$15)</f>
        <v>92.256</v>
      </c>
      <c r="CM47" s="47" t="n">
        <f aca="false">IF(ISNUMBER(((CL47/CJ47)+$F$16+$X47+$F$14)*CJ47),((CL47/CJ47)+$F$16+$X47+$F$14)*CJ47,0)</f>
        <v>93.186</v>
      </c>
      <c r="CN47" s="76" t="e">
        <f aca="false">IF($CJ47=0,0,OSTRIP($CK47,$AC47,$BJ47-$B$2,$BG47-$BJ47,$BH47-$BJ47,$B$10,$BE47,$Z47,$AA47,$F$23,$AD47,$CO$34,0))</f>
        <v>#NAME?</v>
      </c>
      <c r="CO47" s="76" t="e">
        <f aca="false">IF($CJ47=0,0,OSTRIP($CK47,$AC47,$BJ47-$B$2,$BG47-$BJ47,$BH47-$BJ47,$B$10,$BE47,$Z47,$AA47,$F$23,$AD47,$CO$34,1))</f>
        <v>#NAME?</v>
      </c>
      <c r="CP47" s="76" t="e">
        <f aca="false">IF($CJ47=0,0,OSTRIP($CK47,$AC47,$BJ47-$B$2,$BG47-$BJ47,$BH47-$BJ47,$B$10,$BE47,$Z47,$AA47,$F$23,$AD47,$CO$34,$CO$35))</f>
        <v>#NAME?</v>
      </c>
      <c r="CQ47" s="37" t="e">
        <f aca="false">CJ47*CN47</f>
        <v>#NAME?</v>
      </c>
      <c r="CR47" s="37" t="e">
        <f aca="false">CJ47*CO47</f>
        <v>#NAME?</v>
      </c>
      <c r="CS47" s="37" t="e">
        <f aca="false">CJ47*CP47</f>
        <v>#NAME?</v>
      </c>
      <c r="CT47" s="37" t="n">
        <f aca="false">CJ47*AA47</f>
        <v>25.73</v>
      </c>
      <c r="CV47" s="73" t="n">
        <f aca="false">IF($A47&gt;=CW$32,IF($A47&lt;=CW$33,$BF47,0),0)</f>
        <v>0</v>
      </c>
      <c r="CW47" s="186" t="e">
        <f aca="false">CY47/CV47</f>
        <v>#DIV/0!</v>
      </c>
      <c r="CX47" s="1" t="n">
        <f aca="false">CV47*($B47+$H$15)</f>
        <v>0</v>
      </c>
      <c r="CY47" s="47" t="n">
        <f aca="false">IF(ISNUMBER(((CX47/CV47)+$H$16+$AH47+$H$14)*CV47),((CX47/CV47)+$H$16+$AH47+$H$14)*CV47,0)</f>
        <v>0</v>
      </c>
      <c r="CZ47" s="76" t="n">
        <f aca="false">IF($CV47=0,0,OSTRIP($CW47,$AM47,$BJ47-$B$2,$BG47-$BJ47,$BH47-$BJ47,$B$10,$BE47,$AJ47,$AK47,$H$23,$AN47,$DA$34,0))</f>
        <v>0</v>
      </c>
      <c r="DA47" s="76" t="n">
        <f aca="false">IF($CV47=0,0,OSTRIP($CW47,$AM47,$BJ47-$B$2,$BG47-$BJ47,$BH47-$BJ47,$B$10,$BE47,$AJ47,$AK47,$H$23,$AN47,$DA$34,1))</f>
        <v>0</v>
      </c>
      <c r="DB47" s="76" t="n">
        <f aca="false">IF($CV47=0,0,OSTRIP($CW47,$AM47,$BJ47-$B$2,$BG47-$BJ47,$BH47-$BJ47,$B$10,$BE47,$AJ47,$AK47,$H$23,$AN47,$DA$34,DA$35))</f>
        <v>0</v>
      </c>
      <c r="DC47" s="37" t="n">
        <f aca="false">CV47*CZ47</f>
        <v>0</v>
      </c>
      <c r="DD47" s="37" t="n">
        <f aca="false">CV47*DA47</f>
        <v>0</v>
      </c>
      <c r="DE47" s="37" t="n">
        <f aca="false">CV47*DB47</f>
        <v>0</v>
      </c>
      <c r="DF47" s="37" t="n">
        <f aca="false">CV47*AK47</f>
        <v>0</v>
      </c>
    </row>
    <row r="48" customFormat="false" ht="12.75" hidden="false" customHeight="false" outlineLevel="0" collapsed="false">
      <c r="A48" s="62" t="n">
        <f aca="false">DATE(YEAR(A47),MONTH(A47)+1,1)</f>
        <v>37561</v>
      </c>
      <c r="B48" s="63" t="n">
        <f aca="false">VLOOKUP(A48,STRADDLE,5,FALSE())</f>
        <v>3.156</v>
      </c>
      <c r="C48" s="4" t="n">
        <f aca="false">VLOOKUP(A48,STRADDLE,8,FALSE())</f>
        <v>0.53</v>
      </c>
      <c r="D48" s="63" t="n">
        <f aca="false">IF(D$35="nymex",0,VLOOKUP($A48,curvesettle,HLOOKUP(D$35,curvesettle,2,FALSE())))</f>
        <v>0.445</v>
      </c>
      <c r="E48" s="65" t="n">
        <f aca="false">IF(ISNUMBER(VLOOKUP($A48,VOLCURVES,HLOOKUP(D$35,VOLCURVES,2,FALSE()),FALSE())),VLOOKUP($A48,VOLCURVES,HLOOKUP(D$35,VOLCURVES,2,FALSE()),FALSE()),1)</f>
        <v>1.1</v>
      </c>
      <c r="F48" s="4" t="n">
        <f aca="false">(($C48+H48)*$E48)+B$17</f>
        <v>0.683</v>
      </c>
      <c r="G48" s="65" t="n">
        <f aca="false">VLOOKUP($A48,GASDVOLCURVES,HLOOKUP(D$36,GASDVOLCURVES,2,FALSE()),FALSE())+$B$18</f>
        <v>0.95</v>
      </c>
      <c r="H48" s="4" t="n">
        <f aca="false">IF($B$20=1,VLOOKUP($A48,skewtable,HLOOKUP(ROUND(I48-BM48,1),skewtable,2,FALSE()),FALSE())/100,0)</f>
        <v>0</v>
      </c>
      <c r="I48" s="66" t="e">
        <f aca="false">IF($B$10=1,($BM48*$B$23)-$B$14,$B$22)</f>
        <v>#DIV/0!</v>
      </c>
      <c r="J48" s="67" t="e">
        <f aca="false">I48-BM48+$B$24</f>
        <v>#DIV/0!</v>
      </c>
      <c r="K48" s="67" t="n">
        <v>-0.05</v>
      </c>
      <c r="L48" s="183"/>
      <c r="M48" s="183"/>
      <c r="N48" s="63" t="n">
        <f aca="false">IF(N$35="nymex",0,VLOOKUP($A48,curvesettle,HLOOKUP(N$35,curvesettle,2,FALSE())))</f>
        <v>-0.0225</v>
      </c>
      <c r="O48" s="65" t="n">
        <f aca="false">IF(ISNUMBER(VLOOKUP($A48,VOLCURVES,HLOOKUP(N$35,VOLCURVES,2,FALSE()),FALSE())),VLOOKUP($A48,VOLCURVES,HLOOKUP(N$35,VOLCURVES,2,FALSE()),FALSE()),1)</f>
        <v>1</v>
      </c>
      <c r="P48" s="184" t="n">
        <f aca="false">(($C48+R48)*O48)+$D$17</f>
        <v>0.53</v>
      </c>
      <c r="Q48" s="65" t="n">
        <f aca="false">VLOOKUP($A48,GASDVOLCURVES,HLOOKUP(N$36,GASDVOLCURVES,2,FALSE()),FALSE())+$D$18</f>
        <v>0.95</v>
      </c>
      <c r="R48" s="4" t="n">
        <f aca="false">IF($D$20=1,VLOOKUP($A48,skewtable,HLOOKUP(ROUND(S48-BY48,1),skewtable,2,FALSE()),FALSE())/100,0)</f>
        <v>0</v>
      </c>
      <c r="S48" s="66" t="e">
        <f aca="false">IF(B$10=1,($BY48*$D$23)-$D$14,$D$22)</f>
        <v>#DIV/0!</v>
      </c>
      <c r="T48" s="67" t="e">
        <f aca="false">S48-$BY48+$D$24</f>
        <v>#DIV/0!</v>
      </c>
      <c r="U48" s="0"/>
      <c r="V48" s="0"/>
      <c r="W48" s="0"/>
      <c r="X48" s="63" t="n">
        <f aca="false">IF(X$35="nymex",0,VLOOKUP($A48,curvesettle,HLOOKUP(X$35,curvesettle,2,FALSE())))</f>
        <v>0.03</v>
      </c>
      <c r="Y48" s="65" t="n">
        <f aca="false">IF(ISNUMBER(VLOOKUP($A48,VOLCURVES,HLOOKUP(X$35,VOLCURVES,2,FALSE()),FALSE())),VLOOKUP($A48,VOLCURVES,HLOOKUP(X$35,VOLCURVES,2,FALSE()),FALSE()),1)</f>
        <v>1</v>
      </c>
      <c r="Z48" s="184" t="n">
        <f aca="false">(($C48+AB48)*Y48)+$F$17</f>
        <v>0.53</v>
      </c>
      <c r="AA48" s="65" t="n">
        <f aca="false">VLOOKUP($A48,GASDVOLCURVES,HLOOKUP(X$36,GASDVOLCURVES,2,FALSE()),FALSE())+$F$18</f>
        <v>0.95</v>
      </c>
      <c r="AB48" s="4" t="n">
        <f aca="false">IF($F$20=1,VLOOKUP($A48,skewtable,HLOOKUP(ROUND(AC48-CK48,1),skewtable,2,FALSE()),FALSE())/100,0)</f>
        <v>0</v>
      </c>
      <c r="AC48" s="66" t="e">
        <f aca="false">IF($B$10=1,($CK48*$F$23)-$F$14,$F$22)</f>
        <v>#DIV/0!</v>
      </c>
      <c r="AD48" s="67" t="e">
        <f aca="false">AC48-$CK48+$F$24</f>
        <v>#DIV/0!</v>
      </c>
      <c r="AE48" s="0"/>
      <c r="AF48" s="0"/>
      <c r="AG48" s="0"/>
      <c r="AH48" s="63" t="n">
        <f aca="false">IF(AH$35="nymex",0,VLOOKUP($A48,curvesettle,HLOOKUP(AH$35,curvesettle,2,FALSE())))</f>
        <v>0.6</v>
      </c>
      <c r="AI48" s="65" t="n">
        <f aca="false">IF(ISNUMBER(VLOOKUP($A48,VOLCURVES,HLOOKUP(AH$35,VOLCURVES,2,FALSE()),FALSE())),VLOOKUP($A48,VOLCURVES,HLOOKUP(AH$35,VOLCURVES,2,FALSE()),FALSE()),1)</f>
        <v>1.1</v>
      </c>
      <c r="AJ48" s="184" t="n">
        <f aca="false">(($C48+AL48)*AI48)+$H$17</f>
        <v>0.583</v>
      </c>
      <c r="AK48" s="65" t="n">
        <f aca="false">VLOOKUP($A48,GASDVOLCURVES,HLOOKUP(AH$36,GASDVOLCURVES,2,FALSE()),FALSE())+$H$18</f>
        <v>2.3</v>
      </c>
      <c r="AL48" s="4" t="n">
        <f aca="false">IF($H$20=1,VLOOKUP($A48,skewtable,HLOOKUP(ROUND(AM48-CW48,1),skewtable,2,FALSE()),FALSE())/100,0)</f>
        <v>0</v>
      </c>
      <c r="AM48" s="66" t="e">
        <f aca="false">IF($B$10=1,($CW48*$H$23)-$H$14,$H$22)</f>
        <v>#DIV/0!</v>
      </c>
      <c r="AN48" s="67" t="e">
        <f aca="false">AM48-CW48+$H$24</f>
        <v>#DIV/0!</v>
      </c>
      <c r="AO48" s="0"/>
      <c r="AP48" s="0"/>
      <c r="AQ48" s="183"/>
      <c r="AR48" s="183"/>
      <c r="AU48" s="0"/>
      <c r="AV48" s="0"/>
      <c r="AW48" s="0"/>
      <c r="AX48" s="0"/>
      <c r="AY48" s="0"/>
      <c r="AZ48" s="0"/>
      <c r="BA48" s="0"/>
      <c r="BC48" s="64"/>
      <c r="BD48" s="64"/>
      <c r="BE48" s="4" t="n">
        <f aca="false">VLOOKUP($A48,STRADDLE,14,FALSE())</f>
        <v>0.0220880716500842</v>
      </c>
      <c r="BF48" s="72" t="n">
        <f aca="false">A49-A48</f>
        <v>30</v>
      </c>
      <c r="BG48" s="179" t="n">
        <f aca="false">A48+BG$35</f>
        <v>37561</v>
      </c>
      <c r="BH48" s="179" t="n">
        <f aca="false">A49-1</f>
        <v>37590</v>
      </c>
      <c r="BJ48" s="179" t="n">
        <f aca="true">IF(BJ$35=0,TODAY(),IF(BJ$36="NYMEX",VLOOKUP($A48,expiration,2,FALSE())+1,BG48))</f>
        <v>37559</v>
      </c>
      <c r="BK48" s="73"/>
      <c r="BL48" s="73" t="n">
        <f aca="false">IF($A48&gt;=BM$32,IF($A48&lt;=BM$33,$BF48,0),0)</f>
        <v>0</v>
      </c>
      <c r="BM48" s="73" t="e">
        <f aca="false">BO48/BL48</f>
        <v>#DIV/0!</v>
      </c>
      <c r="BN48" s="1" t="n">
        <f aca="false">BL48*($B48+B$15)</f>
        <v>0</v>
      </c>
      <c r="BO48" s="47" t="n">
        <f aca="false">IF(ISNUMBER(((BN48/BL48)+B$16+$D48+$B$14)*BL48),((BN48/BL48)+B$16+$D48+$B$14)*BL48,0)</f>
        <v>0</v>
      </c>
      <c r="BP48" s="76" t="n">
        <f aca="false">IF($BL48=0,0,OSTRIP($BM48,$I48,$BJ48-$B$2,$BG48-$BJ48,$BH48-$BJ48,$B$10,$BE48,$F48,$G48,$B$23,$J48,$BQ$34,0))</f>
        <v>0</v>
      </c>
      <c r="BQ48" s="76" t="n">
        <f aca="false">IF($BL48=0,0,OSTRIP($BM48,$I48,$BJ48-$B$2,$BG48-$BJ48,$BH48-$BJ48,$B$10,$BE48,$F48,$G48,$B$23,$J48,$BQ$34,1))</f>
        <v>0</v>
      </c>
      <c r="BR48" s="76" t="n">
        <f aca="false">IF($BL48=0,0,OSTRIP($BM48,$I48,$BJ48-$B$2,$BG48-$BJ48,$BH48-$BJ48,$B$10,$BE48,$F48,$G48,$B$23,$J48,$BQ$34,BQ$35))</f>
        <v>0</v>
      </c>
      <c r="BS48" s="37" t="n">
        <f aca="false">BL48*BP48</f>
        <v>0</v>
      </c>
      <c r="BT48" s="37" t="n">
        <f aca="false">BL48*BQ48</f>
        <v>0</v>
      </c>
      <c r="BU48" s="37" t="n">
        <f aca="false">BL48*BR48</f>
        <v>0</v>
      </c>
      <c r="BV48" s="37" t="n">
        <f aca="false">BL48*G48</f>
        <v>0</v>
      </c>
      <c r="BX48" s="73" t="n">
        <f aca="false">IF($A48&gt;=BY$32,IF($A48&lt;=BY$33,$BF48,0),0)</f>
        <v>0</v>
      </c>
      <c r="BY48" s="186" t="e">
        <f aca="false">CA48/BX48</f>
        <v>#DIV/0!</v>
      </c>
      <c r="BZ48" s="1" t="n">
        <f aca="false">BX48*($B48+$D$15)</f>
        <v>0</v>
      </c>
      <c r="CA48" s="47" t="n">
        <f aca="false">IF(ISNUMBER(((BZ48/BX48)+$D$16+$N48+$D$14)*BX48),((BZ48/BX48)+$D$16+$N48+$D$14)*BX48,0)</f>
        <v>0</v>
      </c>
      <c r="CB48" s="76" t="n">
        <f aca="false">IF($BX48=0,0,OSTRIP($BY48,$S48,$BJ48-$B$2,$BG48-$BJ48,$BH48-$BJ48,$B$10,$BE48,$P48,$Q48,$D$23,$T48,$CC$34,0))</f>
        <v>0</v>
      </c>
      <c r="CC48" s="76" t="n">
        <f aca="false">IF($BX48=0,0,OSTRIP($BY48,$S48,$BJ48-$B$2,$BG48-$BJ48,$BH48-$BJ48,$B$10,$BE48,$P48,$Q48,$D$23,$T48,$CC$34,1))</f>
        <v>0</v>
      </c>
      <c r="CD48" s="76" t="n">
        <f aca="false">IF($BX48=0,0,OSTRIP($BY48,$S48,$BJ48-$B$2,$BG48-$BJ48,$BH48-$BJ48,$B$10,$BE48,$P48,$Q48,$D$23,$T48,$CC$34,CC$35))</f>
        <v>0</v>
      </c>
      <c r="CE48" s="37" t="n">
        <f aca="false">BX48*CB48</f>
        <v>0</v>
      </c>
      <c r="CF48" s="37" t="n">
        <f aca="false">BX48*CC48</f>
        <v>0</v>
      </c>
      <c r="CG48" s="37" t="n">
        <f aca="false">BX48*CD48</f>
        <v>0</v>
      </c>
      <c r="CH48" s="37" t="n">
        <f aca="false">BX48*Q48</f>
        <v>0</v>
      </c>
      <c r="CJ48" s="73" t="n">
        <f aca="false">IF($A48&gt;=CK$32,IF($A48&lt;=CK$33,$BF48,0),0)</f>
        <v>0</v>
      </c>
      <c r="CK48" s="186" t="e">
        <f aca="false">CM48/CJ48</f>
        <v>#DIV/0!</v>
      </c>
      <c r="CL48" s="1" t="n">
        <f aca="false">CJ48*($B48+$F$15)</f>
        <v>0</v>
      </c>
      <c r="CM48" s="47" t="n">
        <f aca="false">IF(ISNUMBER(((CL48/CJ48)+$F$16+$X48+$F$14)*CJ48),((CL48/CJ48)+$F$16+$X48+$F$14)*CJ48,0)</f>
        <v>0</v>
      </c>
      <c r="CN48" s="76" t="n">
        <f aca="false">IF($CJ48=0,0,OSTRIP($CK48,$AC48,$BJ48-$B$2,$BG48-$BJ48,$BH48-$BJ48,$B$10,$BE48,$Z48,$AA48,$F$23,$AD48,$CO$34,0))</f>
        <v>0</v>
      </c>
      <c r="CO48" s="76" t="n">
        <f aca="false">IF($CJ48=0,0,OSTRIP($CK48,$AC48,$BJ48-$B$2,$BG48-$BJ48,$BH48-$BJ48,$B$10,$BE48,$Z48,$AA48,$F$23,$AD48,$CO$34,1))</f>
        <v>0</v>
      </c>
      <c r="CP48" s="76" t="n">
        <f aca="false">IF($CJ48=0,0,OSTRIP($CK48,$AC48,$BJ48-$B$2,$BG48-$BJ48,$BH48-$BJ48,$B$10,$BE48,$Z48,$AA48,$F$23,$AD48,$CO$34,$CO$35))</f>
        <v>0</v>
      </c>
      <c r="CQ48" s="37" t="n">
        <f aca="false">CJ48*CN48</f>
        <v>0</v>
      </c>
      <c r="CR48" s="37" t="n">
        <f aca="false">CJ48*CO48</f>
        <v>0</v>
      </c>
      <c r="CS48" s="37" t="n">
        <f aca="false">CJ48*CP48</f>
        <v>0</v>
      </c>
      <c r="CT48" s="37" t="n">
        <f aca="false">CJ48*AA48</f>
        <v>0</v>
      </c>
      <c r="CV48" s="73" t="n">
        <f aca="false">IF($A48&gt;=CW$32,IF($A48&lt;=CW$33,$BF48,0),0)</f>
        <v>0</v>
      </c>
      <c r="CW48" s="186" t="e">
        <f aca="false">CY48/CV48</f>
        <v>#DIV/0!</v>
      </c>
      <c r="CX48" s="1" t="n">
        <f aca="false">CV48*($B48+$H$15)</f>
        <v>0</v>
      </c>
      <c r="CY48" s="47" t="n">
        <f aca="false">IF(ISNUMBER(((CX48/CV48)+$H$16+$AH48+$H$14)*CV48),((CX48/CV48)+$H$16+$AH48+$H$14)*CV48,0)</f>
        <v>0</v>
      </c>
      <c r="CZ48" s="76" t="n">
        <f aca="false">IF($CV48=0,0,OSTRIP($CW48,$AM48,$BJ48-$B$2,$BG48-$BJ48,$BH48-$BJ48,$B$10,$BE48,$AJ48,$AK48,$H$23,$AN48,$DA$34,0))</f>
        <v>0</v>
      </c>
      <c r="DA48" s="76" t="n">
        <f aca="false">IF($CV48=0,0,OSTRIP($CW48,$AM48,$BJ48-$B$2,$BG48-$BJ48,$BH48-$BJ48,$B$10,$BE48,$AJ48,$AK48,$H$23,$AN48,$DA$34,1))</f>
        <v>0</v>
      </c>
      <c r="DB48" s="76" t="n">
        <f aca="false">IF($CV48=0,0,OSTRIP($CW48,$AM48,$BJ48-$B$2,$BG48-$BJ48,$BH48-$BJ48,$B$10,$BE48,$AJ48,$AK48,$H$23,$AN48,$DA$34,DA$35))</f>
        <v>0</v>
      </c>
      <c r="DC48" s="37" t="n">
        <f aca="false">CV48*CZ48</f>
        <v>0</v>
      </c>
      <c r="DD48" s="37" t="n">
        <f aca="false">CV48*DA48</f>
        <v>0</v>
      </c>
      <c r="DE48" s="37" t="n">
        <f aca="false">CV48*DB48</f>
        <v>0</v>
      </c>
      <c r="DF48" s="37" t="n">
        <f aca="false">CV48*AK48</f>
        <v>0</v>
      </c>
    </row>
    <row r="49" customFormat="false" ht="12.75" hidden="false" customHeight="false" outlineLevel="0" collapsed="false">
      <c r="A49" s="62" t="n">
        <f aca="false">DATE(YEAR(A48),MONTH(A48)+1,1)</f>
        <v>37591</v>
      </c>
      <c r="B49" s="63" t="n">
        <f aca="false">VLOOKUP(A49,STRADDLE,5,FALSE())</f>
        <v>3.329</v>
      </c>
      <c r="C49" s="4" t="n">
        <f aca="false">VLOOKUP(A49,STRADDLE,8,FALSE())</f>
        <v>0.525</v>
      </c>
      <c r="D49" s="63" t="n">
        <f aca="false">IF(D$35="nymex",0,VLOOKUP($A49,curvesettle,HLOOKUP(D$35,curvesettle,2,FALSE())))</f>
        <v>0.78</v>
      </c>
      <c r="E49" s="65" t="n">
        <f aca="false">IF(ISNUMBER(VLOOKUP($A49,VOLCURVES,HLOOKUP(D$35,VOLCURVES,2,FALSE()),FALSE())),VLOOKUP($A49,VOLCURVES,HLOOKUP(D$35,VOLCURVES,2,FALSE()),FALSE()),1)</f>
        <v>1.1</v>
      </c>
      <c r="F49" s="4" t="n">
        <f aca="false">(($C49+H49)*$E49)+B$17</f>
        <v>0.6775</v>
      </c>
      <c r="G49" s="65" t="n">
        <f aca="false">VLOOKUP($A49,GASDVOLCURVES,HLOOKUP(D$36,GASDVOLCURVES,2,FALSE()),FALSE())+$B$18</f>
        <v>1.15</v>
      </c>
      <c r="H49" s="4" t="n">
        <f aca="false">IF($B$20=1,VLOOKUP($A49,skewtable,HLOOKUP(ROUND(I49-BM49,1),skewtable,2,FALSE()),FALSE())/100,0)</f>
        <v>0</v>
      </c>
      <c r="I49" s="66" t="e">
        <f aca="false">IF($B$10=1,($BM49*$B$23)-$B$14,$B$22)</f>
        <v>#DIV/0!</v>
      </c>
      <c r="J49" s="67" t="e">
        <f aca="false">I49-BM49+$B$24</f>
        <v>#DIV/0!</v>
      </c>
      <c r="K49" s="67" t="n">
        <v>-0.05</v>
      </c>
      <c r="L49" s="183"/>
      <c r="M49" s="183"/>
      <c r="N49" s="63" t="n">
        <f aca="false">IF(N$35="nymex",0,VLOOKUP($A49,curvesettle,HLOOKUP(N$35,curvesettle,2,FALSE())))</f>
        <v>-0.045</v>
      </c>
      <c r="O49" s="65" t="n">
        <f aca="false">IF(ISNUMBER(VLOOKUP($A49,VOLCURVES,HLOOKUP(N$35,VOLCURVES,2,FALSE()),FALSE())),VLOOKUP($A49,VOLCURVES,HLOOKUP(N$35,VOLCURVES,2,FALSE()),FALSE()),1)</f>
        <v>1</v>
      </c>
      <c r="P49" s="184" t="n">
        <f aca="false">(($C49+R49)*O49)+$D$17</f>
        <v>0.525</v>
      </c>
      <c r="Q49" s="65" t="n">
        <f aca="false">VLOOKUP($A49,GASDVOLCURVES,HLOOKUP(N$36,GASDVOLCURVES,2,FALSE()),FALSE())+$D$18</f>
        <v>1.15</v>
      </c>
      <c r="R49" s="4" t="n">
        <f aca="false">IF($D$20=1,VLOOKUP($A49,skewtable,HLOOKUP(ROUND(S49-BY49,1),skewtable,2,FALSE()),FALSE())/100,0)</f>
        <v>0</v>
      </c>
      <c r="S49" s="66" t="e">
        <f aca="false">IF(B$10=1,($BY49*$D$23)-$D$14,$D$22)</f>
        <v>#DIV/0!</v>
      </c>
      <c r="T49" s="67" t="e">
        <f aca="false">S49-$BY49+$D$24</f>
        <v>#DIV/0!</v>
      </c>
      <c r="U49" s="0"/>
      <c r="V49" s="0"/>
      <c r="W49" s="0"/>
      <c r="X49" s="63" t="n">
        <f aca="false">IF(X$35="nymex",0,VLOOKUP($A49,curvesettle,HLOOKUP(X$35,curvesettle,2,FALSE())))</f>
        <v>0.03</v>
      </c>
      <c r="Y49" s="65" t="n">
        <f aca="false">IF(ISNUMBER(VLOOKUP($A49,VOLCURVES,HLOOKUP(X$35,VOLCURVES,2,FALSE()),FALSE())),VLOOKUP($A49,VOLCURVES,HLOOKUP(X$35,VOLCURVES,2,FALSE()),FALSE()),1)</f>
        <v>1</v>
      </c>
      <c r="Z49" s="184" t="n">
        <f aca="false">(($C49+AB49)*Y49)+$F$17</f>
        <v>0.525</v>
      </c>
      <c r="AA49" s="65" t="n">
        <f aca="false">VLOOKUP($A49,GASDVOLCURVES,HLOOKUP(X$36,GASDVOLCURVES,2,FALSE()),FALSE())+$F$18</f>
        <v>1.15</v>
      </c>
      <c r="AB49" s="4" t="n">
        <f aca="false">IF($F$20=1,VLOOKUP($A49,skewtable,HLOOKUP(ROUND(AC49-CK49,1),skewtable,2,FALSE()),FALSE())/100,0)</f>
        <v>0</v>
      </c>
      <c r="AC49" s="66" t="e">
        <f aca="false">IF($B$10=1,($CK49*$F$23)-$F$14,$F$22)</f>
        <v>#DIV/0!</v>
      </c>
      <c r="AD49" s="67" t="e">
        <f aca="false">AC49-$CK49+$F$24</f>
        <v>#DIV/0!</v>
      </c>
      <c r="AE49" s="0"/>
      <c r="AF49" s="0"/>
      <c r="AG49" s="0"/>
      <c r="AH49" s="63" t="n">
        <f aca="false">IF(AH$35="nymex",0,VLOOKUP($A49,curvesettle,HLOOKUP(AH$35,curvesettle,2,FALSE())))</f>
        <v>0.94</v>
      </c>
      <c r="AI49" s="65" t="n">
        <f aca="false">IF(ISNUMBER(VLOOKUP($A49,VOLCURVES,HLOOKUP(AH$35,VOLCURVES,2,FALSE()),FALSE())),VLOOKUP($A49,VOLCURVES,HLOOKUP(AH$35,VOLCURVES,2,FALSE()),FALSE()),1)</f>
        <v>1.02</v>
      </c>
      <c r="AJ49" s="184" t="n">
        <f aca="false">(($C49+AL49)*AI49)+$H$17</f>
        <v>0.5355</v>
      </c>
      <c r="AK49" s="65" t="n">
        <f aca="false">VLOOKUP($A49,GASDVOLCURVES,HLOOKUP(AH$36,GASDVOLCURVES,2,FALSE()),FALSE())+$H$18</f>
        <v>2.6</v>
      </c>
      <c r="AL49" s="4" t="n">
        <f aca="false">IF($H$20=1,VLOOKUP($A49,skewtable,HLOOKUP(ROUND(AM49-CW49,1),skewtable,2,FALSE()),FALSE())/100,0)</f>
        <v>0</v>
      </c>
      <c r="AM49" s="66" t="e">
        <f aca="false">IF($B$10=1,($CW49*$H$23)-$H$14,$H$22)</f>
        <v>#DIV/0!</v>
      </c>
      <c r="AN49" s="67" t="e">
        <f aca="false">AM49-CW49+$H$24</f>
        <v>#DIV/0!</v>
      </c>
      <c r="AO49" s="0"/>
      <c r="AP49" s="0"/>
      <c r="AQ49" s="183"/>
      <c r="AR49" s="183"/>
      <c r="AU49" s="0"/>
      <c r="AV49" s="0"/>
      <c r="AW49" s="0"/>
      <c r="AX49" s="0"/>
      <c r="AY49" s="0"/>
      <c r="AZ49" s="0"/>
      <c r="BA49" s="0"/>
      <c r="BC49" s="64"/>
      <c r="BD49" s="64"/>
      <c r="BE49" s="4" t="n">
        <f aca="false">VLOOKUP($A49,STRADDLE,14,FALSE())</f>
        <v>0.0228311338692704</v>
      </c>
      <c r="BF49" s="72" t="n">
        <f aca="false">A50-A49</f>
        <v>31</v>
      </c>
      <c r="BG49" s="179" t="n">
        <f aca="false">A49+BG$35</f>
        <v>37591</v>
      </c>
      <c r="BH49" s="179" t="n">
        <f aca="false">A50-1</f>
        <v>37621</v>
      </c>
      <c r="BJ49" s="179" t="n">
        <f aca="true">IF(BJ$35=0,TODAY(),IF(BJ$36="NYMEX",VLOOKUP($A49,expiration,2,FALSE())+1,BG49))</f>
        <v>37587</v>
      </c>
      <c r="BK49" s="73"/>
      <c r="BL49" s="73" t="n">
        <f aca="false">IF($A49&gt;=BM$32,IF($A49&lt;=BM$33,$BF49,0),0)</f>
        <v>0</v>
      </c>
      <c r="BM49" s="73" t="e">
        <f aca="false">BO49/BL49</f>
        <v>#DIV/0!</v>
      </c>
      <c r="BN49" s="1" t="n">
        <f aca="false">BL49*($B49+B$15)</f>
        <v>0</v>
      </c>
      <c r="BO49" s="47" t="n">
        <f aca="false">IF(ISNUMBER(((BN49/BL49)+B$16+$D49+$B$14)*BL49),((BN49/BL49)+B$16+$D49+$B$14)*BL49,0)</f>
        <v>0</v>
      </c>
      <c r="BP49" s="76" t="n">
        <f aca="false">IF($BL49=0,0,OSTRIP($BM49,$I49,$BJ49-$B$2,$BG49-$BJ49,$BH49-$BJ49,$B$10,$BE49,$F49,$G49,$B$23,$J49,$BQ$34,0))</f>
        <v>0</v>
      </c>
      <c r="BQ49" s="76" t="n">
        <f aca="false">IF($BL49=0,0,OSTRIP($BM49,$I49,$BJ49-$B$2,$BG49-$BJ49,$BH49-$BJ49,$B$10,$BE49,$F49,$G49,$B$23,$J49,$BQ$34,1))</f>
        <v>0</v>
      </c>
      <c r="BR49" s="76" t="n">
        <f aca="false">IF($BL49=0,0,OSTRIP($BM49,$I49,$BJ49-$B$2,$BG49-$BJ49,$BH49-$BJ49,$B$10,$BE49,$F49,$G49,$B$23,$J49,$BQ$34,BQ$35))</f>
        <v>0</v>
      </c>
      <c r="BS49" s="37" t="n">
        <f aca="false">BL49*BP49</f>
        <v>0</v>
      </c>
      <c r="BT49" s="37" t="n">
        <f aca="false">BL49*BQ49</f>
        <v>0</v>
      </c>
      <c r="BU49" s="37" t="n">
        <f aca="false">BL49*BR49</f>
        <v>0</v>
      </c>
      <c r="BV49" s="37" t="n">
        <f aca="false">BL49*G49</f>
        <v>0</v>
      </c>
      <c r="BX49" s="73" t="n">
        <f aca="false">IF($A49&gt;=BY$32,IF($A49&lt;=BY$33,$BF49,0),0)</f>
        <v>0</v>
      </c>
      <c r="BY49" s="186" t="e">
        <f aca="false">CA49/BX49</f>
        <v>#DIV/0!</v>
      </c>
      <c r="BZ49" s="1" t="n">
        <f aca="false">BX49*($B49+$D$15)</f>
        <v>0</v>
      </c>
      <c r="CA49" s="47" t="n">
        <f aca="false">IF(ISNUMBER(((BZ49/BX49)+$D$16+$N49+$D$14)*BX49),((BZ49/BX49)+$D$16+$N49+$D$14)*BX49,0)</f>
        <v>0</v>
      </c>
      <c r="CB49" s="76" t="n">
        <f aca="false">IF($BX49=0,0,OSTRIP($BY49,$S49,$BJ49-$B$2,$BG49-$BJ49,$BH49-$BJ49,$B$10,$BE49,$P49,$Q49,$D$23,$T49,$CC$34,0))</f>
        <v>0</v>
      </c>
      <c r="CC49" s="76" t="n">
        <f aca="false">IF($BX49=0,0,OSTRIP($BY49,$S49,$BJ49-$B$2,$BG49-$BJ49,$BH49-$BJ49,$B$10,$BE49,$P49,$Q49,$D$23,$T49,$CC$34,1))</f>
        <v>0</v>
      </c>
      <c r="CD49" s="76" t="n">
        <f aca="false">IF($BX49=0,0,OSTRIP($BY49,$S49,$BJ49-$B$2,$BG49-$BJ49,$BH49-$BJ49,$B$10,$BE49,$P49,$Q49,$D$23,$T49,$CC$34,CC$35))</f>
        <v>0</v>
      </c>
      <c r="CE49" s="37" t="n">
        <f aca="false">BX49*CB49</f>
        <v>0</v>
      </c>
      <c r="CF49" s="37" t="n">
        <f aca="false">BX49*CC49</f>
        <v>0</v>
      </c>
      <c r="CG49" s="37" t="n">
        <f aca="false">BX49*CD49</f>
        <v>0</v>
      </c>
      <c r="CH49" s="37" t="n">
        <f aca="false">BX49*Q49</f>
        <v>0</v>
      </c>
      <c r="CJ49" s="73" t="n">
        <f aca="false">IF($A49&gt;=CK$32,IF($A49&lt;=CK$33,$BF49,0),0)</f>
        <v>0</v>
      </c>
      <c r="CK49" s="186" t="e">
        <f aca="false">CM49/CJ49</f>
        <v>#DIV/0!</v>
      </c>
      <c r="CL49" s="1" t="n">
        <f aca="false">CJ49*($B49+$F$15)</f>
        <v>0</v>
      </c>
      <c r="CM49" s="47" t="n">
        <f aca="false">IF(ISNUMBER(((CL49/CJ49)+$F$16+$X49+$F$14)*CJ49),((CL49/CJ49)+$F$16+$X49+$F$14)*CJ49,0)</f>
        <v>0</v>
      </c>
      <c r="CN49" s="76" t="n">
        <f aca="false">IF($CJ49=0,0,OSTRIP($CK49,$AC49,$BJ49-$B$2,$BG49-$BJ49,$BH49-$BJ49,$B$10,$BE49,$Z49,$AA49,$F$23,$AD49,$CO$34,0))</f>
        <v>0</v>
      </c>
      <c r="CO49" s="76" t="n">
        <f aca="false">IF($CJ49=0,0,OSTRIP($CK49,$AC49,$BJ49-$B$2,$BG49-$BJ49,$BH49-$BJ49,$B$10,$BE49,$Z49,$AA49,$F$23,$AD49,$CO$34,1))</f>
        <v>0</v>
      </c>
      <c r="CP49" s="76" t="n">
        <f aca="false">IF($CJ49=0,0,OSTRIP($CK49,$AC49,$BJ49-$B$2,$BG49-$BJ49,$BH49-$BJ49,$B$10,$BE49,$Z49,$AA49,$F$23,$AD49,$CO$34,$CO$35))</f>
        <v>0</v>
      </c>
      <c r="CQ49" s="37" t="n">
        <f aca="false">CJ49*CN49</f>
        <v>0</v>
      </c>
      <c r="CR49" s="37" t="n">
        <f aca="false">CJ49*CO49</f>
        <v>0</v>
      </c>
      <c r="CS49" s="37" t="n">
        <f aca="false">CJ49*CP49</f>
        <v>0</v>
      </c>
      <c r="CT49" s="37" t="n">
        <f aca="false">CJ49*AA49</f>
        <v>0</v>
      </c>
      <c r="CV49" s="73" t="n">
        <f aca="false">IF($A49&gt;=CW$32,IF($A49&lt;=CW$33,$BF49,0),0)</f>
        <v>0</v>
      </c>
      <c r="CW49" s="186" t="e">
        <f aca="false">CY49/CV49</f>
        <v>#DIV/0!</v>
      </c>
      <c r="CX49" s="1" t="n">
        <f aca="false">CV49*($B49+$H$15)</f>
        <v>0</v>
      </c>
      <c r="CY49" s="47" t="n">
        <f aca="false">IF(ISNUMBER(((CX49/CV49)+$H$16+$AH49+$H$14)*CV49),((CX49/CV49)+$H$16+$AH49+$H$14)*CV49,0)</f>
        <v>0</v>
      </c>
      <c r="CZ49" s="76" t="n">
        <f aca="false">IF($CV49=0,0,OSTRIP($CW49,$AM49,$BJ49-$B$2,$BG49-$BJ49,$BH49-$BJ49,$B$10,$BE49,$AJ49,$AK49,$H$23,$AN49,$DA$34,0))</f>
        <v>0</v>
      </c>
      <c r="DA49" s="76" t="n">
        <f aca="false">IF($CV49=0,0,OSTRIP($CW49,$AM49,$BJ49-$B$2,$BG49-$BJ49,$BH49-$BJ49,$B$10,$BE49,$AJ49,$AK49,$H$23,$AN49,$DA$34,1))</f>
        <v>0</v>
      </c>
      <c r="DB49" s="76" t="n">
        <f aca="false">IF($CV49=0,0,OSTRIP($CW49,$AM49,$BJ49-$B$2,$BG49-$BJ49,$BH49-$BJ49,$B$10,$BE49,$AJ49,$AK49,$H$23,$AN49,$DA$34,DA$35))</f>
        <v>0</v>
      </c>
      <c r="DC49" s="37" t="n">
        <f aca="false">CV49*CZ49</f>
        <v>0</v>
      </c>
      <c r="DD49" s="37" t="n">
        <f aca="false">CV49*DA49</f>
        <v>0</v>
      </c>
      <c r="DE49" s="37" t="n">
        <f aca="false">CV49*DB49</f>
        <v>0</v>
      </c>
      <c r="DF49" s="37" t="n">
        <f aca="false">CV49*AK49</f>
        <v>0</v>
      </c>
    </row>
    <row r="50" customFormat="false" ht="12.75" hidden="false" customHeight="false" outlineLevel="0" collapsed="false">
      <c r="A50" s="62" t="n">
        <f aca="false">DATE(YEAR(A49),MONTH(A49)+1,1)</f>
        <v>37622</v>
      </c>
      <c r="B50" s="63" t="n">
        <f aca="false">VLOOKUP(A50,STRADDLE,5,FALSE())</f>
        <v>3.408</v>
      </c>
      <c r="C50" s="4" t="n">
        <f aca="false">VLOOKUP(A50,STRADDLE,8,FALSE())</f>
        <v>0.5225</v>
      </c>
      <c r="D50" s="63" t="n">
        <f aca="false">IF(D$35="nymex",0,VLOOKUP($A50,curvesettle,HLOOKUP(D$35,curvesettle,2,FALSE())))</f>
        <v>1.07</v>
      </c>
      <c r="E50" s="65" t="n">
        <f aca="false">IF(ISNUMBER(VLOOKUP($A50,VOLCURVES,HLOOKUP(D$35,VOLCURVES,2,FALSE()),FALSE())),VLOOKUP($A50,VOLCURVES,HLOOKUP(D$35,VOLCURVES,2,FALSE()),FALSE()),1)</f>
        <v>1.1</v>
      </c>
      <c r="F50" s="4" t="n">
        <f aca="false">(($C50+H50)*$E50)+B$17</f>
        <v>0.67475</v>
      </c>
      <c r="G50" s="65" t="n">
        <f aca="false">VLOOKUP($A50,GASDVOLCURVES,HLOOKUP(D$36,GASDVOLCURVES,2,FALSE()),FALSE())+$B$18</f>
        <v>1.18</v>
      </c>
      <c r="H50" s="4" t="n">
        <f aca="false">IF($B$20=1,VLOOKUP($A50,skewtable,HLOOKUP(ROUND(I50-BM50,1),skewtable,2,FALSE()),FALSE())/100,0)</f>
        <v>0</v>
      </c>
      <c r="I50" s="66" t="e">
        <f aca="false">IF($B$10=1,($BM50*$B$23)-$B$14,$B$22)</f>
        <v>#DIV/0!</v>
      </c>
      <c r="J50" s="67" t="e">
        <f aca="false">I50-BM50+$B$24</f>
        <v>#DIV/0!</v>
      </c>
      <c r="K50" s="67" t="n">
        <v>-0.2</v>
      </c>
      <c r="L50" s="183"/>
      <c r="M50" s="183"/>
      <c r="N50" s="63" t="n">
        <f aca="false">IF(N$35="nymex",0,VLOOKUP($A50,curvesettle,HLOOKUP(N$35,curvesettle,2,FALSE())))</f>
        <v>-0.05</v>
      </c>
      <c r="O50" s="65" t="n">
        <f aca="false">IF(ISNUMBER(VLOOKUP($A50,VOLCURVES,HLOOKUP(N$35,VOLCURVES,2,FALSE()),FALSE())),VLOOKUP($A50,VOLCURVES,HLOOKUP(N$35,VOLCURVES,2,FALSE()),FALSE()),1)</f>
        <v>1</v>
      </c>
      <c r="P50" s="184" t="n">
        <f aca="false">(($C50+R50)*O50)+$D$17</f>
        <v>0.5225</v>
      </c>
      <c r="Q50" s="65" t="n">
        <f aca="false">VLOOKUP($A50,GASDVOLCURVES,HLOOKUP(N$36,GASDVOLCURVES,2,FALSE()),FALSE())+$D$18</f>
        <v>1.18</v>
      </c>
      <c r="R50" s="4" t="n">
        <f aca="false">IF($D$20=1,VLOOKUP($A50,skewtable,HLOOKUP(ROUND(S50-BY50,1),skewtable,2,FALSE()),FALSE())/100,0)</f>
        <v>0</v>
      </c>
      <c r="S50" s="66" t="e">
        <f aca="false">IF(B$10=1,($BY50*$D$23)-$D$14,$D$22)</f>
        <v>#DIV/0!</v>
      </c>
      <c r="T50" s="67" t="e">
        <f aca="false">S50-$BY50+$D$24</f>
        <v>#DIV/0!</v>
      </c>
      <c r="U50" s="0"/>
      <c r="V50" s="0"/>
      <c r="W50" s="0"/>
      <c r="X50" s="63" t="n">
        <f aca="false">IF(X$35="nymex",0,VLOOKUP($A50,curvesettle,HLOOKUP(X$35,curvesettle,2,FALSE())))</f>
        <v>0.02</v>
      </c>
      <c r="Y50" s="65" t="n">
        <f aca="false">IF(ISNUMBER(VLOOKUP($A50,VOLCURVES,HLOOKUP(X$35,VOLCURVES,2,FALSE()),FALSE())),VLOOKUP($A50,VOLCURVES,HLOOKUP(X$35,VOLCURVES,2,FALSE()),FALSE()),1)</f>
        <v>1</v>
      </c>
      <c r="Z50" s="184" t="n">
        <f aca="false">(($C50+AB50)*Y50)+$F$17</f>
        <v>0.5225</v>
      </c>
      <c r="AA50" s="65" t="n">
        <f aca="false">VLOOKUP($A50,GASDVOLCURVES,HLOOKUP(X$36,GASDVOLCURVES,2,FALSE()),FALSE())+$F$18</f>
        <v>1.18</v>
      </c>
      <c r="AB50" s="4" t="n">
        <f aca="false">IF($F$20=1,VLOOKUP($A50,skewtable,HLOOKUP(ROUND(AC50-CK50,1),skewtable,2,FALSE()),FALSE())/100,0)</f>
        <v>0</v>
      </c>
      <c r="AC50" s="66" t="e">
        <f aca="false">IF($B$10=1,($CK50*$F$23)-$F$14,$F$22)</f>
        <v>#DIV/0!</v>
      </c>
      <c r="AD50" s="67" t="e">
        <f aca="false">AC50-$CK50+$F$24</f>
        <v>#DIV/0!</v>
      </c>
      <c r="AE50" s="0"/>
      <c r="AF50" s="0"/>
      <c r="AG50" s="0"/>
      <c r="AH50" s="63" t="n">
        <f aca="false">IF(AH$35="nymex",0,VLOOKUP($A50,curvesettle,HLOOKUP(AH$35,curvesettle,2,FALSE())))</f>
        <v>1.88</v>
      </c>
      <c r="AI50" s="65" t="n">
        <f aca="false">IF(ISNUMBER(VLOOKUP($A50,VOLCURVES,HLOOKUP(AH$35,VOLCURVES,2,FALSE()),FALSE())),VLOOKUP($A50,VOLCURVES,HLOOKUP(AH$35,VOLCURVES,2,FALSE()),FALSE()),1)</f>
        <v>1.04</v>
      </c>
      <c r="AJ50" s="184" t="n">
        <f aca="false">(($C50+AL50)*AI50)+$H$17</f>
        <v>0.5434</v>
      </c>
      <c r="AK50" s="65" t="n">
        <f aca="false">VLOOKUP($A50,GASDVOLCURVES,HLOOKUP(AH$36,GASDVOLCURVES,2,FALSE()),FALSE())+$H$18</f>
        <v>2.83</v>
      </c>
      <c r="AL50" s="4" t="n">
        <f aca="false">IF($H$20=1,VLOOKUP($A50,skewtable,HLOOKUP(ROUND(AM50-CW50,1),skewtable,2,FALSE()),FALSE())/100,0)</f>
        <v>0</v>
      </c>
      <c r="AM50" s="66" t="e">
        <f aca="false">IF($B$10=1,($CW50*$H$23)-$H$14,$H$22)</f>
        <v>#DIV/0!</v>
      </c>
      <c r="AN50" s="67" t="e">
        <f aca="false">AM50-CW50+$H$24</f>
        <v>#DIV/0!</v>
      </c>
      <c r="AO50" s="0"/>
      <c r="AP50" s="0"/>
      <c r="AQ50" s="183"/>
      <c r="AR50" s="183"/>
      <c r="AU50" s="0"/>
      <c r="AV50" s="0"/>
      <c r="AW50" s="0"/>
      <c r="AX50" s="0"/>
      <c r="AY50" s="0"/>
      <c r="AZ50" s="0"/>
      <c r="BA50" s="0"/>
      <c r="BC50" s="64"/>
      <c r="BD50" s="64"/>
      <c r="BE50" s="4" t="n">
        <f aca="false">VLOOKUP($A50,STRADDLE,14,FALSE())</f>
        <v>0.0236676828051907</v>
      </c>
      <c r="BF50" s="72" t="n">
        <f aca="false">A51-A50</f>
        <v>31</v>
      </c>
      <c r="BG50" s="179" t="n">
        <f aca="false">A50+BG$35</f>
        <v>37622</v>
      </c>
      <c r="BH50" s="179" t="n">
        <f aca="false">A51-1</f>
        <v>37652</v>
      </c>
      <c r="BJ50" s="179" t="n">
        <f aca="true">IF(BJ$35=0,TODAY(),IF(BJ$36="NYMEX",VLOOKUP($A50,expiration,2,FALSE())+1,BG50))</f>
        <v>37618</v>
      </c>
      <c r="BK50" s="73"/>
      <c r="BL50" s="73" t="n">
        <f aca="false">IF($A50&gt;=BM$32,IF($A50&lt;=BM$33,$BF50,0),0)</f>
        <v>0</v>
      </c>
      <c r="BM50" s="73" t="e">
        <f aca="false">BO50/BL50</f>
        <v>#DIV/0!</v>
      </c>
      <c r="BN50" s="1" t="n">
        <f aca="false">BL50*($B50+B$15)</f>
        <v>0</v>
      </c>
      <c r="BO50" s="47" t="n">
        <f aca="false">IF(ISNUMBER(((BN50/BL50)+B$16+$D50+$B$14)*BL50),((BN50/BL50)+B$16+$D50+$B$14)*BL50,0)</f>
        <v>0</v>
      </c>
      <c r="BP50" s="76" t="n">
        <f aca="false">IF($BL50=0,0,OSTRIP($BM50,$I50,$BJ50-$B$2,$BG50-$BJ50,$BH50-$BJ50,$B$10,$BE50,$F50,$G50,$B$23,$J50,$BQ$34,0))</f>
        <v>0</v>
      </c>
      <c r="BQ50" s="76" t="n">
        <f aca="false">IF($BL50=0,0,OSTRIP($BM50,$I50,$BJ50-$B$2,$BG50-$BJ50,$BH50-$BJ50,$B$10,$BE50,$F50,$G50,$B$23,$J50,$BQ$34,1))</f>
        <v>0</v>
      </c>
      <c r="BR50" s="76" t="n">
        <f aca="false">IF($BL50=0,0,OSTRIP($BM50,$I50,$BJ50-$B$2,$BG50-$BJ50,$BH50-$BJ50,$B$10,$BE50,$F50,$G50,$B$23,$J50,$BQ$34,BQ$35))</f>
        <v>0</v>
      </c>
      <c r="BS50" s="37" t="n">
        <f aca="false">BL50*BP50</f>
        <v>0</v>
      </c>
      <c r="BT50" s="37" t="n">
        <f aca="false">BL50*BQ50</f>
        <v>0</v>
      </c>
      <c r="BU50" s="37" t="n">
        <f aca="false">BL50*BR50</f>
        <v>0</v>
      </c>
      <c r="BV50" s="37" t="n">
        <f aca="false">BL50*G50</f>
        <v>0</v>
      </c>
      <c r="BX50" s="73" t="n">
        <f aca="false">IF($A50&gt;=BY$32,IF($A50&lt;=BY$33,$BF50,0),0)</f>
        <v>0</v>
      </c>
      <c r="BY50" s="186" t="e">
        <f aca="false">CA50/BX50</f>
        <v>#DIV/0!</v>
      </c>
      <c r="BZ50" s="1" t="n">
        <f aca="false">BX50*($B50+$D$15)</f>
        <v>0</v>
      </c>
      <c r="CA50" s="47" t="n">
        <f aca="false">IF(ISNUMBER(((BZ50/BX50)+$D$16+$N50+$D$14)*BX50),((BZ50/BX50)+$D$16+$N50+$D$14)*BX50,0)</f>
        <v>0</v>
      </c>
      <c r="CB50" s="76" t="n">
        <f aca="false">IF($BX50=0,0,OSTRIP($BY50,$S50,$BJ50-$B$2,$BG50-$BJ50,$BH50-$BJ50,$B$10,$BE50,$P50,$Q50,$D$23,$T50,$CC$34,0))</f>
        <v>0</v>
      </c>
      <c r="CC50" s="76" t="n">
        <f aca="false">IF($BX50=0,0,OSTRIP($BY50,$S50,$BJ50-$B$2,$BG50-$BJ50,$BH50-$BJ50,$B$10,$BE50,$P50,$Q50,$D$23,$T50,$CC$34,1))</f>
        <v>0</v>
      </c>
      <c r="CD50" s="76" t="n">
        <f aca="false">IF($BX50=0,0,OSTRIP($BY50,$S50,$BJ50-$B$2,$BG50-$BJ50,$BH50-$BJ50,$B$10,$BE50,$P50,$Q50,$D$23,$T50,$CC$34,CC$35))</f>
        <v>0</v>
      </c>
      <c r="CE50" s="37" t="n">
        <f aca="false">BX50*CB50</f>
        <v>0</v>
      </c>
      <c r="CF50" s="37" t="n">
        <f aca="false">BX50*CC50</f>
        <v>0</v>
      </c>
      <c r="CG50" s="37" t="n">
        <f aca="false">BX50*CD50</f>
        <v>0</v>
      </c>
      <c r="CH50" s="37" t="n">
        <f aca="false">BX50*Q50</f>
        <v>0</v>
      </c>
      <c r="CJ50" s="73" t="n">
        <f aca="false">IF($A50&gt;=CK$32,IF($A50&lt;=CK$33,$BF50,0),0)</f>
        <v>0</v>
      </c>
      <c r="CK50" s="186" t="e">
        <f aca="false">CM50/CJ50</f>
        <v>#DIV/0!</v>
      </c>
      <c r="CL50" s="1" t="n">
        <f aca="false">CJ50*($B50+$F$15)</f>
        <v>0</v>
      </c>
      <c r="CM50" s="47" t="n">
        <f aca="false">IF(ISNUMBER(((CL50/CJ50)+$F$16+$X50+$F$14)*CJ50),((CL50/CJ50)+$F$16+$X50+$F$14)*CJ50,0)</f>
        <v>0</v>
      </c>
      <c r="CN50" s="76" t="n">
        <f aca="false">IF($CJ50=0,0,OSTRIP($CK50,$AC50,$BJ50-$B$2,$BG50-$BJ50,$BH50-$BJ50,$B$10,$BE50,$Z50,$AA50,$F$23,$AD50,$CO$34,0))</f>
        <v>0</v>
      </c>
      <c r="CO50" s="76" t="n">
        <f aca="false">IF($CJ50=0,0,OSTRIP($CK50,$AC50,$BJ50-$B$2,$BG50-$BJ50,$BH50-$BJ50,$B$10,$BE50,$Z50,$AA50,$F$23,$AD50,$CO$34,1))</f>
        <v>0</v>
      </c>
      <c r="CP50" s="76" t="n">
        <f aca="false">IF($CJ50=0,0,OSTRIP($CK50,$AC50,$BJ50-$B$2,$BG50-$BJ50,$BH50-$BJ50,$B$10,$BE50,$Z50,$AA50,$F$23,$AD50,$CO$34,$CO$35))</f>
        <v>0</v>
      </c>
      <c r="CQ50" s="37" t="n">
        <f aca="false">CJ50*CN50</f>
        <v>0</v>
      </c>
      <c r="CR50" s="37" t="n">
        <f aca="false">CJ50*CO50</f>
        <v>0</v>
      </c>
      <c r="CS50" s="37" t="n">
        <f aca="false">CJ50*CP50</f>
        <v>0</v>
      </c>
      <c r="CT50" s="37" t="n">
        <f aca="false">CJ50*AA50</f>
        <v>0</v>
      </c>
      <c r="CV50" s="73" t="n">
        <f aca="false">IF($A50&gt;=CW$32,IF($A50&lt;=CW$33,$BF50,0),0)</f>
        <v>0</v>
      </c>
      <c r="CW50" s="186" t="e">
        <f aca="false">CY50/CV50</f>
        <v>#DIV/0!</v>
      </c>
      <c r="CX50" s="1" t="n">
        <f aca="false">CV50*($B50+$H$15)</f>
        <v>0</v>
      </c>
      <c r="CY50" s="47" t="n">
        <f aca="false">IF(ISNUMBER(((CX50/CV50)+$H$16+$AH50+$H$14)*CV50),((CX50/CV50)+$H$16+$AH50+$H$14)*CV50,0)</f>
        <v>0</v>
      </c>
      <c r="CZ50" s="76" t="n">
        <f aca="false">IF($CV50=0,0,OSTRIP($CW50,$AM50,$BJ50-$B$2,$BG50-$BJ50,$BH50-$BJ50,$B$10,$BE50,$AJ50,$AK50,$H$23,$AN50,$DA$34,0))</f>
        <v>0</v>
      </c>
      <c r="DA50" s="76" t="n">
        <f aca="false">IF($CV50=0,0,OSTRIP($CW50,$AM50,$BJ50-$B$2,$BG50-$BJ50,$BH50-$BJ50,$B$10,$BE50,$AJ50,$AK50,$H$23,$AN50,$DA$34,1))</f>
        <v>0</v>
      </c>
      <c r="DB50" s="76" t="n">
        <f aca="false">IF($CV50=0,0,OSTRIP($CW50,$AM50,$BJ50-$B$2,$BG50-$BJ50,$BH50-$BJ50,$B$10,$BE50,$AJ50,$AK50,$H$23,$AN50,$DA$34,DA$35))</f>
        <v>0</v>
      </c>
      <c r="DC50" s="37" t="n">
        <f aca="false">CV50*CZ50</f>
        <v>0</v>
      </c>
      <c r="DD50" s="37" t="n">
        <f aca="false">CV50*DA50</f>
        <v>0</v>
      </c>
      <c r="DE50" s="37" t="n">
        <f aca="false">CV50*DB50</f>
        <v>0</v>
      </c>
      <c r="DF50" s="37" t="n">
        <f aca="false">CV50*AK50</f>
        <v>0</v>
      </c>
    </row>
    <row r="51" customFormat="false" ht="12.75" hidden="false" customHeight="false" outlineLevel="0" collapsed="false">
      <c r="A51" s="62" t="n">
        <f aca="false">DATE(YEAR(A50),MONTH(A50)+1,1)</f>
        <v>37653</v>
      </c>
      <c r="B51" s="63" t="n">
        <f aca="false">VLOOKUP(A51,STRADDLE,5,FALSE())</f>
        <v>3.337</v>
      </c>
      <c r="C51" s="4" t="n">
        <f aca="false">VLOOKUP(A51,STRADDLE,8,FALSE())</f>
        <v>0.5125</v>
      </c>
      <c r="D51" s="63" t="n">
        <f aca="false">IF(D$35="nymex",0,VLOOKUP($A51,curvesettle,HLOOKUP(D$35,curvesettle,2,FALSE())))</f>
        <v>1.06</v>
      </c>
      <c r="E51" s="65" t="n">
        <f aca="false">IF(ISNUMBER(VLOOKUP($A51,VOLCURVES,HLOOKUP(D$35,VOLCURVES,2,FALSE()),FALSE())),VLOOKUP($A51,VOLCURVES,HLOOKUP(D$35,VOLCURVES,2,FALSE()),FALSE()),1)</f>
        <v>1.1</v>
      </c>
      <c r="F51" s="4" t="n">
        <v>0</v>
      </c>
      <c r="G51" s="65" t="n">
        <f aca="false">VLOOKUP($A51,GASDVOLCURVES,HLOOKUP(D$36,GASDVOLCURVES,2,FALSE()),FALSE())+$B$18</f>
        <v>1.18</v>
      </c>
      <c r="H51" s="4" t="n">
        <f aca="false">IF($B$20=1,VLOOKUP($A51,skewtable,HLOOKUP(ROUND(I51-BM51,1),skewtable,2,FALSE()),FALSE())/100,0)</f>
        <v>0</v>
      </c>
      <c r="I51" s="66" t="e">
        <f aca="false">IF($B$10=1,($BM51*$B$23)-$B$14,$B$22)</f>
        <v>#DIV/0!</v>
      </c>
      <c r="J51" s="67" t="e">
        <f aca="false">I51-BM51+$B$24</f>
        <v>#DIV/0!</v>
      </c>
      <c r="K51" s="67" t="n">
        <v>-0.2</v>
      </c>
      <c r="L51" s="183"/>
      <c r="M51" s="183"/>
      <c r="N51" s="63" t="n">
        <f aca="false">IF(N$35="nymex",0,VLOOKUP($A51,curvesettle,HLOOKUP(N$35,curvesettle,2,FALSE())))</f>
        <v>-0.035</v>
      </c>
      <c r="O51" s="65" t="n">
        <f aca="false">IF(ISNUMBER(VLOOKUP($A51,VOLCURVES,HLOOKUP(N$35,VOLCURVES,2,FALSE()),FALSE())),VLOOKUP($A51,VOLCURVES,HLOOKUP(N$35,VOLCURVES,2,FALSE()),FALSE()),1)</f>
        <v>1</v>
      </c>
      <c r="P51" s="184" t="n">
        <f aca="false">(($C51+R51)*O51)+$D$17</f>
        <v>0.5125</v>
      </c>
      <c r="Q51" s="65" t="n">
        <f aca="false">VLOOKUP($A51,GASDVOLCURVES,HLOOKUP(N$36,GASDVOLCURVES,2,FALSE()),FALSE())+$D$18</f>
        <v>1.18</v>
      </c>
      <c r="R51" s="4" t="n">
        <f aca="false">IF($D$20=1,VLOOKUP($A51,skewtable,HLOOKUP(ROUND(S51-BY51,1),skewtable,2,FALSE()),FALSE())/100,0)</f>
        <v>0</v>
      </c>
      <c r="S51" s="66" t="e">
        <f aca="false">IF(B$10=1,($BY51*$D$23)-$D$14,$D$22)</f>
        <v>#DIV/0!</v>
      </c>
      <c r="T51" s="67" t="e">
        <f aca="false">S51-$BY51+$D$24</f>
        <v>#DIV/0!</v>
      </c>
      <c r="U51" s="0"/>
      <c r="V51" s="0"/>
      <c r="W51" s="0"/>
      <c r="X51" s="63" t="n">
        <f aca="false">IF(X$35="nymex",0,VLOOKUP($A51,curvesettle,HLOOKUP(X$35,curvesettle,2,FALSE())))</f>
        <v>0.02</v>
      </c>
      <c r="Y51" s="65" t="n">
        <f aca="false">IF(ISNUMBER(VLOOKUP($A51,VOLCURVES,HLOOKUP(X$35,VOLCURVES,2,FALSE()),FALSE())),VLOOKUP($A51,VOLCURVES,HLOOKUP(X$35,VOLCURVES,2,FALSE()),FALSE()),1)</f>
        <v>1</v>
      </c>
      <c r="Z51" s="184" t="n">
        <f aca="false">(($C51+AB51)*Y51)+$F$17</f>
        <v>0.5125</v>
      </c>
      <c r="AA51" s="65" t="n">
        <f aca="false">VLOOKUP($A51,GASDVOLCURVES,HLOOKUP(X$36,GASDVOLCURVES,2,FALSE()),FALSE())+$F$18</f>
        <v>1.18</v>
      </c>
      <c r="AB51" s="4" t="n">
        <f aca="false">IF($F$20=1,VLOOKUP($A51,skewtable,HLOOKUP(ROUND(AC51-CK51,1),skewtable,2,FALSE()),FALSE())/100,0)</f>
        <v>0</v>
      </c>
      <c r="AC51" s="66" t="e">
        <f aca="false">IF($B$10=1,($CK51*$F$23)-$F$14,$F$22)</f>
        <v>#DIV/0!</v>
      </c>
      <c r="AD51" s="67" t="e">
        <f aca="false">AC51-$CK51+$F$24</f>
        <v>#DIV/0!</v>
      </c>
      <c r="AE51" s="0"/>
      <c r="AF51" s="0"/>
      <c r="AG51" s="0"/>
      <c r="AH51" s="63" t="n">
        <f aca="false">IF(AH$35="nymex",0,VLOOKUP($A51,curvesettle,HLOOKUP(AH$35,curvesettle,2,FALSE())))</f>
        <v>1.88</v>
      </c>
      <c r="AI51" s="65" t="n">
        <f aca="false">IF(ISNUMBER(VLOOKUP($A51,VOLCURVES,HLOOKUP(AH$35,VOLCURVES,2,FALSE()),FALSE())),VLOOKUP($A51,VOLCURVES,HLOOKUP(AH$35,VOLCURVES,2,FALSE()),FALSE()),1)</f>
        <v>1.04</v>
      </c>
      <c r="AJ51" s="184" t="n">
        <f aca="false">(($C51+AL51)*AI51)+$H$17</f>
        <v>0.533</v>
      </c>
      <c r="AK51" s="65" t="n">
        <f aca="false">VLOOKUP($A51,GASDVOLCURVES,HLOOKUP(AH$36,GASDVOLCURVES,2,FALSE()),FALSE())+$H$18</f>
        <v>2.83</v>
      </c>
      <c r="AL51" s="4" t="n">
        <f aca="false">IF($H$20=1,VLOOKUP($A51,skewtable,HLOOKUP(ROUND(AM51-CW51,1),skewtable,2,FALSE()),FALSE())/100,0)</f>
        <v>0</v>
      </c>
      <c r="AM51" s="66" t="e">
        <f aca="false">IF($B$10=1,($CW51*$H$23)-$H$14,$H$22)</f>
        <v>#DIV/0!</v>
      </c>
      <c r="AN51" s="67" t="e">
        <f aca="false">AM51-CW51+$H$24</f>
        <v>#DIV/0!</v>
      </c>
      <c r="AO51" s="0"/>
      <c r="AP51" s="0"/>
      <c r="AQ51" s="183"/>
      <c r="AR51" s="183"/>
      <c r="AU51" s="0"/>
      <c r="AV51" s="0"/>
      <c r="AW51" s="0"/>
      <c r="AX51" s="0"/>
      <c r="AY51" s="0"/>
      <c r="AZ51" s="0"/>
      <c r="BA51" s="0"/>
      <c r="BC51" s="64"/>
      <c r="BD51" s="64"/>
      <c r="BE51" s="4" t="n">
        <f aca="false">VLOOKUP($A51,STRADDLE,14,FALSE())</f>
        <v>0.0245876750219147</v>
      </c>
      <c r="BF51" s="72" t="n">
        <f aca="false">A52-A51</f>
        <v>28</v>
      </c>
      <c r="BG51" s="179" t="n">
        <f aca="false">A51+BG$35</f>
        <v>37653</v>
      </c>
      <c r="BH51" s="179" t="n">
        <f aca="false">A52-1</f>
        <v>37680</v>
      </c>
      <c r="BJ51" s="179" t="n">
        <f aca="true">IF(BJ$35=0,TODAY(),IF(BJ$36="NYMEX",VLOOKUP($A51,expiration,2,FALSE())+1,BG51))</f>
        <v>37651</v>
      </c>
      <c r="BK51" s="73"/>
      <c r="BL51" s="73" t="n">
        <f aca="false">IF($A51&gt;=BM$32,IF($A51&lt;=BM$33,$BF51,0),0)</f>
        <v>0</v>
      </c>
      <c r="BM51" s="73" t="e">
        <f aca="false">BO51/BL51</f>
        <v>#DIV/0!</v>
      </c>
      <c r="BN51" s="1" t="n">
        <f aca="false">BL51*($B51+B$15)</f>
        <v>0</v>
      </c>
      <c r="BO51" s="47" t="n">
        <f aca="false">IF(ISNUMBER(((BN51/BL51)+B$16+$D51+$B$14)*BL51),((BN51/BL51)+B$16+$D51+$B$14)*BL51,0)</f>
        <v>0</v>
      </c>
      <c r="BP51" s="76" t="n">
        <f aca="false">IF($BL51=0,0,OSTRIP($BM51,$I51,$BJ51-$B$2,$BG51-$BJ51,$BH51-$BJ51,$B$10,$BE51,$F51,$G51,$B$23,$J51,$BQ$34,0))</f>
        <v>0</v>
      </c>
      <c r="BQ51" s="76" t="n">
        <f aca="false">IF($BL51=0,0,OSTRIP($BM51,$I51,$BJ51-$B$2,$BG51-$BJ51,$BH51-$BJ51,$B$10,$BE51,$F51,$G51,$B$23,$J51,$BQ$34,1))</f>
        <v>0</v>
      </c>
      <c r="BR51" s="76" t="n">
        <f aca="false">IF($BL51=0,0,OSTRIP($BM51,$I51,$BJ51-$B$2,$BG51-$BJ51,$BH51-$BJ51,$B$10,$BE51,$F51,$G51,$B$23,$J51,$BQ$34,BQ$35))</f>
        <v>0</v>
      </c>
      <c r="BS51" s="37" t="n">
        <f aca="false">BL51*BP51</f>
        <v>0</v>
      </c>
      <c r="BT51" s="37" t="n">
        <f aca="false">BL51*BQ51</f>
        <v>0</v>
      </c>
      <c r="BU51" s="37" t="n">
        <f aca="false">BL51*BR51</f>
        <v>0</v>
      </c>
      <c r="BV51" s="37" t="n">
        <f aca="false">BL51*G51</f>
        <v>0</v>
      </c>
      <c r="BX51" s="73" t="n">
        <f aca="false">IF($A51&gt;=BY$32,IF($A51&lt;=BY$33,$BF51,0),0)</f>
        <v>0</v>
      </c>
      <c r="BY51" s="186" t="e">
        <f aca="false">CA51/BX51</f>
        <v>#DIV/0!</v>
      </c>
      <c r="BZ51" s="1" t="n">
        <f aca="false">BX51*($B51+$D$15)</f>
        <v>0</v>
      </c>
      <c r="CA51" s="47" t="n">
        <f aca="false">IF(ISNUMBER(((BZ51/BX51)+$D$16+$N51+$D$14)*BX51),((BZ51/BX51)+$D$16+$N51+$D$14)*BX51,0)</f>
        <v>0</v>
      </c>
      <c r="CB51" s="76" t="n">
        <f aca="false">IF($BX51=0,0,OSTRIP($BY51,$S51,$BJ51-$B$2,$BG51-$BJ51,$BH51-$BJ51,$B$10,$BE51,$P51,$Q51,$D$23,$T51,$CC$34,0))</f>
        <v>0</v>
      </c>
      <c r="CC51" s="76" t="n">
        <f aca="false">IF($BX51=0,0,OSTRIP($BY51,$S51,$BJ51-$B$2,$BG51-$BJ51,$BH51-$BJ51,$B$10,$BE51,$P51,$Q51,$D$23,$T51,$CC$34,1))</f>
        <v>0</v>
      </c>
      <c r="CD51" s="76" t="n">
        <f aca="false">IF($BX51=0,0,OSTRIP($BY51,$S51,$BJ51-$B$2,$BG51-$BJ51,$BH51-$BJ51,$B$10,$BE51,$P51,$Q51,$D$23,$T51,$CC$34,CC$35))</f>
        <v>0</v>
      </c>
      <c r="CE51" s="37" t="n">
        <f aca="false">BX51*CB51</f>
        <v>0</v>
      </c>
      <c r="CF51" s="37" t="n">
        <f aca="false">BX51*CC51</f>
        <v>0</v>
      </c>
      <c r="CG51" s="37" t="n">
        <f aca="false">BX51*CD51</f>
        <v>0</v>
      </c>
      <c r="CH51" s="37" t="n">
        <f aca="false">BX51*Q51</f>
        <v>0</v>
      </c>
      <c r="CJ51" s="73" t="n">
        <f aca="false">IF($A51&gt;=CK$32,IF($A51&lt;=CK$33,$BF51,0),0)</f>
        <v>0</v>
      </c>
      <c r="CK51" s="186" t="e">
        <f aca="false">CM51/CJ51</f>
        <v>#DIV/0!</v>
      </c>
      <c r="CL51" s="1" t="n">
        <f aca="false">CJ51*($B51+$F$15)</f>
        <v>0</v>
      </c>
      <c r="CM51" s="47" t="n">
        <f aca="false">IF(ISNUMBER(((CL51/CJ51)+$F$16+$X51+$F$14)*CJ51),((CL51/CJ51)+$F$16+$X51+$F$14)*CJ51,0)</f>
        <v>0</v>
      </c>
      <c r="CN51" s="76" t="n">
        <f aca="false">IF($CJ51=0,0,OSTRIP($CK51,$AC51,$BJ51-$B$2,$BG51-$BJ51,$BH51-$BJ51,$B$10,$BE51,$Z51,$AA51,$F$23,$AD51,$CO$34,0))</f>
        <v>0</v>
      </c>
      <c r="CO51" s="76" t="n">
        <f aca="false">IF($CJ51=0,0,OSTRIP($CK51,$AC51,$BJ51-$B$2,$BG51-$BJ51,$BH51-$BJ51,$B$10,$BE51,$Z51,$AA51,$F$23,$AD51,$CO$34,1))</f>
        <v>0</v>
      </c>
      <c r="CP51" s="76" t="n">
        <f aca="false">IF($CJ51=0,0,OSTRIP($CK51,$AC51,$BJ51-$B$2,$BG51-$BJ51,$BH51-$BJ51,$B$10,$BE51,$Z51,$AA51,$F$23,$AD51,$CO$34,$CO$35))</f>
        <v>0</v>
      </c>
      <c r="CQ51" s="37" t="n">
        <f aca="false">CJ51*CN51</f>
        <v>0</v>
      </c>
      <c r="CR51" s="37" t="n">
        <f aca="false">CJ51*CO51</f>
        <v>0</v>
      </c>
      <c r="CS51" s="37" t="n">
        <f aca="false">CJ51*CP51</f>
        <v>0</v>
      </c>
      <c r="CT51" s="37" t="n">
        <f aca="false">CJ51*AA51</f>
        <v>0</v>
      </c>
      <c r="CV51" s="73" t="n">
        <f aca="false">IF($A51&gt;=CW$32,IF($A51&lt;=CW$33,$BF51,0),0)</f>
        <v>0</v>
      </c>
      <c r="CW51" s="186" t="e">
        <f aca="false">CY51/CV51</f>
        <v>#DIV/0!</v>
      </c>
      <c r="CX51" s="1" t="n">
        <f aca="false">CV51*($B51+$H$15)</f>
        <v>0</v>
      </c>
      <c r="CY51" s="47" t="n">
        <f aca="false">IF(ISNUMBER(((CX51/CV51)+$H$16+$AH51+$H$14)*CV51),((CX51/CV51)+$H$16+$AH51+$H$14)*CV51,0)</f>
        <v>0</v>
      </c>
      <c r="CZ51" s="76" t="n">
        <f aca="false">IF($CV51=0,0,OSTRIP($CW51,$AM51,$BJ51-$B$2,$BG51-$BJ51,$BH51-$BJ51,$B$10,$BE51,$AJ51,$AK51,$H$23,$AN51,$DA$34,0))</f>
        <v>0</v>
      </c>
      <c r="DA51" s="76" t="n">
        <f aca="false">IF($CV51=0,0,OSTRIP($CW51,$AM51,$BJ51-$B$2,$BG51-$BJ51,$BH51-$BJ51,$B$10,$BE51,$AJ51,$AK51,$H$23,$AN51,$DA$34,1))</f>
        <v>0</v>
      </c>
      <c r="DB51" s="76" t="n">
        <f aca="false">IF($CV51=0,0,OSTRIP($CW51,$AM51,$BJ51-$B$2,$BG51-$BJ51,$BH51-$BJ51,$B$10,$BE51,$AJ51,$AK51,$H$23,$AN51,$DA$34,DA$35))</f>
        <v>0</v>
      </c>
      <c r="DC51" s="37" t="n">
        <f aca="false">CV51*CZ51</f>
        <v>0</v>
      </c>
      <c r="DD51" s="37" t="n">
        <f aca="false">CV51*DA51</f>
        <v>0</v>
      </c>
      <c r="DE51" s="37" t="n">
        <f aca="false">CV51*DB51</f>
        <v>0</v>
      </c>
      <c r="DF51" s="37" t="n">
        <f aca="false">CV51*AK51</f>
        <v>0</v>
      </c>
    </row>
    <row r="52" customFormat="false" ht="12.75" hidden="false" customHeight="false" outlineLevel="0" collapsed="false">
      <c r="A52" s="62" t="n">
        <f aca="false">DATE(YEAR(A51),MONTH(A51)+1,1)</f>
        <v>37681</v>
      </c>
      <c r="B52" s="63" t="n">
        <f aca="false">VLOOKUP(A52,STRADDLE,5,FALSE())</f>
        <v>3.247</v>
      </c>
      <c r="C52" s="4" t="n">
        <f aca="false">VLOOKUP(A52,STRADDLE,8,FALSE())</f>
        <v>0.4775</v>
      </c>
      <c r="D52" s="63" t="n">
        <f aca="false">IF(D$35="nymex",0,VLOOKUP($A52,curvesettle,HLOOKUP(D$35,curvesettle,2,FALSE())))</f>
        <v>0.545</v>
      </c>
      <c r="E52" s="65" t="n">
        <f aca="false">IF(ISNUMBER(VLOOKUP($A52,VOLCURVES,HLOOKUP(D$35,VOLCURVES,2,FALSE()),FALSE())),VLOOKUP($A52,VOLCURVES,HLOOKUP(D$35,VOLCURVES,2,FALSE()),FALSE()),1)</f>
        <v>1.1</v>
      </c>
      <c r="F52" s="4" t="n">
        <f aca="false">(($C52+H52)*$E52)+B$17</f>
        <v>0.62525</v>
      </c>
      <c r="G52" s="65" t="n">
        <f aca="false">VLOOKUP($A52,GASDVOLCURVES,HLOOKUP(D$36,GASDVOLCURVES,2,FALSE()),FALSE())+$B$18</f>
        <v>0.93</v>
      </c>
      <c r="H52" s="4" t="n">
        <f aca="false">IF($B$20=1,VLOOKUP($A52,skewtable,HLOOKUP(ROUND(I52-BM52,1),skewtable,2,FALSE()),FALSE())/100,0)</f>
        <v>0</v>
      </c>
      <c r="I52" s="66" t="e">
        <f aca="false">IF($B$10=1,($BM52*$B$23)-$B$14,$B$22)</f>
        <v>#DIV/0!</v>
      </c>
      <c r="J52" s="67" t="e">
        <f aca="false">I52-BM52+$B$24</f>
        <v>#DIV/0!</v>
      </c>
      <c r="K52" s="67" t="n">
        <v>-0.2</v>
      </c>
      <c r="L52" s="183"/>
      <c r="M52" s="183"/>
      <c r="N52" s="63" t="n">
        <f aca="false">IF(N$35="nymex",0,VLOOKUP($A52,curvesettle,HLOOKUP(N$35,curvesettle,2,FALSE())))</f>
        <v>-0.0225</v>
      </c>
      <c r="O52" s="65" t="n">
        <f aca="false">IF(ISNUMBER(VLOOKUP($A52,VOLCURVES,HLOOKUP(N$35,VOLCURVES,2,FALSE()),FALSE())),VLOOKUP($A52,VOLCURVES,HLOOKUP(N$35,VOLCURVES,2,FALSE()),FALSE()),1)</f>
        <v>1</v>
      </c>
      <c r="P52" s="184" t="n">
        <f aca="false">(($C52+R52)*O52)+$D$17</f>
        <v>0.4775</v>
      </c>
      <c r="Q52" s="65" t="n">
        <f aca="false">VLOOKUP($A52,GASDVOLCURVES,HLOOKUP(N$36,GASDVOLCURVES,2,FALSE()),FALSE())+$D$18</f>
        <v>0.93</v>
      </c>
      <c r="R52" s="4" t="n">
        <f aca="false">IF($D$20=1,VLOOKUP($A52,skewtable,HLOOKUP(ROUND(S52-BY52,1),skewtable,2,FALSE()),FALSE())/100,0)</f>
        <v>0</v>
      </c>
      <c r="S52" s="66" t="e">
        <f aca="false">IF(B$10=1,($BY52*$D$23)-$D$14,$D$22)</f>
        <v>#DIV/0!</v>
      </c>
      <c r="T52" s="67" t="e">
        <f aca="false">S52-$BY52+$D$24</f>
        <v>#DIV/0!</v>
      </c>
      <c r="U52" s="0"/>
      <c r="V52" s="0"/>
      <c r="W52" s="0"/>
      <c r="X52" s="63" t="n">
        <f aca="false">IF(X$35="nymex",0,VLOOKUP($A52,curvesettle,HLOOKUP(X$35,curvesettle,2,FALSE())))</f>
        <v>0.02</v>
      </c>
      <c r="Y52" s="65" t="n">
        <f aca="false">IF(ISNUMBER(VLOOKUP($A52,VOLCURVES,HLOOKUP(X$35,VOLCURVES,2,FALSE()),FALSE())),VLOOKUP($A52,VOLCURVES,HLOOKUP(X$35,VOLCURVES,2,FALSE()),FALSE()),1)</f>
        <v>1</v>
      </c>
      <c r="Z52" s="184" t="n">
        <f aca="false">(($C52+AB52)*Y52)+$F$17</f>
        <v>0.4775</v>
      </c>
      <c r="AA52" s="65" t="n">
        <f aca="false">VLOOKUP($A52,GASDVOLCURVES,HLOOKUP(X$36,GASDVOLCURVES,2,FALSE()),FALSE())+$F$18</f>
        <v>0.93</v>
      </c>
      <c r="AB52" s="4" t="n">
        <f aca="false">IF($F$20=1,VLOOKUP($A52,skewtable,HLOOKUP(ROUND(AC52-CK52,1),skewtable,2,FALSE()),FALSE())/100,0)</f>
        <v>0</v>
      </c>
      <c r="AC52" s="66" t="e">
        <f aca="false">IF($B$10=1,($CK52*$F$23)-$F$14,$F$22)</f>
        <v>#DIV/0!</v>
      </c>
      <c r="AD52" s="67" t="e">
        <f aca="false">AC52-$CK52+$F$24</f>
        <v>#DIV/0!</v>
      </c>
      <c r="AE52" s="0"/>
      <c r="AF52" s="0"/>
      <c r="AG52" s="0"/>
      <c r="AH52" s="63" t="n">
        <f aca="false">IF(AH$35="nymex",0,VLOOKUP($A52,curvesettle,HLOOKUP(AH$35,curvesettle,2,FALSE())))</f>
        <v>0.65</v>
      </c>
      <c r="AI52" s="65" t="n">
        <f aca="false">IF(ISNUMBER(VLOOKUP($A52,VOLCURVES,HLOOKUP(AH$35,VOLCURVES,2,FALSE()),FALSE())),VLOOKUP($A52,VOLCURVES,HLOOKUP(AH$35,VOLCURVES,2,FALSE()),FALSE()),1)</f>
        <v>1.04</v>
      </c>
      <c r="AJ52" s="184" t="n">
        <f aca="false">(($C52+AL52)*AI52)+$H$17</f>
        <v>0.4966</v>
      </c>
      <c r="AK52" s="65" t="n">
        <f aca="false">VLOOKUP($A52,GASDVOLCURVES,HLOOKUP(AH$36,GASDVOLCURVES,2,FALSE()),FALSE())+$H$18</f>
        <v>2.38</v>
      </c>
      <c r="AL52" s="4" t="n">
        <f aca="false">IF($H$20=1,VLOOKUP($A52,skewtable,HLOOKUP(ROUND(AM52-CW52,1),skewtable,2,FALSE()),FALSE())/100,0)</f>
        <v>0</v>
      </c>
      <c r="AM52" s="66" t="e">
        <f aca="false">IF($B$10=1,($CW52*$H$23)-$H$14,$H$22)</f>
        <v>#DIV/0!</v>
      </c>
      <c r="AN52" s="67" t="e">
        <f aca="false">AM52-CW52+$H$24</f>
        <v>#DIV/0!</v>
      </c>
      <c r="AO52" s="0"/>
      <c r="AP52" s="0"/>
      <c r="AQ52" s="183"/>
      <c r="AR52" s="183"/>
      <c r="AU52" s="0"/>
      <c r="AV52" s="0"/>
      <c r="AW52" s="0"/>
      <c r="AX52" s="0"/>
      <c r="AY52" s="0"/>
      <c r="AZ52" s="0"/>
      <c r="BA52" s="0"/>
      <c r="BC52" s="64"/>
      <c r="BD52" s="64"/>
      <c r="BE52" s="4" t="n">
        <f aca="false">VLOOKUP($A52,STRADDLE,14,FALSE())</f>
        <v>0.0254186359797437</v>
      </c>
      <c r="BF52" s="72" t="n">
        <f aca="false">A53-A52</f>
        <v>31</v>
      </c>
      <c r="BG52" s="179" t="n">
        <f aca="false">A52+BG$35</f>
        <v>37681</v>
      </c>
      <c r="BH52" s="179" t="n">
        <f aca="false">A53-1</f>
        <v>37711</v>
      </c>
      <c r="BJ52" s="179" t="n">
        <f aca="true">IF(BJ$35=0,TODAY(),IF(BJ$36="NYMEX",VLOOKUP($A52,expiration,2,FALSE())+1,BG52))</f>
        <v>37679</v>
      </c>
      <c r="BK52" s="73"/>
      <c r="BL52" s="73" t="n">
        <f aca="false">IF($A52&gt;=BM$32,IF($A52&lt;=BM$33,$BF52,0),0)</f>
        <v>0</v>
      </c>
      <c r="BM52" s="73" t="e">
        <f aca="false">BO52/BL52</f>
        <v>#DIV/0!</v>
      </c>
      <c r="BN52" s="1" t="n">
        <f aca="false">BL52*($B52+B$15)</f>
        <v>0</v>
      </c>
      <c r="BO52" s="47" t="n">
        <f aca="false">IF(ISNUMBER(((BN52/BL52)+B$16+$D52+$B$14)*BL52),((BN52/BL52)+B$16+$D52+$B$14)*BL52,0)</f>
        <v>0</v>
      </c>
      <c r="BP52" s="76" t="n">
        <f aca="false">IF($BL52=0,0,OSTRIP($BM52,$I52,$BJ52-$B$2,$BG52-$BJ52,$BH52-$BJ52,$B$10,$BE52,$F52,$G52,$B$23,$J52,$BQ$34,0))</f>
        <v>0</v>
      </c>
      <c r="BQ52" s="76" t="n">
        <f aca="false">IF($BL52=0,0,OSTRIP($BM52,$I52,$BJ52-$B$2,$BG52-$BJ52,$BH52-$BJ52,$B$10,$BE52,$F52,$G52,$B$23,$J52,$BQ$34,1))</f>
        <v>0</v>
      </c>
      <c r="BR52" s="76" t="n">
        <f aca="false">IF($BL52=0,0,OSTRIP($BM52,$I52,$BJ52-$B$2,$BG52-$BJ52,$BH52-$BJ52,$B$10,$BE52,$F52,$G52,$B$23,$J52,$BQ$34,BQ$35))</f>
        <v>0</v>
      </c>
      <c r="BS52" s="37" t="n">
        <f aca="false">BL52*BP52</f>
        <v>0</v>
      </c>
      <c r="BT52" s="37" t="n">
        <f aca="false">BL52*BQ52</f>
        <v>0</v>
      </c>
      <c r="BU52" s="37" t="n">
        <f aca="false">BL52*BR52</f>
        <v>0</v>
      </c>
      <c r="BV52" s="37" t="n">
        <f aca="false">BL52*G52</f>
        <v>0</v>
      </c>
      <c r="BX52" s="73" t="n">
        <f aca="false">IF($A52&gt;=BY$32,IF($A52&lt;=BY$33,$BF52,0),0)</f>
        <v>0</v>
      </c>
      <c r="BY52" s="186" t="e">
        <f aca="false">CA52/BX52</f>
        <v>#DIV/0!</v>
      </c>
      <c r="BZ52" s="1" t="n">
        <f aca="false">BX52*($B52+$D$15)</f>
        <v>0</v>
      </c>
      <c r="CA52" s="47" t="n">
        <f aca="false">IF(ISNUMBER(((BZ52/BX52)+$D$16+$N52+$D$14)*BX52),((BZ52/BX52)+$D$16+$N52+$D$14)*BX52,0)</f>
        <v>0</v>
      </c>
      <c r="CB52" s="76" t="n">
        <f aca="false">IF($BX52=0,0,OSTRIP($BY52,$S52,$BJ52-$B$2,$BG52-$BJ52,$BH52-$BJ52,$B$10,$BE52,$P52,$Q52,$D$23,$T52,$CC$34,0))</f>
        <v>0</v>
      </c>
      <c r="CC52" s="76" t="n">
        <f aca="false">IF($BX52=0,0,OSTRIP($BY52,$S52,$BJ52-$B$2,$BG52-$BJ52,$BH52-$BJ52,$B$10,$BE52,$P52,$Q52,$D$23,$T52,$CC$34,1))</f>
        <v>0</v>
      </c>
      <c r="CD52" s="76" t="n">
        <f aca="false">IF($BX52=0,0,OSTRIP($BY52,$S52,$BJ52-$B$2,$BG52-$BJ52,$BH52-$BJ52,$B$10,$BE52,$P52,$Q52,$D$23,$T52,$CC$34,CC$35))</f>
        <v>0</v>
      </c>
      <c r="CE52" s="37" t="n">
        <f aca="false">BX52*CB52</f>
        <v>0</v>
      </c>
      <c r="CF52" s="37" t="n">
        <f aca="false">BX52*CC52</f>
        <v>0</v>
      </c>
      <c r="CG52" s="37" t="n">
        <f aca="false">BX52*CD52</f>
        <v>0</v>
      </c>
      <c r="CH52" s="37" t="n">
        <f aca="false">BX52*Q52</f>
        <v>0</v>
      </c>
      <c r="CJ52" s="73" t="n">
        <f aca="false">IF($A52&gt;=CK$32,IF($A52&lt;=CK$33,$BF52,0),0)</f>
        <v>0</v>
      </c>
      <c r="CK52" s="186" t="e">
        <f aca="false">CM52/CJ52</f>
        <v>#DIV/0!</v>
      </c>
      <c r="CL52" s="1" t="n">
        <f aca="false">CJ52*($B52+$F$15)</f>
        <v>0</v>
      </c>
      <c r="CM52" s="47" t="n">
        <f aca="false">IF(ISNUMBER(((CL52/CJ52)+$F$16+$X52+$F$14)*CJ52),((CL52/CJ52)+$F$16+$X52+$F$14)*CJ52,0)</f>
        <v>0</v>
      </c>
      <c r="CN52" s="76" t="n">
        <f aca="false">IF($CJ52=0,0,OSTRIP($CK52,$AC52,$BJ52-$B$2,$BG52-$BJ52,$BH52-$BJ52,$B$10,$BE52,$Z52,$AA52,$F$23,$AD52,$CO$34,0))</f>
        <v>0</v>
      </c>
      <c r="CO52" s="76" t="n">
        <f aca="false">IF($CJ52=0,0,OSTRIP($CK52,$AC52,$BJ52-$B$2,$BG52-$BJ52,$BH52-$BJ52,$B$10,$BE52,$Z52,$AA52,$F$23,$AD52,$CO$34,1))</f>
        <v>0</v>
      </c>
      <c r="CP52" s="76" t="n">
        <f aca="false">IF($CJ52=0,0,OSTRIP($CK52,$AC52,$BJ52-$B$2,$BG52-$BJ52,$BH52-$BJ52,$B$10,$BE52,$Z52,$AA52,$F$23,$AD52,$CO$34,$CO$35))</f>
        <v>0</v>
      </c>
      <c r="CQ52" s="37" t="n">
        <f aca="false">CJ52*CN52</f>
        <v>0</v>
      </c>
      <c r="CR52" s="37" t="n">
        <f aca="false">CJ52*CO52</f>
        <v>0</v>
      </c>
      <c r="CS52" s="37" t="n">
        <f aca="false">CJ52*CP52</f>
        <v>0</v>
      </c>
      <c r="CT52" s="37" t="n">
        <f aca="false">CJ52*AA52</f>
        <v>0</v>
      </c>
      <c r="CV52" s="73" t="n">
        <f aca="false">IF($A52&gt;=CW$32,IF($A52&lt;=CW$33,$BF52,0),0)</f>
        <v>0</v>
      </c>
      <c r="CW52" s="186" t="e">
        <f aca="false">CY52/CV52</f>
        <v>#DIV/0!</v>
      </c>
      <c r="CX52" s="1" t="n">
        <f aca="false">CV52*($B52+$H$15)</f>
        <v>0</v>
      </c>
      <c r="CY52" s="47" t="n">
        <f aca="false">IF(ISNUMBER(((CX52/CV52)+$H$16+$AH52+$H$14)*CV52),((CX52/CV52)+$H$16+$AH52+$H$14)*CV52,0)</f>
        <v>0</v>
      </c>
      <c r="CZ52" s="76" t="n">
        <f aca="false">IF($CV52=0,0,OSTRIP($CW52,$AM52,$BJ52-$B$2,$BG52-$BJ52,$BH52-$BJ52,$B$10,$BE52,$AJ52,$AK52,$H$23,$AN52,$DA$34,0))</f>
        <v>0</v>
      </c>
      <c r="DA52" s="76" t="n">
        <f aca="false">IF($CV52=0,0,OSTRIP($CW52,$AM52,$BJ52-$B$2,$BG52-$BJ52,$BH52-$BJ52,$B$10,$BE52,$AJ52,$AK52,$H$23,$AN52,$DA$34,1))</f>
        <v>0</v>
      </c>
      <c r="DB52" s="76" t="n">
        <f aca="false">IF($CV52=0,0,OSTRIP($CW52,$AM52,$BJ52-$B$2,$BG52-$BJ52,$BH52-$BJ52,$B$10,$BE52,$AJ52,$AK52,$H$23,$AN52,$DA$34,DA$35))</f>
        <v>0</v>
      </c>
      <c r="DC52" s="37" t="n">
        <f aca="false">CV52*CZ52</f>
        <v>0</v>
      </c>
      <c r="DD52" s="37" t="n">
        <f aca="false">CV52*DA52</f>
        <v>0</v>
      </c>
      <c r="DE52" s="37" t="n">
        <f aca="false">CV52*DB52</f>
        <v>0</v>
      </c>
      <c r="DF52" s="37" t="n">
        <f aca="false">CV52*AK52</f>
        <v>0</v>
      </c>
    </row>
    <row r="53" customFormat="false" ht="12.75" hidden="false" customHeight="false" outlineLevel="0" collapsed="false">
      <c r="A53" s="62" t="n">
        <f aca="false">DATE(YEAR(A52),MONTH(A52)+1,1)</f>
        <v>37712</v>
      </c>
      <c r="B53" s="63" t="n">
        <f aca="false">VLOOKUP(A53,STRADDLE,5,FALSE())</f>
        <v>3.092</v>
      </c>
      <c r="C53" s="4" t="n">
        <f aca="false">VLOOKUP(A53,STRADDLE,8,FALSE())</f>
        <v>0.3875</v>
      </c>
      <c r="D53" s="63" t="n">
        <f aca="false">IF(D$35="nymex",0,VLOOKUP($A53,curvesettle,HLOOKUP(D$35,curvesettle,2,FALSE())))</f>
        <v>0.36</v>
      </c>
      <c r="E53" s="65" t="n">
        <f aca="false">IF(ISNUMBER(VLOOKUP($A53,VOLCURVES,HLOOKUP(D$35,VOLCURVES,2,FALSE()),FALSE())),VLOOKUP($A53,VOLCURVES,HLOOKUP(D$35,VOLCURVES,2,FALSE()),FALSE()),1)</f>
        <v>0.98</v>
      </c>
      <c r="F53" s="4" t="n">
        <f aca="false">(($C53+H53)*$E53)+B$17</f>
        <v>0.47975</v>
      </c>
      <c r="G53" s="65" t="n">
        <f aca="false">VLOOKUP($A53,GASDVOLCURVES,HLOOKUP(D$36,GASDVOLCURVES,2,FALSE()),FALSE())+$B$18</f>
        <v>0.53</v>
      </c>
      <c r="H53" s="4" t="n">
        <f aca="false">IF($B$20=1,VLOOKUP($A53,skewtable,HLOOKUP(ROUND(I53-BM53,1),skewtable,2,FALSE()),FALSE())/100,0)</f>
        <v>0</v>
      </c>
      <c r="I53" s="66" t="e">
        <f aca="false">IF($B$10=1,($BM53*$B$23)-$B$14,$B$22)</f>
        <v>#DIV/0!</v>
      </c>
      <c r="J53" s="67" t="e">
        <f aca="false">I53-BM53+$B$24</f>
        <v>#DIV/0!</v>
      </c>
      <c r="K53" s="67" t="n">
        <v>-0.2</v>
      </c>
      <c r="L53" s="183"/>
      <c r="M53" s="183"/>
      <c r="N53" s="63" t="n">
        <f aca="false">IF(N$35="nymex",0,VLOOKUP($A53,curvesettle,HLOOKUP(N$35,curvesettle,2,FALSE())))</f>
        <v>0.03</v>
      </c>
      <c r="O53" s="65" t="n">
        <f aca="false">IF(ISNUMBER(VLOOKUP($A53,VOLCURVES,HLOOKUP(N$35,VOLCURVES,2,FALSE()),FALSE())),VLOOKUP($A53,VOLCURVES,HLOOKUP(N$35,VOLCURVES,2,FALSE()),FALSE()),1)</f>
        <v>1</v>
      </c>
      <c r="P53" s="184" t="n">
        <f aca="false">(($C53+R53)*O53)+$D$17</f>
        <v>0.3875</v>
      </c>
      <c r="Q53" s="65" t="n">
        <f aca="false">VLOOKUP($A53,GASDVOLCURVES,HLOOKUP(N$36,GASDVOLCURVES,2,FALSE()),FALSE())+$D$18</f>
        <v>0.53</v>
      </c>
      <c r="R53" s="4" t="n">
        <f aca="false">IF($D$20=1,VLOOKUP($A53,skewtable,HLOOKUP(ROUND(S53-BY53,1),skewtable,2,FALSE()),FALSE())/100,0)</f>
        <v>0</v>
      </c>
      <c r="S53" s="66" t="e">
        <f aca="false">IF(B$10=1,($BY53*$D$23)-$D$14,$D$22)</f>
        <v>#DIV/0!</v>
      </c>
      <c r="T53" s="67" t="e">
        <f aca="false">S53-$BY53+$D$24</f>
        <v>#DIV/0!</v>
      </c>
      <c r="U53" s="0"/>
      <c r="V53" s="0"/>
      <c r="W53" s="0"/>
      <c r="X53" s="63" t="n">
        <f aca="false">IF(X$35="nymex",0,VLOOKUP($A53,curvesettle,HLOOKUP(X$35,curvesettle,2,FALSE())))</f>
        <v>0.14</v>
      </c>
      <c r="Y53" s="65" t="n">
        <f aca="false">IF(ISNUMBER(VLOOKUP($A53,VOLCURVES,HLOOKUP(X$35,VOLCURVES,2,FALSE()),FALSE())),VLOOKUP($A53,VOLCURVES,HLOOKUP(X$35,VOLCURVES,2,FALSE()),FALSE()),1)</f>
        <v>1</v>
      </c>
      <c r="Z53" s="184" t="n">
        <f aca="false">(($C53+AB53)*Y53)+$F$17</f>
        <v>0.3875</v>
      </c>
      <c r="AA53" s="65" t="n">
        <f aca="false">VLOOKUP($A53,GASDVOLCURVES,HLOOKUP(X$36,GASDVOLCURVES,2,FALSE()),FALSE())+$F$18</f>
        <v>0.58</v>
      </c>
      <c r="AB53" s="4" t="n">
        <f aca="false">IF($F$20=1,VLOOKUP($A53,skewtable,HLOOKUP(ROUND(AC53-CK53,1),skewtable,2,FALSE()),FALSE())/100,0)</f>
        <v>0</v>
      </c>
      <c r="AC53" s="66" t="e">
        <f aca="false">IF($B$10=1,($CK53*$F$23)-$F$14,$F$22)</f>
        <v>#DIV/0!</v>
      </c>
      <c r="AD53" s="67" t="e">
        <f aca="false">AC53-$CK53+$F$24</f>
        <v>#DIV/0!</v>
      </c>
      <c r="AE53" s="0"/>
      <c r="AF53" s="0"/>
      <c r="AG53" s="0"/>
      <c r="AH53" s="63" t="n">
        <f aca="false">IF(AH$35="nymex",0,VLOOKUP($A53,curvesettle,HLOOKUP(AH$35,curvesettle,2,FALSE())))</f>
        <v>0.38</v>
      </c>
      <c r="AI53" s="65" t="n">
        <f aca="false">IF(ISNUMBER(VLOOKUP($A53,VOLCURVES,HLOOKUP(AH$35,VOLCURVES,2,FALSE()),FALSE())),VLOOKUP($A53,VOLCURVES,HLOOKUP(AH$35,VOLCURVES,2,FALSE()),FALSE()),1)</f>
        <v>1</v>
      </c>
      <c r="AJ53" s="184" t="n">
        <f aca="false">(($C53+AL53)*AI53)+$H$17</f>
        <v>0.3875</v>
      </c>
      <c r="AK53" s="65" t="n">
        <f aca="false">VLOOKUP($A53,GASDVOLCURVES,HLOOKUP(AH$36,GASDVOLCURVES,2,FALSE()),FALSE())+$H$18</f>
        <v>0.98</v>
      </c>
      <c r="AL53" s="4" t="n">
        <f aca="false">IF($H$20=1,VLOOKUP($A53,skewtable,HLOOKUP(ROUND(AM53-CW53,1),skewtable,2,FALSE()),FALSE())/100,0)</f>
        <v>0</v>
      </c>
      <c r="AM53" s="66" t="e">
        <f aca="false">IF($B$10=1,($CW53*$H$23)-$H$14,$H$22)</f>
        <v>#DIV/0!</v>
      </c>
      <c r="AN53" s="67" t="e">
        <f aca="false">AM53-CW53+$H$24</f>
        <v>#DIV/0!</v>
      </c>
      <c r="AO53" s="0"/>
      <c r="AP53" s="0"/>
      <c r="AQ53" s="183"/>
      <c r="AR53" s="183"/>
      <c r="AU53" s="0"/>
      <c r="AV53" s="0"/>
      <c r="AW53" s="0"/>
      <c r="AX53" s="0"/>
      <c r="AY53" s="0"/>
      <c r="AZ53" s="0"/>
      <c r="BA53" s="0"/>
      <c r="BC53" s="64"/>
      <c r="BD53" s="64"/>
      <c r="BE53" s="4" t="n">
        <f aca="false">VLOOKUP($A53,STRADDLE,14,FALSE())</f>
        <v>0.0263622508614558</v>
      </c>
      <c r="BF53" s="72" t="n">
        <f aca="false">A54-A53</f>
        <v>30</v>
      </c>
      <c r="BG53" s="179" t="n">
        <f aca="false">A53+BG$35</f>
        <v>37712</v>
      </c>
      <c r="BH53" s="179" t="n">
        <f aca="false">A54-1</f>
        <v>37741</v>
      </c>
      <c r="BJ53" s="179" t="n">
        <f aca="true">IF(BJ$35=0,TODAY(),IF(BJ$36="NYMEX",VLOOKUP($A53,expiration,2,FALSE())+1,BG53))</f>
        <v>37708</v>
      </c>
      <c r="BK53" s="73"/>
      <c r="BL53" s="73" t="n">
        <f aca="false">IF($A53&gt;=BM$32,IF($A53&lt;=BM$33,$BF53,0),0)</f>
        <v>0</v>
      </c>
      <c r="BM53" s="73" t="e">
        <f aca="false">BO53/BL53</f>
        <v>#DIV/0!</v>
      </c>
      <c r="BN53" s="1" t="n">
        <f aca="false">BL53*($B53+B$15)</f>
        <v>0</v>
      </c>
      <c r="BO53" s="47" t="n">
        <f aca="false">IF(ISNUMBER(((BN53/BL53)+B$16+$D53+$B$14)*BL53),((BN53/BL53)+B$16+$D53+$B$14)*BL53,0)</f>
        <v>0</v>
      </c>
      <c r="BP53" s="76" t="n">
        <f aca="false">IF($BL53=0,0,OSTRIP($BM53,$I53,$BJ53-$B$2,$BG53-$BJ53,$BH53-$BJ53,$B$10,$BE53,$F53,$G53,$B$23,$J53,$BQ$34,0))</f>
        <v>0</v>
      </c>
      <c r="BQ53" s="76" t="n">
        <f aca="false">IF($BL53=0,0,OSTRIP($BM53,$I53,$BJ53-$B$2,$BG53-$BJ53,$BH53-$BJ53,$B$10,$BE53,$F53,$G53,$B$23,$J53,$BQ$34,1))</f>
        <v>0</v>
      </c>
      <c r="BR53" s="76" t="n">
        <f aca="false">IF($BL53=0,0,OSTRIP($BM53,$I53,$BJ53-$B$2,$BG53-$BJ53,$BH53-$BJ53,$B$10,$BE53,$F53,$G53,$B$23,$J53,$BQ$34,BQ$35))</f>
        <v>0</v>
      </c>
      <c r="BS53" s="37" t="n">
        <f aca="false">BL53*BP53</f>
        <v>0</v>
      </c>
      <c r="BT53" s="37" t="n">
        <f aca="false">BL53*BQ53</f>
        <v>0</v>
      </c>
      <c r="BU53" s="37" t="n">
        <f aca="false">BL53*BR53</f>
        <v>0</v>
      </c>
      <c r="BV53" s="37" t="n">
        <f aca="false">BL53*G53</f>
        <v>0</v>
      </c>
      <c r="BX53" s="73" t="n">
        <f aca="false">IF($A53&gt;=BY$32,IF($A53&lt;=BY$33,$BF53,0),0)</f>
        <v>0</v>
      </c>
      <c r="BY53" s="186" t="e">
        <f aca="false">CA53/BX53</f>
        <v>#DIV/0!</v>
      </c>
      <c r="BZ53" s="1" t="n">
        <f aca="false">BX53*($B53+$D$15)</f>
        <v>0</v>
      </c>
      <c r="CA53" s="47" t="n">
        <f aca="false">IF(ISNUMBER(((BZ53/BX53)+$D$16+$N53+$D$14)*BX53),((BZ53/BX53)+$D$16+$N53+$D$14)*BX53,0)</f>
        <v>0</v>
      </c>
      <c r="CB53" s="76" t="n">
        <f aca="false">IF($BX53=0,0,OSTRIP($BY53,$S53,$BJ53-$B$2,$BG53-$BJ53,$BH53-$BJ53,$B$10,$BE53,$P53,$Q53,$D$23,$T53,$CC$34,0))</f>
        <v>0</v>
      </c>
      <c r="CC53" s="76" t="n">
        <f aca="false">IF($BX53=0,0,OSTRIP($BY53,$S53,$BJ53-$B$2,$BG53-$BJ53,$BH53-$BJ53,$B$10,$BE53,$P53,$Q53,$D$23,$T53,$CC$34,1))</f>
        <v>0</v>
      </c>
      <c r="CD53" s="76" t="n">
        <f aca="false">IF($BX53=0,0,OSTRIP($BY53,$S53,$BJ53-$B$2,$BG53-$BJ53,$BH53-$BJ53,$B$10,$BE53,$P53,$Q53,$D$23,$T53,$CC$34,CC$35))</f>
        <v>0</v>
      </c>
      <c r="CE53" s="37" t="n">
        <f aca="false">BX53*CB53</f>
        <v>0</v>
      </c>
      <c r="CF53" s="37" t="n">
        <f aca="false">BX53*CC53</f>
        <v>0</v>
      </c>
      <c r="CG53" s="37" t="n">
        <f aca="false">BX53*CD53</f>
        <v>0</v>
      </c>
      <c r="CH53" s="37" t="n">
        <f aca="false">BX53*Q53</f>
        <v>0</v>
      </c>
      <c r="CJ53" s="73" t="n">
        <f aca="false">IF($A53&gt;=CK$32,IF($A53&lt;=CK$33,$BF53,0),0)</f>
        <v>0</v>
      </c>
      <c r="CK53" s="186" t="e">
        <f aca="false">CM53/CJ53</f>
        <v>#DIV/0!</v>
      </c>
      <c r="CL53" s="1" t="n">
        <f aca="false">CJ53*($B53+$F$15)</f>
        <v>0</v>
      </c>
      <c r="CM53" s="47" t="n">
        <f aca="false">IF(ISNUMBER(((CL53/CJ53)+$F$16+$X53+$F$14)*CJ53),((CL53/CJ53)+$F$16+$X53+$F$14)*CJ53,0)</f>
        <v>0</v>
      </c>
      <c r="CN53" s="76" t="n">
        <f aca="false">IF($CJ53=0,0,OSTRIP($CK53,$AC53,$BJ53-$B$2,$BG53-$BJ53,$BH53-$BJ53,$B$10,$BE53,$Z53,$AA53,$F$23,$AD53,$CO$34,0))</f>
        <v>0</v>
      </c>
      <c r="CO53" s="76" t="n">
        <f aca="false">IF($CJ53=0,0,OSTRIP($CK53,$AC53,$BJ53-$B$2,$BG53-$BJ53,$BH53-$BJ53,$B$10,$BE53,$Z53,$AA53,$F$23,$AD53,$CO$34,1))</f>
        <v>0</v>
      </c>
      <c r="CP53" s="76" t="n">
        <f aca="false">IF($CJ53=0,0,OSTRIP($CK53,$AC53,$BJ53-$B$2,$BG53-$BJ53,$BH53-$BJ53,$B$10,$BE53,$Z53,$AA53,$F$23,$AD53,$CO$34,$CO$35))</f>
        <v>0</v>
      </c>
      <c r="CQ53" s="37" t="n">
        <f aca="false">CJ53*CN53</f>
        <v>0</v>
      </c>
      <c r="CR53" s="37" t="n">
        <f aca="false">CJ53*CO53</f>
        <v>0</v>
      </c>
      <c r="CS53" s="37" t="n">
        <f aca="false">CJ53*CP53</f>
        <v>0</v>
      </c>
      <c r="CT53" s="37" t="n">
        <f aca="false">CJ53*AA53</f>
        <v>0</v>
      </c>
      <c r="CV53" s="73" t="n">
        <f aca="false">IF($A53&gt;=CW$32,IF($A53&lt;=CW$33,$BF53,0),0)</f>
        <v>0</v>
      </c>
      <c r="CW53" s="186" t="e">
        <f aca="false">CY53/CV53</f>
        <v>#DIV/0!</v>
      </c>
      <c r="CX53" s="1" t="n">
        <f aca="false">CV53*($B53+$H$15)</f>
        <v>0</v>
      </c>
      <c r="CY53" s="47" t="n">
        <f aca="false">IF(ISNUMBER(((CX53/CV53)+$H$16+$AH53+$H$14)*CV53),((CX53/CV53)+$H$16+$AH53+$H$14)*CV53,0)</f>
        <v>0</v>
      </c>
      <c r="CZ53" s="76" t="n">
        <f aca="false">IF($CV53=0,0,OSTRIP($CW53,$AM53,$BJ53-$B$2,$BG53-$BJ53,$BH53-$BJ53,$B$10,$BE53,$AJ53,$AK53,$H$23,$AN53,$DA$34,0))</f>
        <v>0</v>
      </c>
      <c r="DA53" s="76" t="n">
        <f aca="false">IF($CV53=0,0,OSTRIP($CW53,$AM53,$BJ53-$B$2,$BG53-$BJ53,$BH53-$BJ53,$B$10,$BE53,$AJ53,$AK53,$H$23,$AN53,$DA$34,1))</f>
        <v>0</v>
      </c>
      <c r="DB53" s="76" t="n">
        <f aca="false">IF($CV53=0,0,OSTRIP($CW53,$AM53,$BJ53-$B$2,$BG53-$BJ53,$BH53-$BJ53,$B$10,$BE53,$AJ53,$AK53,$H$23,$AN53,$DA$34,DA$35))</f>
        <v>0</v>
      </c>
      <c r="DC53" s="37" t="n">
        <f aca="false">CV53*CZ53</f>
        <v>0</v>
      </c>
      <c r="DD53" s="37" t="n">
        <f aca="false">CV53*DA53</f>
        <v>0</v>
      </c>
      <c r="DE53" s="37" t="n">
        <f aca="false">CV53*DB53</f>
        <v>0</v>
      </c>
      <c r="DF53" s="37" t="n">
        <f aca="false">CV53*AK53</f>
        <v>0</v>
      </c>
    </row>
    <row r="54" customFormat="false" ht="12.75" hidden="false" customHeight="false" outlineLevel="0" collapsed="false">
      <c r="A54" s="62" t="n">
        <f aca="false">DATE(YEAR(A53),MONTH(A53)+1,1)</f>
        <v>37742</v>
      </c>
      <c r="B54" s="63" t="n">
        <f aca="false">VLOOKUP(A54,STRADDLE,5,FALSE())</f>
        <v>3.1</v>
      </c>
      <c r="C54" s="4" t="n">
        <f aca="false">VLOOKUP(A54,STRADDLE,8,FALSE())</f>
        <v>0.3725</v>
      </c>
      <c r="D54" s="63" t="n">
        <f aca="false">IF(D$35="nymex",0,VLOOKUP($A54,curvesettle,HLOOKUP(D$35,curvesettle,2,FALSE())))</f>
        <v>0.325</v>
      </c>
      <c r="E54" s="65" t="n">
        <f aca="false">IF(ISNUMBER(VLOOKUP($A54,VOLCURVES,HLOOKUP(D$35,VOLCURVES,2,FALSE()),FALSE())),VLOOKUP($A54,VOLCURVES,HLOOKUP(D$35,VOLCURVES,2,FALSE()),FALSE()),1)</f>
        <v>0.98</v>
      </c>
      <c r="F54" s="4" t="n">
        <f aca="false">(($C54+H54)*$E54)+B$17</f>
        <v>0.46505</v>
      </c>
      <c r="G54" s="65" t="n">
        <f aca="false">VLOOKUP($A54,GASDVOLCURVES,HLOOKUP(D$36,GASDVOLCURVES,2,FALSE()),FALSE())+$B$18</f>
        <v>0.58</v>
      </c>
      <c r="H54" s="4" t="n">
        <f aca="false">IF($B$20=1,VLOOKUP($A54,skewtable,HLOOKUP(ROUND(I54-BM54,1),skewtable,2,FALSE()),FALSE())/100,0)</f>
        <v>0</v>
      </c>
      <c r="I54" s="66" t="e">
        <f aca="false">IF($B$10=1,($BM54*$B$23)-$B$14,$B$22)</f>
        <v>#DIV/0!</v>
      </c>
      <c r="J54" s="67" t="e">
        <f aca="false">I54-BM54+$B$24</f>
        <v>#DIV/0!</v>
      </c>
      <c r="K54" s="67" t="n">
        <v>-0.2</v>
      </c>
      <c r="L54" s="183"/>
      <c r="M54" s="183"/>
      <c r="N54" s="63" t="n">
        <f aca="false">IF(N$35="nymex",0,VLOOKUP($A54,curvesettle,HLOOKUP(N$35,curvesettle,2,FALSE())))</f>
        <v>0.03</v>
      </c>
      <c r="O54" s="65" t="n">
        <f aca="false">IF(ISNUMBER(VLOOKUP($A54,VOLCURVES,HLOOKUP(N$35,VOLCURVES,2,FALSE()),FALSE())),VLOOKUP($A54,VOLCURVES,HLOOKUP(N$35,VOLCURVES,2,FALSE()),FALSE()),1)</f>
        <v>1</v>
      </c>
      <c r="P54" s="184" t="n">
        <f aca="false">(($C54+R54)*O54)+$D$17</f>
        <v>0.3725</v>
      </c>
      <c r="Q54" s="65" t="n">
        <f aca="false">VLOOKUP($A54,GASDVOLCURVES,HLOOKUP(N$36,GASDVOLCURVES,2,FALSE()),FALSE())+$D$18</f>
        <v>0.58</v>
      </c>
      <c r="R54" s="4" t="n">
        <f aca="false">IF($D$20=1,VLOOKUP($A54,skewtable,HLOOKUP(ROUND(S54-BY54,1),skewtable,2,FALSE()),FALSE())/100,0)</f>
        <v>0</v>
      </c>
      <c r="S54" s="66" t="e">
        <f aca="false">IF(B$10=1,($BY54*$D$23)-$D$14,$D$22)</f>
        <v>#DIV/0!</v>
      </c>
      <c r="T54" s="67" t="e">
        <f aca="false">S54-$BY54+$D$24</f>
        <v>#DIV/0!</v>
      </c>
      <c r="U54" s="0"/>
      <c r="V54" s="0"/>
      <c r="W54" s="0"/>
      <c r="X54" s="63" t="n">
        <f aca="false">IF(X$35="nymex",0,VLOOKUP($A54,curvesettle,HLOOKUP(X$35,curvesettle,2,FALSE())))</f>
        <v>0.14</v>
      </c>
      <c r="Y54" s="65" t="n">
        <f aca="false">IF(ISNUMBER(VLOOKUP($A54,VOLCURVES,HLOOKUP(X$35,VOLCURVES,2,FALSE()),FALSE())),VLOOKUP($A54,VOLCURVES,HLOOKUP(X$35,VOLCURVES,2,FALSE()),FALSE()),1)</f>
        <v>1</v>
      </c>
      <c r="Z54" s="184" t="n">
        <f aca="false">(($C54+AB54)*Y54)+$F$17</f>
        <v>0.3725</v>
      </c>
      <c r="AA54" s="65" t="n">
        <f aca="false">VLOOKUP($A54,GASDVOLCURVES,HLOOKUP(X$36,GASDVOLCURVES,2,FALSE()),FALSE())+$F$18</f>
        <v>0.53</v>
      </c>
      <c r="AB54" s="4" t="n">
        <f aca="false">IF($F$20=1,VLOOKUP($A54,skewtable,HLOOKUP(ROUND(AC54-CK54,1),skewtable,2,FALSE()),FALSE())/100,0)</f>
        <v>0</v>
      </c>
      <c r="AC54" s="66" t="e">
        <f aca="false">IF($B$10=1,($CK54*$F$23)-$F$14,$F$22)</f>
        <v>#DIV/0!</v>
      </c>
      <c r="AD54" s="67" t="e">
        <f aca="false">AC54-$CK54+$F$24</f>
        <v>#DIV/0!</v>
      </c>
      <c r="AE54" s="0"/>
      <c r="AF54" s="0"/>
      <c r="AG54" s="0"/>
      <c r="AH54" s="63" t="n">
        <f aca="false">IF(AH$35="nymex",0,VLOOKUP($A54,curvesettle,HLOOKUP(AH$35,curvesettle,2,FALSE())))</f>
        <v>0.33</v>
      </c>
      <c r="AI54" s="65" t="n">
        <f aca="false">IF(ISNUMBER(VLOOKUP($A54,VOLCURVES,HLOOKUP(AH$35,VOLCURVES,2,FALSE()),FALSE())),VLOOKUP($A54,VOLCURVES,HLOOKUP(AH$35,VOLCURVES,2,FALSE()),FALSE()),1)</f>
        <v>1</v>
      </c>
      <c r="AJ54" s="184" t="n">
        <f aca="false">(($C54+AL54)*AI54)+$H$17</f>
        <v>0.3725</v>
      </c>
      <c r="AK54" s="65" t="n">
        <f aca="false">VLOOKUP($A54,GASDVOLCURVES,HLOOKUP(AH$36,GASDVOLCURVES,2,FALSE()),FALSE())+$H$18</f>
        <v>1.03</v>
      </c>
      <c r="AL54" s="4" t="n">
        <f aca="false">IF($H$20=1,VLOOKUP($A54,skewtable,HLOOKUP(ROUND(AM54-CW54,1),skewtable,2,FALSE()),FALSE())/100,0)</f>
        <v>0</v>
      </c>
      <c r="AM54" s="66" t="e">
        <f aca="false">IF($B$10=1,($CW54*$H$23)-$H$14,$H$22)</f>
        <v>#DIV/0!</v>
      </c>
      <c r="AN54" s="67" t="e">
        <f aca="false">AM54-CW54+$H$24</f>
        <v>#DIV/0!</v>
      </c>
      <c r="AO54" s="0"/>
      <c r="AP54" s="0"/>
      <c r="AQ54" s="183"/>
      <c r="AR54" s="183"/>
      <c r="AU54" s="0"/>
      <c r="AV54" s="0"/>
      <c r="AW54" s="0"/>
      <c r="AX54" s="0"/>
      <c r="AY54" s="0"/>
      <c r="AZ54" s="0"/>
      <c r="BA54" s="0"/>
      <c r="BC54" s="64"/>
      <c r="BD54" s="64"/>
      <c r="BE54" s="4" t="n">
        <f aca="false">VLOOKUP($A54,STRADDLE,14,FALSE())</f>
        <v>0.0272889724476766</v>
      </c>
      <c r="BF54" s="72" t="n">
        <f aca="false">A55-A54</f>
        <v>31</v>
      </c>
      <c r="BG54" s="179" t="n">
        <f aca="false">A54+BG$35</f>
        <v>37742</v>
      </c>
      <c r="BH54" s="179" t="n">
        <f aca="false">A55-1</f>
        <v>37772</v>
      </c>
      <c r="BJ54" s="179" t="n">
        <f aca="true">IF(BJ$35=0,TODAY(),IF(BJ$36="NYMEX",VLOOKUP($A54,expiration,2,FALSE())+1,BG54))</f>
        <v>37740</v>
      </c>
      <c r="BK54" s="73"/>
      <c r="BL54" s="73" t="n">
        <f aca="false">IF($A54&gt;=BM$32,IF($A54&lt;=BM$33,$BF54,0),0)</f>
        <v>0</v>
      </c>
      <c r="BM54" s="73" t="e">
        <f aca="false">BO54/BL54</f>
        <v>#DIV/0!</v>
      </c>
      <c r="BN54" s="1" t="n">
        <f aca="false">BL54*($B54+B$15)</f>
        <v>0</v>
      </c>
      <c r="BO54" s="47" t="n">
        <f aca="false">IF(ISNUMBER(((BN54/BL54)+B$16+$D54+$B$14)*BL54),((BN54/BL54)+B$16+$D54+$B$14)*BL54,0)</f>
        <v>0</v>
      </c>
      <c r="BP54" s="76" t="n">
        <f aca="false">IF($BL54=0,0,OSTRIP($BM54,$I54,$BJ54-$B$2,$BG54-$BJ54,$BH54-$BJ54,$B$10,$BE54,$F54,$G54,$B$23,$J54,$BQ$34,0))</f>
        <v>0</v>
      </c>
      <c r="BQ54" s="76" t="n">
        <f aca="false">IF($BL54=0,0,OSTRIP($BM54,$I54,$BJ54-$B$2,$BG54-$BJ54,$BH54-$BJ54,$B$10,$BE54,$F54,$G54,$B$23,$J54,$BQ$34,1))</f>
        <v>0</v>
      </c>
      <c r="BR54" s="76" t="n">
        <f aca="false">IF($BL54=0,0,OSTRIP($BM54,$I54,$BJ54-$B$2,$BG54-$BJ54,$BH54-$BJ54,$B$10,$BE54,$F54,$G54,$B$23,$J54,$BQ$34,BQ$35))</f>
        <v>0</v>
      </c>
      <c r="BS54" s="37" t="n">
        <f aca="false">BL54*BP54</f>
        <v>0</v>
      </c>
      <c r="BT54" s="37" t="n">
        <f aca="false">BL54*BQ54</f>
        <v>0</v>
      </c>
      <c r="BU54" s="37" t="n">
        <f aca="false">BL54*BR54</f>
        <v>0</v>
      </c>
      <c r="BV54" s="37" t="n">
        <f aca="false">BL54*G54</f>
        <v>0</v>
      </c>
      <c r="BX54" s="73" t="n">
        <f aca="false">IF($A54&gt;=BY$32,IF($A54&lt;=BY$33,$BF54,0),0)</f>
        <v>0</v>
      </c>
      <c r="BY54" s="186" t="e">
        <f aca="false">CA54/BX54</f>
        <v>#DIV/0!</v>
      </c>
      <c r="BZ54" s="1" t="n">
        <f aca="false">BX54*($B54+$D$15)</f>
        <v>0</v>
      </c>
      <c r="CA54" s="47" t="n">
        <f aca="false">IF(ISNUMBER(((BZ54/BX54)+$D$16+$N54+$D$14)*BX54),((BZ54/BX54)+$D$16+$N54+$D$14)*BX54,0)</f>
        <v>0</v>
      </c>
      <c r="CB54" s="76" t="n">
        <f aca="false">IF($BX54=0,0,OSTRIP($BY54,$S54,$BJ54-$B$2,$BG54-$BJ54,$BH54-$BJ54,$B$10,$BE54,$P54,$Q54,$D$23,$T54,$CC$34,0))</f>
        <v>0</v>
      </c>
      <c r="CC54" s="76" t="n">
        <f aca="false">IF($BX54=0,0,OSTRIP($BY54,$S54,$BJ54-$B$2,$BG54-$BJ54,$BH54-$BJ54,$B$10,$BE54,$P54,$Q54,$D$23,$T54,$CC$34,1))</f>
        <v>0</v>
      </c>
      <c r="CD54" s="76" t="n">
        <f aca="false">IF($BX54=0,0,OSTRIP($BY54,$S54,$BJ54-$B$2,$BG54-$BJ54,$BH54-$BJ54,$B$10,$BE54,$P54,$Q54,$D$23,$T54,$CC$34,CC$35))</f>
        <v>0</v>
      </c>
      <c r="CE54" s="37" t="n">
        <f aca="false">BX54*CB54</f>
        <v>0</v>
      </c>
      <c r="CF54" s="37" t="n">
        <f aca="false">BX54*CC54</f>
        <v>0</v>
      </c>
      <c r="CG54" s="37" t="n">
        <f aca="false">BX54*CD54</f>
        <v>0</v>
      </c>
      <c r="CH54" s="37" t="n">
        <f aca="false">BX54*Q54</f>
        <v>0</v>
      </c>
      <c r="CJ54" s="73" t="n">
        <f aca="false">IF($A54&gt;=CK$32,IF($A54&lt;=CK$33,$BF54,0),0)</f>
        <v>0</v>
      </c>
      <c r="CK54" s="186" t="e">
        <f aca="false">CM54/CJ54</f>
        <v>#DIV/0!</v>
      </c>
      <c r="CL54" s="1" t="n">
        <f aca="false">CJ54*($B54+$F$15)</f>
        <v>0</v>
      </c>
      <c r="CM54" s="47" t="n">
        <f aca="false">IF(ISNUMBER(((CL54/CJ54)+$F$16+$X54+$F$14)*CJ54),((CL54/CJ54)+$F$16+$X54+$F$14)*CJ54,0)</f>
        <v>0</v>
      </c>
      <c r="CN54" s="76" t="n">
        <f aca="false">IF($CJ54=0,0,OSTRIP($CK54,$AC54,$BJ54-$B$2,$BG54-$BJ54,$BH54-$BJ54,$B$10,$BE54,$Z54,$AA54,$F$23,$AD54,$CO$34,0))</f>
        <v>0</v>
      </c>
      <c r="CO54" s="76" t="n">
        <f aca="false">IF($CJ54=0,0,OSTRIP($CK54,$AC54,$BJ54-$B$2,$BG54-$BJ54,$BH54-$BJ54,$B$10,$BE54,$Z54,$AA54,$F$23,$AD54,$CO$34,1))</f>
        <v>0</v>
      </c>
      <c r="CP54" s="76" t="n">
        <f aca="false">IF($CJ54=0,0,OSTRIP($CK54,$AC54,$BJ54-$B$2,$BG54-$BJ54,$BH54-$BJ54,$B$10,$BE54,$Z54,$AA54,$F$23,$AD54,$CO$34,$CO$35))</f>
        <v>0</v>
      </c>
      <c r="CQ54" s="37" t="n">
        <f aca="false">CJ54*CN54</f>
        <v>0</v>
      </c>
      <c r="CR54" s="37" t="n">
        <f aca="false">CJ54*CO54</f>
        <v>0</v>
      </c>
      <c r="CS54" s="37" t="n">
        <f aca="false">CJ54*CP54</f>
        <v>0</v>
      </c>
      <c r="CT54" s="37" t="n">
        <f aca="false">CJ54*AA54</f>
        <v>0</v>
      </c>
      <c r="CV54" s="73" t="n">
        <f aca="false">IF($A54&gt;=CW$32,IF($A54&lt;=CW$33,$BF54,0),0)</f>
        <v>0</v>
      </c>
      <c r="CW54" s="186" t="e">
        <f aca="false">CY54/CV54</f>
        <v>#DIV/0!</v>
      </c>
      <c r="CX54" s="1" t="n">
        <f aca="false">CV54*($B54+$H$15)</f>
        <v>0</v>
      </c>
      <c r="CY54" s="47" t="n">
        <f aca="false">IF(ISNUMBER(((CX54/CV54)+$H$16+$AH54+$H$14)*CV54),((CX54/CV54)+$H$16+$AH54+$H$14)*CV54,0)</f>
        <v>0</v>
      </c>
      <c r="CZ54" s="76" t="n">
        <f aca="false">IF($CV54=0,0,OSTRIP($CW54,$AM54,$BJ54-$B$2,$BG54-$BJ54,$BH54-$BJ54,$B$10,$BE54,$AJ54,$AK54,$H$23,$AN54,$DA$34,0))</f>
        <v>0</v>
      </c>
      <c r="DA54" s="76" t="n">
        <f aca="false">IF($CV54=0,0,OSTRIP($CW54,$AM54,$BJ54-$B$2,$BG54-$BJ54,$BH54-$BJ54,$B$10,$BE54,$AJ54,$AK54,$H$23,$AN54,$DA$34,1))</f>
        <v>0</v>
      </c>
      <c r="DB54" s="76" t="n">
        <f aca="false">IF($CV54=0,0,OSTRIP($CW54,$AM54,$BJ54-$B$2,$BG54-$BJ54,$BH54-$BJ54,$B$10,$BE54,$AJ54,$AK54,$H$23,$AN54,$DA$34,DA$35))</f>
        <v>0</v>
      </c>
      <c r="DC54" s="37" t="n">
        <f aca="false">CV54*CZ54</f>
        <v>0</v>
      </c>
      <c r="DD54" s="37" t="n">
        <f aca="false">CV54*DA54</f>
        <v>0</v>
      </c>
      <c r="DE54" s="37" t="n">
        <f aca="false">CV54*DB54</f>
        <v>0</v>
      </c>
      <c r="DF54" s="37" t="n">
        <f aca="false">CV54*AK54</f>
        <v>0</v>
      </c>
    </row>
    <row r="55" customFormat="false" ht="12.75" hidden="false" customHeight="false" outlineLevel="0" collapsed="false">
      <c r="A55" s="62" t="n">
        <f aca="false">DATE(YEAR(A54),MONTH(A54)+1,1)</f>
        <v>37773</v>
      </c>
      <c r="B55" s="63" t="n">
        <f aca="false">VLOOKUP(A55,STRADDLE,5,FALSE())</f>
        <v>3.135</v>
      </c>
      <c r="C55" s="4" t="n">
        <f aca="false">VLOOKUP(A55,STRADDLE,8,FALSE())</f>
        <v>0.3675</v>
      </c>
      <c r="D55" s="63" t="n">
        <f aca="false">IF(D$35="nymex",0,VLOOKUP($A55,curvesettle,HLOOKUP(D$35,curvesettle,2,FALSE())))</f>
        <v>0.335</v>
      </c>
      <c r="E55" s="65" t="n">
        <f aca="false">IF(ISNUMBER(VLOOKUP($A55,VOLCURVES,HLOOKUP(D$35,VOLCURVES,2,FALSE()),FALSE())),VLOOKUP($A55,VOLCURVES,HLOOKUP(D$35,VOLCURVES,2,FALSE()),FALSE()),1)</f>
        <v>0.98</v>
      </c>
      <c r="F55" s="4" t="n">
        <f aca="false">(($C55+H55)*$E55)+B$17</f>
        <v>0.46015</v>
      </c>
      <c r="G55" s="65" t="n">
        <f aca="false">VLOOKUP($A55,GASDVOLCURVES,HLOOKUP(D$36,GASDVOLCURVES,2,FALSE()),FALSE())+$B$18</f>
        <v>0.58</v>
      </c>
      <c r="H55" s="4" t="n">
        <f aca="false">IF($B$20=1,VLOOKUP($A55,skewtable,HLOOKUP(ROUND(I55-BM55,1),skewtable,2,FALSE()),FALSE())/100,0)</f>
        <v>0</v>
      </c>
      <c r="I55" s="66" t="e">
        <f aca="false">IF($B$10=1,($BM55*$B$23)-$B$14,$B$22)</f>
        <v>#DIV/0!</v>
      </c>
      <c r="J55" s="67" t="e">
        <f aca="false">I55-BM55+$B$24</f>
        <v>#DIV/0!</v>
      </c>
      <c r="K55" s="67"/>
      <c r="L55" s="183"/>
      <c r="M55" s="183"/>
      <c r="N55" s="63" t="n">
        <f aca="false">IF(N$35="nymex",0,VLOOKUP($A55,curvesettle,HLOOKUP(N$35,curvesettle,2,FALSE())))</f>
        <v>0.035</v>
      </c>
      <c r="O55" s="65" t="n">
        <f aca="false">IF(ISNUMBER(VLOOKUP($A55,VOLCURVES,HLOOKUP(N$35,VOLCURVES,2,FALSE()),FALSE())),VLOOKUP($A55,VOLCURVES,HLOOKUP(N$35,VOLCURVES,2,FALSE()),FALSE()),1)</f>
        <v>1</v>
      </c>
      <c r="P55" s="184" t="n">
        <f aca="false">(($C55+R55)*O55)+$D$17</f>
        <v>0.3675</v>
      </c>
      <c r="Q55" s="65" t="n">
        <f aca="false">VLOOKUP($A55,GASDVOLCURVES,HLOOKUP(N$36,GASDVOLCURVES,2,FALSE()),FALSE())+$D$18</f>
        <v>0.58</v>
      </c>
      <c r="R55" s="4" t="n">
        <f aca="false">IF($D$20=1,VLOOKUP($A55,skewtable,HLOOKUP(ROUND(S55-BY55,1),skewtable,2,FALSE()),FALSE())/100,0)</f>
        <v>0</v>
      </c>
      <c r="S55" s="66" t="e">
        <f aca="false">IF(B$10=1,($BY55*$D$23)-$D$14,$D$22)</f>
        <v>#DIV/0!</v>
      </c>
      <c r="T55" s="67" t="e">
        <f aca="false">S55-$BY55+$D$24</f>
        <v>#DIV/0!</v>
      </c>
      <c r="U55" s="0"/>
      <c r="V55" s="0"/>
      <c r="W55" s="0"/>
      <c r="X55" s="63" t="n">
        <f aca="false">IF(X$35="nymex",0,VLOOKUP($A55,curvesettle,HLOOKUP(X$35,curvesettle,2,FALSE())))</f>
        <v>0.14</v>
      </c>
      <c r="Y55" s="65" t="n">
        <f aca="false">IF(ISNUMBER(VLOOKUP($A55,VOLCURVES,HLOOKUP(X$35,VOLCURVES,2,FALSE()),FALSE())),VLOOKUP($A55,VOLCURVES,HLOOKUP(X$35,VOLCURVES,2,FALSE()),FALSE()),1)</f>
        <v>1</v>
      </c>
      <c r="Z55" s="184" t="n">
        <f aca="false">(($C55+AB55)*Y55)+$F$17</f>
        <v>0.3675</v>
      </c>
      <c r="AA55" s="65" t="n">
        <f aca="false">VLOOKUP($A55,GASDVOLCURVES,HLOOKUP(X$36,GASDVOLCURVES,2,FALSE()),FALSE())+$F$18</f>
        <v>0.63</v>
      </c>
      <c r="AB55" s="4" t="n">
        <f aca="false">IF($F$20=1,VLOOKUP($A55,skewtable,HLOOKUP(ROUND(AC55-CK55,1),skewtable,2,FALSE()),FALSE())/100,0)</f>
        <v>0</v>
      </c>
      <c r="AC55" s="66" t="e">
        <f aca="false">IF($B$10=1,($CK55*$F$23)-$F$14,$F$22)</f>
        <v>#DIV/0!</v>
      </c>
      <c r="AD55" s="67" t="e">
        <f aca="false">AC55-$CK55+$F$24</f>
        <v>#DIV/0!</v>
      </c>
      <c r="AE55" s="0"/>
      <c r="AF55" s="0"/>
      <c r="AG55" s="0"/>
      <c r="AH55" s="63" t="n">
        <f aca="false">IF(AH$35="nymex",0,VLOOKUP($A55,curvesettle,HLOOKUP(AH$35,curvesettle,2,FALSE())))</f>
        <v>0.37</v>
      </c>
      <c r="AI55" s="65" t="n">
        <f aca="false">IF(ISNUMBER(VLOOKUP($A55,VOLCURVES,HLOOKUP(AH$35,VOLCURVES,2,FALSE()),FALSE())),VLOOKUP($A55,VOLCURVES,HLOOKUP(AH$35,VOLCURVES,2,FALSE()),FALSE()),1)</f>
        <v>1</v>
      </c>
      <c r="AJ55" s="184" t="n">
        <f aca="false">(($C55+AL55)*AI55)+$H$17</f>
        <v>0.3675</v>
      </c>
      <c r="AK55" s="65" t="n">
        <f aca="false">VLOOKUP($A55,GASDVOLCURVES,HLOOKUP(AH$36,GASDVOLCURVES,2,FALSE()),FALSE())+$H$18</f>
        <v>1.03</v>
      </c>
      <c r="AL55" s="4" t="n">
        <f aca="false">IF($H$20=1,VLOOKUP($A55,skewtable,HLOOKUP(ROUND(AM55-CW55,1),skewtable,2,FALSE()),FALSE())/100,0)</f>
        <v>0</v>
      </c>
      <c r="AM55" s="66" t="e">
        <f aca="false">IF($B$10=1,($CW55*$H$23)-$H$14,$H$22)</f>
        <v>#DIV/0!</v>
      </c>
      <c r="AN55" s="67" t="e">
        <f aca="false">AM55-CW55+$H$24</f>
        <v>#DIV/0!</v>
      </c>
      <c r="AO55" s="0"/>
      <c r="AP55" s="0"/>
      <c r="AQ55" s="183"/>
      <c r="AR55" s="183"/>
      <c r="AU55" s="0"/>
      <c r="AV55" s="0"/>
      <c r="AW55" s="0"/>
      <c r="AX55" s="0"/>
      <c r="AY55" s="0"/>
      <c r="AZ55" s="0"/>
      <c r="BA55" s="0"/>
      <c r="BC55" s="64"/>
      <c r="BD55" s="64"/>
      <c r="BE55" s="4" t="n">
        <f aca="false">VLOOKUP($A55,STRADDLE,14,FALSE())</f>
        <v>0.0282465850580524</v>
      </c>
      <c r="BF55" s="72" t="n">
        <f aca="false">A56-A55</f>
        <v>30</v>
      </c>
      <c r="BG55" s="179" t="n">
        <f aca="false">A55+BG$35</f>
        <v>37773</v>
      </c>
      <c r="BH55" s="179" t="n">
        <f aca="false">A56-1</f>
        <v>37802</v>
      </c>
      <c r="BJ55" s="179" t="n">
        <f aca="true">IF(BJ$35=0,TODAY(),IF(BJ$36="NYMEX",VLOOKUP($A55,expiration,2,FALSE())+1,BG55))</f>
        <v>37770</v>
      </c>
      <c r="BK55" s="73"/>
      <c r="BL55" s="73" t="n">
        <f aca="false">IF($A55&gt;=BM$32,IF($A55&lt;=BM$33,$BF55,0),0)</f>
        <v>0</v>
      </c>
      <c r="BM55" s="73" t="e">
        <f aca="false">BO55/BL55</f>
        <v>#DIV/0!</v>
      </c>
      <c r="BN55" s="1" t="n">
        <f aca="false">BL55*($B55+B$15)</f>
        <v>0</v>
      </c>
      <c r="BO55" s="47" t="n">
        <f aca="false">IF(ISNUMBER(((BN55/BL55)+B$16+$D55+$B$14)*BL55),((BN55/BL55)+B$16+$D55+$B$14)*BL55,0)</f>
        <v>0</v>
      </c>
      <c r="BP55" s="76" t="n">
        <f aca="false">IF($BL55=0,0,OSTRIP($BM55,$I55,$BJ55-$B$2,$BG55-$BJ55,$BH55-$BJ55,$B$10,$BE55,$F55,$G55,$B$23,$J55,$BQ$34,0))</f>
        <v>0</v>
      </c>
      <c r="BQ55" s="76" t="n">
        <f aca="false">IF($BL55=0,0,OSTRIP($BM55,$I55,$BJ55-$B$2,$BG55-$BJ55,$BH55-$BJ55,$B$10,$BE55,$F55,$G55,$B$23,$J55,$BQ$34,1))</f>
        <v>0</v>
      </c>
      <c r="BR55" s="76" t="n">
        <f aca="false">IF($BL55=0,0,OSTRIP($BM55,$I55,$BJ55-$B$2,$BG55-$BJ55,$BH55-$BJ55,$B$10,$BE55,$F55,$G55,$B$23,$J55,$BQ$34,BQ$35))</f>
        <v>0</v>
      </c>
      <c r="BS55" s="37" t="n">
        <f aca="false">BL55*BP55</f>
        <v>0</v>
      </c>
      <c r="BT55" s="37" t="n">
        <f aca="false">BL55*BQ55</f>
        <v>0</v>
      </c>
      <c r="BU55" s="37" t="n">
        <f aca="false">BL55*BR55</f>
        <v>0</v>
      </c>
      <c r="BV55" s="37" t="n">
        <f aca="false">BL55*G55</f>
        <v>0</v>
      </c>
      <c r="BX55" s="73" t="n">
        <f aca="false">IF($A55&gt;=BY$32,IF($A55&lt;=BY$33,$BF55,0),0)</f>
        <v>0</v>
      </c>
      <c r="BY55" s="186" t="e">
        <f aca="false">CA55/BX55</f>
        <v>#DIV/0!</v>
      </c>
      <c r="BZ55" s="1" t="n">
        <f aca="false">BX55*($B55+$D$15)</f>
        <v>0</v>
      </c>
      <c r="CA55" s="47" t="n">
        <f aca="false">IF(ISNUMBER(((BZ55/BX55)+$D$16+$N55+$D$14)*BX55),((BZ55/BX55)+$D$16+$N55+$D$14)*BX55,0)</f>
        <v>0</v>
      </c>
      <c r="CB55" s="76" t="n">
        <f aca="false">IF($BX55=0,0,OSTRIP($BY55,$S55,$BJ55-$B$2,$BG55-$BJ55,$BH55-$BJ55,$B$10,$BE55,$P55,$Q55,$D$23,$T55,$CC$34,0))</f>
        <v>0</v>
      </c>
      <c r="CC55" s="76" t="n">
        <f aca="false">IF($BX55=0,0,OSTRIP($BY55,$S55,$BJ55-$B$2,$BG55-$BJ55,$BH55-$BJ55,$B$10,$BE55,$P55,$Q55,$D$23,$T55,$CC$34,1))</f>
        <v>0</v>
      </c>
      <c r="CD55" s="76" t="n">
        <f aca="false">IF($BX55=0,0,OSTRIP($BY55,$S55,$BJ55-$B$2,$BG55-$BJ55,$BH55-$BJ55,$B$10,$BE55,$P55,$Q55,$D$23,$T55,$CC$34,CC$35))</f>
        <v>0</v>
      </c>
      <c r="CE55" s="37" t="n">
        <f aca="false">BX55*CB55</f>
        <v>0</v>
      </c>
      <c r="CF55" s="37" t="n">
        <f aca="false">BX55*CC55</f>
        <v>0</v>
      </c>
      <c r="CG55" s="37" t="n">
        <f aca="false">BX55*CD55</f>
        <v>0</v>
      </c>
      <c r="CH55" s="37" t="n">
        <f aca="false">BX55*Q55</f>
        <v>0</v>
      </c>
      <c r="CJ55" s="73" t="n">
        <f aca="false">IF($A55&gt;=CK$32,IF($A55&lt;=CK$33,$BF55,0),0)</f>
        <v>0</v>
      </c>
      <c r="CK55" s="186" t="e">
        <f aca="false">CM55/CJ55</f>
        <v>#DIV/0!</v>
      </c>
      <c r="CL55" s="1" t="n">
        <f aca="false">CJ55*($B55+$F$15)</f>
        <v>0</v>
      </c>
      <c r="CM55" s="47" t="n">
        <f aca="false">IF(ISNUMBER(((CL55/CJ55)+$F$16+$X55+$F$14)*CJ55),((CL55/CJ55)+$F$16+$X55+$F$14)*CJ55,0)</f>
        <v>0</v>
      </c>
      <c r="CN55" s="76" t="n">
        <f aca="false">IF($CJ55=0,0,OSTRIP($CK55,$AC55,$BJ55-$B$2,$BG55-$BJ55,$BH55-$BJ55,$B$10,$BE55,$Z55,$AA55,$F$23,$AD55,$CO$34,0))</f>
        <v>0</v>
      </c>
      <c r="CO55" s="76" t="n">
        <f aca="false">IF($CJ55=0,0,OSTRIP($CK55,$AC55,$BJ55-$B$2,$BG55-$BJ55,$BH55-$BJ55,$B$10,$BE55,$Z55,$AA55,$F$23,$AD55,$CO$34,1))</f>
        <v>0</v>
      </c>
      <c r="CP55" s="76" t="n">
        <f aca="false">IF($CJ55=0,0,OSTRIP($CK55,$AC55,$BJ55-$B$2,$BG55-$BJ55,$BH55-$BJ55,$B$10,$BE55,$Z55,$AA55,$F$23,$AD55,$CO$34,$CO$35))</f>
        <v>0</v>
      </c>
      <c r="CQ55" s="37" t="n">
        <f aca="false">CJ55*CN55</f>
        <v>0</v>
      </c>
      <c r="CR55" s="37" t="n">
        <f aca="false">CJ55*CO55</f>
        <v>0</v>
      </c>
      <c r="CS55" s="37" t="n">
        <f aca="false">CJ55*CP55</f>
        <v>0</v>
      </c>
      <c r="CT55" s="37" t="n">
        <f aca="false">CJ55*AA55</f>
        <v>0</v>
      </c>
      <c r="CV55" s="73" t="n">
        <f aca="false">IF($A55&gt;=CW$32,IF($A55&lt;=CW$33,$BF55,0),0)</f>
        <v>0</v>
      </c>
      <c r="CW55" s="186" t="e">
        <f aca="false">CY55/CV55</f>
        <v>#DIV/0!</v>
      </c>
      <c r="CX55" s="1" t="n">
        <f aca="false">CV55*($B55+$H$15)</f>
        <v>0</v>
      </c>
      <c r="CY55" s="47" t="n">
        <f aca="false">IF(ISNUMBER(((CX55/CV55)+$H$16+$AH55+$H$14)*CV55),((CX55/CV55)+$H$16+$AH55+$H$14)*CV55,0)</f>
        <v>0</v>
      </c>
      <c r="CZ55" s="76" t="n">
        <f aca="false">IF($CV55=0,0,OSTRIP($CW55,$AM55,$BJ55-$B$2,$BG55-$BJ55,$BH55-$BJ55,$B$10,$BE55,$AJ55,$AK55,$H$23,$AN55,$DA$34,0))</f>
        <v>0</v>
      </c>
      <c r="DA55" s="76" t="n">
        <f aca="false">IF($CV55=0,0,OSTRIP($CW55,$AM55,$BJ55-$B$2,$BG55-$BJ55,$BH55-$BJ55,$B$10,$BE55,$AJ55,$AK55,$H$23,$AN55,$DA$34,1))</f>
        <v>0</v>
      </c>
      <c r="DB55" s="76" t="n">
        <f aca="false">IF($CV55=0,0,OSTRIP($CW55,$AM55,$BJ55-$B$2,$BG55-$BJ55,$BH55-$BJ55,$B$10,$BE55,$AJ55,$AK55,$H$23,$AN55,$DA$34,DA$35))</f>
        <v>0</v>
      </c>
      <c r="DC55" s="37" t="n">
        <f aca="false">CV55*CZ55</f>
        <v>0</v>
      </c>
      <c r="DD55" s="37" t="n">
        <f aca="false">CV55*DA55</f>
        <v>0</v>
      </c>
      <c r="DE55" s="37" t="n">
        <f aca="false">CV55*DB55</f>
        <v>0</v>
      </c>
      <c r="DF55" s="37" t="n">
        <f aca="false">CV55*AK55</f>
        <v>0</v>
      </c>
    </row>
    <row r="56" customFormat="false" ht="12.75" hidden="false" customHeight="false" outlineLevel="0" collapsed="false">
      <c r="A56" s="62" t="n">
        <f aca="false">DATE(YEAR(A55),MONTH(A55)+1,1)</f>
        <v>37803</v>
      </c>
      <c r="B56" s="63" t="n">
        <f aca="false">VLOOKUP(A56,STRADDLE,5,FALSE())</f>
        <v>3.177</v>
      </c>
      <c r="C56" s="4" t="n">
        <f aca="false">VLOOKUP(A56,STRADDLE,8,FALSE())</f>
        <v>0.3675</v>
      </c>
      <c r="D56" s="63" t="n">
        <f aca="false">IF(D$35="nymex",0,VLOOKUP($A56,curvesettle,HLOOKUP(D$35,curvesettle,2,FALSE())))</f>
        <v>0.35</v>
      </c>
      <c r="E56" s="65" t="n">
        <f aca="false">IF(ISNUMBER(VLOOKUP($A56,VOLCURVES,HLOOKUP(D$35,VOLCURVES,2,FALSE()),FALSE())),VLOOKUP($A56,VOLCURVES,HLOOKUP(D$35,VOLCURVES,2,FALSE()),FALSE()),1)</f>
        <v>0.98</v>
      </c>
      <c r="F56" s="4" t="n">
        <f aca="false">(($C56+H56)*$E56)+B$17</f>
        <v>0.46015</v>
      </c>
      <c r="G56" s="65" t="n">
        <f aca="false">VLOOKUP($A56,GASDVOLCURVES,HLOOKUP(D$36,GASDVOLCURVES,2,FALSE()),FALSE())+$B$18</f>
        <v>0.63</v>
      </c>
      <c r="H56" s="4" t="n">
        <f aca="false">IF($B$20=1,VLOOKUP($A56,skewtable,HLOOKUP(ROUND(I56-BM56,1),skewtable,2,FALSE()),FALSE())/100,0)</f>
        <v>0</v>
      </c>
      <c r="I56" s="66" t="e">
        <f aca="false">IF($B$10=1,($BM56*$B$23)-$B$14,$B$22)</f>
        <v>#DIV/0!</v>
      </c>
      <c r="J56" s="67" t="e">
        <f aca="false">I56-BM56+$B$24</f>
        <v>#DIV/0!</v>
      </c>
      <c r="K56" s="67"/>
      <c r="L56" s="183"/>
      <c r="M56" s="183"/>
      <c r="N56" s="63" t="n">
        <f aca="false">IF(N$35="nymex",0,VLOOKUP($A56,curvesettle,HLOOKUP(N$35,curvesettle,2,FALSE())))</f>
        <v>0.0375</v>
      </c>
      <c r="O56" s="65" t="n">
        <f aca="false">IF(ISNUMBER(VLOOKUP($A56,VOLCURVES,HLOOKUP(N$35,VOLCURVES,2,FALSE()),FALSE())),VLOOKUP($A56,VOLCURVES,HLOOKUP(N$35,VOLCURVES,2,FALSE()),FALSE()),1)</f>
        <v>1</v>
      </c>
      <c r="P56" s="184" t="n">
        <f aca="false">(($C56+R56)*O56)+$D$17</f>
        <v>0.3675</v>
      </c>
      <c r="Q56" s="65" t="n">
        <f aca="false">VLOOKUP($A56,GASDVOLCURVES,HLOOKUP(N$36,GASDVOLCURVES,2,FALSE()),FALSE())+$D$18</f>
        <v>0.63</v>
      </c>
      <c r="R56" s="4" t="n">
        <f aca="false">IF($D$20=1,VLOOKUP($A56,skewtable,HLOOKUP(ROUND(S56-BY56,1),skewtable,2,FALSE()),FALSE())/100,0)</f>
        <v>0</v>
      </c>
      <c r="S56" s="66" t="e">
        <f aca="false">IF(B$10=1,($BY56*$D$23)-$D$14,$D$22)</f>
        <v>#DIV/0!</v>
      </c>
      <c r="T56" s="67" t="e">
        <f aca="false">S56-$BY56+$D$24</f>
        <v>#DIV/0!</v>
      </c>
      <c r="U56" s="0"/>
      <c r="V56" s="0"/>
      <c r="W56" s="0"/>
      <c r="X56" s="63" t="n">
        <f aca="false">IF(X$35="nymex",0,VLOOKUP($A56,curvesettle,HLOOKUP(X$35,curvesettle,2,FALSE())))</f>
        <v>0.14</v>
      </c>
      <c r="Y56" s="65" t="n">
        <f aca="false">IF(ISNUMBER(VLOOKUP($A56,VOLCURVES,HLOOKUP(X$35,VOLCURVES,2,FALSE()),FALSE())),VLOOKUP($A56,VOLCURVES,HLOOKUP(X$35,VOLCURVES,2,FALSE()),FALSE()),1)</f>
        <v>1</v>
      </c>
      <c r="Z56" s="184" t="n">
        <f aca="false">(($C56+AB56)*Y56)+$F$17</f>
        <v>0.3675</v>
      </c>
      <c r="AA56" s="65" t="n">
        <f aca="false">VLOOKUP($A56,GASDVOLCURVES,HLOOKUP(X$36,GASDVOLCURVES,2,FALSE()),FALSE())+$F$18</f>
        <v>0.63</v>
      </c>
      <c r="AB56" s="4" t="n">
        <f aca="false">IF($F$20=1,VLOOKUP($A56,skewtable,HLOOKUP(ROUND(AC56-CK56,1),skewtable,2,FALSE()),FALSE())/100,0)</f>
        <v>0</v>
      </c>
      <c r="AC56" s="66" t="e">
        <f aca="false">IF($B$10=1,($CK56*$F$23)-$F$14,$F$22)</f>
        <v>#DIV/0!</v>
      </c>
      <c r="AD56" s="67" t="e">
        <f aca="false">AC56-$CK56+$F$24</f>
        <v>#DIV/0!</v>
      </c>
      <c r="AE56" s="0"/>
      <c r="AF56" s="0"/>
      <c r="AG56" s="0"/>
      <c r="AH56" s="63" t="n">
        <f aca="false">IF(AH$35="nymex",0,VLOOKUP($A56,curvesettle,HLOOKUP(AH$35,curvesettle,2,FALSE())))</f>
        <v>0.41</v>
      </c>
      <c r="AI56" s="65" t="n">
        <f aca="false">IF(ISNUMBER(VLOOKUP($A56,VOLCURVES,HLOOKUP(AH$35,VOLCURVES,2,FALSE()),FALSE())),VLOOKUP($A56,VOLCURVES,HLOOKUP(AH$35,VOLCURVES,2,FALSE()),FALSE()),1)</f>
        <v>1</v>
      </c>
      <c r="AJ56" s="184" t="n">
        <f aca="false">(($C56+AL56)*AI56)+$H$17</f>
        <v>0.3675</v>
      </c>
      <c r="AK56" s="65" t="n">
        <f aca="false">VLOOKUP($A56,GASDVOLCURVES,HLOOKUP(AH$36,GASDVOLCURVES,2,FALSE()),FALSE())+$H$18</f>
        <v>1.03</v>
      </c>
      <c r="AL56" s="4" t="n">
        <f aca="false">IF($H$20=1,VLOOKUP($A56,skewtable,HLOOKUP(ROUND(AM56-CW56,1),skewtable,2,FALSE()),FALSE())/100,0)</f>
        <v>0</v>
      </c>
      <c r="AM56" s="66" t="e">
        <f aca="false">IF($B$10=1,($CW56*$H$23)-$H$14,$H$22)</f>
        <v>#DIV/0!</v>
      </c>
      <c r="AN56" s="67" t="e">
        <f aca="false">AM56-CW56+$H$24</f>
        <v>#DIV/0!</v>
      </c>
      <c r="AO56" s="0"/>
      <c r="AP56" s="0"/>
      <c r="AQ56" s="183"/>
      <c r="AR56" s="183"/>
      <c r="AU56" s="0"/>
      <c r="AV56" s="0"/>
      <c r="AW56" s="0"/>
      <c r="AX56" s="0"/>
      <c r="AY56" s="0"/>
      <c r="AZ56" s="0"/>
      <c r="BA56" s="0"/>
      <c r="BC56" s="64"/>
      <c r="BD56" s="64"/>
      <c r="BE56" s="4" t="n">
        <f aca="false">VLOOKUP($A56,STRADDLE,14,FALSE())</f>
        <v>0.0291756224166892</v>
      </c>
      <c r="BF56" s="72" t="n">
        <f aca="false">A57-A56</f>
        <v>31</v>
      </c>
      <c r="BG56" s="179" t="n">
        <f aca="false">A56+BG$35</f>
        <v>37803</v>
      </c>
      <c r="BH56" s="179" t="n">
        <f aca="false">A57-1</f>
        <v>37833</v>
      </c>
      <c r="BJ56" s="179" t="n">
        <f aca="true">IF(BJ$35=0,TODAY(),IF(BJ$36="NYMEX",VLOOKUP($A56,expiration,2,FALSE())+1,BG56))</f>
        <v>37799</v>
      </c>
      <c r="BK56" s="73"/>
      <c r="BL56" s="73" t="n">
        <f aca="false">IF($A56&gt;=BM$32,IF($A56&lt;=BM$33,$BF56,0),0)</f>
        <v>0</v>
      </c>
      <c r="BM56" s="73" t="e">
        <f aca="false">BO56/BL56</f>
        <v>#DIV/0!</v>
      </c>
      <c r="BN56" s="1" t="n">
        <f aca="false">BL56*($B56+B$15)</f>
        <v>0</v>
      </c>
      <c r="BO56" s="47" t="n">
        <f aca="false">IF(ISNUMBER(((BN56/BL56)+B$16+$D56+$B$14)*BL56),((BN56/BL56)+B$16+$D56+$B$14)*BL56,0)</f>
        <v>0</v>
      </c>
      <c r="BP56" s="76" t="n">
        <f aca="false">IF($BL56=0,0,OSTRIP($BM56,$I56,$BJ56-$B$2,$BG56-$BJ56,$BH56-$BJ56,$B$10,$BE56,$F56,$G56,$B$23,$J56,$BQ$34,0))</f>
        <v>0</v>
      </c>
      <c r="BQ56" s="76" t="n">
        <f aca="false">IF($BL56=0,0,OSTRIP($BM56,$I56,$BJ56-$B$2,$BG56-$BJ56,$BH56-$BJ56,$B$10,$BE56,$F56,$G56,$B$23,$J56,$BQ$34,1))</f>
        <v>0</v>
      </c>
      <c r="BR56" s="76" t="n">
        <f aca="false">IF($BL56=0,0,OSTRIP($BM56,$I56,$BJ56-$B$2,$BG56-$BJ56,$BH56-$BJ56,$B$10,$BE56,$F56,$G56,$B$23,$J56,$BQ$34,BQ$35))</f>
        <v>0</v>
      </c>
      <c r="BS56" s="37" t="n">
        <f aca="false">BL56*BP56</f>
        <v>0</v>
      </c>
      <c r="BT56" s="37" t="n">
        <f aca="false">BL56*BQ56</f>
        <v>0</v>
      </c>
      <c r="BU56" s="37" t="n">
        <f aca="false">BL56*BR56</f>
        <v>0</v>
      </c>
      <c r="BV56" s="37" t="n">
        <f aca="false">BL56*G56</f>
        <v>0</v>
      </c>
      <c r="BX56" s="73" t="n">
        <f aca="false">IF($A56&gt;=BY$32,IF($A56&lt;=BY$33,$BF56,0),0)</f>
        <v>0</v>
      </c>
      <c r="BY56" s="186" t="e">
        <f aca="false">CA56/BX56</f>
        <v>#DIV/0!</v>
      </c>
      <c r="BZ56" s="1" t="n">
        <f aca="false">BX56*($B56+$D$15)</f>
        <v>0</v>
      </c>
      <c r="CA56" s="47" t="n">
        <f aca="false">IF(ISNUMBER(((BZ56/BX56)+$D$16+$N56+$D$14)*BX56),((BZ56/BX56)+$D$16+$N56+$D$14)*BX56,0)</f>
        <v>0</v>
      </c>
      <c r="CB56" s="76" t="n">
        <f aca="false">IF($BX56=0,0,OSTRIP($BY56,$S56,$BJ56-$B$2,$BG56-$BJ56,$BH56-$BJ56,$B$10,$BE56,$P56,$Q56,$D$23,$T56,$CC$34,0))</f>
        <v>0</v>
      </c>
      <c r="CC56" s="76" t="n">
        <f aca="false">IF($BX56=0,0,OSTRIP($BY56,$S56,$BJ56-$B$2,$BG56-$BJ56,$BH56-$BJ56,$B$10,$BE56,$P56,$Q56,$D$23,$T56,$CC$34,1))</f>
        <v>0</v>
      </c>
      <c r="CD56" s="76" t="n">
        <f aca="false">IF($BX56=0,0,OSTRIP($BY56,$S56,$BJ56-$B$2,$BG56-$BJ56,$BH56-$BJ56,$B$10,$BE56,$P56,$Q56,$D$23,$T56,$CC$34,CC$35))</f>
        <v>0</v>
      </c>
      <c r="CE56" s="37" t="n">
        <f aca="false">BX56*CB56</f>
        <v>0</v>
      </c>
      <c r="CF56" s="37" t="n">
        <f aca="false">BX56*CC56</f>
        <v>0</v>
      </c>
      <c r="CG56" s="37" t="n">
        <f aca="false">BX56*CD56</f>
        <v>0</v>
      </c>
      <c r="CH56" s="37" t="n">
        <f aca="false">BX56*Q56</f>
        <v>0</v>
      </c>
      <c r="CJ56" s="73" t="n">
        <f aca="false">IF($A56&gt;=CK$32,IF($A56&lt;=CK$33,$BF56,0),0)</f>
        <v>0</v>
      </c>
      <c r="CK56" s="186" t="e">
        <f aca="false">CM56/CJ56</f>
        <v>#DIV/0!</v>
      </c>
      <c r="CL56" s="1" t="n">
        <f aca="false">CJ56*($B56+$F$15)</f>
        <v>0</v>
      </c>
      <c r="CM56" s="47" t="n">
        <f aca="false">IF(ISNUMBER(((CL56/CJ56)+$F$16+$X56+$F$14)*CJ56),((CL56/CJ56)+$F$16+$X56+$F$14)*CJ56,0)</f>
        <v>0</v>
      </c>
      <c r="CN56" s="76" t="n">
        <f aca="false">IF($CJ56=0,0,OSTRIP($CK56,$AC56,$BJ56-$B$2,$BG56-$BJ56,$BH56-$BJ56,$B$10,$BE56,$Z56,$AA56,$F$23,$AD56,$CO$34,0))</f>
        <v>0</v>
      </c>
      <c r="CO56" s="76" t="n">
        <f aca="false">IF($CJ56=0,0,OSTRIP($CK56,$AC56,$BJ56-$B$2,$BG56-$BJ56,$BH56-$BJ56,$B$10,$BE56,$Z56,$AA56,$F$23,$AD56,$CO$34,1))</f>
        <v>0</v>
      </c>
      <c r="CP56" s="76" t="n">
        <f aca="false">IF($CJ56=0,0,OSTRIP($CK56,$AC56,$BJ56-$B$2,$BG56-$BJ56,$BH56-$BJ56,$B$10,$BE56,$Z56,$AA56,$F$23,$AD56,$CO$34,$CO$35))</f>
        <v>0</v>
      </c>
      <c r="CQ56" s="37" t="n">
        <f aca="false">CJ56*CN56</f>
        <v>0</v>
      </c>
      <c r="CR56" s="37" t="n">
        <f aca="false">CJ56*CO56</f>
        <v>0</v>
      </c>
      <c r="CS56" s="37" t="n">
        <f aca="false">CJ56*CP56</f>
        <v>0</v>
      </c>
      <c r="CT56" s="37" t="n">
        <f aca="false">CJ56*AA56</f>
        <v>0</v>
      </c>
      <c r="CV56" s="73" t="n">
        <f aca="false">IF($A56&gt;=CW$32,IF($A56&lt;=CW$33,$BF56,0),0)</f>
        <v>0</v>
      </c>
      <c r="CW56" s="186" t="e">
        <f aca="false">CY56/CV56</f>
        <v>#DIV/0!</v>
      </c>
      <c r="CX56" s="1" t="n">
        <f aca="false">CV56*($B56+$H$15)</f>
        <v>0</v>
      </c>
      <c r="CY56" s="47" t="n">
        <f aca="false">IF(ISNUMBER(((CX56/CV56)+$H$16+$AH56+$H$14)*CV56),((CX56/CV56)+$H$16+$AH56+$H$14)*CV56,0)</f>
        <v>0</v>
      </c>
      <c r="CZ56" s="76" t="n">
        <f aca="false">IF($CV56=0,0,OSTRIP($CW56,$AM56,$BJ56-$B$2,$BG56-$BJ56,$BH56-$BJ56,$B$10,$BE56,$AJ56,$AK56,$H$23,$AN56,$DA$34,0))</f>
        <v>0</v>
      </c>
      <c r="DA56" s="76" t="n">
        <f aca="false">IF($CV56=0,0,OSTRIP($CW56,$AM56,$BJ56-$B$2,$BG56-$BJ56,$BH56-$BJ56,$B$10,$BE56,$AJ56,$AK56,$H$23,$AN56,$DA$34,1))</f>
        <v>0</v>
      </c>
      <c r="DB56" s="76" t="n">
        <f aca="false">IF($CV56=0,0,OSTRIP($CW56,$AM56,$BJ56-$B$2,$BG56-$BJ56,$BH56-$BJ56,$B$10,$BE56,$AJ56,$AK56,$H$23,$AN56,$DA$34,DA$35))</f>
        <v>0</v>
      </c>
      <c r="DC56" s="37" t="n">
        <f aca="false">CV56*CZ56</f>
        <v>0</v>
      </c>
      <c r="DD56" s="37" t="n">
        <f aca="false">CV56*DA56</f>
        <v>0</v>
      </c>
      <c r="DE56" s="37" t="n">
        <f aca="false">CV56*DB56</f>
        <v>0</v>
      </c>
      <c r="DF56" s="37" t="n">
        <f aca="false">CV56*AK56</f>
        <v>0</v>
      </c>
    </row>
    <row r="57" customFormat="false" ht="12.75" hidden="false" customHeight="false" outlineLevel="0" collapsed="false">
      <c r="A57" s="62" t="n">
        <f aca="false">DATE(YEAR(A56),MONTH(A56)+1,1)</f>
        <v>37834</v>
      </c>
      <c r="B57" s="63" t="n">
        <f aca="false">VLOOKUP(A57,STRADDLE,5,FALSE())</f>
        <v>3.225</v>
      </c>
      <c r="C57" s="4" t="n">
        <f aca="false">VLOOKUP(A57,STRADDLE,8,FALSE())</f>
        <v>0.3675</v>
      </c>
      <c r="D57" s="63" t="n">
        <f aca="false">IF(D$35="nymex",0,VLOOKUP($A57,curvesettle,HLOOKUP(D$35,curvesettle,2,FALSE())))</f>
        <v>0.35</v>
      </c>
      <c r="E57" s="65" t="n">
        <f aca="false">IF(ISNUMBER(VLOOKUP($A57,VOLCURVES,HLOOKUP(D$35,VOLCURVES,2,FALSE()),FALSE())),VLOOKUP($A57,VOLCURVES,HLOOKUP(D$35,VOLCURVES,2,FALSE()),FALSE()),1)</f>
        <v>0.98</v>
      </c>
      <c r="F57" s="4" t="n">
        <f aca="false">(($C57+H57)*$E57)+B$17</f>
        <v>0.46015</v>
      </c>
      <c r="G57" s="65" t="n">
        <f aca="false">VLOOKUP($A57,GASDVOLCURVES,HLOOKUP(D$36,GASDVOLCURVES,2,FALSE()),FALSE())+$B$18</f>
        <v>0.68</v>
      </c>
      <c r="H57" s="4" t="n">
        <f aca="false">IF($B$20=1,VLOOKUP($A57,skewtable,HLOOKUP(ROUND(I57-BM57,1),skewtable,2,FALSE()),FALSE())/100,0)</f>
        <v>0</v>
      </c>
      <c r="I57" s="66" t="e">
        <f aca="false">IF($B$10=1,($BM57*$B$23)-$B$14,$B$22)</f>
        <v>#DIV/0!</v>
      </c>
      <c r="J57" s="67" t="e">
        <f aca="false">I57-BM57+$B$24</f>
        <v>#DIV/0!</v>
      </c>
      <c r="K57" s="67"/>
      <c r="L57" s="183"/>
      <c r="M57" s="183"/>
      <c r="N57" s="63" t="n">
        <f aca="false">IF(N$35="nymex",0,VLOOKUP($A57,curvesettle,HLOOKUP(N$35,curvesettle,2,FALSE())))</f>
        <v>0.04</v>
      </c>
      <c r="O57" s="65" t="n">
        <f aca="false">IF(ISNUMBER(VLOOKUP($A57,VOLCURVES,HLOOKUP(N$35,VOLCURVES,2,FALSE()),FALSE())),VLOOKUP($A57,VOLCURVES,HLOOKUP(N$35,VOLCURVES,2,FALSE()),FALSE()),1)</f>
        <v>1</v>
      </c>
      <c r="P57" s="184" t="n">
        <f aca="false">(($C57+R57)*O57)+$D$17</f>
        <v>0.3675</v>
      </c>
      <c r="Q57" s="65" t="n">
        <f aca="false">VLOOKUP($A57,GASDVOLCURVES,HLOOKUP(N$36,GASDVOLCURVES,2,FALSE()),FALSE())+$D$18</f>
        <v>0.68</v>
      </c>
      <c r="R57" s="4" t="n">
        <f aca="false">IF($D$20=1,VLOOKUP($A57,skewtable,HLOOKUP(ROUND(S57-BY57,1),skewtable,2,FALSE()),FALSE())/100,0)</f>
        <v>0</v>
      </c>
      <c r="S57" s="66" t="e">
        <f aca="false">IF(B$10=1,($BY57*$D$23)-$D$14,$D$22)</f>
        <v>#DIV/0!</v>
      </c>
      <c r="T57" s="67" t="e">
        <f aca="false">S57-$BY57+$D$24</f>
        <v>#DIV/0!</v>
      </c>
      <c r="U57" s="0"/>
      <c r="V57" s="0"/>
      <c r="W57" s="0"/>
      <c r="X57" s="63" t="n">
        <f aca="false">IF(X$35="nymex",0,VLOOKUP($A57,curvesettle,HLOOKUP(X$35,curvesettle,2,FALSE())))</f>
        <v>0.14</v>
      </c>
      <c r="Y57" s="65" t="n">
        <f aca="false">IF(ISNUMBER(VLOOKUP($A57,VOLCURVES,HLOOKUP(X$35,VOLCURVES,2,FALSE()),FALSE())),VLOOKUP($A57,VOLCURVES,HLOOKUP(X$35,VOLCURVES,2,FALSE()),FALSE()),1)</f>
        <v>1</v>
      </c>
      <c r="Z57" s="184" t="n">
        <f aca="false">(($C57+AB57)*Y57)+$F$17</f>
        <v>0.3675</v>
      </c>
      <c r="AA57" s="65" t="n">
        <f aca="false">VLOOKUP($A57,GASDVOLCURVES,HLOOKUP(X$36,GASDVOLCURVES,2,FALSE()),FALSE())+$F$18</f>
        <v>0.73</v>
      </c>
      <c r="AB57" s="4" t="n">
        <f aca="false">IF($F$20=1,VLOOKUP($A57,skewtable,HLOOKUP(ROUND(AC57-CK57,1),skewtable,2,FALSE()),FALSE())/100,0)</f>
        <v>0</v>
      </c>
      <c r="AC57" s="66" t="e">
        <f aca="false">IF($B$10=1,($CK57*$F$23)-$F$14,$F$22)</f>
        <v>#DIV/0!</v>
      </c>
      <c r="AD57" s="67" t="e">
        <f aca="false">AC57-$CK57+$F$24</f>
        <v>#DIV/0!</v>
      </c>
      <c r="AE57" s="0"/>
      <c r="AF57" s="0"/>
      <c r="AG57" s="0"/>
      <c r="AH57" s="63" t="n">
        <f aca="false">IF(AH$35="nymex",0,VLOOKUP($A57,curvesettle,HLOOKUP(AH$35,curvesettle,2,FALSE())))</f>
        <v>0.41</v>
      </c>
      <c r="AI57" s="65" t="n">
        <f aca="false">IF(ISNUMBER(VLOOKUP($A57,VOLCURVES,HLOOKUP(AH$35,VOLCURVES,2,FALSE()),FALSE())),VLOOKUP($A57,VOLCURVES,HLOOKUP(AH$35,VOLCURVES,2,FALSE()),FALSE()),1)</f>
        <v>1</v>
      </c>
      <c r="AJ57" s="184" t="n">
        <f aca="false">(($C57+AL57)*AI57)+$H$17</f>
        <v>0.3675</v>
      </c>
      <c r="AK57" s="65" t="n">
        <f aca="false">VLOOKUP($A57,GASDVOLCURVES,HLOOKUP(AH$36,GASDVOLCURVES,2,FALSE()),FALSE())+$H$18</f>
        <v>1.13</v>
      </c>
      <c r="AL57" s="4" t="n">
        <f aca="false">IF($H$20=1,VLOOKUP($A57,skewtable,HLOOKUP(ROUND(AM57-CW57,1),skewtable,2,FALSE()),FALSE())/100,0)</f>
        <v>0</v>
      </c>
      <c r="AM57" s="66" t="e">
        <f aca="false">IF($B$10=1,($CW57*$H$23)-$H$14,$H$22)</f>
        <v>#DIV/0!</v>
      </c>
      <c r="AN57" s="67" t="e">
        <f aca="false">AM57-CW57+$H$24</f>
        <v>#DIV/0!</v>
      </c>
      <c r="AO57" s="0"/>
      <c r="AP57" s="0"/>
      <c r="AQ57" s="183"/>
      <c r="AR57" s="183"/>
      <c r="AU57" s="0"/>
      <c r="AV57" s="0"/>
      <c r="AW57" s="0"/>
      <c r="AX57" s="0"/>
      <c r="AY57" s="0"/>
      <c r="AZ57" s="0"/>
      <c r="BA57" s="0"/>
      <c r="BC57" s="64"/>
      <c r="BD57" s="64"/>
      <c r="BE57" s="4" t="n">
        <f aca="false">VLOOKUP($A57,STRADDLE,14,FALSE())</f>
        <v>0.0301389675554917</v>
      </c>
      <c r="BF57" s="72" t="n">
        <f aca="false">A58-A57</f>
        <v>31</v>
      </c>
      <c r="BG57" s="179" t="n">
        <f aca="false">A57+BG$35</f>
        <v>37834</v>
      </c>
      <c r="BH57" s="179" t="n">
        <f aca="false">A58-1</f>
        <v>37864</v>
      </c>
      <c r="BJ57" s="179" t="n">
        <f aca="true">IF(BJ$35=0,TODAY(),IF(BJ$36="NYMEX",VLOOKUP($A57,expiration,2,FALSE())+1,BG57))</f>
        <v>37832</v>
      </c>
      <c r="BK57" s="73"/>
      <c r="BL57" s="73" t="n">
        <f aca="false">IF($A57&gt;=BM$32,IF($A57&lt;=BM$33,$BF57,0),0)</f>
        <v>0</v>
      </c>
      <c r="BM57" s="73" t="e">
        <f aca="false">BO57/BL57</f>
        <v>#DIV/0!</v>
      </c>
      <c r="BN57" s="1" t="n">
        <f aca="false">BL57*($B57+B$15)</f>
        <v>0</v>
      </c>
      <c r="BO57" s="47" t="n">
        <f aca="false">IF(ISNUMBER(((BN57/BL57)+B$16+$D57+$B$14)*BL57),((BN57/BL57)+B$16+$D57+$B$14)*BL57,0)</f>
        <v>0</v>
      </c>
      <c r="BP57" s="76" t="n">
        <f aca="false">IF($BL57=0,0,OSTRIP($BM57,$I57,$BJ57-$B$2,$BG57-$BJ57,$BH57-$BJ57,$B$10,$BE57,$F57,$G57,$B$23,$J57,$BQ$34,0))</f>
        <v>0</v>
      </c>
      <c r="BQ57" s="76" t="n">
        <f aca="false">IF($BL57=0,0,OSTRIP($BM57,$I57,$BJ57-$B$2,$BG57-$BJ57,$BH57-$BJ57,$B$10,$BE57,$F57,$G57,$B$23,$J57,$BQ$34,1))</f>
        <v>0</v>
      </c>
      <c r="BR57" s="76" t="n">
        <f aca="false">IF($BL57=0,0,OSTRIP($BM57,$I57,$BJ57-$B$2,$BG57-$BJ57,$BH57-$BJ57,$B$10,$BE57,$F57,$G57,$B$23,$J57,$BQ$34,BQ$35))</f>
        <v>0</v>
      </c>
      <c r="BS57" s="37" t="n">
        <f aca="false">BL57*BP57</f>
        <v>0</v>
      </c>
      <c r="BT57" s="37" t="n">
        <f aca="false">BL57*BQ57</f>
        <v>0</v>
      </c>
      <c r="BU57" s="37" t="n">
        <f aca="false">BL57*BR57</f>
        <v>0</v>
      </c>
      <c r="BV57" s="37" t="n">
        <f aca="false">BL57*G57</f>
        <v>0</v>
      </c>
      <c r="BX57" s="73" t="n">
        <f aca="false">IF($A57&gt;=BY$32,IF($A57&lt;=BY$33,$BF57,0),0)</f>
        <v>0</v>
      </c>
      <c r="BY57" s="186" t="e">
        <f aca="false">CA57/BX57</f>
        <v>#DIV/0!</v>
      </c>
      <c r="BZ57" s="1" t="n">
        <f aca="false">BX57*($B57+$D$15)</f>
        <v>0</v>
      </c>
      <c r="CA57" s="47" t="n">
        <f aca="false">IF(ISNUMBER(((BZ57/BX57)+$D$16+$N57+$D$14)*BX57),((BZ57/BX57)+$D$16+$N57+$D$14)*BX57,0)</f>
        <v>0</v>
      </c>
      <c r="CB57" s="76" t="n">
        <f aca="false">IF($BX57=0,0,OSTRIP($BY57,$S57,$BJ57-$B$2,$BG57-$BJ57,$BH57-$BJ57,$B$10,$BE57,$P57,$Q57,$D$23,$T57,$CC$34,0))</f>
        <v>0</v>
      </c>
      <c r="CC57" s="76" t="n">
        <f aca="false">IF($BX57=0,0,OSTRIP($BY57,$S57,$BJ57-$B$2,$BG57-$BJ57,$BH57-$BJ57,$B$10,$BE57,$P57,$Q57,$D$23,$T57,$CC$34,1))</f>
        <v>0</v>
      </c>
      <c r="CD57" s="76" t="n">
        <f aca="false">IF($BX57=0,0,OSTRIP($BY57,$S57,$BJ57-$B$2,$BG57-$BJ57,$BH57-$BJ57,$B$10,$BE57,$P57,$Q57,$D$23,$T57,$CC$34,CC$35))</f>
        <v>0</v>
      </c>
      <c r="CE57" s="37" t="n">
        <f aca="false">BX57*CB57</f>
        <v>0</v>
      </c>
      <c r="CF57" s="37" t="n">
        <f aca="false">BX57*CC57</f>
        <v>0</v>
      </c>
      <c r="CG57" s="37" t="n">
        <f aca="false">BX57*CD57</f>
        <v>0</v>
      </c>
      <c r="CH57" s="37" t="n">
        <f aca="false">BX57*Q57</f>
        <v>0</v>
      </c>
      <c r="CJ57" s="73" t="n">
        <f aca="false">IF($A57&gt;=CK$32,IF($A57&lt;=CK$33,$BF57,0),0)</f>
        <v>0</v>
      </c>
      <c r="CK57" s="186" t="e">
        <f aca="false">CM57/CJ57</f>
        <v>#DIV/0!</v>
      </c>
      <c r="CL57" s="1" t="n">
        <f aca="false">CJ57*($B57+$F$15)</f>
        <v>0</v>
      </c>
      <c r="CM57" s="47" t="n">
        <f aca="false">IF(ISNUMBER(((CL57/CJ57)+$F$16+$X57+$F$14)*CJ57),((CL57/CJ57)+$F$16+$X57+$F$14)*CJ57,0)</f>
        <v>0</v>
      </c>
      <c r="CN57" s="76" t="n">
        <f aca="false">IF($CJ57=0,0,OSTRIP($CK57,$AC57,$BJ57-$B$2,$BG57-$BJ57,$BH57-$BJ57,$B$10,$BE57,$Z57,$AA57,$F$23,$AD57,$CO$34,0))</f>
        <v>0</v>
      </c>
      <c r="CO57" s="76" t="n">
        <f aca="false">IF($CJ57=0,0,OSTRIP($CK57,$AC57,$BJ57-$B$2,$BG57-$BJ57,$BH57-$BJ57,$B$10,$BE57,$Z57,$AA57,$F$23,$AD57,$CO$34,1))</f>
        <v>0</v>
      </c>
      <c r="CP57" s="76" t="n">
        <f aca="false">IF($CJ57=0,0,OSTRIP($CK57,$AC57,$BJ57-$B$2,$BG57-$BJ57,$BH57-$BJ57,$B$10,$BE57,$Z57,$AA57,$F$23,$AD57,$CO$34,$CO$35))</f>
        <v>0</v>
      </c>
      <c r="CQ57" s="37" t="n">
        <f aca="false">CJ57*CN57</f>
        <v>0</v>
      </c>
      <c r="CR57" s="37" t="n">
        <f aca="false">CJ57*CO57</f>
        <v>0</v>
      </c>
      <c r="CS57" s="37" t="n">
        <f aca="false">CJ57*CP57</f>
        <v>0</v>
      </c>
      <c r="CT57" s="37" t="n">
        <f aca="false">CJ57*AA57</f>
        <v>0</v>
      </c>
      <c r="CV57" s="73" t="n">
        <f aca="false">IF($A57&gt;=CW$32,IF($A57&lt;=CW$33,$BF57,0),0)</f>
        <v>0</v>
      </c>
      <c r="CW57" s="186" t="e">
        <f aca="false">CY57/CV57</f>
        <v>#DIV/0!</v>
      </c>
      <c r="CX57" s="1" t="n">
        <f aca="false">CV57*($B57+$H$15)</f>
        <v>0</v>
      </c>
      <c r="CY57" s="47" t="n">
        <f aca="false">IF(ISNUMBER(((CX57/CV57)+$H$16+$AH57+$H$14)*CV57),((CX57/CV57)+$H$16+$AH57+$H$14)*CV57,0)</f>
        <v>0</v>
      </c>
      <c r="CZ57" s="76" t="n">
        <f aca="false">IF($CV57=0,0,OSTRIP($CW57,$AM57,$BJ57-$B$2,$BG57-$BJ57,$BH57-$BJ57,$B$10,$BE57,$AJ57,$AK57,$H$23,$AN57,$DA$34,0))</f>
        <v>0</v>
      </c>
      <c r="DA57" s="76" t="n">
        <f aca="false">IF($CV57=0,0,OSTRIP($CW57,$AM57,$BJ57-$B$2,$BG57-$BJ57,$BH57-$BJ57,$B$10,$BE57,$AJ57,$AK57,$H$23,$AN57,$DA$34,1))</f>
        <v>0</v>
      </c>
      <c r="DB57" s="76" t="n">
        <f aca="false">IF($CV57=0,0,OSTRIP($CW57,$AM57,$BJ57-$B$2,$BG57-$BJ57,$BH57-$BJ57,$B$10,$BE57,$AJ57,$AK57,$H$23,$AN57,$DA$34,DA$35))</f>
        <v>0</v>
      </c>
      <c r="DC57" s="37" t="n">
        <f aca="false">CV57*CZ57</f>
        <v>0</v>
      </c>
      <c r="DD57" s="37" t="n">
        <f aca="false">CV57*DA57</f>
        <v>0</v>
      </c>
      <c r="DE57" s="37" t="n">
        <f aca="false">CV57*DB57</f>
        <v>0</v>
      </c>
      <c r="DF57" s="37" t="n">
        <f aca="false">CV57*AK57</f>
        <v>0</v>
      </c>
    </row>
    <row r="58" customFormat="false" ht="12.75" hidden="false" customHeight="false" outlineLevel="0" collapsed="false">
      <c r="A58" s="62" t="n">
        <f aca="false">DATE(YEAR(A57),MONTH(A57)+1,1)</f>
        <v>37865</v>
      </c>
      <c r="B58" s="63" t="n">
        <f aca="false">VLOOKUP(A58,STRADDLE,5,FALSE())</f>
        <v>3.22</v>
      </c>
      <c r="C58" s="4" t="n">
        <f aca="false">VLOOKUP(A58,STRADDLE,8,FALSE())</f>
        <v>0.365</v>
      </c>
      <c r="D58" s="63" t="n">
        <f aca="false">IF(D$35="nymex",0,VLOOKUP($A58,curvesettle,HLOOKUP(D$35,curvesettle,2,FALSE())))</f>
        <v>0.315</v>
      </c>
      <c r="E58" s="65" t="n">
        <f aca="false">IF(ISNUMBER(VLOOKUP($A58,VOLCURVES,HLOOKUP(D$35,VOLCURVES,2,FALSE()),FALSE())),VLOOKUP($A58,VOLCURVES,HLOOKUP(D$35,VOLCURVES,2,FALSE()),FALSE()),1)</f>
        <v>0.98</v>
      </c>
      <c r="F58" s="4" t="n">
        <f aca="false">(($C58+H58)*$E58)+B$17</f>
        <v>0.4577</v>
      </c>
      <c r="G58" s="65" t="n">
        <f aca="false">VLOOKUP($A58,GASDVOLCURVES,HLOOKUP(D$36,GASDVOLCURVES,2,FALSE()),FALSE())+$B$18</f>
        <v>0.68</v>
      </c>
      <c r="H58" s="4" t="n">
        <f aca="false">IF($B$20=1,VLOOKUP($A58,skewtable,HLOOKUP(ROUND(I58-BM58,1),skewtable,2,FALSE()),FALSE())/100,0)</f>
        <v>0</v>
      </c>
      <c r="I58" s="66" t="e">
        <f aca="false">IF($B$10=1,($BM58*$B$23)-$B$14,$B$22)</f>
        <v>#DIV/0!</v>
      </c>
      <c r="J58" s="67" t="e">
        <f aca="false">I58-BM58+$B$24</f>
        <v>#DIV/0!</v>
      </c>
      <c r="K58" s="67"/>
      <c r="L58" s="183"/>
      <c r="M58" s="183"/>
      <c r="N58" s="63" t="n">
        <f aca="false">IF(N$35="nymex",0,VLOOKUP($A58,curvesettle,HLOOKUP(N$35,curvesettle,2,FALSE())))</f>
        <v>0.0325</v>
      </c>
      <c r="O58" s="65" t="n">
        <f aca="false">IF(ISNUMBER(VLOOKUP($A58,VOLCURVES,HLOOKUP(N$35,VOLCURVES,2,FALSE()),FALSE())),VLOOKUP($A58,VOLCURVES,HLOOKUP(N$35,VOLCURVES,2,FALSE()),FALSE()),1)</f>
        <v>1</v>
      </c>
      <c r="P58" s="184" t="n">
        <f aca="false">(($C58+R58)*O58)+$D$17</f>
        <v>0.365</v>
      </c>
      <c r="Q58" s="65" t="n">
        <f aca="false">VLOOKUP($A58,GASDVOLCURVES,HLOOKUP(N$36,GASDVOLCURVES,2,FALSE()),FALSE())+$D$18</f>
        <v>0.68</v>
      </c>
      <c r="R58" s="4" t="n">
        <f aca="false">IF($D$20=1,VLOOKUP($A58,skewtable,HLOOKUP(ROUND(S58-BY58,1),skewtable,2,FALSE()),FALSE())/100,0)</f>
        <v>0</v>
      </c>
      <c r="S58" s="66" t="e">
        <f aca="false">IF(B$10=1,($BY58*$D$23)-$D$14,$D$22)</f>
        <v>#DIV/0!</v>
      </c>
      <c r="T58" s="67" t="e">
        <f aca="false">S58-$BY58+$D$24</f>
        <v>#DIV/0!</v>
      </c>
      <c r="U58" s="0"/>
      <c r="V58" s="0"/>
      <c r="W58" s="0"/>
      <c r="X58" s="63" t="n">
        <f aca="false">IF(X$35="nymex",0,VLOOKUP($A58,curvesettle,HLOOKUP(X$35,curvesettle,2,FALSE())))</f>
        <v>0.14</v>
      </c>
      <c r="Y58" s="65" t="n">
        <f aca="false">IF(ISNUMBER(VLOOKUP($A58,VOLCURVES,HLOOKUP(X$35,VOLCURVES,2,FALSE()),FALSE())),VLOOKUP($A58,VOLCURVES,HLOOKUP(X$35,VOLCURVES,2,FALSE()),FALSE()),1)</f>
        <v>1</v>
      </c>
      <c r="Z58" s="184" t="n">
        <f aca="false">(($C58+AB58)*Y58)+$F$17</f>
        <v>0.365</v>
      </c>
      <c r="AA58" s="65" t="n">
        <f aca="false">VLOOKUP($A58,GASDVOLCURVES,HLOOKUP(X$36,GASDVOLCURVES,2,FALSE()),FALSE())+$F$18</f>
        <v>0.68</v>
      </c>
      <c r="AB58" s="4" t="n">
        <f aca="false">IF($F$20=1,VLOOKUP($A58,skewtable,HLOOKUP(ROUND(AC58-CK58,1),skewtable,2,FALSE()),FALSE())/100,0)</f>
        <v>0</v>
      </c>
      <c r="AC58" s="66" t="e">
        <f aca="false">IF($B$10=1,($CK58*$F$23)-$F$14,$F$22)</f>
        <v>#DIV/0!</v>
      </c>
      <c r="AD58" s="67" t="e">
        <f aca="false">AC58-$CK58+$F$24</f>
        <v>#DIV/0!</v>
      </c>
      <c r="AE58" s="0"/>
      <c r="AF58" s="0"/>
      <c r="AG58" s="0"/>
      <c r="AH58" s="63" t="n">
        <f aca="false">IF(AH$35="nymex",0,VLOOKUP($A58,curvesettle,HLOOKUP(AH$35,curvesettle,2,FALSE())))</f>
        <v>0.36</v>
      </c>
      <c r="AI58" s="65" t="n">
        <f aca="false">IF(ISNUMBER(VLOOKUP($A58,VOLCURVES,HLOOKUP(AH$35,VOLCURVES,2,FALSE()),FALSE())),VLOOKUP($A58,VOLCURVES,HLOOKUP(AH$35,VOLCURVES,2,FALSE()),FALSE()),1)</f>
        <v>1</v>
      </c>
      <c r="AJ58" s="184" t="n">
        <f aca="false">(($C58+AL58)*AI58)+$H$17</f>
        <v>0.365</v>
      </c>
      <c r="AK58" s="65" t="n">
        <f aca="false">VLOOKUP($A58,GASDVOLCURVES,HLOOKUP(AH$36,GASDVOLCURVES,2,FALSE()),FALSE())+$H$18</f>
        <v>1.13</v>
      </c>
      <c r="AL58" s="4" t="n">
        <f aca="false">IF($H$20=1,VLOOKUP($A58,skewtable,HLOOKUP(ROUND(AM58-CW58,1),skewtable,2,FALSE()),FALSE())/100,0)</f>
        <v>0</v>
      </c>
      <c r="AM58" s="66" t="e">
        <f aca="false">IF($B$10=1,($CW58*$H$23)-$H$14,$H$22)</f>
        <v>#DIV/0!</v>
      </c>
      <c r="AN58" s="67" t="e">
        <f aca="false">AM58-CW58+$H$24</f>
        <v>#DIV/0!</v>
      </c>
      <c r="AO58" s="0"/>
      <c r="AP58" s="0"/>
      <c r="AQ58" s="183"/>
      <c r="AR58" s="183"/>
      <c r="AU58" s="0"/>
      <c r="AV58" s="0"/>
      <c r="AW58" s="0"/>
      <c r="AX58" s="0"/>
      <c r="AY58" s="0"/>
      <c r="AZ58" s="0"/>
      <c r="BA58" s="0"/>
      <c r="BC58" s="64"/>
      <c r="BD58" s="64"/>
      <c r="BE58" s="4" t="n">
        <f aca="false">VLOOKUP($A58,STRADDLE,14,FALSE())</f>
        <v>0.0311023130071817</v>
      </c>
      <c r="BF58" s="72" t="n">
        <f aca="false">A59-A58</f>
        <v>30</v>
      </c>
      <c r="BG58" s="179" t="n">
        <f aca="false">A58+BG$35</f>
        <v>37865</v>
      </c>
      <c r="BH58" s="179" t="n">
        <f aca="false">A59-1</f>
        <v>37894</v>
      </c>
      <c r="BJ58" s="179" t="n">
        <f aca="true">IF(BJ$35=0,TODAY(),IF(BJ$36="NYMEX",VLOOKUP($A58,expiration,2,FALSE())+1,BG58))</f>
        <v>37861</v>
      </c>
      <c r="BK58" s="73"/>
      <c r="BL58" s="73" t="n">
        <f aca="false">IF($A58&gt;=BM$32,IF($A58&lt;=BM$33,$BF58,0),0)</f>
        <v>0</v>
      </c>
      <c r="BM58" s="73" t="e">
        <f aca="false">BO58/BL58</f>
        <v>#DIV/0!</v>
      </c>
      <c r="BN58" s="1" t="n">
        <f aca="false">BL58*($B58+B$15)</f>
        <v>0</v>
      </c>
      <c r="BO58" s="47" t="n">
        <f aca="false">IF(ISNUMBER(((BN58/BL58)+B$16+$D58+$B$14)*BL58),((BN58/BL58)+B$16+$D58+$B$14)*BL58,0)</f>
        <v>0</v>
      </c>
      <c r="BP58" s="76" t="n">
        <f aca="false">IF($BL58=0,0,OSTRIP($BM58,$I58,$BJ58-$B$2,$BG58-$BJ58,$BH58-$BJ58,$B$10,$BE58,$F58,$G58,$B$23,$J58,$BQ$34,0))</f>
        <v>0</v>
      </c>
      <c r="BQ58" s="76" t="n">
        <f aca="false">IF($BL58=0,0,OSTRIP($BM58,$I58,$BJ58-$B$2,$BG58-$BJ58,$BH58-$BJ58,$B$10,$BE58,$F58,$G58,$B$23,$J58,$BQ$34,1))</f>
        <v>0</v>
      </c>
      <c r="BR58" s="76" t="n">
        <f aca="false">IF($BL58=0,0,OSTRIP($BM58,$I58,$BJ58-$B$2,$BG58-$BJ58,$BH58-$BJ58,$B$10,$BE58,$F58,$G58,$B$23,$J58,$BQ$34,BQ$35))</f>
        <v>0</v>
      </c>
      <c r="BS58" s="37" t="n">
        <f aca="false">BL58*BP58</f>
        <v>0</v>
      </c>
      <c r="BT58" s="37" t="n">
        <f aca="false">BL58*BQ58</f>
        <v>0</v>
      </c>
      <c r="BU58" s="37" t="n">
        <f aca="false">BL58*BR58</f>
        <v>0</v>
      </c>
      <c r="BV58" s="37" t="n">
        <f aca="false">BL58*G58</f>
        <v>0</v>
      </c>
      <c r="BX58" s="73" t="n">
        <f aca="false">IF($A58&gt;=BY$32,IF($A58&lt;=BY$33,$BF58,0),0)</f>
        <v>0</v>
      </c>
      <c r="BY58" s="186" t="e">
        <f aca="false">CA58/BX58</f>
        <v>#DIV/0!</v>
      </c>
      <c r="BZ58" s="1" t="n">
        <f aca="false">BX58*($B58+$D$15)</f>
        <v>0</v>
      </c>
      <c r="CA58" s="47" t="n">
        <f aca="false">IF(ISNUMBER(((BZ58/BX58)+$D$16+$N58+$D$14)*BX58),((BZ58/BX58)+$D$16+$N58+$D$14)*BX58,0)</f>
        <v>0</v>
      </c>
      <c r="CB58" s="76" t="n">
        <f aca="false">IF($BX58=0,0,OSTRIP($BY58,$S58,$BJ58-$B$2,$BG58-$BJ58,$BH58-$BJ58,$B$10,$BE58,$P58,$Q58,$D$23,$T58,$CC$34,0))</f>
        <v>0</v>
      </c>
      <c r="CC58" s="76" t="n">
        <f aca="false">IF($BX58=0,0,OSTRIP($BY58,$S58,$BJ58-$B$2,$BG58-$BJ58,$BH58-$BJ58,$B$10,$BE58,$P58,$Q58,$D$23,$T58,$CC$34,1))</f>
        <v>0</v>
      </c>
      <c r="CD58" s="76" t="n">
        <f aca="false">IF($BX58=0,0,OSTRIP($BY58,$S58,$BJ58-$B$2,$BG58-$BJ58,$BH58-$BJ58,$B$10,$BE58,$P58,$Q58,$D$23,$T58,$CC$34,CC$35))</f>
        <v>0</v>
      </c>
      <c r="CE58" s="37" t="n">
        <f aca="false">BX58*CB58</f>
        <v>0</v>
      </c>
      <c r="CF58" s="37" t="n">
        <f aca="false">BX58*CC58</f>
        <v>0</v>
      </c>
      <c r="CG58" s="37" t="n">
        <f aca="false">BX58*CD58</f>
        <v>0</v>
      </c>
      <c r="CH58" s="37" t="n">
        <f aca="false">BX58*Q58</f>
        <v>0</v>
      </c>
      <c r="CJ58" s="73" t="n">
        <f aca="false">IF($A58&gt;=CK$32,IF($A58&lt;=CK$33,$BF58,0),0)</f>
        <v>0</v>
      </c>
      <c r="CK58" s="186" t="e">
        <f aca="false">CM58/CJ58</f>
        <v>#DIV/0!</v>
      </c>
      <c r="CL58" s="1" t="n">
        <f aca="false">CJ58*($B58+$F$15)</f>
        <v>0</v>
      </c>
      <c r="CM58" s="47" t="n">
        <f aca="false">IF(ISNUMBER(((CL58/CJ58)+$F$16+$X58+$F$14)*CJ58),((CL58/CJ58)+$F$16+$X58+$F$14)*CJ58,0)</f>
        <v>0</v>
      </c>
      <c r="CN58" s="76" t="n">
        <f aca="false">IF($CJ58=0,0,OSTRIP($CK58,$AC58,$BJ58-$B$2,$BG58-$BJ58,$BH58-$BJ58,$B$10,$BE58,$Z58,$AA58,$F$23,$AD58,$CO$34,0))</f>
        <v>0</v>
      </c>
      <c r="CO58" s="76" t="n">
        <f aca="false">IF($CJ58=0,0,OSTRIP($CK58,$AC58,$BJ58-$B$2,$BG58-$BJ58,$BH58-$BJ58,$B$10,$BE58,$Z58,$AA58,$F$23,$AD58,$CO$34,1))</f>
        <v>0</v>
      </c>
      <c r="CP58" s="76" t="n">
        <f aca="false">IF($CJ58=0,0,OSTRIP($CK58,$AC58,$BJ58-$B$2,$BG58-$BJ58,$BH58-$BJ58,$B$10,$BE58,$Z58,$AA58,$F$23,$AD58,$CO$34,$CO$35))</f>
        <v>0</v>
      </c>
      <c r="CQ58" s="37" t="n">
        <f aca="false">CJ58*CN58</f>
        <v>0</v>
      </c>
      <c r="CR58" s="37" t="n">
        <f aca="false">CJ58*CO58</f>
        <v>0</v>
      </c>
      <c r="CS58" s="37" t="n">
        <f aca="false">CJ58*CP58</f>
        <v>0</v>
      </c>
      <c r="CT58" s="37" t="n">
        <f aca="false">CJ58*AA58</f>
        <v>0</v>
      </c>
      <c r="CV58" s="73" t="n">
        <f aca="false">IF($A58&gt;=CW$32,IF($A58&lt;=CW$33,$BF58,0),0)</f>
        <v>0</v>
      </c>
      <c r="CW58" s="186" t="e">
        <f aca="false">CY58/CV58</f>
        <v>#DIV/0!</v>
      </c>
      <c r="CX58" s="1" t="n">
        <f aca="false">CV58*($B58+$H$15)</f>
        <v>0</v>
      </c>
      <c r="CY58" s="47" t="n">
        <f aca="false">IF(ISNUMBER(((CX58/CV58)+$H$16+$AH58+$H$14)*CV58),((CX58/CV58)+$H$16+$AH58+$H$14)*CV58,0)</f>
        <v>0</v>
      </c>
      <c r="CZ58" s="76" t="n">
        <f aca="false">IF($CV58=0,0,OSTRIP($CW58,$AM58,$BJ58-$B$2,$BG58-$BJ58,$BH58-$BJ58,$B$10,$BE58,$AJ58,$AK58,$H$23,$AN58,$DA$34,0))</f>
        <v>0</v>
      </c>
      <c r="DA58" s="76" t="n">
        <f aca="false">IF($CV58=0,0,OSTRIP($CW58,$AM58,$BJ58-$B$2,$BG58-$BJ58,$BH58-$BJ58,$B$10,$BE58,$AJ58,$AK58,$H$23,$AN58,$DA$34,1))</f>
        <v>0</v>
      </c>
      <c r="DB58" s="76" t="n">
        <f aca="false">IF($CV58=0,0,OSTRIP($CW58,$AM58,$BJ58-$B$2,$BG58-$BJ58,$BH58-$BJ58,$B$10,$BE58,$AJ58,$AK58,$H$23,$AN58,$DA$34,DA$35))</f>
        <v>0</v>
      </c>
      <c r="DC58" s="37" t="n">
        <f aca="false">CV58*CZ58</f>
        <v>0</v>
      </c>
      <c r="DD58" s="37" t="n">
        <f aca="false">CV58*DA58</f>
        <v>0</v>
      </c>
      <c r="DE58" s="37" t="n">
        <f aca="false">CV58*DB58</f>
        <v>0</v>
      </c>
      <c r="DF58" s="37" t="n">
        <f aca="false">CV58*AK58</f>
        <v>0</v>
      </c>
    </row>
    <row r="59" customFormat="false" ht="12.75" hidden="false" customHeight="false" outlineLevel="0" collapsed="false">
      <c r="A59" s="62" t="n">
        <f aca="false">DATE(YEAR(A58),MONTH(A58)+1,1)</f>
        <v>37895</v>
      </c>
      <c r="B59" s="63" t="n">
        <f aca="false">VLOOKUP(A59,STRADDLE,5,FALSE())</f>
        <v>3.24</v>
      </c>
      <c r="C59" s="4" t="n">
        <f aca="false">VLOOKUP(A59,STRADDLE,8,FALSE())</f>
        <v>0.3675</v>
      </c>
      <c r="D59" s="63" t="n">
        <f aca="false">IF(D$35="nymex",0,VLOOKUP($A59,curvesettle,HLOOKUP(D$35,curvesettle,2,FALSE())))</f>
        <v>0.36</v>
      </c>
      <c r="E59" s="65" t="n">
        <f aca="false">IF(ISNUMBER(VLOOKUP($A59,VOLCURVES,HLOOKUP(D$35,VOLCURVES,2,FALSE()),FALSE())),VLOOKUP($A59,VOLCURVES,HLOOKUP(D$35,VOLCURVES,2,FALSE()),FALSE()),1)</f>
        <v>0.98</v>
      </c>
      <c r="F59" s="4" t="n">
        <f aca="false">(($C59+H59)*$E59)+B$17</f>
        <v>0.46015</v>
      </c>
      <c r="G59" s="65" t="n">
        <f aca="false">VLOOKUP($A59,GASDVOLCURVES,HLOOKUP(D$36,GASDVOLCURVES,2,FALSE()),FALSE())+$B$18</f>
        <v>0.73</v>
      </c>
      <c r="H59" s="4" t="n">
        <f aca="false">IF($B$20=1,VLOOKUP($A59,skewtable,HLOOKUP(ROUND(I59-BM59,1),skewtable,2,FALSE()),FALSE())/100,0)</f>
        <v>0</v>
      </c>
      <c r="I59" s="66" t="e">
        <f aca="false">IF($B$10=1,($BM59*$B$23)-$B$14,$B$22)</f>
        <v>#DIV/0!</v>
      </c>
      <c r="J59" s="67" t="e">
        <f aca="false">I59-BM59+$B$24</f>
        <v>#DIV/0!</v>
      </c>
      <c r="K59" s="67"/>
      <c r="L59" s="183"/>
      <c r="M59" s="183"/>
      <c r="N59" s="63" t="n">
        <f aca="false">IF(N$35="nymex",0,VLOOKUP($A59,curvesettle,HLOOKUP(N$35,curvesettle,2,FALSE())))</f>
        <v>0.0225</v>
      </c>
      <c r="O59" s="65" t="n">
        <f aca="false">IF(ISNUMBER(VLOOKUP($A59,VOLCURVES,HLOOKUP(N$35,VOLCURVES,2,FALSE()),FALSE())),VLOOKUP($A59,VOLCURVES,HLOOKUP(N$35,VOLCURVES,2,FALSE()),FALSE()),1)</f>
        <v>1</v>
      </c>
      <c r="P59" s="184" t="n">
        <f aca="false">(($C59+R59)*O59)+$D$17</f>
        <v>0.3675</v>
      </c>
      <c r="Q59" s="65" t="n">
        <f aca="false">VLOOKUP($A59,GASDVOLCURVES,HLOOKUP(N$36,GASDVOLCURVES,2,FALSE()),FALSE())+$D$18</f>
        <v>0.73</v>
      </c>
      <c r="R59" s="4" t="n">
        <f aca="false">IF($D$20=1,VLOOKUP($A59,skewtable,HLOOKUP(ROUND(S59-BY59,1),skewtable,2,FALSE()),FALSE())/100,0)</f>
        <v>0</v>
      </c>
      <c r="S59" s="66" t="e">
        <f aca="false">IF(B$10=1,($BY59*$D$23)-$D$14,$D$22)</f>
        <v>#DIV/0!</v>
      </c>
      <c r="T59" s="67" t="e">
        <f aca="false">S59-$BY59+$D$24</f>
        <v>#DIV/0!</v>
      </c>
      <c r="U59" s="0"/>
      <c r="V59" s="0"/>
      <c r="W59" s="0"/>
      <c r="X59" s="63" t="n">
        <f aca="false">IF(X$35="nymex",0,VLOOKUP($A59,curvesettle,HLOOKUP(X$35,curvesettle,2,FALSE())))</f>
        <v>0.14</v>
      </c>
      <c r="Y59" s="65" t="n">
        <f aca="false">IF(ISNUMBER(VLOOKUP($A59,VOLCURVES,HLOOKUP(X$35,VOLCURVES,2,FALSE()),FALSE())),VLOOKUP($A59,VOLCURVES,HLOOKUP(X$35,VOLCURVES,2,FALSE()),FALSE()),1)</f>
        <v>1</v>
      </c>
      <c r="Z59" s="184" t="n">
        <f aca="false">(($C59+AB59)*Y59)+$F$17</f>
        <v>0.3675</v>
      </c>
      <c r="AA59" s="65" t="n">
        <f aca="false">VLOOKUP($A59,GASDVOLCURVES,HLOOKUP(X$36,GASDVOLCURVES,2,FALSE()),FALSE())+$F$18</f>
        <v>0.73</v>
      </c>
      <c r="AB59" s="4" t="n">
        <f aca="false">IF($F$20=1,VLOOKUP($A59,skewtable,HLOOKUP(ROUND(AC59-CK59,1),skewtable,2,FALSE()),FALSE())/100,0)</f>
        <v>0</v>
      </c>
      <c r="AC59" s="66" t="e">
        <f aca="false">IF($B$10=1,($CK59*$F$23)-$F$14,$F$22)</f>
        <v>#DIV/0!</v>
      </c>
      <c r="AD59" s="67" t="e">
        <f aca="false">AC59-$CK59+$F$24</f>
        <v>#DIV/0!</v>
      </c>
      <c r="AE59" s="0"/>
      <c r="AF59" s="0"/>
      <c r="AG59" s="0"/>
      <c r="AH59" s="63" t="n">
        <f aca="false">IF(AH$35="nymex",0,VLOOKUP($A59,curvesettle,HLOOKUP(AH$35,curvesettle,2,FALSE())))</f>
        <v>0.4</v>
      </c>
      <c r="AI59" s="65" t="n">
        <f aca="false">IF(ISNUMBER(VLOOKUP($A59,VOLCURVES,HLOOKUP(AH$35,VOLCURVES,2,FALSE()),FALSE())),VLOOKUP($A59,VOLCURVES,HLOOKUP(AH$35,VOLCURVES,2,FALSE()),FALSE()),1)</f>
        <v>1</v>
      </c>
      <c r="AJ59" s="184" t="n">
        <f aca="false">(($C59+AL59)*AI59)+$H$17</f>
        <v>0.3675</v>
      </c>
      <c r="AK59" s="65" t="n">
        <f aca="false">VLOOKUP($A59,GASDVOLCURVES,HLOOKUP(AH$36,GASDVOLCURVES,2,FALSE()),FALSE())+$H$18</f>
        <v>1.18</v>
      </c>
      <c r="AL59" s="4" t="n">
        <f aca="false">IF($H$20=1,VLOOKUP($A59,skewtable,HLOOKUP(ROUND(AM59-CW59,1),skewtable,2,FALSE()),FALSE())/100,0)</f>
        <v>0</v>
      </c>
      <c r="AM59" s="66" t="e">
        <f aca="false">IF($B$10=1,($CW59*$H$23)-$H$14,$H$22)</f>
        <v>#DIV/0!</v>
      </c>
      <c r="AN59" s="67" t="e">
        <f aca="false">AM59-CW59+$H$24</f>
        <v>#DIV/0!</v>
      </c>
      <c r="AO59" s="0"/>
      <c r="AP59" s="0"/>
      <c r="AQ59" s="183"/>
      <c r="AR59" s="183"/>
      <c r="AU59" s="0"/>
      <c r="AV59" s="0"/>
      <c r="AW59" s="0"/>
      <c r="AX59" s="0"/>
      <c r="AY59" s="0"/>
      <c r="AZ59" s="0"/>
      <c r="BA59" s="0"/>
      <c r="BC59" s="64"/>
      <c r="BD59" s="64"/>
      <c r="BE59" s="4" t="n">
        <f aca="false">VLOOKUP($A59,STRADDLE,14,FALSE())</f>
        <v>0.0320061320910012</v>
      </c>
      <c r="BF59" s="72" t="n">
        <f aca="false">A60-A59</f>
        <v>31</v>
      </c>
      <c r="BG59" s="179" t="n">
        <f aca="false">A59+BG$35</f>
        <v>37895</v>
      </c>
      <c r="BH59" s="179" t="n">
        <f aca="false">A60-1</f>
        <v>37925</v>
      </c>
      <c r="BJ59" s="179" t="n">
        <f aca="true">IF(BJ$35=0,TODAY(),IF(BJ$36="NYMEX",VLOOKUP($A59,expiration,2,FALSE())+1,BG59))</f>
        <v>37891</v>
      </c>
      <c r="BK59" s="73"/>
      <c r="BL59" s="73" t="n">
        <f aca="false">IF($A59&gt;=BM$32,IF($A59&lt;=BM$33,$BF59,0),0)</f>
        <v>0</v>
      </c>
      <c r="BM59" s="73" t="e">
        <f aca="false">BO59/BL59</f>
        <v>#DIV/0!</v>
      </c>
      <c r="BN59" s="1" t="n">
        <f aca="false">BL59*($B59+B$15)</f>
        <v>0</v>
      </c>
      <c r="BO59" s="47" t="n">
        <f aca="false">IF(ISNUMBER(((BN59/BL59)+B$16+$D59+$B$14)*BL59),((BN59/BL59)+B$16+$D59+$B$14)*BL59,0)</f>
        <v>0</v>
      </c>
      <c r="BP59" s="76" t="n">
        <f aca="false">IF($BL59=0,0,OSTRIP($BM59,$I59,$BJ59-$B$2,$BG59-$BJ59,$BH59-$BJ59,$B$10,$BE59,$F59,$G59,$B$23,$J59,$BQ$34,0))</f>
        <v>0</v>
      </c>
      <c r="BQ59" s="76" t="n">
        <f aca="false">IF($BL59=0,0,OSTRIP($BM59,$I59,$BJ59-$B$2,$BG59-$BJ59,$BH59-$BJ59,$B$10,$BE59,$F59,$G59,$B$23,$J59,$BQ$34,1))</f>
        <v>0</v>
      </c>
      <c r="BR59" s="76" t="n">
        <f aca="false">IF($BL59=0,0,OSTRIP($BM59,$I59,$BJ59-$B$2,$BG59-$BJ59,$BH59-$BJ59,$B$10,$BE59,$F59,$G59,$B$23,$J59,$BQ$34,BQ$35))</f>
        <v>0</v>
      </c>
      <c r="BS59" s="37" t="n">
        <f aca="false">BL59*BP59</f>
        <v>0</v>
      </c>
      <c r="BT59" s="37" t="n">
        <f aca="false">BL59*BQ59</f>
        <v>0</v>
      </c>
      <c r="BU59" s="37" t="n">
        <f aca="false">BL59*BR59</f>
        <v>0</v>
      </c>
      <c r="BV59" s="37" t="n">
        <f aca="false">BL59*G59</f>
        <v>0</v>
      </c>
      <c r="BX59" s="73" t="n">
        <f aca="false">IF($A59&gt;=BY$32,IF($A59&lt;=BY$33,$BF59,0),0)</f>
        <v>0</v>
      </c>
      <c r="BY59" s="186" t="e">
        <f aca="false">CA59/BX59</f>
        <v>#DIV/0!</v>
      </c>
      <c r="BZ59" s="1" t="n">
        <f aca="false">BX59*($B59+$D$15)</f>
        <v>0</v>
      </c>
      <c r="CA59" s="47" t="n">
        <f aca="false">IF(ISNUMBER(((BZ59/BX59)+$D$16+$N59+$D$14)*BX59),((BZ59/BX59)+$D$16+$N59+$D$14)*BX59,0)</f>
        <v>0</v>
      </c>
      <c r="CB59" s="76" t="n">
        <f aca="false">IF($BX59=0,0,OSTRIP($BY59,$S59,$BJ59-$B$2,$BG59-$BJ59,$BH59-$BJ59,$B$10,$BE59,$P59,$Q59,$D$23,$T59,$CC$34,0))</f>
        <v>0</v>
      </c>
      <c r="CC59" s="76" t="n">
        <f aca="false">IF($BX59=0,0,OSTRIP($BY59,$S59,$BJ59-$B$2,$BG59-$BJ59,$BH59-$BJ59,$B$10,$BE59,$P59,$Q59,$D$23,$T59,$CC$34,1))</f>
        <v>0</v>
      </c>
      <c r="CD59" s="76" t="n">
        <f aca="false">IF($BX59=0,0,OSTRIP($BY59,$S59,$BJ59-$B$2,$BG59-$BJ59,$BH59-$BJ59,$B$10,$BE59,$P59,$Q59,$D$23,$T59,$CC$34,CC$35))</f>
        <v>0</v>
      </c>
      <c r="CE59" s="37" t="n">
        <f aca="false">BX59*CB59</f>
        <v>0</v>
      </c>
      <c r="CF59" s="37" t="n">
        <f aca="false">BX59*CC59</f>
        <v>0</v>
      </c>
      <c r="CG59" s="37" t="n">
        <f aca="false">BX59*CD59</f>
        <v>0</v>
      </c>
      <c r="CH59" s="37" t="n">
        <f aca="false">BX59*Q59</f>
        <v>0</v>
      </c>
      <c r="CJ59" s="73" t="n">
        <f aca="false">IF($A59&gt;=CK$32,IF($A59&lt;=CK$33,$BF59,0),0)</f>
        <v>0</v>
      </c>
      <c r="CK59" s="186" t="e">
        <f aca="false">CM59/CJ59</f>
        <v>#DIV/0!</v>
      </c>
      <c r="CL59" s="1" t="n">
        <f aca="false">CJ59*($B59+$F$15)</f>
        <v>0</v>
      </c>
      <c r="CM59" s="47" t="n">
        <f aca="false">IF(ISNUMBER(((CL59/CJ59)+$F$16+$X59+$F$14)*CJ59),((CL59/CJ59)+$F$16+$X59+$F$14)*CJ59,0)</f>
        <v>0</v>
      </c>
      <c r="CN59" s="76" t="n">
        <f aca="false">IF($CJ59=0,0,OSTRIP($CK59,$AC59,$BJ59-$B$2,$BG59-$BJ59,$BH59-$BJ59,$B$10,$BE59,$Z59,$AA59,$F$23,$AD59,$CO$34,0))</f>
        <v>0</v>
      </c>
      <c r="CO59" s="76" t="n">
        <f aca="false">IF($CJ59=0,0,OSTRIP($CK59,$AC59,$BJ59-$B$2,$BG59-$BJ59,$BH59-$BJ59,$B$10,$BE59,$Z59,$AA59,$F$23,$AD59,$CO$34,1))</f>
        <v>0</v>
      </c>
      <c r="CP59" s="76" t="n">
        <f aca="false">IF($CJ59=0,0,OSTRIP($CK59,$AC59,$BJ59-$B$2,$BG59-$BJ59,$BH59-$BJ59,$B$10,$BE59,$Z59,$AA59,$F$23,$AD59,$CO$34,$CO$35))</f>
        <v>0</v>
      </c>
      <c r="CQ59" s="37" t="n">
        <f aca="false">CJ59*CN59</f>
        <v>0</v>
      </c>
      <c r="CR59" s="37" t="n">
        <f aca="false">CJ59*CO59</f>
        <v>0</v>
      </c>
      <c r="CS59" s="37" t="n">
        <f aca="false">CJ59*CP59</f>
        <v>0</v>
      </c>
      <c r="CT59" s="37" t="n">
        <f aca="false">CJ59*AA59</f>
        <v>0</v>
      </c>
      <c r="CV59" s="73" t="n">
        <f aca="false">IF($A59&gt;=CW$32,IF($A59&lt;=CW$33,$BF59,0),0)</f>
        <v>0</v>
      </c>
      <c r="CW59" s="186" t="e">
        <f aca="false">CY59/CV59</f>
        <v>#DIV/0!</v>
      </c>
      <c r="CX59" s="1" t="n">
        <f aca="false">CV59*($B59+$H$15)</f>
        <v>0</v>
      </c>
      <c r="CY59" s="47" t="n">
        <f aca="false">IF(ISNUMBER(((CX59/CV59)+$H$16+$AH59+$H$14)*CV59),((CX59/CV59)+$H$16+$AH59+$H$14)*CV59,0)</f>
        <v>0</v>
      </c>
      <c r="CZ59" s="76" t="n">
        <f aca="false">IF($CV59=0,0,OSTRIP($CW59,$AM59,$BJ59-$B$2,$BG59-$BJ59,$BH59-$BJ59,$B$10,$BE59,$AJ59,$AK59,$H$23,$AN59,$DA$34,0))</f>
        <v>0</v>
      </c>
      <c r="DA59" s="76" t="n">
        <f aca="false">IF($CV59=0,0,OSTRIP($CW59,$AM59,$BJ59-$B$2,$BG59-$BJ59,$BH59-$BJ59,$B$10,$BE59,$AJ59,$AK59,$H$23,$AN59,$DA$34,1))</f>
        <v>0</v>
      </c>
      <c r="DB59" s="76" t="n">
        <f aca="false">IF($CV59=0,0,OSTRIP($CW59,$AM59,$BJ59-$B$2,$BG59-$BJ59,$BH59-$BJ59,$B$10,$BE59,$AJ59,$AK59,$H$23,$AN59,$DA$34,DA$35))</f>
        <v>0</v>
      </c>
      <c r="DC59" s="37" t="n">
        <f aca="false">CV59*CZ59</f>
        <v>0</v>
      </c>
      <c r="DD59" s="37" t="n">
        <f aca="false">CV59*DA59</f>
        <v>0</v>
      </c>
      <c r="DE59" s="37" t="n">
        <f aca="false">CV59*DB59</f>
        <v>0</v>
      </c>
      <c r="DF59" s="37" t="n">
        <f aca="false">CV59*AK59</f>
        <v>0</v>
      </c>
    </row>
    <row r="60" customFormat="false" ht="12.75" hidden="false" customHeight="false" outlineLevel="0" collapsed="false">
      <c r="A60" s="62" t="n">
        <f aca="false">DATE(YEAR(A59),MONTH(A59)+1,1)</f>
        <v>37926</v>
      </c>
      <c r="B60" s="63" t="n">
        <f aca="false">VLOOKUP(A60,STRADDLE,5,FALSE())</f>
        <v>3.375</v>
      </c>
      <c r="C60" s="4" t="n">
        <f aca="false">VLOOKUP(A60,STRADDLE,8,FALSE())</f>
        <v>0.37</v>
      </c>
      <c r="D60" s="63" t="n">
        <f aca="false">IF(D$35="nymex",0,VLOOKUP($A60,curvesettle,HLOOKUP(D$35,curvesettle,2,FALSE())))</f>
        <v>0.46</v>
      </c>
      <c r="E60" s="65" t="n">
        <f aca="false">IF(ISNUMBER(VLOOKUP($A60,VOLCURVES,HLOOKUP(D$35,VOLCURVES,2,FALSE()),FALSE())),VLOOKUP($A60,VOLCURVES,HLOOKUP(D$35,VOLCURVES,2,FALSE()),FALSE()),1)</f>
        <v>1.1</v>
      </c>
      <c r="F60" s="4" t="n">
        <f aca="false">(($C60+H60)*$E60)+B$17</f>
        <v>0.507</v>
      </c>
      <c r="G60" s="65" t="n">
        <f aca="false">VLOOKUP($A60,GASDVOLCURVES,HLOOKUP(D$36,GASDVOLCURVES,2,FALSE()),FALSE())+$B$18</f>
        <v>0.93</v>
      </c>
      <c r="H60" s="4" t="n">
        <f aca="false">IF($B$20=1,VLOOKUP($A60,skewtable,HLOOKUP(ROUND(I60-BM60,1),skewtable,2,FALSE()),FALSE())/100,0)</f>
        <v>0</v>
      </c>
      <c r="I60" s="66" t="e">
        <f aca="false">IF($B$10=1,($BM60*$B$23)-$B$14,$B$22)</f>
        <v>#DIV/0!</v>
      </c>
      <c r="J60" s="67" t="e">
        <f aca="false">I60-BM60+$B$24</f>
        <v>#DIV/0!</v>
      </c>
      <c r="K60" s="67"/>
      <c r="L60" s="183"/>
      <c r="M60" s="183"/>
      <c r="N60" s="63" t="n">
        <f aca="false">IF(N$35="nymex",0,VLOOKUP($A60,curvesettle,HLOOKUP(N$35,curvesettle,2,FALSE())))</f>
        <v>-0.025</v>
      </c>
      <c r="O60" s="65" t="n">
        <f aca="false">IF(ISNUMBER(VLOOKUP($A60,VOLCURVES,HLOOKUP(N$35,VOLCURVES,2,FALSE()),FALSE())),VLOOKUP($A60,VOLCURVES,HLOOKUP(N$35,VOLCURVES,2,FALSE()),FALSE()),1)</f>
        <v>1</v>
      </c>
      <c r="P60" s="184" t="n">
        <f aca="false">(($C60+R60)*O60)+$D$17</f>
        <v>0.37</v>
      </c>
      <c r="Q60" s="65" t="n">
        <f aca="false">VLOOKUP($A60,GASDVOLCURVES,HLOOKUP(N$36,GASDVOLCURVES,2,FALSE()),FALSE())+$D$18</f>
        <v>0.93</v>
      </c>
      <c r="R60" s="4" t="n">
        <f aca="false">IF($D$20=1,VLOOKUP($A60,skewtable,HLOOKUP(ROUND(S60-BY60,1),skewtable,2,FALSE()),FALSE())/100,0)</f>
        <v>0</v>
      </c>
      <c r="S60" s="66" t="e">
        <f aca="false">IF(B$10=1,($BY60*$D$23)-$D$14,$D$22)</f>
        <v>#DIV/0!</v>
      </c>
      <c r="T60" s="67" t="e">
        <f aca="false">S60-$BY60+$D$24</f>
        <v>#DIV/0!</v>
      </c>
      <c r="U60" s="0"/>
      <c r="V60" s="0"/>
      <c r="W60" s="0"/>
      <c r="X60" s="63" t="n">
        <f aca="false">IF(X$35="nymex",0,VLOOKUP($A60,curvesettle,HLOOKUP(X$35,curvesettle,2,FALSE())))</f>
        <v>0.17</v>
      </c>
      <c r="Y60" s="65" t="n">
        <f aca="false">IF(ISNUMBER(VLOOKUP($A60,VOLCURVES,HLOOKUP(X$35,VOLCURVES,2,FALSE()),FALSE())),VLOOKUP($A60,VOLCURVES,HLOOKUP(X$35,VOLCURVES,2,FALSE()),FALSE()),1)</f>
        <v>1</v>
      </c>
      <c r="Z60" s="184" t="n">
        <f aca="false">(($C60+AB60)*Y60)+$F$17</f>
        <v>0.37</v>
      </c>
      <c r="AA60" s="65" t="n">
        <f aca="false">VLOOKUP($A60,GASDVOLCURVES,HLOOKUP(X$36,GASDVOLCURVES,2,FALSE()),FALSE())+$F$18</f>
        <v>0.93</v>
      </c>
      <c r="AB60" s="4" t="n">
        <f aca="false">IF($F$20=1,VLOOKUP($A60,skewtable,HLOOKUP(ROUND(AC60-CK60,1),skewtable,2,FALSE()),FALSE())/100,0)</f>
        <v>0</v>
      </c>
      <c r="AC60" s="66" t="e">
        <f aca="false">IF($B$10=1,($CK60*$F$23)-$F$14,$F$22)</f>
        <v>#DIV/0!</v>
      </c>
      <c r="AD60" s="67" t="e">
        <f aca="false">AC60-$CK60+$F$24</f>
        <v>#DIV/0!</v>
      </c>
      <c r="AE60" s="0"/>
      <c r="AF60" s="0"/>
      <c r="AG60" s="0"/>
      <c r="AH60" s="63" t="n">
        <f aca="false">IF(AH$35="nymex",0,VLOOKUP($A60,curvesettle,HLOOKUP(AH$35,curvesettle,2,FALSE())))</f>
        <v>0.64</v>
      </c>
      <c r="AI60" s="65" t="n">
        <f aca="false">IF(ISNUMBER(VLOOKUP($A60,VOLCURVES,HLOOKUP(AH$35,VOLCURVES,2,FALSE()),FALSE())),VLOOKUP($A60,VOLCURVES,HLOOKUP(AH$35,VOLCURVES,2,FALSE()),FALSE()),1)</f>
        <v>1.1</v>
      </c>
      <c r="AJ60" s="184" t="n">
        <f aca="false">(($C60+AL60)*AI60)+$H$17</f>
        <v>0.407</v>
      </c>
      <c r="AK60" s="65" t="n">
        <f aca="false">VLOOKUP($A60,GASDVOLCURVES,HLOOKUP(AH$36,GASDVOLCURVES,2,FALSE()),FALSE())+$H$18</f>
        <v>1.48</v>
      </c>
      <c r="AL60" s="4" t="n">
        <f aca="false">IF($H$20=1,VLOOKUP($A60,skewtable,HLOOKUP(ROUND(AM60-CW60,1),skewtable,2,FALSE()),FALSE())/100,0)</f>
        <v>0</v>
      </c>
      <c r="AM60" s="66" t="e">
        <f aca="false">IF($B$10=1,($CW60*$H$23)-$H$14,$H$22)</f>
        <v>#DIV/0!</v>
      </c>
      <c r="AN60" s="67" t="e">
        <f aca="false">AM60-CW60+$H$24</f>
        <v>#DIV/0!</v>
      </c>
      <c r="AO60" s="0"/>
      <c r="AP60" s="0"/>
      <c r="AQ60" s="183"/>
      <c r="AR60" s="183"/>
      <c r="AU60" s="0"/>
      <c r="AV60" s="0"/>
      <c r="AW60" s="0"/>
      <c r="AX60" s="0"/>
      <c r="AY60" s="0"/>
      <c r="AZ60" s="0"/>
      <c r="BA60" s="0"/>
      <c r="BC60" s="64"/>
      <c r="BD60" s="64"/>
      <c r="BE60" s="4" t="n">
        <f aca="false">VLOOKUP($A60,STRADDLE,14,FALSE())</f>
        <v>0.032904487442281</v>
      </c>
      <c r="BF60" s="72" t="n">
        <f aca="false">A61-A60</f>
        <v>30</v>
      </c>
      <c r="BG60" s="179" t="n">
        <f aca="false">A60+BG$35</f>
        <v>37926</v>
      </c>
      <c r="BH60" s="179" t="n">
        <f aca="false">A61-1</f>
        <v>37955</v>
      </c>
      <c r="BJ60" s="179" t="n">
        <f aca="true">IF(BJ$35=0,TODAY(),IF(BJ$36="NYMEX",VLOOKUP($A60,expiration,2,FALSE())+1,BG60))</f>
        <v>37924</v>
      </c>
      <c r="BK60" s="73"/>
      <c r="BL60" s="73" t="n">
        <f aca="false">IF($A60&gt;=BM$32,IF($A60&lt;=BM$33,$BF60,0),0)</f>
        <v>0</v>
      </c>
      <c r="BM60" s="73" t="e">
        <f aca="false">BO60/BL60</f>
        <v>#DIV/0!</v>
      </c>
      <c r="BN60" s="1" t="n">
        <f aca="false">BL60*($B60+B$15)</f>
        <v>0</v>
      </c>
      <c r="BO60" s="47" t="n">
        <f aca="false">IF(ISNUMBER(((BN60/BL60)+B$16+$D60+$B$14)*BL60),((BN60/BL60)+B$16+$D60+$B$14)*BL60,0)</f>
        <v>0</v>
      </c>
      <c r="BP60" s="76" t="n">
        <f aca="false">IF($BL60=0,0,OSTRIP($BM60,$I60,$BJ60-$B$2,$BG60-$BJ60,$BH60-$BJ60,$B$10,$BE60,$F60,$G60,$B$23,$J60,$BQ$34,0))</f>
        <v>0</v>
      </c>
      <c r="BQ60" s="76" t="n">
        <f aca="false">IF($BL60=0,0,OSTRIP($BM60,$I60,$BJ60-$B$2,$BG60-$BJ60,$BH60-$BJ60,$B$10,$BE60,$F60,$G60,$B$23,$J60,$BQ$34,1))</f>
        <v>0</v>
      </c>
      <c r="BR60" s="76" t="n">
        <f aca="false">IF($BL60=0,0,OSTRIP($BM60,$I60,$BJ60-$B$2,$BG60-$BJ60,$BH60-$BJ60,$B$10,$BE60,$F60,$G60,$B$23,$J60,$BQ$34,BQ$35))</f>
        <v>0</v>
      </c>
      <c r="BS60" s="37" t="n">
        <f aca="false">BL60*BP60</f>
        <v>0</v>
      </c>
      <c r="BT60" s="37" t="n">
        <f aca="false">BL60*BQ60</f>
        <v>0</v>
      </c>
      <c r="BU60" s="37" t="n">
        <f aca="false">BL60*BR60</f>
        <v>0</v>
      </c>
      <c r="BV60" s="37" t="n">
        <f aca="false">BL60*G60</f>
        <v>0</v>
      </c>
      <c r="BX60" s="73" t="n">
        <f aca="false">IF($A60&gt;=BY$32,IF($A60&lt;=BY$33,$BF60,0),0)</f>
        <v>0</v>
      </c>
      <c r="BY60" s="186" t="e">
        <f aca="false">CA60/BX60</f>
        <v>#DIV/0!</v>
      </c>
      <c r="BZ60" s="1" t="n">
        <f aca="false">BX60*($B60+$D$15)</f>
        <v>0</v>
      </c>
      <c r="CA60" s="47" t="n">
        <f aca="false">IF(ISNUMBER(((BZ60/BX60)+$D$16+$N60+$D$14)*BX60),((BZ60/BX60)+$D$16+$N60+$D$14)*BX60,0)</f>
        <v>0</v>
      </c>
      <c r="CB60" s="76" t="n">
        <f aca="false">IF($BX60=0,0,OSTRIP($BY60,$S60,$BJ60-$B$2,$BG60-$BJ60,$BH60-$BJ60,$B$10,$BE60,$P60,$Q60,$D$23,$T60,$CC$34,0))</f>
        <v>0</v>
      </c>
      <c r="CC60" s="76" t="n">
        <f aca="false">IF($BX60=0,0,OSTRIP($BY60,$S60,$BJ60-$B$2,$BG60-$BJ60,$BH60-$BJ60,$B$10,$BE60,$P60,$Q60,$D$23,$T60,$CC$34,1))</f>
        <v>0</v>
      </c>
      <c r="CD60" s="76" t="n">
        <f aca="false">IF($BX60=0,0,OSTRIP($BY60,$S60,$BJ60-$B$2,$BG60-$BJ60,$BH60-$BJ60,$B$10,$BE60,$P60,$Q60,$D$23,$T60,$CC$34,CC$35))</f>
        <v>0</v>
      </c>
      <c r="CE60" s="37" t="n">
        <f aca="false">BX60*CB60</f>
        <v>0</v>
      </c>
      <c r="CF60" s="37" t="n">
        <f aca="false">BX60*CC60</f>
        <v>0</v>
      </c>
      <c r="CG60" s="37" t="n">
        <f aca="false">BX60*CD60</f>
        <v>0</v>
      </c>
      <c r="CH60" s="37" t="n">
        <f aca="false">BX60*Q60</f>
        <v>0</v>
      </c>
      <c r="CJ60" s="73" t="n">
        <f aca="false">IF($A60&gt;=CK$32,IF($A60&lt;=CK$33,$BF60,0),0)</f>
        <v>0</v>
      </c>
      <c r="CK60" s="186" t="e">
        <f aca="false">CM60/CJ60</f>
        <v>#DIV/0!</v>
      </c>
      <c r="CL60" s="1" t="n">
        <f aca="false">CJ60*($B60+$F$15)</f>
        <v>0</v>
      </c>
      <c r="CM60" s="47" t="n">
        <f aca="false">IF(ISNUMBER(((CL60/CJ60)+$F$16+$X60+$F$14)*CJ60),((CL60/CJ60)+$F$16+$X60+$F$14)*CJ60,0)</f>
        <v>0</v>
      </c>
      <c r="CN60" s="76" t="n">
        <f aca="false">IF($CJ60=0,0,OSTRIP($CK60,$AC60,$BJ60-$B$2,$BG60-$BJ60,$BH60-$BJ60,$B$10,$BE60,$Z60,$AA60,$F$23,$AD60,$CO$34,0))</f>
        <v>0</v>
      </c>
      <c r="CO60" s="76" t="n">
        <f aca="false">IF($CJ60=0,0,OSTRIP($CK60,$AC60,$BJ60-$B$2,$BG60-$BJ60,$BH60-$BJ60,$B$10,$BE60,$Z60,$AA60,$F$23,$AD60,$CO$34,1))</f>
        <v>0</v>
      </c>
      <c r="CP60" s="76" t="n">
        <f aca="false">IF($CJ60=0,0,OSTRIP($CK60,$AC60,$BJ60-$B$2,$BG60-$BJ60,$BH60-$BJ60,$B$10,$BE60,$Z60,$AA60,$F$23,$AD60,$CO$34,$CO$35))</f>
        <v>0</v>
      </c>
      <c r="CQ60" s="37" t="n">
        <f aca="false">CJ60*CN60</f>
        <v>0</v>
      </c>
      <c r="CR60" s="37" t="n">
        <f aca="false">CJ60*CO60</f>
        <v>0</v>
      </c>
      <c r="CS60" s="37" t="n">
        <f aca="false">CJ60*CP60</f>
        <v>0</v>
      </c>
      <c r="CT60" s="37" t="n">
        <f aca="false">CJ60*AA60</f>
        <v>0</v>
      </c>
      <c r="CV60" s="73" t="n">
        <f aca="false">IF($A60&gt;=CW$32,IF($A60&lt;=CW$33,$BF60,0),0)</f>
        <v>0</v>
      </c>
      <c r="CW60" s="186" t="e">
        <f aca="false">CY60/CV60</f>
        <v>#DIV/0!</v>
      </c>
      <c r="CX60" s="1" t="n">
        <f aca="false">CV60*($B60+$H$15)</f>
        <v>0</v>
      </c>
      <c r="CY60" s="47" t="n">
        <f aca="false">IF(ISNUMBER(((CX60/CV60)+$H$16+$AH60+$H$14)*CV60),((CX60/CV60)+$H$16+$AH60+$H$14)*CV60,0)</f>
        <v>0</v>
      </c>
      <c r="CZ60" s="76" t="n">
        <f aca="false">IF($CV60=0,0,OSTRIP($CW60,$AM60,$BJ60-$B$2,$BG60-$BJ60,$BH60-$BJ60,$B$10,$BE60,$AJ60,$AK60,$H$23,$AN60,$DA$34,0))</f>
        <v>0</v>
      </c>
      <c r="DA60" s="76" t="n">
        <f aca="false">IF($CV60=0,0,OSTRIP($CW60,$AM60,$BJ60-$B$2,$BG60-$BJ60,$BH60-$BJ60,$B$10,$BE60,$AJ60,$AK60,$H$23,$AN60,$DA$34,1))</f>
        <v>0</v>
      </c>
      <c r="DB60" s="76" t="n">
        <f aca="false">IF($CV60=0,0,OSTRIP($CW60,$AM60,$BJ60-$B$2,$BG60-$BJ60,$BH60-$BJ60,$B$10,$BE60,$AJ60,$AK60,$H$23,$AN60,$DA$34,DA$35))</f>
        <v>0</v>
      </c>
      <c r="DC60" s="37" t="n">
        <f aca="false">CV60*CZ60</f>
        <v>0</v>
      </c>
      <c r="DD60" s="37" t="n">
        <f aca="false">CV60*DA60</f>
        <v>0</v>
      </c>
      <c r="DE60" s="37" t="n">
        <f aca="false">CV60*DB60</f>
        <v>0</v>
      </c>
      <c r="DF60" s="37" t="n">
        <f aca="false">CV60*AK60</f>
        <v>0</v>
      </c>
    </row>
    <row r="61" customFormat="false" ht="12.75" hidden="false" customHeight="false" outlineLevel="0" collapsed="false">
      <c r="A61" s="62" t="n">
        <f aca="false">DATE(YEAR(A60),MONTH(A60)+1,1)</f>
        <v>37956</v>
      </c>
      <c r="B61" s="63" t="n">
        <f aca="false">VLOOKUP(A61,STRADDLE,5,FALSE())</f>
        <v>3.51</v>
      </c>
      <c r="C61" s="4" t="n">
        <f aca="false">VLOOKUP(A61,STRADDLE,8,FALSE())</f>
        <v>0.37</v>
      </c>
      <c r="D61" s="63" t="n">
        <f aca="false">IF(D$35="nymex",0,VLOOKUP($A61,curvesettle,HLOOKUP(D$35,curvesettle,2,FALSE())))</f>
        <v>0.78</v>
      </c>
      <c r="E61" s="65" t="n">
        <f aca="false">IF(ISNUMBER(VLOOKUP($A61,VOLCURVES,HLOOKUP(D$35,VOLCURVES,2,FALSE()),FALSE())),VLOOKUP($A61,VOLCURVES,HLOOKUP(D$35,VOLCURVES,2,FALSE()),FALSE()),1)</f>
        <v>1.1</v>
      </c>
      <c r="F61" s="4" t="n">
        <f aca="false">(($C61+H61)*$E61)+B$17</f>
        <v>0.507</v>
      </c>
      <c r="G61" s="65" t="n">
        <f aca="false">VLOOKUP($A61,GASDVOLCURVES,HLOOKUP(D$36,GASDVOLCURVES,2,FALSE()),FALSE())+$B$18</f>
        <v>1.13</v>
      </c>
      <c r="H61" s="4" t="n">
        <f aca="false">IF($B$20=1,VLOOKUP($A61,skewtable,HLOOKUP(ROUND(I61-BM61,1),skewtable,2,FALSE()),FALSE())/100,0)</f>
        <v>0</v>
      </c>
      <c r="I61" s="66" t="e">
        <f aca="false">IF($B$10=1,($BM61*$B$23)-$B$14,$B$22)</f>
        <v>#DIV/0!</v>
      </c>
      <c r="J61" s="67" t="e">
        <f aca="false">I61-BM61+$B$24</f>
        <v>#DIV/0!</v>
      </c>
      <c r="K61" s="67"/>
      <c r="L61" s="183"/>
      <c r="M61" s="183"/>
      <c r="N61" s="63" t="n">
        <f aca="false">IF(N$35="nymex",0,VLOOKUP($A61,curvesettle,HLOOKUP(N$35,curvesettle,2,FALSE())))</f>
        <v>-0.0475</v>
      </c>
      <c r="O61" s="65" t="n">
        <f aca="false">IF(ISNUMBER(VLOOKUP($A61,VOLCURVES,HLOOKUP(N$35,VOLCURVES,2,FALSE()),FALSE())),VLOOKUP($A61,VOLCURVES,HLOOKUP(N$35,VOLCURVES,2,FALSE()),FALSE()),1)</f>
        <v>1</v>
      </c>
      <c r="P61" s="184" t="n">
        <f aca="false">(($C61+R61)*O61)+$D$17</f>
        <v>0.37</v>
      </c>
      <c r="Q61" s="65" t="n">
        <f aca="false">VLOOKUP($A61,GASDVOLCURVES,HLOOKUP(N$36,GASDVOLCURVES,2,FALSE()),FALSE())+$D$18</f>
        <v>1.13</v>
      </c>
      <c r="R61" s="4" t="n">
        <f aca="false">IF($D$20=1,VLOOKUP($A61,skewtable,HLOOKUP(ROUND(S61-BY61,1),skewtable,2,FALSE()),FALSE())/100,0)</f>
        <v>0</v>
      </c>
      <c r="S61" s="66" t="e">
        <f aca="false">IF(B$10=1,($BY61*$D$23)-$D$14,$D$22)</f>
        <v>#DIV/0!</v>
      </c>
      <c r="T61" s="67" t="e">
        <f aca="false">S61-$BY61+$D$24</f>
        <v>#DIV/0!</v>
      </c>
      <c r="U61" s="0"/>
      <c r="V61" s="0"/>
      <c r="W61" s="0"/>
      <c r="X61" s="63" t="n">
        <f aca="false">IF(X$35="nymex",0,VLOOKUP($A61,curvesettle,HLOOKUP(X$35,curvesettle,2,FALSE())))</f>
        <v>0.17</v>
      </c>
      <c r="Y61" s="65" t="n">
        <f aca="false">IF(ISNUMBER(VLOOKUP($A61,VOLCURVES,HLOOKUP(X$35,VOLCURVES,2,FALSE()),FALSE())),VLOOKUP($A61,VOLCURVES,HLOOKUP(X$35,VOLCURVES,2,FALSE()),FALSE()),1)</f>
        <v>1</v>
      </c>
      <c r="Z61" s="184" t="n">
        <f aca="false">(($C61+AB61)*Y61)+$F$17</f>
        <v>0.37</v>
      </c>
      <c r="AA61" s="65" t="n">
        <f aca="false">VLOOKUP($A61,GASDVOLCURVES,HLOOKUP(X$36,GASDVOLCURVES,2,FALSE()),FALSE())+$F$18</f>
        <v>1.13</v>
      </c>
      <c r="AB61" s="4" t="n">
        <f aca="false">IF($F$20=1,VLOOKUP($A61,skewtable,HLOOKUP(ROUND(AC61-CK61,1),skewtable,2,FALSE()),FALSE())/100,0)</f>
        <v>0</v>
      </c>
      <c r="AC61" s="66" t="e">
        <f aca="false">IF($B$10=1,($CK61*$F$23)-$F$14,$F$22)</f>
        <v>#DIV/0!</v>
      </c>
      <c r="AD61" s="67" t="e">
        <f aca="false">AC61-$CK61+$F$24</f>
        <v>#DIV/0!</v>
      </c>
      <c r="AE61" s="0"/>
      <c r="AF61" s="0"/>
      <c r="AG61" s="0"/>
      <c r="AH61" s="63" t="n">
        <f aca="false">IF(AH$35="nymex",0,VLOOKUP($A61,curvesettle,HLOOKUP(AH$35,curvesettle,2,FALSE())))</f>
        <v>0.89</v>
      </c>
      <c r="AI61" s="65" t="n">
        <f aca="false">IF(ISNUMBER(VLOOKUP($A61,VOLCURVES,HLOOKUP(AH$35,VOLCURVES,2,FALSE()),FALSE())),VLOOKUP($A61,VOLCURVES,HLOOKUP(AH$35,VOLCURVES,2,FALSE()),FALSE()),1)</f>
        <v>1.02</v>
      </c>
      <c r="AJ61" s="184" t="n">
        <f aca="false">(($C61+AL61)*AI61)+$H$17</f>
        <v>0.3774</v>
      </c>
      <c r="AK61" s="65" t="n">
        <f aca="false">VLOOKUP($A61,GASDVOLCURVES,HLOOKUP(AH$36,GASDVOLCURVES,2,FALSE()),FALSE())+$H$18</f>
        <v>1.78</v>
      </c>
      <c r="AL61" s="4" t="n">
        <f aca="false">IF($H$20=1,VLOOKUP($A61,skewtable,HLOOKUP(ROUND(AM61-CW61,1),skewtable,2,FALSE()),FALSE())/100,0)</f>
        <v>0</v>
      </c>
      <c r="AM61" s="66" t="e">
        <f aca="false">IF($B$10=1,($CW61*$H$23)-$H$14,$H$22)</f>
        <v>#DIV/0!</v>
      </c>
      <c r="AN61" s="67" t="e">
        <f aca="false">AM61-CW61+$H$24</f>
        <v>#DIV/0!</v>
      </c>
      <c r="AO61" s="0"/>
      <c r="AP61" s="0"/>
      <c r="AQ61" s="183"/>
      <c r="AR61" s="183"/>
      <c r="AU61" s="0"/>
      <c r="AV61" s="0"/>
      <c r="AW61" s="0"/>
      <c r="AX61" s="0"/>
      <c r="AY61" s="0"/>
      <c r="AZ61" s="0"/>
      <c r="BA61" s="0"/>
      <c r="BC61" s="64"/>
      <c r="BD61" s="64"/>
      <c r="BE61" s="4" t="n">
        <f aca="false">VLOOKUP($A61,STRADDLE,14,FALSE())</f>
        <v>0.0337738638474003</v>
      </c>
      <c r="BF61" s="72" t="n">
        <f aca="false">A62-A61</f>
        <v>31</v>
      </c>
      <c r="BG61" s="179" t="n">
        <f aca="false">A61+BG$35</f>
        <v>37956</v>
      </c>
      <c r="BH61" s="179" t="n">
        <f aca="false">A62-1</f>
        <v>37986</v>
      </c>
      <c r="BJ61" s="179" t="n">
        <f aca="true">IF(BJ$35=0,TODAY(),IF(BJ$36="NYMEX",VLOOKUP($A61,expiration,2,FALSE())+1,BG61))</f>
        <v>37951</v>
      </c>
      <c r="BK61" s="73"/>
      <c r="BL61" s="73" t="n">
        <f aca="false">IF($A61&gt;=BM$32,IF($A61&lt;=BM$33,$BF61,0),0)</f>
        <v>0</v>
      </c>
      <c r="BM61" s="73" t="e">
        <f aca="false">BO61/BL61</f>
        <v>#DIV/0!</v>
      </c>
      <c r="BN61" s="1" t="n">
        <f aca="false">BL61*($B61+B$15)</f>
        <v>0</v>
      </c>
      <c r="BO61" s="47" t="n">
        <f aca="false">IF(ISNUMBER(((BN61/BL61)+B$16+$D61+$B$14)*BL61),((BN61/BL61)+B$16+$D61+$B$14)*BL61,0)</f>
        <v>0</v>
      </c>
      <c r="BP61" s="76" t="n">
        <f aca="false">IF($BL61=0,0,OSTRIP($BM61,$I61,$BJ61-$B$2,$BG61-$BJ61,$BH61-$BJ61,$B$10,$BE61,$F61,$G61,$B$23,$J61,$BQ$34,0))</f>
        <v>0</v>
      </c>
      <c r="BQ61" s="76" t="n">
        <f aca="false">IF($BL61=0,0,OSTRIP($BM61,$I61,$BJ61-$B$2,$BG61-$BJ61,$BH61-$BJ61,$B$10,$BE61,$F61,$G61,$B$23,$J61,$BQ$34,1))</f>
        <v>0</v>
      </c>
      <c r="BR61" s="76" t="n">
        <f aca="false">IF($BL61=0,0,OSTRIP($BM61,$I61,$BJ61-$B$2,$BG61-$BJ61,$BH61-$BJ61,$B$10,$BE61,$F61,$G61,$B$23,$J61,$BQ$34,BQ$35))</f>
        <v>0</v>
      </c>
      <c r="BS61" s="37" t="n">
        <f aca="false">BL61*BP61</f>
        <v>0</v>
      </c>
      <c r="BT61" s="37" t="n">
        <f aca="false">BL61*BQ61</f>
        <v>0</v>
      </c>
      <c r="BU61" s="37" t="n">
        <f aca="false">BL61*BR61</f>
        <v>0</v>
      </c>
      <c r="BV61" s="37" t="n">
        <f aca="false">BL61*G61</f>
        <v>0</v>
      </c>
      <c r="BX61" s="73" t="n">
        <f aca="false">IF($A61&gt;=BY$32,IF($A61&lt;=BY$33,$BF61,0),0)</f>
        <v>0</v>
      </c>
      <c r="BY61" s="186" t="e">
        <f aca="false">CA61/BX61</f>
        <v>#DIV/0!</v>
      </c>
      <c r="BZ61" s="1" t="n">
        <f aca="false">BX61*($B61+$D$15)</f>
        <v>0</v>
      </c>
      <c r="CA61" s="47" t="n">
        <f aca="false">IF(ISNUMBER(((BZ61/BX61)+$D$16+$N61+$D$14)*BX61),((BZ61/BX61)+$D$16+$N61+$D$14)*BX61,0)</f>
        <v>0</v>
      </c>
      <c r="CB61" s="76" t="n">
        <f aca="false">IF($BX61=0,0,OSTRIP($BY61,$S61,$BJ61-$B$2,$BG61-$BJ61,$BH61-$BJ61,$B$10,$BE61,$P61,$Q61,$D$23,$T61,$CC$34,0))</f>
        <v>0</v>
      </c>
      <c r="CC61" s="76" t="n">
        <f aca="false">IF($BX61=0,0,OSTRIP($BY61,$S61,$BJ61-$B$2,$BG61-$BJ61,$BH61-$BJ61,$B$10,$BE61,$P61,$Q61,$D$23,$T61,$CC$34,1))</f>
        <v>0</v>
      </c>
      <c r="CD61" s="76" t="n">
        <f aca="false">IF($BX61=0,0,OSTRIP($BY61,$S61,$BJ61-$B$2,$BG61-$BJ61,$BH61-$BJ61,$B$10,$BE61,$P61,$Q61,$D$23,$T61,$CC$34,CC$35))</f>
        <v>0</v>
      </c>
      <c r="CE61" s="37" t="n">
        <f aca="false">BX61*CB61</f>
        <v>0</v>
      </c>
      <c r="CF61" s="37" t="n">
        <f aca="false">BX61*CC61</f>
        <v>0</v>
      </c>
      <c r="CG61" s="37" t="n">
        <f aca="false">BX61*CD61</f>
        <v>0</v>
      </c>
      <c r="CH61" s="37" t="n">
        <f aca="false">BX61*Q61</f>
        <v>0</v>
      </c>
      <c r="CJ61" s="73" t="n">
        <f aca="false">IF($A61&gt;=CK$32,IF($A61&lt;=CK$33,$BF61,0),0)</f>
        <v>0</v>
      </c>
      <c r="CK61" s="186" t="e">
        <f aca="false">CM61/CJ61</f>
        <v>#DIV/0!</v>
      </c>
      <c r="CL61" s="1" t="n">
        <f aca="false">CJ61*($B61+$F$15)</f>
        <v>0</v>
      </c>
      <c r="CM61" s="47" t="n">
        <f aca="false">IF(ISNUMBER(((CL61/CJ61)+$F$16+$X61+$F$14)*CJ61),((CL61/CJ61)+$F$16+$X61+$F$14)*CJ61,0)</f>
        <v>0</v>
      </c>
      <c r="CN61" s="76" t="n">
        <f aca="false">IF($CJ61=0,0,OSTRIP($CK61,$AC61,$BJ61-$B$2,$BG61-$BJ61,$BH61-$BJ61,$B$10,$BE61,$Z61,$AA61,$F$23,$AD61,$CO$34,0))</f>
        <v>0</v>
      </c>
      <c r="CO61" s="76" t="n">
        <f aca="false">IF($CJ61=0,0,OSTRIP($CK61,$AC61,$BJ61-$B$2,$BG61-$BJ61,$BH61-$BJ61,$B$10,$BE61,$Z61,$AA61,$F$23,$AD61,$CO$34,1))</f>
        <v>0</v>
      </c>
      <c r="CP61" s="76" t="n">
        <f aca="false">IF($CJ61=0,0,OSTRIP($CK61,$AC61,$BJ61-$B$2,$BG61-$BJ61,$BH61-$BJ61,$B$10,$BE61,$Z61,$AA61,$F$23,$AD61,$CO$34,$CO$35))</f>
        <v>0</v>
      </c>
      <c r="CQ61" s="37" t="n">
        <f aca="false">CJ61*CN61</f>
        <v>0</v>
      </c>
      <c r="CR61" s="37" t="n">
        <f aca="false">CJ61*CO61</f>
        <v>0</v>
      </c>
      <c r="CS61" s="37" t="n">
        <f aca="false">CJ61*CP61</f>
        <v>0</v>
      </c>
      <c r="CT61" s="37" t="n">
        <f aca="false">CJ61*AA61</f>
        <v>0</v>
      </c>
      <c r="CV61" s="73" t="n">
        <f aca="false">IF($A61&gt;=CW$32,IF($A61&lt;=CW$33,$BF61,0),0)</f>
        <v>0</v>
      </c>
      <c r="CW61" s="186" t="e">
        <f aca="false">CY61/CV61</f>
        <v>#DIV/0!</v>
      </c>
      <c r="CX61" s="1" t="n">
        <f aca="false">CV61*($B61+$H$15)</f>
        <v>0</v>
      </c>
      <c r="CY61" s="47" t="n">
        <f aca="false">IF(ISNUMBER(((CX61/CV61)+$H$16+$AH61+$H$14)*CV61),((CX61/CV61)+$H$16+$AH61+$H$14)*CV61,0)</f>
        <v>0</v>
      </c>
      <c r="CZ61" s="76" t="n">
        <f aca="false">IF($CV61=0,0,OSTRIP($CW61,$AM61,$BJ61-$B$2,$BG61-$BJ61,$BH61-$BJ61,$B$10,$BE61,$AJ61,$AK61,$H$23,$AN61,$DA$34,0))</f>
        <v>0</v>
      </c>
      <c r="DA61" s="76" t="n">
        <f aca="false">IF($CV61=0,0,OSTRIP($CW61,$AM61,$BJ61-$B$2,$BG61-$BJ61,$BH61-$BJ61,$B$10,$BE61,$AJ61,$AK61,$H$23,$AN61,$DA$34,1))</f>
        <v>0</v>
      </c>
      <c r="DB61" s="76" t="n">
        <f aca="false">IF($CV61=0,0,OSTRIP($CW61,$AM61,$BJ61-$B$2,$BG61-$BJ61,$BH61-$BJ61,$B$10,$BE61,$AJ61,$AK61,$H$23,$AN61,$DA$34,DA$35))</f>
        <v>0</v>
      </c>
      <c r="DC61" s="37" t="n">
        <f aca="false">CV61*CZ61</f>
        <v>0</v>
      </c>
      <c r="DD61" s="37" t="n">
        <f aca="false">CV61*DA61</f>
        <v>0</v>
      </c>
      <c r="DE61" s="37" t="n">
        <f aca="false">CV61*DB61</f>
        <v>0</v>
      </c>
      <c r="DF61" s="37" t="n">
        <f aca="false">CV61*AK61</f>
        <v>0</v>
      </c>
    </row>
    <row r="62" customFormat="false" ht="12.75" hidden="false" customHeight="false" outlineLevel="0" collapsed="false">
      <c r="A62" s="62" t="n">
        <f aca="false">DATE(YEAR(A61),MONTH(A61)+1,1)</f>
        <v>37987</v>
      </c>
      <c r="B62" s="63" t="n">
        <f aca="false">VLOOKUP(A62,STRADDLE,5,FALSE())</f>
        <v>3.57</v>
      </c>
      <c r="C62" s="4" t="n">
        <f aca="false">VLOOKUP(A62,STRADDLE,8,FALSE())</f>
        <v>0.37</v>
      </c>
      <c r="D62" s="63" t="n">
        <f aca="false">IF(D$35="nymex",0,VLOOKUP($A62,curvesettle,HLOOKUP(D$35,curvesettle,2,FALSE())))</f>
        <v>1.04</v>
      </c>
      <c r="E62" s="65" t="n">
        <f aca="false">IF(ISNUMBER(VLOOKUP($A62,VOLCURVES,HLOOKUP(D$35,VOLCURVES,2,FALSE()),FALSE())),VLOOKUP($A62,VOLCURVES,HLOOKUP(D$35,VOLCURVES,2,FALSE()),FALSE()),1)</f>
        <v>1.1</v>
      </c>
      <c r="F62" s="4" t="n">
        <f aca="false">(($C62+H62)*$E62)+B$17</f>
        <v>0.507</v>
      </c>
      <c r="G62" s="65" t="n">
        <f aca="false">VLOOKUP($A62,GASDVOLCURVES,HLOOKUP(D$36,GASDVOLCURVES,2,FALSE()),FALSE())+$B$18</f>
        <v>1.1</v>
      </c>
      <c r="H62" s="4" t="n">
        <f aca="false">IF($B$20=1,VLOOKUP($A62,skewtable,HLOOKUP(ROUND(I62-BM62,1),skewtable,2,FALSE()),FALSE())/100,0)</f>
        <v>0</v>
      </c>
      <c r="I62" s="66" t="e">
        <f aca="false">IF($B$10=1,($BM62*$B$23)-$B$14,$B$22)</f>
        <v>#DIV/0!</v>
      </c>
      <c r="J62" s="67" t="e">
        <f aca="false">I62-BM62+$B$24</f>
        <v>#DIV/0!</v>
      </c>
      <c r="K62" s="67"/>
      <c r="L62" s="183"/>
      <c r="M62" s="183"/>
      <c r="N62" s="63" t="n">
        <f aca="false">IF(N$35="nymex",0,VLOOKUP($A62,curvesettle,HLOOKUP(N$35,curvesettle,2,FALSE())))</f>
        <v>-0.05</v>
      </c>
      <c r="O62" s="65" t="n">
        <f aca="false">IF(ISNUMBER(VLOOKUP($A62,VOLCURVES,HLOOKUP(N$35,VOLCURVES,2,FALSE()),FALSE())),VLOOKUP($A62,VOLCURVES,HLOOKUP(N$35,VOLCURVES,2,FALSE()),FALSE()),1)</f>
        <v>1</v>
      </c>
      <c r="P62" s="184" t="n">
        <f aca="false">(($C62+R62)*O62)+$D$17</f>
        <v>0.37</v>
      </c>
      <c r="Q62" s="65" t="n">
        <f aca="false">VLOOKUP($A62,GASDVOLCURVES,HLOOKUP(N$36,GASDVOLCURVES,2,FALSE()),FALSE())+$D$18</f>
        <v>1.1</v>
      </c>
      <c r="R62" s="4" t="n">
        <f aca="false">IF($D$20=1,VLOOKUP($A62,skewtable,HLOOKUP(ROUND(S62-BY62,1),skewtable,2,FALSE()),FALSE())/100,0)</f>
        <v>0</v>
      </c>
      <c r="S62" s="66" t="e">
        <f aca="false">IF(B$10=1,($BY62*$D$23)-$D$14,$D$22)</f>
        <v>#DIV/0!</v>
      </c>
      <c r="T62" s="67" t="e">
        <f aca="false">S62-$BY62+$D$24</f>
        <v>#DIV/0!</v>
      </c>
      <c r="U62" s="0"/>
      <c r="V62" s="0"/>
      <c r="W62" s="0"/>
      <c r="X62" s="63" t="n">
        <f aca="false">IF(X$35="nymex",0,VLOOKUP($A62,curvesettle,HLOOKUP(X$35,curvesettle,2,FALSE())))</f>
        <v>0.17</v>
      </c>
      <c r="Y62" s="65" t="n">
        <f aca="false">IF(ISNUMBER(VLOOKUP($A62,VOLCURVES,HLOOKUP(X$35,VOLCURVES,2,FALSE()),FALSE())),VLOOKUP($A62,VOLCURVES,HLOOKUP(X$35,VOLCURVES,2,FALSE()),FALSE()),1)</f>
        <v>1</v>
      </c>
      <c r="Z62" s="184" t="n">
        <f aca="false">(($C62+AB62)*Y62)+$F$17</f>
        <v>0.37</v>
      </c>
      <c r="AA62" s="65" t="n">
        <f aca="false">VLOOKUP($A62,GASDVOLCURVES,HLOOKUP(X$36,GASDVOLCURVES,2,FALSE()),FALSE())+$F$18</f>
        <v>1.1</v>
      </c>
      <c r="AB62" s="4" t="n">
        <f aca="false">IF($F$20=1,VLOOKUP($A62,skewtable,HLOOKUP(ROUND(AC62-CK62,1),skewtable,2,FALSE()),FALSE())/100,0)</f>
        <v>0</v>
      </c>
      <c r="AC62" s="66" t="e">
        <f aca="false">IF($B$10=1,($CK62*$F$23)-$F$14,$F$22)</f>
        <v>#DIV/0!</v>
      </c>
      <c r="AD62" s="67" t="e">
        <f aca="false">AC62-$CK62+$F$24</f>
        <v>#DIV/0!</v>
      </c>
      <c r="AE62" s="0"/>
      <c r="AF62" s="0"/>
      <c r="AG62" s="0"/>
      <c r="AH62" s="63" t="n">
        <f aca="false">IF(AH$35="nymex",0,VLOOKUP($A62,curvesettle,HLOOKUP(AH$35,curvesettle,2,FALSE())))</f>
        <v>1.52</v>
      </c>
      <c r="AI62" s="65" t="n">
        <f aca="false">IF(ISNUMBER(VLOOKUP($A62,VOLCURVES,HLOOKUP(AH$35,VOLCURVES,2,FALSE()),FALSE())),VLOOKUP($A62,VOLCURVES,HLOOKUP(AH$35,VOLCURVES,2,FALSE()),FALSE()),1)</f>
        <v>1.04</v>
      </c>
      <c r="AJ62" s="184" t="n">
        <f aca="false">(($C62+AL62)*AI62)+$H$17</f>
        <v>0.3848</v>
      </c>
      <c r="AK62" s="65" t="n">
        <f aca="false">VLOOKUP($A62,GASDVOLCURVES,HLOOKUP(AH$36,GASDVOLCURVES,2,FALSE()),FALSE())+$H$18</f>
        <v>1.95</v>
      </c>
      <c r="AL62" s="4" t="n">
        <f aca="false">IF($H$20=1,VLOOKUP($A62,skewtable,HLOOKUP(ROUND(AM62-CW62,1),skewtable,2,FALSE()),FALSE())/100,0)</f>
        <v>0</v>
      </c>
      <c r="AM62" s="66" t="e">
        <f aca="false">IF($B$10=1,($CW62*$H$23)-$H$14,$H$22)</f>
        <v>#DIV/0!</v>
      </c>
      <c r="AN62" s="67" t="e">
        <f aca="false">AM62-CW62+$H$24</f>
        <v>#DIV/0!</v>
      </c>
      <c r="AO62" s="0"/>
      <c r="AP62" s="0"/>
      <c r="AQ62" s="183"/>
      <c r="AR62" s="183"/>
      <c r="AU62" s="0"/>
      <c r="AV62" s="0"/>
      <c r="AW62" s="0"/>
      <c r="AX62" s="0"/>
      <c r="AY62" s="0"/>
      <c r="AZ62" s="0"/>
      <c r="BA62" s="0"/>
      <c r="BC62" s="64"/>
      <c r="BD62" s="64"/>
      <c r="BE62" s="4" t="n">
        <f aca="false">VLOOKUP($A62,STRADDLE,14,FALSE())</f>
        <v>0.0346389566727829</v>
      </c>
      <c r="BF62" s="72" t="n">
        <f aca="false">A63-A62</f>
        <v>31</v>
      </c>
      <c r="BG62" s="179" t="n">
        <f aca="false">A62+BG$35</f>
        <v>37987</v>
      </c>
      <c r="BH62" s="179" t="n">
        <f aca="false">A63-1</f>
        <v>38017</v>
      </c>
      <c r="BJ62" s="179" t="n">
        <f aca="true">IF(BJ$35=0,TODAY(),IF(BJ$36="NYMEX",VLOOKUP($A62,expiration,2,FALSE())+1,BG62))</f>
        <v>37985</v>
      </c>
      <c r="BK62" s="73"/>
      <c r="BL62" s="73" t="n">
        <f aca="false">IF($A62&gt;=BM$32,IF($A62&lt;=BM$33,$BF62,0),0)</f>
        <v>0</v>
      </c>
      <c r="BM62" s="73" t="e">
        <f aca="false">BO62/BL62</f>
        <v>#DIV/0!</v>
      </c>
      <c r="BN62" s="1" t="n">
        <f aca="false">BL62*($B62+B$15)</f>
        <v>0</v>
      </c>
      <c r="BO62" s="47" t="n">
        <f aca="false">IF(ISNUMBER(((BN62/BL62)+B$16+$D62+$B$14)*BL62),((BN62/BL62)+B$16+$D62+$B$14)*BL62,0)</f>
        <v>0</v>
      </c>
      <c r="BP62" s="76" t="n">
        <f aca="false">IF($BL62=0,0,OSTRIP($BM62,$I62,$BJ62-$B$2,$BG62-$BJ62,$BH62-$BJ62,$B$10,$BE62,$F62,$G62,$B$23,$J62,$BQ$34,0))</f>
        <v>0</v>
      </c>
      <c r="BQ62" s="76" t="n">
        <f aca="false">IF($BL62=0,0,OSTRIP($BM62,$I62,$BJ62-$B$2,$BG62-$BJ62,$BH62-$BJ62,$B$10,$BE62,$F62,$G62,$B$23,$J62,$BQ$34,1))</f>
        <v>0</v>
      </c>
      <c r="BR62" s="76" t="n">
        <f aca="false">IF($BL62=0,0,OSTRIP($BM62,$I62,$BJ62-$B$2,$BG62-$BJ62,$BH62-$BJ62,$B$10,$BE62,$F62,$G62,$B$23,$J62,$BQ$34,BQ$35))</f>
        <v>0</v>
      </c>
      <c r="BS62" s="37" t="n">
        <f aca="false">BL62*BP62</f>
        <v>0</v>
      </c>
      <c r="BT62" s="37" t="n">
        <f aca="false">BL62*BQ62</f>
        <v>0</v>
      </c>
      <c r="BU62" s="37" t="n">
        <f aca="false">BL62*BR62</f>
        <v>0</v>
      </c>
      <c r="BV62" s="37" t="n">
        <f aca="false">BL62*G62</f>
        <v>0</v>
      </c>
      <c r="BX62" s="73" t="n">
        <f aca="false">IF($A62&gt;=BY$32,IF($A62&lt;=BY$33,$BF62,0),0)</f>
        <v>0</v>
      </c>
      <c r="BY62" s="186" t="e">
        <f aca="false">CA62/BX62</f>
        <v>#DIV/0!</v>
      </c>
      <c r="BZ62" s="1" t="n">
        <f aca="false">BX62*($B62+$D$15)</f>
        <v>0</v>
      </c>
      <c r="CA62" s="47" t="n">
        <f aca="false">IF(ISNUMBER(((BZ62/BX62)+$D$16+$N62+$D$14)*BX62),((BZ62/BX62)+$D$16+$N62+$D$14)*BX62,0)</f>
        <v>0</v>
      </c>
      <c r="CB62" s="76" t="n">
        <f aca="false">IF($BX62=0,0,OSTRIP($BY62,$S62,$BJ62-$B$2,$BG62-$BJ62,$BH62-$BJ62,$B$10,$BE62,$P62,$Q62,$D$23,$T62,$CC$34,0))</f>
        <v>0</v>
      </c>
      <c r="CC62" s="76" t="n">
        <f aca="false">IF($BX62=0,0,OSTRIP($BY62,$S62,$BJ62-$B$2,$BG62-$BJ62,$BH62-$BJ62,$B$10,$BE62,$P62,$Q62,$D$23,$T62,$CC$34,1))</f>
        <v>0</v>
      </c>
      <c r="CD62" s="76" t="n">
        <f aca="false">IF($BX62=0,0,OSTRIP($BY62,$S62,$BJ62-$B$2,$BG62-$BJ62,$BH62-$BJ62,$B$10,$BE62,$P62,$Q62,$D$23,$T62,$CC$34,CC$35))</f>
        <v>0</v>
      </c>
      <c r="CE62" s="37" t="n">
        <f aca="false">BX62*CB62</f>
        <v>0</v>
      </c>
      <c r="CF62" s="37" t="n">
        <f aca="false">BX62*CC62</f>
        <v>0</v>
      </c>
      <c r="CG62" s="37" t="n">
        <f aca="false">BX62*CD62</f>
        <v>0</v>
      </c>
      <c r="CH62" s="37" t="n">
        <f aca="false">BX62*Q62</f>
        <v>0</v>
      </c>
      <c r="CJ62" s="73" t="n">
        <f aca="false">IF($A62&gt;=CK$32,IF($A62&lt;=CK$33,$BF62,0),0)</f>
        <v>0</v>
      </c>
      <c r="CK62" s="186" t="e">
        <f aca="false">CM62/CJ62</f>
        <v>#DIV/0!</v>
      </c>
      <c r="CL62" s="1" t="n">
        <f aca="false">CJ62*($B62+$F$15)</f>
        <v>0</v>
      </c>
      <c r="CM62" s="47" t="n">
        <f aca="false">IF(ISNUMBER(((CL62/CJ62)+$F$16+$X62+$F$14)*CJ62),((CL62/CJ62)+$F$16+$X62+$F$14)*CJ62,0)</f>
        <v>0</v>
      </c>
      <c r="CN62" s="76" t="n">
        <f aca="false">IF($CJ62=0,0,OSTRIP($CK62,$AC62,$BJ62-$B$2,$BG62-$BJ62,$BH62-$BJ62,$B$10,$BE62,$Z62,$AA62,$F$23,$AD62,$CO$34,0))</f>
        <v>0</v>
      </c>
      <c r="CO62" s="76" t="n">
        <f aca="false">IF($CJ62=0,0,OSTRIP($CK62,$AC62,$BJ62-$B$2,$BG62-$BJ62,$BH62-$BJ62,$B$10,$BE62,$Z62,$AA62,$F$23,$AD62,$CO$34,1))</f>
        <v>0</v>
      </c>
      <c r="CP62" s="76" t="n">
        <f aca="false">IF($CJ62=0,0,OSTRIP($CK62,$AC62,$BJ62-$B$2,$BG62-$BJ62,$BH62-$BJ62,$B$10,$BE62,$Z62,$AA62,$F$23,$AD62,$CO$34,$CO$35))</f>
        <v>0</v>
      </c>
      <c r="CQ62" s="37" t="n">
        <f aca="false">CJ62*CN62</f>
        <v>0</v>
      </c>
      <c r="CR62" s="37" t="n">
        <f aca="false">CJ62*CO62</f>
        <v>0</v>
      </c>
      <c r="CS62" s="37" t="n">
        <f aca="false">CJ62*CP62</f>
        <v>0</v>
      </c>
      <c r="CT62" s="37" t="n">
        <f aca="false">CJ62*AA62</f>
        <v>0</v>
      </c>
      <c r="CV62" s="73" t="n">
        <f aca="false">IF($A62&gt;=CW$32,IF($A62&lt;=CW$33,$BF62,0),0)</f>
        <v>0</v>
      </c>
      <c r="CW62" s="186" t="e">
        <f aca="false">CY62/CV62</f>
        <v>#DIV/0!</v>
      </c>
      <c r="CX62" s="1" t="n">
        <f aca="false">CV62*($B62+$H$15)</f>
        <v>0</v>
      </c>
      <c r="CY62" s="47" t="n">
        <f aca="false">IF(ISNUMBER(((CX62/CV62)+$H$16+$AH62+$H$14)*CV62),((CX62/CV62)+$H$16+$AH62+$H$14)*CV62,0)</f>
        <v>0</v>
      </c>
      <c r="CZ62" s="76" t="n">
        <f aca="false">IF($CV62=0,0,OSTRIP($CW62,$AM62,$BJ62-$B$2,$BG62-$BJ62,$BH62-$BJ62,$B$10,$BE62,$AJ62,$AK62,$H$23,$AN62,$DA$34,0))</f>
        <v>0</v>
      </c>
      <c r="DA62" s="76" t="n">
        <f aca="false">IF($CV62=0,0,OSTRIP($CW62,$AM62,$BJ62-$B$2,$BG62-$BJ62,$BH62-$BJ62,$B$10,$BE62,$AJ62,$AK62,$H$23,$AN62,$DA$34,1))</f>
        <v>0</v>
      </c>
      <c r="DB62" s="76" t="n">
        <f aca="false">IF($CV62=0,0,OSTRIP($CW62,$AM62,$BJ62-$B$2,$BG62-$BJ62,$BH62-$BJ62,$B$10,$BE62,$AJ62,$AK62,$H$23,$AN62,$DA$34,DA$35))</f>
        <v>0</v>
      </c>
      <c r="DC62" s="37" t="n">
        <f aca="false">CV62*CZ62</f>
        <v>0</v>
      </c>
      <c r="DD62" s="37" t="n">
        <f aca="false">CV62*DA62</f>
        <v>0</v>
      </c>
      <c r="DE62" s="37" t="n">
        <f aca="false">CV62*DB62</f>
        <v>0</v>
      </c>
      <c r="DF62" s="37" t="n">
        <f aca="false">CV62*AK62</f>
        <v>0</v>
      </c>
    </row>
    <row r="63" customFormat="false" ht="12.75" hidden="false" customHeight="false" outlineLevel="0" collapsed="false">
      <c r="A63" s="62" t="n">
        <f aca="false">DATE(YEAR(A62),MONTH(A62)+1,1)</f>
        <v>38018</v>
      </c>
      <c r="B63" s="63" t="n">
        <f aca="false">VLOOKUP(A63,STRADDLE,5,FALSE())</f>
        <v>3.485</v>
      </c>
      <c r="C63" s="4" t="n">
        <f aca="false">VLOOKUP(A63,STRADDLE,8,FALSE())</f>
        <v>0.365</v>
      </c>
      <c r="D63" s="63" t="n">
        <f aca="false">IF(D$35="nymex",0,VLOOKUP($A63,curvesettle,HLOOKUP(D$35,curvesettle,2,FALSE())))</f>
        <v>1.04</v>
      </c>
      <c r="E63" s="65" t="n">
        <f aca="false">IF(ISNUMBER(VLOOKUP($A63,VOLCURVES,HLOOKUP(D$35,VOLCURVES,2,FALSE()),FALSE())),VLOOKUP($A63,VOLCURVES,HLOOKUP(D$35,VOLCURVES,2,FALSE()),FALSE()),1)</f>
        <v>1.1</v>
      </c>
      <c r="F63" s="4" t="n">
        <f aca="false">(($C63+H63)*$E63)+B$17</f>
        <v>0.5015</v>
      </c>
      <c r="G63" s="65" t="n">
        <f aca="false">VLOOKUP($A63,GASDVOLCURVES,HLOOKUP(D$36,GASDVOLCURVES,2,FALSE()),FALSE())+$B$18</f>
        <v>1.1</v>
      </c>
      <c r="H63" s="4" t="n">
        <f aca="false">IF($B$20=1,VLOOKUP($A63,skewtable,HLOOKUP(ROUND(I63-BM63,1),skewtable,2,FALSE()),FALSE())/100,0)</f>
        <v>0</v>
      </c>
      <c r="I63" s="66" t="e">
        <f aca="false">IF($B$10=1,($BM63*$B$23)-$B$14,$B$22)</f>
        <v>#DIV/0!</v>
      </c>
      <c r="J63" s="67" t="e">
        <f aca="false">I63-BM63+$B$24</f>
        <v>#DIV/0!</v>
      </c>
      <c r="K63" s="67"/>
      <c r="L63" s="183"/>
      <c r="M63" s="183"/>
      <c r="N63" s="63" t="n">
        <f aca="false">IF(N$35="nymex",0,VLOOKUP($A63,curvesettle,HLOOKUP(N$35,curvesettle,2,FALSE())))</f>
        <v>-0.0325</v>
      </c>
      <c r="O63" s="65" t="n">
        <f aca="false">IF(ISNUMBER(VLOOKUP($A63,VOLCURVES,HLOOKUP(N$35,VOLCURVES,2,FALSE()),FALSE())),VLOOKUP($A63,VOLCURVES,HLOOKUP(N$35,VOLCURVES,2,FALSE()),FALSE()),1)</f>
        <v>1</v>
      </c>
      <c r="P63" s="184" t="n">
        <f aca="false">(($C63+R63)*O63)+$D$17</f>
        <v>0.365</v>
      </c>
      <c r="Q63" s="65" t="n">
        <f aca="false">VLOOKUP($A63,GASDVOLCURVES,HLOOKUP(N$36,GASDVOLCURVES,2,FALSE()),FALSE())+$D$18</f>
        <v>1.1</v>
      </c>
      <c r="R63" s="4" t="n">
        <f aca="false">IF($D$20=1,VLOOKUP($A63,skewtable,HLOOKUP(ROUND(S63-BY63,1),skewtable,2,FALSE()),FALSE())/100,0)</f>
        <v>0</v>
      </c>
      <c r="S63" s="66" t="e">
        <f aca="false">IF(B$10=1,($BY63*$D$23)-$D$14,$D$22)</f>
        <v>#DIV/0!</v>
      </c>
      <c r="T63" s="67" t="e">
        <f aca="false">S63-$BY63+$D$24</f>
        <v>#DIV/0!</v>
      </c>
      <c r="U63" s="0"/>
      <c r="V63" s="0"/>
      <c r="W63" s="0"/>
      <c r="X63" s="63" t="n">
        <f aca="false">IF(X$35="nymex",0,VLOOKUP($A63,curvesettle,HLOOKUP(X$35,curvesettle,2,FALSE())))</f>
        <v>0.17</v>
      </c>
      <c r="Y63" s="65" t="n">
        <f aca="false">IF(ISNUMBER(VLOOKUP($A63,VOLCURVES,HLOOKUP(X$35,VOLCURVES,2,FALSE()),FALSE())),VLOOKUP($A63,VOLCURVES,HLOOKUP(X$35,VOLCURVES,2,FALSE()),FALSE()),1)</f>
        <v>1</v>
      </c>
      <c r="Z63" s="184" t="n">
        <f aca="false">(($C63+AB63)*Y63)+$F$17</f>
        <v>0.365</v>
      </c>
      <c r="AA63" s="65" t="n">
        <f aca="false">VLOOKUP($A63,GASDVOLCURVES,HLOOKUP(X$36,GASDVOLCURVES,2,FALSE()),FALSE())+$F$18</f>
        <v>1.1</v>
      </c>
      <c r="AB63" s="4" t="n">
        <f aca="false">IF($F$20=1,VLOOKUP($A63,skewtable,HLOOKUP(ROUND(AC63-CK63,1),skewtable,2,FALSE()),FALSE())/100,0)</f>
        <v>0</v>
      </c>
      <c r="AC63" s="66" t="e">
        <f aca="false">IF($B$10=1,($CK63*$F$23)-$F$14,$F$22)</f>
        <v>#DIV/0!</v>
      </c>
      <c r="AD63" s="67" t="e">
        <f aca="false">AC63-$CK63+$F$24</f>
        <v>#DIV/0!</v>
      </c>
      <c r="AE63" s="0"/>
      <c r="AF63" s="0"/>
      <c r="AG63" s="0"/>
      <c r="AH63" s="63" t="n">
        <f aca="false">IF(AH$35="nymex",0,VLOOKUP($A63,curvesettle,HLOOKUP(AH$35,curvesettle,2,FALSE())))</f>
        <v>1.52</v>
      </c>
      <c r="AI63" s="65" t="n">
        <f aca="false">IF(ISNUMBER(VLOOKUP($A63,VOLCURVES,HLOOKUP(AH$35,VOLCURVES,2,FALSE()),FALSE())),VLOOKUP($A63,VOLCURVES,HLOOKUP(AH$35,VOLCURVES,2,FALSE()),FALSE()),1)</f>
        <v>1.04</v>
      </c>
      <c r="AJ63" s="184" t="n">
        <f aca="false">(($C63+AL63)*AI63)+$H$17</f>
        <v>0.3796</v>
      </c>
      <c r="AK63" s="65" t="n">
        <f aca="false">VLOOKUP($A63,GASDVOLCURVES,HLOOKUP(AH$36,GASDVOLCURVES,2,FALSE()),FALSE())+$H$18</f>
        <v>1.95</v>
      </c>
      <c r="AL63" s="4" t="n">
        <f aca="false">IF($H$20=1,VLOOKUP($A63,skewtable,HLOOKUP(ROUND(AM63-CW63,1),skewtable,2,FALSE()),FALSE())/100,0)</f>
        <v>0</v>
      </c>
      <c r="AM63" s="66" t="e">
        <f aca="false">IF($B$10=1,($CW63*$H$23)-$H$14,$H$22)</f>
        <v>#DIV/0!</v>
      </c>
      <c r="AN63" s="67" t="e">
        <f aca="false">AM63-CW63+$H$24</f>
        <v>#DIV/0!</v>
      </c>
      <c r="AO63" s="0"/>
      <c r="AP63" s="0"/>
      <c r="AQ63" s="183"/>
      <c r="AR63" s="183"/>
      <c r="AU63" s="0"/>
      <c r="AV63" s="0"/>
      <c r="AW63" s="0"/>
      <c r="AX63" s="0"/>
      <c r="AY63" s="0"/>
      <c r="AZ63" s="0"/>
      <c r="BA63" s="0"/>
      <c r="BC63" s="64"/>
      <c r="BD63" s="64"/>
      <c r="BE63" s="4" t="n">
        <f aca="false">VLOOKUP($A63,STRADDLE,14,FALSE())</f>
        <v>0.0354685691421812</v>
      </c>
      <c r="BF63" s="72" t="n">
        <f aca="false">A64-A63</f>
        <v>29</v>
      </c>
      <c r="BG63" s="179" t="n">
        <f aca="false">A63+BG$35</f>
        <v>38018</v>
      </c>
      <c r="BH63" s="179" t="n">
        <f aca="false">A64-1</f>
        <v>38046</v>
      </c>
      <c r="BJ63" s="179" t="n">
        <f aca="true">IF(BJ$35=0,TODAY(),IF(BJ$36="NYMEX",VLOOKUP($A63,expiration,2,FALSE())+1,BG63))</f>
        <v>38015</v>
      </c>
      <c r="BK63" s="73"/>
      <c r="BL63" s="73" t="n">
        <f aca="false">IF($A63&gt;=BM$32,IF($A63&lt;=BM$33,$BF63,0),0)</f>
        <v>0</v>
      </c>
      <c r="BM63" s="73" t="e">
        <f aca="false">BO63/BL63</f>
        <v>#DIV/0!</v>
      </c>
      <c r="BN63" s="1" t="n">
        <f aca="false">BL63*($B63+B$15)</f>
        <v>0</v>
      </c>
      <c r="BO63" s="47" t="n">
        <f aca="false">IF(ISNUMBER(((BN63/BL63)+B$16+$D63+$B$14)*BL63),((BN63/BL63)+B$16+$D63+$B$14)*BL63,0)</f>
        <v>0</v>
      </c>
      <c r="BP63" s="76" t="n">
        <f aca="false">IF($BL63=0,0,OSTRIP($BM63,$I63,$BJ63-$B$2,$BG63-$BJ63,$BH63-$BJ63,$B$10,$BE63,$F63,$G63,$B$23,$J63,$BQ$34,0))</f>
        <v>0</v>
      </c>
      <c r="BQ63" s="76" t="n">
        <f aca="false">IF($BL63=0,0,OSTRIP($BM63,$I63,$BJ63-$B$2,$BG63-$BJ63,$BH63-$BJ63,$B$10,$BE63,$F63,$G63,$B$23,$J63,$BQ$34,1))</f>
        <v>0</v>
      </c>
      <c r="BR63" s="76" t="n">
        <f aca="false">IF($BL63=0,0,OSTRIP($BM63,$I63,$BJ63-$B$2,$BG63-$BJ63,$BH63-$BJ63,$B$10,$BE63,$F63,$G63,$B$23,$J63,$BQ$34,BQ$35))</f>
        <v>0</v>
      </c>
      <c r="BS63" s="37" t="n">
        <f aca="false">BL63*BP63</f>
        <v>0</v>
      </c>
      <c r="BT63" s="37" t="n">
        <f aca="false">BL63*BQ63</f>
        <v>0</v>
      </c>
      <c r="BU63" s="37" t="n">
        <f aca="false">BL63*BR63</f>
        <v>0</v>
      </c>
      <c r="BV63" s="37" t="n">
        <f aca="false">BL63*G63</f>
        <v>0</v>
      </c>
      <c r="BX63" s="73" t="n">
        <f aca="false">IF($A63&gt;=BY$32,IF($A63&lt;=BY$33,$BF63,0),0)</f>
        <v>0</v>
      </c>
      <c r="BY63" s="186" t="e">
        <f aca="false">CA63/BX63</f>
        <v>#DIV/0!</v>
      </c>
      <c r="BZ63" s="1" t="n">
        <f aca="false">BX63*($B63+$D$15)</f>
        <v>0</v>
      </c>
      <c r="CA63" s="47" t="n">
        <f aca="false">IF(ISNUMBER(((BZ63/BX63)+$D$16+$N63+$D$14)*BX63),((BZ63/BX63)+$D$16+$N63+$D$14)*BX63,0)</f>
        <v>0</v>
      </c>
      <c r="CB63" s="76" t="n">
        <f aca="false">IF($BX63=0,0,OSTRIP($BY63,$S63,$BJ63-$B$2,$BG63-$BJ63,$BH63-$BJ63,$B$10,$BE63,$P63,$Q63,$D$23,$T63,$CC$34,0))</f>
        <v>0</v>
      </c>
      <c r="CC63" s="76" t="n">
        <f aca="false">IF($BX63=0,0,OSTRIP($BY63,$S63,$BJ63-$B$2,$BG63-$BJ63,$BH63-$BJ63,$B$10,$BE63,$P63,$Q63,$D$23,$T63,$CC$34,1))</f>
        <v>0</v>
      </c>
      <c r="CD63" s="76" t="n">
        <f aca="false">IF($BX63=0,0,OSTRIP($BY63,$S63,$BJ63-$B$2,$BG63-$BJ63,$BH63-$BJ63,$B$10,$BE63,$P63,$Q63,$D$23,$T63,$CC$34,CC$35))</f>
        <v>0</v>
      </c>
      <c r="CE63" s="37" t="n">
        <f aca="false">BX63*CB63</f>
        <v>0</v>
      </c>
      <c r="CF63" s="37" t="n">
        <f aca="false">BX63*CC63</f>
        <v>0</v>
      </c>
      <c r="CG63" s="37" t="n">
        <f aca="false">BX63*CD63</f>
        <v>0</v>
      </c>
      <c r="CH63" s="37" t="n">
        <f aca="false">BX63*Q63</f>
        <v>0</v>
      </c>
      <c r="CJ63" s="73" t="n">
        <f aca="false">IF($A63&gt;=CK$32,IF($A63&lt;=CK$33,$BF63,0),0)</f>
        <v>0</v>
      </c>
      <c r="CK63" s="186" t="e">
        <f aca="false">CM63/CJ63</f>
        <v>#DIV/0!</v>
      </c>
      <c r="CL63" s="1" t="n">
        <f aca="false">CJ63*($B63+$F$15)</f>
        <v>0</v>
      </c>
      <c r="CM63" s="47" t="n">
        <f aca="false">IF(ISNUMBER(((CL63/CJ63)+$F$16+$X63+$F$14)*CJ63),((CL63/CJ63)+$F$16+$X63+$F$14)*CJ63,0)</f>
        <v>0</v>
      </c>
      <c r="CN63" s="76" t="n">
        <f aca="false">IF($CJ63=0,0,OSTRIP($CK63,$AC63,$BJ63-$B$2,$BG63-$BJ63,$BH63-$BJ63,$B$10,$BE63,$Z63,$AA63,$F$23,$AD63,$CO$34,0))</f>
        <v>0</v>
      </c>
      <c r="CO63" s="76" t="n">
        <f aca="false">IF($CJ63=0,0,OSTRIP($CK63,$AC63,$BJ63-$B$2,$BG63-$BJ63,$BH63-$BJ63,$B$10,$BE63,$Z63,$AA63,$F$23,$AD63,$CO$34,1))</f>
        <v>0</v>
      </c>
      <c r="CP63" s="76" t="n">
        <f aca="false">IF($CJ63=0,0,OSTRIP($CK63,$AC63,$BJ63-$B$2,$BG63-$BJ63,$BH63-$BJ63,$B$10,$BE63,$Z63,$AA63,$F$23,$AD63,$CO$34,$CO$35))</f>
        <v>0</v>
      </c>
      <c r="CQ63" s="37" t="n">
        <f aca="false">CJ63*CN63</f>
        <v>0</v>
      </c>
      <c r="CR63" s="37" t="n">
        <f aca="false">CJ63*CO63</f>
        <v>0</v>
      </c>
      <c r="CS63" s="37" t="n">
        <f aca="false">CJ63*CP63</f>
        <v>0</v>
      </c>
      <c r="CT63" s="37" t="n">
        <f aca="false">CJ63*AA63</f>
        <v>0</v>
      </c>
      <c r="CV63" s="73" t="n">
        <f aca="false">IF($A63&gt;=CW$32,IF($A63&lt;=CW$33,$BF63,0),0)</f>
        <v>0</v>
      </c>
      <c r="CW63" s="186" t="e">
        <f aca="false">CY63/CV63</f>
        <v>#DIV/0!</v>
      </c>
      <c r="CX63" s="1" t="n">
        <f aca="false">CV63*($B63+$H$15)</f>
        <v>0</v>
      </c>
      <c r="CY63" s="47" t="n">
        <f aca="false">IF(ISNUMBER(((CX63/CV63)+$H$16+$AH63+$H$14)*CV63),((CX63/CV63)+$H$16+$AH63+$H$14)*CV63,0)</f>
        <v>0</v>
      </c>
      <c r="CZ63" s="76" t="n">
        <f aca="false">IF($CV63=0,0,OSTRIP($CW63,$AM63,$BJ63-$B$2,$BG63-$BJ63,$BH63-$BJ63,$B$10,$BE63,$AJ63,$AK63,$H$23,$AN63,$DA$34,0))</f>
        <v>0</v>
      </c>
      <c r="DA63" s="76" t="n">
        <f aca="false">IF($CV63=0,0,OSTRIP($CW63,$AM63,$BJ63-$B$2,$BG63-$BJ63,$BH63-$BJ63,$B$10,$BE63,$AJ63,$AK63,$H$23,$AN63,$DA$34,1))</f>
        <v>0</v>
      </c>
      <c r="DB63" s="76" t="n">
        <f aca="false">IF($CV63=0,0,OSTRIP($CW63,$AM63,$BJ63-$B$2,$BG63-$BJ63,$BH63-$BJ63,$B$10,$BE63,$AJ63,$AK63,$H$23,$AN63,$DA$34,DA$35))</f>
        <v>0</v>
      </c>
      <c r="DC63" s="37" t="n">
        <f aca="false">CV63*CZ63</f>
        <v>0</v>
      </c>
      <c r="DD63" s="37" t="n">
        <f aca="false">CV63*DA63</f>
        <v>0</v>
      </c>
      <c r="DE63" s="37" t="n">
        <f aca="false">CV63*DB63</f>
        <v>0</v>
      </c>
      <c r="DF63" s="37" t="n">
        <f aca="false">CV63*AK63</f>
        <v>0</v>
      </c>
    </row>
    <row r="64" customFormat="false" ht="12.75" hidden="false" customHeight="false" outlineLevel="0" collapsed="false">
      <c r="A64" s="62" t="n">
        <f aca="false">DATE(YEAR(A63),MONTH(A63)+1,1)</f>
        <v>38047</v>
      </c>
      <c r="B64" s="63" t="n">
        <f aca="false">VLOOKUP(A64,STRADDLE,5,FALSE())</f>
        <v>3.355</v>
      </c>
      <c r="C64" s="4" t="n">
        <f aca="false">VLOOKUP(A64,STRADDLE,8,FALSE())</f>
        <v>0.35</v>
      </c>
      <c r="D64" s="63" t="n">
        <f aca="false">IF(D$35="nymex",0,VLOOKUP($A64,curvesettle,HLOOKUP(D$35,curvesettle,2,FALSE())))</f>
        <v>0.54</v>
      </c>
      <c r="E64" s="65" t="n">
        <f aca="false">IF(ISNUMBER(VLOOKUP($A64,VOLCURVES,HLOOKUP(D$35,VOLCURVES,2,FALSE()),FALSE())),VLOOKUP($A64,VOLCURVES,HLOOKUP(D$35,VOLCURVES,2,FALSE()),FALSE()),1)</f>
        <v>1.1</v>
      </c>
      <c r="F64" s="4" t="n">
        <f aca="false">(($C64+H64)*$E64)+B$17</f>
        <v>0.485</v>
      </c>
      <c r="G64" s="65" t="n">
        <f aca="false">VLOOKUP($A64,GASDVOLCURVES,HLOOKUP(D$36,GASDVOLCURVES,2,FALSE()),FALSE())+$B$18</f>
        <v>0.85</v>
      </c>
      <c r="H64" s="4" t="n">
        <f aca="false">IF($B$20=1,VLOOKUP($A64,skewtable,HLOOKUP(ROUND(I64-BM64,1),skewtable,2,FALSE()),FALSE())/100,0)</f>
        <v>0</v>
      </c>
      <c r="I64" s="66" t="e">
        <f aca="false">IF($B$10=1,($BM64*$B$23)-$B$14,$B$22)</f>
        <v>#DIV/0!</v>
      </c>
      <c r="J64" s="67" t="e">
        <f aca="false">I64-BM64+$B$24</f>
        <v>#DIV/0!</v>
      </c>
      <c r="K64" s="67"/>
      <c r="L64" s="183"/>
      <c r="M64" s="183"/>
      <c r="N64" s="63" t="n">
        <f aca="false">IF(N$35="nymex",0,VLOOKUP($A64,curvesettle,HLOOKUP(N$35,curvesettle,2,FALSE())))</f>
        <v>-0.02</v>
      </c>
      <c r="O64" s="65" t="n">
        <f aca="false">IF(ISNUMBER(VLOOKUP($A64,VOLCURVES,HLOOKUP(N$35,VOLCURVES,2,FALSE()),FALSE())),VLOOKUP($A64,VOLCURVES,HLOOKUP(N$35,VOLCURVES,2,FALSE()),FALSE()),1)</f>
        <v>1</v>
      </c>
      <c r="P64" s="184" t="n">
        <f aca="false">(($C64+R64)*O64)+$D$17</f>
        <v>0.35</v>
      </c>
      <c r="Q64" s="65" t="n">
        <f aca="false">VLOOKUP($A64,GASDVOLCURVES,HLOOKUP(N$36,GASDVOLCURVES,2,FALSE()),FALSE())+$D$18</f>
        <v>0.85</v>
      </c>
      <c r="R64" s="4" t="n">
        <f aca="false">IF($D$20=1,VLOOKUP($A64,skewtable,HLOOKUP(ROUND(S64-BY64,1),skewtable,2,FALSE()),FALSE())/100,0)</f>
        <v>0</v>
      </c>
      <c r="S64" s="66" t="e">
        <f aca="false">IF(B$10=1,($BY64*$D$23)-$D$14,$D$22)</f>
        <v>#DIV/0!</v>
      </c>
      <c r="T64" s="67" t="e">
        <f aca="false">S64-$BY64+$D$24</f>
        <v>#DIV/0!</v>
      </c>
      <c r="U64" s="0"/>
      <c r="V64" s="0"/>
      <c r="W64" s="0"/>
      <c r="X64" s="63" t="n">
        <f aca="false">IF(X$35="nymex",0,VLOOKUP($A64,curvesettle,HLOOKUP(X$35,curvesettle,2,FALSE())))</f>
        <v>0.17</v>
      </c>
      <c r="Y64" s="65" t="n">
        <f aca="false">IF(ISNUMBER(VLOOKUP($A64,VOLCURVES,HLOOKUP(X$35,VOLCURVES,2,FALSE()),FALSE())),VLOOKUP($A64,VOLCURVES,HLOOKUP(X$35,VOLCURVES,2,FALSE()),FALSE()),1)</f>
        <v>1</v>
      </c>
      <c r="Z64" s="184" t="n">
        <f aca="false">(($C64+AB64)*Y64)+$F$17</f>
        <v>0.35</v>
      </c>
      <c r="AA64" s="65" t="n">
        <f aca="false">VLOOKUP($A64,GASDVOLCURVES,HLOOKUP(X$36,GASDVOLCURVES,2,FALSE()),FALSE())+$F$18</f>
        <v>0.85</v>
      </c>
      <c r="AB64" s="4" t="n">
        <f aca="false">IF($F$20=1,VLOOKUP($A64,skewtable,HLOOKUP(ROUND(AC64-CK64,1),skewtable,2,FALSE()),FALSE())/100,0)</f>
        <v>0</v>
      </c>
      <c r="AC64" s="66" t="e">
        <f aca="false">IF($B$10=1,($CK64*$F$23)-$F$14,$F$22)</f>
        <v>#DIV/0!</v>
      </c>
      <c r="AD64" s="67" t="e">
        <f aca="false">AC64-$CK64+$F$24</f>
        <v>#DIV/0!</v>
      </c>
      <c r="AE64" s="0"/>
      <c r="AF64" s="0"/>
      <c r="AG64" s="0"/>
      <c r="AH64" s="63" t="n">
        <f aca="false">IF(AH$35="nymex",0,VLOOKUP($A64,curvesettle,HLOOKUP(AH$35,curvesettle,2,FALSE())))</f>
        <v>0.63</v>
      </c>
      <c r="AI64" s="65" t="n">
        <f aca="false">IF(ISNUMBER(VLOOKUP($A64,VOLCURVES,HLOOKUP(AH$35,VOLCURVES,2,FALSE()),FALSE())),VLOOKUP($A64,VOLCURVES,HLOOKUP(AH$35,VOLCURVES,2,FALSE()),FALSE()),1)</f>
        <v>1.04</v>
      </c>
      <c r="AJ64" s="184" t="n">
        <f aca="false">(($C64+AL64)*AI64)+$H$17</f>
        <v>0.364</v>
      </c>
      <c r="AK64" s="65" t="n">
        <f aca="false">VLOOKUP($A64,GASDVOLCURVES,HLOOKUP(AH$36,GASDVOLCURVES,2,FALSE()),FALSE())+$H$18</f>
        <v>1.5</v>
      </c>
      <c r="AL64" s="4" t="n">
        <f aca="false">IF($H$20=1,VLOOKUP($A64,skewtable,HLOOKUP(ROUND(AM64-CW64,1),skewtable,2,FALSE()),FALSE())/100,0)</f>
        <v>0</v>
      </c>
      <c r="AM64" s="66" t="e">
        <f aca="false">IF($B$10=1,($CW64*$H$23)-$H$14,$H$22)</f>
        <v>#DIV/0!</v>
      </c>
      <c r="AN64" s="67" t="e">
        <f aca="false">AM64-CW64+$H$24</f>
        <v>#DIV/0!</v>
      </c>
      <c r="AO64" s="0"/>
      <c r="AP64" s="0"/>
      <c r="AQ64" s="183"/>
      <c r="AR64" s="183"/>
      <c r="AU64" s="0"/>
      <c r="AV64" s="0"/>
      <c r="AW64" s="0"/>
      <c r="AX64" s="0"/>
      <c r="AY64" s="0"/>
      <c r="AZ64" s="0"/>
      <c r="BA64" s="0"/>
      <c r="BC64" s="64"/>
      <c r="BD64" s="64"/>
      <c r="BE64" s="4" t="n">
        <f aca="false">VLOOKUP($A64,STRADDLE,14,FALSE())</f>
        <v>0.0362446584359817</v>
      </c>
      <c r="BF64" s="72" t="n">
        <f aca="false">A65-A64</f>
        <v>31</v>
      </c>
      <c r="BG64" s="179" t="n">
        <f aca="false">A64+BG$35</f>
        <v>38047</v>
      </c>
      <c r="BH64" s="179" t="n">
        <f aca="false">A65-1</f>
        <v>38077</v>
      </c>
      <c r="BJ64" s="179" t="n">
        <f aca="true">IF(BJ$35=0,TODAY(),IF(BJ$36="NYMEX",VLOOKUP($A64,expiration,2,FALSE())+1,BG64))</f>
        <v>38043</v>
      </c>
      <c r="BK64" s="73"/>
      <c r="BL64" s="73" t="n">
        <f aca="false">IF($A64&gt;=BM$32,IF($A64&lt;=BM$33,$BF64,0),0)</f>
        <v>0</v>
      </c>
      <c r="BM64" s="73" t="e">
        <f aca="false">BO64/BL64</f>
        <v>#DIV/0!</v>
      </c>
      <c r="BN64" s="1" t="n">
        <f aca="false">BL64*($B64+B$15)</f>
        <v>0</v>
      </c>
      <c r="BO64" s="47" t="n">
        <f aca="false">IF(ISNUMBER(((BN64/BL64)+B$16+$D64+$B$14)*BL64),((BN64/BL64)+B$16+$D64+$B$14)*BL64,0)</f>
        <v>0</v>
      </c>
      <c r="BP64" s="76" t="n">
        <f aca="false">IF($BL64=0,0,OSTRIP($BM64,$I64,$BJ64-$B$2,$BG64-$BJ64,$BH64-$BJ64,$B$10,$BE64,$F64,$G64,$B$23,$J64,$BQ$34,0))</f>
        <v>0</v>
      </c>
      <c r="BQ64" s="76" t="n">
        <f aca="false">IF($BL64=0,0,OSTRIP($BM64,$I64,$BJ64-$B$2,$BG64-$BJ64,$BH64-$BJ64,$B$10,$BE64,$F64,$G64,$B$23,$J64,$BQ$34,1))</f>
        <v>0</v>
      </c>
      <c r="BR64" s="76" t="n">
        <f aca="false">IF($BL64=0,0,OSTRIP($BM64,$I64,$BJ64-$B$2,$BG64-$BJ64,$BH64-$BJ64,$B$10,$BE64,$F64,$G64,$B$23,$J64,$BQ$34,BQ$35))</f>
        <v>0</v>
      </c>
      <c r="BS64" s="37" t="n">
        <f aca="false">BL64*BP64</f>
        <v>0</v>
      </c>
      <c r="BT64" s="37" t="n">
        <f aca="false">BL64*BQ64</f>
        <v>0</v>
      </c>
      <c r="BU64" s="37" t="n">
        <f aca="false">BL64*BR64</f>
        <v>0</v>
      </c>
      <c r="BV64" s="37" t="n">
        <f aca="false">BL64*G64</f>
        <v>0</v>
      </c>
      <c r="BX64" s="73" t="n">
        <f aca="false">IF($A64&gt;=BY$32,IF($A64&lt;=BY$33,$BF64,0),0)</f>
        <v>0</v>
      </c>
      <c r="BY64" s="186" t="e">
        <f aca="false">CA64/BX64</f>
        <v>#DIV/0!</v>
      </c>
      <c r="BZ64" s="1" t="n">
        <f aca="false">BX64*($B64+$D$15)</f>
        <v>0</v>
      </c>
      <c r="CA64" s="47" t="n">
        <f aca="false">IF(ISNUMBER(((BZ64/BX64)+$D$16+$N64+$D$14)*BX64),((BZ64/BX64)+$D$16+$N64+$D$14)*BX64,0)</f>
        <v>0</v>
      </c>
      <c r="CB64" s="76" t="n">
        <f aca="false">IF($BX64=0,0,OSTRIP($BY64,$S64,$BJ64-$B$2,$BG64-$BJ64,$BH64-$BJ64,$B$10,$BE64,$P64,$Q64,$D$23,$T64,$CC$34,0))</f>
        <v>0</v>
      </c>
      <c r="CC64" s="76" t="n">
        <f aca="false">IF($BX64=0,0,OSTRIP($BY64,$S64,$BJ64-$B$2,$BG64-$BJ64,$BH64-$BJ64,$B$10,$BE64,$P64,$Q64,$D$23,$T64,$CC$34,1))</f>
        <v>0</v>
      </c>
      <c r="CD64" s="76" t="n">
        <f aca="false">IF($BX64=0,0,OSTRIP($BY64,$S64,$BJ64-$B$2,$BG64-$BJ64,$BH64-$BJ64,$B$10,$BE64,$P64,$Q64,$D$23,$T64,$CC$34,CC$35))</f>
        <v>0</v>
      </c>
      <c r="CE64" s="37" t="n">
        <f aca="false">BX64*CB64</f>
        <v>0</v>
      </c>
      <c r="CF64" s="37" t="n">
        <f aca="false">BX64*CC64</f>
        <v>0</v>
      </c>
      <c r="CG64" s="37" t="n">
        <f aca="false">BX64*CD64</f>
        <v>0</v>
      </c>
      <c r="CH64" s="37" t="n">
        <f aca="false">BX64*Q64</f>
        <v>0</v>
      </c>
      <c r="CJ64" s="73" t="n">
        <f aca="false">IF($A64&gt;=CK$32,IF($A64&lt;=CK$33,$BF64,0),0)</f>
        <v>0</v>
      </c>
      <c r="CK64" s="186" t="e">
        <f aca="false">CM64/CJ64</f>
        <v>#DIV/0!</v>
      </c>
      <c r="CL64" s="1" t="n">
        <f aca="false">CJ64*($B64+$F$15)</f>
        <v>0</v>
      </c>
      <c r="CM64" s="47" t="n">
        <f aca="false">IF(ISNUMBER(((CL64/CJ64)+$F$16+$X64+$F$14)*CJ64),((CL64/CJ64)+$F$16+$X64+$F$14)*CJ64,0)</f>
        <v>0</v>
      </c>
      <c r="CN64" s="76" t="n">
        <f aca="false">IF($CJ64=0,0,OSTRIP($CK64,$AC64,$BJ64-$B$2,$BG64-$BJ64,$BH64-$BJ64,$B$10,$BE64,$Z64,$AA64,$F$23,$AD64,$CO$34,0))</f>
        <v>0</v>
      </c>
      <c r="CO64" s="76" t="n">
        <f aca="false">IF($CJ64=0,0,OSTRIP($CK64,$AC64,$BJ64-$B$2,$BG64-$BJ64,$BH64-$BJ64,$B$10,$BE64,$Z64,$AA64,$F$23,$AD64,$CO$34,1))</f>
        <v>0</v>
      </c>
      <c r="CP64" s="76" t="n">
        <f aca="false">IF($CJ64=0,0,OSTRIP($CK64,$AC64,$BJ64-$B$2,$BG64-$BJ64,$BH64-$BJ64,$B$10,$BE64,$Z64,$AA64,$F$23,$AD64,$CO$34,$CO$35))</f>
        <v>0</v>
      </c>
      <c r="CQ64" s="37" t="n">
        <f aca="false">CJ64*CN64</f>
        <v>0</v>
      </c>
      <c r="CR64" s="37" t="n">
        <f aca="false">CJ64*CO64</f>
        <v>0</v>
      </c>
      <c r="CS64" s="37" t="n">
        <f aca="false">CJ64*CP64</f>
        <v>0</v>
      </c>
      <c r="CT64" s="37" t="n">
        <f aca="false">CJ64*AA64</f>
        <v>0</v>
      </c>
      <c r="CV64" s="73" t="n">
        <f aca="false">IF($A64&gt;=CW$32,IF($A64&lt;=CW$33,$BF64,0),0)</f>
        <v>0</v>
      </c>
      <c r="CW64" s="186" t="e">
        <f aca="false">CY64/CV64</f>
        <v>#DIV/0!</v>
      </c>
      <c r="CX64" s="1" t="n">
        <f aca="false">CV64*($B64+$H$15)</f>
        <v>0</v>
      </c>
      <c r="CY64" s="47" t="n">
        <f aca="false">IF(ISNUMBER(((CX64/CV64)+$H$16+$AH64+$H$14)*CV64),((CX64/CV64)+$H$16+$AH64+$H$14)*CV64,0)</f>
        <v>0</v>
      </c>
      <c r="CZ64" s="76" t="n">
        <f aca="false">IF($CV64=0,0,OSTRIP($CW64,$AM64,$BJ64-$B$2,$BG64-$BJ64,$BH64-$BJ64,$B$10,$BE64,$AJ64,$AK64,$H$23,$AN64,$DA$34,0))</f>
        <v>0</v>
      </c>
      <c r="DA64" s="76" t="n">
        <f aca="false">IF($CV64=0,0,OSTRIP($CW64,$AM64,$BJ64-$B$2,$BG64-$BJ64,$BH64-$BJ64,$B$10,$BE64,$AJ64,$AK64,$H$23,$AN64,$DA$34,1))</f>
        <v>0</v>
      </c>
      <c r="DB64" s="76" t="n">
        <f aca="false">IF($CV64=0,0,OSTRIP($CW64,$AM64,$BJ64-$B$2,$BG64-$BJ64,$BH64-$BJ64,$B$10,$BE64,$AJ64,$AK64,$H$23,$AN64,$DA$34,DA$35))</f>
        <v>0</v>
      </c>
      <c r="DC64" s="37" t="n">
        <f aca="false">CV64*CZ64</f>
        <v>0</v>
      </c>
      <c r="DD64" s="37" t="n">
        <f aca="false">CV64*DA64</f>
        <v>0</v>
      </c>
      <c r="DE64" s="37" t="n">
        <f aca="false">CV64*DB64</f>
        <v>0</v>
      </c>
      <c r="DF64" s="37" t="n">
        <f aca="false">CV64*AK64</f>
        <v>0</v>
      </c>
    </row>
    <row r="65" customFormat="false" ht="12.75" hidden="false" customHeight="false" outlineLevel="0" collapsed="false">
      <c r="A65" s="62" t="n">
        <f aca="false">DATE(YEAR(A64),MONTH(A64)+1,1)</f>
        <v>38078</v>
      </c>
      <c r="B65" s="63" t="n">
        <f aca="false">VLOOKUP(A65,STRADDLE,5,FALSE())</f>
        <v>3.17</v>
      </c>
      <c r="C65" s="4" t="n">
        <f aca="false">VLOOKUP(A65,STRADDLE,8,FALSE())</f>
        <v>0.32</v>
      </c>
      <c r="D65" s="63" t="n">
        <f aca="false">IF(D$35="nymex",0,VLOOKUP($A65,curvesettle,HLOOKUP(D$35,curvesettle,2,FALSE())))</f>
        <v>0.36</v>
      </c>
      <c r="E65" s="65" t="n">
        <f aca="false">IF(ISNUMBER(VLOOKUP($A65,VOLCURVES,HLOOKUP(D$35,VOLCURVES,2,FALSE()),FALSE())),VLOOKUP($A65,VOLCURVES,HLOOKUP(D$35,VOLCURVES,2,FALSE()),FALSE()),1)</f>
        <v>0.98</v>
      </c>
      <c r="F65" s="4" t="n">
        <f aca="false">(($C65+H65)*$E65)+B$17</f>
        <v>0.4136</v>
      </c>
      <c r="G65" s="65" t="n">
        <f aca="false">VLOOKUP($A65,GASDVOLCURVES,HLOOKUP(D$36,GASDVOLCURVES,2,FALSE()),FALSE())+$B$18</f>
        <v>0.5</v>
      </c>
      <c r="H65" s="4" t="n">
        <f aca="false">IF($B$20=1,VLOOKUP($A65,skewtable,HLOOKUP(ROUND(I65-BM65,1),skewtable,2,FALSE()),FALSE())/100,0)</f>
        <v>0</v>
      </c>
      <c r="I65" s="66" t="e">
        <f aca="false">IF($B$10=1,($BM65*$B$23)-$B$14,$B$22)</f>
        <v>#DIV/0!</v>
      </c>
      <c r="J65" s="67" t="e">
        <f aca="false">I65-BM65+$B$24</f>
        <v>#DIV/0!</v>
      </c>
      <c r="K65" s="67"/>
      <c r="L65" s="183"/>
      <c r="M65" s="183"/>
      <c r="N65" s="63" t="n">
        <f aca="false">IF(N$35="nymex",0,VLOOKUP($A65,curvesettle,HLOOKUP(N$35,curvesettle,2,FALSE())))</f>
        <v>0.025</v>
      </c>
      <c r="O65" s="65" t="n">
        <f aca="false">IF(ISNUMBER(VLOOKUP($A65,VOLCURVES,HLOOKUP(N$35,VOLCURVES,2,FALSE()),FALSE())),VLOOKUP($A65,VOLCURVES,HLOOKUP(N$35,VOLCURVES,2,FALSE()),FALSE()),1)</f>
        <v>1</v>
      </c>
      <c r="P65" s="184" t="n">
        <f aca="false">(($C65+R65)*O65)+$D$17</f>
        <v>0.32</v>
      </c>
      <c r="Q65" s="65" t="n">
        <f aca="false">VLOOKUP($A65,GASDVOLCURVES,HLOOKUP(N$36,GASDVOLCURVES,2,FALSE()),FALSE())+$D$18</f>
        <v>0.5</v>
      </c>
      <c r="R65" s="4" t="n">
        <f aca="false">IF($D$20=1,VLOOKUP($A65,skewtable,HLOOKUP(ROUND(S65-BY65,1),skewtable,2,FALSE()),FALSE())/100,0)</f>
        <v>0</v>
      </c>
      <c r="S65" s="66" t="e">
        <f aca="false">IF(B$10=1,($BY65*$D$23)-$D$14,$D$22)</f>
        <v>#DIV/0!</v>
      </c>
      <c r="T65" s="67" t="e">
        <f aca="false">S65-$BY65+$D$24</f>
        <v>#DIV/0!</v>
      </c>
      <c r="U65" s="0"/>
      <c r="V65" s="0"/>
      <c r="W65" s="0"/>
      <c r="X65" s="63" t="n">
        <f aca="false">IF(X$35="nymex",0,VLOOKUP($A65,curvesettle,HLOOKUP(X$35,curvesettle,2,FALSE())))</f>
        <v>0.21</v>
      </c>
      <c r="Y65" s="65" t="n">
        <f aca="false">IF(ISNUMBER(VLOOKUP($A65,VOLCURVES,HLOOKUP(X$35,VOLCURVES,2,FALSE()),FALSE())),VLOOKUP($A65,VOLCURVES,HLOOKUP(X$35,VOLCURVES,2,FALSE()),FALSE()),1)</f>
        <v>1</v>
      </c>
      <c r="Z65" s="184" t="n">
        <f aca="false">(($C65+AB65)*Y65)+$F$17</f>
        <v>0.32</v>
      </c>
      <c r="AA65" s="65" t="n">
        <f aca="false">VLOOKUP($A65,GASDVOLCURVES,HLOOKUP(X$36,GASDVOLCURVES,2,FALSE()),FALSE())+$F$18</f>
        <v>0.55</v>
      </c>
      <c r="AB65" s="4" t="n">
        <f aca="false">IF($F$20=1,VLOOKUP($A65,skewtable,HLOOKUP(ROUND(AC65-CK65,1),skewtable,2,FALSE()),FALSE())/100,0)</f>
        <v>0</v>
      </c>
      <c r="AC65" s="66" t="e">
        <f aca="false">IF($B$10=1,($CK65*$F$23)-$F$14,$F$22)</f>
        <v>#DIV/0!</v>
      </c>
      <c r="AD65" s="67" t="e">
        <f aca="false">AC65-$CK65+$F$24</f>
        <v>#DIV/0!</v>
      </c>
      <c r="AE65" s="0"/>
      <c r="AF65" s="0"/>
      <c r="AG65" s="0"/>
      <c r="AH65" s="63" t="n">
        <f aca="false">IF(AH$35="nymex",0,VLOOKUP($A65,curvesettle,HLOOKUP(AH$35,curvesettle,2,FALSE())))</f>
        <v>0.38</v>
      </c>
      <c r="AI65" s="65" t="n">
        <f aca="false">IF(ISNUMBER(VLOOKUP($A65,VOLCURVES,HLOOKUP(AH$35,VOLCURVES,2,FALSE()),FALSE())),VLOOKUP($A65,VOLCURVES,HLOOKUP(AH$35,VOLCURVES,2,FALSE()),FALSE()),1)</f>
        <v>1</v>
      </c>
      <c r="AJ65" s="184" t="n">
        <f aca="false">(($C65+AL65)*AI65)+$H$17</f>
        <v>0.32</v>
      </c>
      <c r="AK65" s="65" t="n">
        <f aca="false">VLOOKUP($A65,GASDVOLCURVES,HLOOKUP(AH$36,GASDVOLCURVES,2,FALSE()),FALSE())+$H$18</f>
        <v>0.95</v>
      </c>
      <c r="AL65" s="4" t="n">
        <f aca="false">IF($H$20=1,VLOOKUP($A65,skewtable,HLOOKUP(ROUND(AM65-CW65,1),skewtable,2,FALSE()),FALSE())/100,0)</f>
        <v>0</v>
      </c>
      <c r="AM65" s="66" t="e">
        <f aca="false">IF($B$10=1,($CW65*$H$23)-$H$14,$H$22)</f>
        <v>#DIV/0!</v>
      </c>
      <c r="AN65" s="67" t="e">
        <f aca="false">AM65-CW65+$H$24</f>
        <v>#DIV/0!</v>
      </c>
      <c r="AO65" s="0"/>
      <c r="AP65" s="0"/>
      <c r="AQ65" s="183"/>
      <c r="AR65" s="183"/>
      <c r="AU65" s="0"/>
      <c r="AV65" s="0"/>
      <c r="AW65" s="0"/>
      <c r="AX65" s="0"/>
      <c r="AY65" s="0"/>
      <c r="AZ65" s="0"/>
      <c r="BA65" s="0"/>
      <c r="BC65" s="64"/>
      <c r="BD65" s="64"/>
      <c r="BE65" s="4" t="n">
        <f aca="false">VLOOKUP($A65,STRADDLE,14,FALSE())</f>
        <v>0.0370210690335231</v>
      </c>
      <c r="BF65" s="72" t="n">
        <f aca="false">A66-A65</f>
        <v>30</v>
      </c>
      <c r="BG65" s="179" t="n">
        <f aca="false">A65+BG$35</f>
        <v>38078</v>
      </c>
      <c r="BH65" s="179" t="n">
        <f aca="false">A66-1</f>
        <v>38107</v>
      </c>
      <c r="BJ65" s="179" t="n">
        <f aca="true">IF(BJ$35=0,TODAY(),IF(BJ$36="NYMEX",VLOOKUP($A65,expiration,2,FALSE())+1,BG65))</f>
        <v>38076</v>
      </c>
      <c r="BK65" s="73"/>
      <c r="BL65" s="73" t="n">
        <f aca="false">IF($A65&gt;=BM$32,IF($A65&lt;=BM$33,$BF65,0),0)</f>
        <v>0</v>
      </c>
      <c r="BM65" s="73" t="e">
        <f aca="false">BO65/BL65</f>
        <v>#DIV/0!</v>
      </c>
      <c r="BN65" s="1" t="n">
        <f aca="false">BL65*($B65+B$15)</f>
        <v>0</v>
      </c>
      <c r="BO65" s="47" t="n">
        <f aca="false">IF(ISNUMBER(((BN65/BL65)+B$16+$D65+$B$14)*BL65),((BN65/BL65)+B$16+$D65+$B$14)*BL65,0)</f>
        <v>0</v>
      </c>
      <c r="BP65" s="76" t="n">
        <f aca="false">IF($BL65=0,0,OSTRIP($BM65,$I65,$BJ65-$B$2,$BG65-$BJ65,$BH65-$BJ65,$B$10,$BE65,$F65,$G65,$B$23,$J65,$BQ$34,0))</f>
        <v>0</v>
      </c>
      <c r="BQ65" s="76" t="n">
        <f aca="false">IF($BL65=0,0,OSTRIP($BM65,$I65,$BJ65-$B$2,$BG65-$BJ65,$BH65-$BJ65,$B$10,$BE65,$F65,$G65,$B$23,$J65,$BQ$34,1))</f>
        <v>0</v>
      </c>
      <c r="BR65" s="76" t="n">
        <f aca="false">IF($BL65=0,0,OSTRIP($BM65,$I65,$BJ65-$B$2,$BG65-$BJ65,$BH65-$BJ65,$B$10,$BE65,$F65,$G65,$B$23,$J65,$BQ$34,BQ$35))</f>
        <v>0</v>
      </c>
      <c r="BS65" s="37" t="n">
        <f aca="false">BL65*BP65</f>
        <v>0</v>
      </c>
      <c r="BT65" s="37" t="n">
        <f aca="false">BL65*BQ65</f>
        <v>0</v>
      </c>
      <c r="BU65" s="37" t="n">
        <f aca="false">BL65*BR65</f>
        <v>0</v>
      </c>
      <c r="BV65" s="37" t="n">
        <f aca="false">BL65*G65</f>
        <v>0</v>
      </c>
      <c r="BX65" s="73" t="n">
        <f aca="false">IF($A65&gt;=BY$32,IF($A65&lt;=BY$33,$BF65,0),0)</f>
        <v>0</v>
      </c>
      <c r="BY65" s="186" t="e">
        <f aca="false">CA65/BX65</f>
        <v>#DIV/0!</v>
      </c>
      <c r="BZ65" s="1" t="n">
        <f aca="false">BX65*($B65+$D$15)</f>
        <v>0</v>
      </c>
      <c r="CA65" s="47" t="n">
        <f aca="false">IF(ISNUMBER(((BZ65/BX65)+$D$16+$N65+$D$14)*BX65),((BZ65/BX65)+$D$16+$N65+$D$14)*BX65,0)</f>
        <v>0</v>
      </c>
      <c r="CB65" s="76" t="n">
        <f aca="false">IF($BX65=0,0,OSTRIP($BY65,$S65,$BJ65-$B$2,$BG65-$BJ65,$BH65-$BJ65,$B$10,$BE65,$P65,$Q65,$D$23,$T65,$CC$34,0))</f>
        <v>0</v>
      </c>
      <c r="CC65" s="76" t="n">
        <f aca="false">IF($BX65=0,0,OSTRIP($BY65,$S65,$BJ65-$B$2,$BG65-$BJ65,$BH65-$BJ65,$B$10,$BE65,$P65,$Q65,$D$23,$T65,$CC$34,1))</f>
        <v>0</v>
      </c>
      <c r="CD65" s="76" t="n">
        <f aca="false">IF($BX65=0,0,OSTRIP($BY65,$S65,$BJ65-$B$2,$BG65-$BJ65,$BH65-$BJ65,$B$10,$BE65,$P65,$Q65,$D$23,$T65,$CC$34,CC$35))</f>
        <v>0</v>
      </c>
      <c r="CE65" s="37" t="n">
        <f aca="false">BX65*CB65</f>
        <v>0</v>
      </c>
      <c r="CF65" s="37" t="n">
        <f aca="false">BX65*CC65</f>
        <v>0</v>
      </c>
      <c r="CG65" s="37" t="n">
        <f aca="false">BX65*CD65</f>
        <v>0</v>
      </c>
      <c r="CH65" s="37" t="n">
        <f aca="false">BX65*Q65</f>
        <v>0</v>
      </c>
      <c r="CJ65" s="73" t="n">
        <f aca="false">IF($A65&gt;=CK$32,IF($A65&lt;=CK$33,$BF65,0),0)</f>
        <v>0</v>
      </c>
      <c r="CK65" s="186" t="e">
        <f aca="false">CM65/CJ65</f>
        <v>#DIV/0!</v>
      </c>
      <c r="CL65" s="1" t="n">
        <f aca="false">CJ65*($B65+$F$15)</f>
        <v>0</v>
      </c>
      <c r="CM65" s="47" t="n">
        <f aca="false">IF(ISNUMBER(((CL65/CJ65)+$F$16+$X65+$F$14)*CJ65),((CL65/CJ65)+$F$16+$X65+$F$14)*CJ65,0)</f>
        <v>0</v>
      </c>
      <c r="CN65" s="76" t="n">
        <f aca="false">IF($CJ65=0,0,OSTRIP($CK65,$AC65,$BJ65-$B$2,$BG65-$BJ65,$BH65-$BJ65,$B$10,$BE65,$Z65,$AA65,$F$23,$AD65,$CO$34,0))</f>
        <v>0</v>
      </c>
      <c r="CO65" s="76" t="n">
        <f aca="false">IF($CJ65=0,0,OSTRIP($CK65,$AC65,$BJ65-$B$2,$BG65-$BJ65,$BH65-$BJ65,$B$10,$BE65,$Z65,$AA65,$F$23,$AD65,$CO$34,1))</f>
        <v>0</v>
      </c>
      <c r="CP65" s="76" t="n">
        <f aca="false">IF($CJ65=0,0,OSTRIP($CK65,$AC65,$BJ65-$B$2,$BG65-$BJ65,$BH65-$BJ65,$B$10,$BE65,$Z65,$AA65,$F$23,$AD65,$CO$34,$CO$35))</f>
        <v>0</v>
      </c>
      <c r="CQ65" s="37" t="n">
        <f aca="false">CJ65*CN65</f>
        <v>0</v>
      </c>
      <c r="CR65" s="37" t="n">
        <f aca="false">CJ65*CO65</f>
        <v>0</v>
      </c>
      <c r="CS65" s="37" t="n">
        <f aca="false">CJ65*CP65</f>
        <v>0</v>
      </c>
      <c r="CT65" s="37" t="n">
        <f aca="false">CJ65*AA65</f>
        <v>0</v>
      </c>
      <c r="CV65" s="73" t="n">
        <f aca="false">IF($A65&gt;=CW$32,IF($A65&lt;=CW$33,$BF65,0),0)</f>
        <v>0</v>
      </c>
      <c r="CW65" s="186" t="e">
        <f aca="false">CY65/CV65</f>
        <v>#DIV/0!</v>
      </c>
      <c r="CX65" s="1" t="n">
        <f aca="false">CV65*($B65+$H$15)</f>
        <v>0</v>
      </c>
      <c r="CY65" s="47" t="n">
        <f aca="false">IF(ISNUMBER(((CX65/CV65)+$H$16+$AH65+$H$14)*CV65),((CX65/CV65)+$H$16+$AH65+$H$14)*CV65,0)</f>
        <v>0</v>
      </c>
      <c r="CZ65" s="76" t="n">
        <f aca="false">IF($CV65=0,0,OSTRIP($CW65,$AM65,$BJ65-$B$2,$BG65-$BJ65,$BH65-$BJ65,$B$10,$BE65,$AJ65,$AK65,$H$23,$AN65,$DA$34,0))</f>
        <v>0</v>
      </c>
      <c r="DA65" s="76" t="n">
        <f aca="false">IF($CV65=0,0,OSTRIP($CW65,$AM65,$BJ65-$B$2,$BG65-$BJ65,$BH65-$BJ65,$B$10,$BE65,$AJ65,$AK65,$H$23,$AN65,$DA$34,1))</f>
        <v>0</v>
      </c>
      <c r="DB65" s="76" t="n">
        <f aca="false">IF($CV65=0,0,OSTRIP($CW65,$AM65,$BJ65-$B$2,$BG65-$BJ65,$BH65-$BJ65,$B$10,$BE65,$AJ65,$AK65,$H$23,$AN65,$DA$34,DA$35))</f>
        <v>0</v>
      </c>
      <c r="DC65" s="37" t="n">
        <f aca="false">CV65*CZ65</f>
        <v>0</v>
      </c>
      <c r="DD65" s="37" t="n">
        <f aca="false">CV65*DA65</f>
        <v>0</v>
      </c>
      <c r="DE65" s="37" t="n">
        <f aca="false">CV65*DB65</f>
        <v>0</v>
      </c>
      <c r="DF65" s="37" t="n">
        <f aca="false">CV65*AK65</f>
        <v>0</v>
      </c>
    </row>
    <row r="66" customFormat="false" ht="12.75" hidden="false" customHeight="false" outlineLevel="0" collapsed="false">
      <c r="A66" s="62" t="n">
        <f aca="false">DATE(YEAR(A65),MONTH(A65)+1,1)</f>
        <v>38108</v>
      </c>
      <c r="B66" s="63" t="n">
        <f aca="false">VLOOKUP(A66,STRADDLE,5,FALSE())</f>
        <v>3.165</v>
      </c>
      <c r="C66" s="4" t="n">
        <f aca="false">VLOOKUP(A66,STRADDLE,8,FALSE())</f>
        <v>0.315</v>
      </c>
      <c r="D66" s="63" t="n">
        <f aca="false">IF(D$35="nymex",0,VLOOKUP($A66,curvesettle,HLOOKUP(D$35,curvesettle,2,FALSE())))</f>
        <v>0.325</v>
      </c>
      <c r="E66" s="65" t="n">
        <f aca="false">IF(ISNUMBER(VLOOKUP($A66,VOLCURVES,HLOOKUP(D$35,VOLCURVES,2,FALSE()),FALSE())),VLOOKUP($A66,VOLCURVES,HLOOKUP(D$35,VOLCURVES,2,FALSE()),FALSE()),1)</f>
        <v>0.98</v>
      </c>
      <c r="F66" s="4" t="n">
        <f aca="false">(($C66+H66)*$E66)+B$17</f>
        <v>0.4087</v>
      </c>
      <c r="G66" s="65" t="n">
        <f aca="false">VLOOKUP($A66,GASDVOLCURVES,HLOOKUP(D$36,GASDVOLCURVES,2,FALSE()),FALSE())+$B$18</f>
        <v>0.55</v>
      </c>
      <c r="H66" s="4" t="n">
        <f aca="false">IF($B$20=1,VLOOKUP($A66,skewtable,HLOOKUP(ROUND(I66-BM66,1),skewtable,2,FALSE()),FALSE())/100,0)</f>
        <v>0</v>
      </c>
      <c r="I66" s="66" t="e">
        <f aca="false">IF($B$10=1,($BM66*$B$23)-$B$14,$B$22)</f>
        <v>#DIV/0!</v>
      </c>
      <c r="J66" s="67" t="e">
        <f aca="false">I66-BM66+$B$24</f>
        <v>#DIV/0!</v>
      </c>
      <c r="K66" s="67"/>
      <c r="L66" s="183"/>
      <c r="M66" s="183"/>
      <c r="N66" s="63" t="n">
        <f aca="false">IF(N$35="nymex",0,VLOOKUP($A66,curvesettle,HLOOKUP(N$35,curvesettle,2,FALSE())))</f>
        <v>0.025</v>
      </c>
      <c r="O66" s="65" t="n">
        <f aca="false">IF(ISNUMBER(VLOOKUP($A66,VOLCURVES,HLOOKUP(N$35,VOLCURVES,2,FALSE()),FALSE())),VLOOKUP($A66,VOLCURVES,HLOOKUP(N$35,VOLCURVES,2,FALSE()),FALSE()),1)</f>
        <v>1</v>
      </c>
      <c r="P66" s="184" t="n">
        <f aca="false">(($C66+R66)*O66)+$D$17</f>
        <v>0.315</v>
      </c>
      <c r="Q66" s="65" t="n">
        <f aca="false">VLOOKUP($A66,GASDVOLCURVES,HLOOKUP(N$36,GASDVOLCURVES,2,FALSE()),FALSE())+$D$18</f>
        <v>0.55</v>
      </c>
      <c r="R66" s="4" t="n">
        <f aca="false">IF($D$20=1,VLOOKUP($A66,skewtable,HLOOKUP(ROUND(S66-BY66,1),skewtable,2,FALSE()),FALSE())/100,0)</f>
        <v>0</v>
      </c>
      <c r="S66" s="66" t="e">
        <f aca="false">IF(B$10=1,($BY66*$D$23)-$D$14,$D$22)</f>
        <v>#DIV/0!</v>
      </c>
      <c r="T66" s="67" t="e">
        <f aca="false">S66-$BY66+$D$24</f>
        <v>#DIV/0!</v>
      </c>
      <c r="U66" s="0"/>
      <c r="V66" s="0"/>
      <c r="W66" s="0"/>
      <c r="X66" s="63" t="n">
        <f aca="false">IF(X$35="nymex",0,VLOOKUP($A66,curvesettle,HLOOKUP(X$35,curvesettle,2,FALSE())))</f>
        <v>0.21</v>
      </c>
      <c r="Y66" s="65" t="n">
        <f aca="false">IF(ISNUMBER(VLOOKUP($A66,VOLCURVES,HLOOKUP(X$35,VOLCURVES,2,FALSE()),FALSE())),VLOOKUP($A66,VOLCURVES,HLOOKUP(X$35,VOLCURVES,2,FALSE()),FALSE()),1)</f>
        <v>1</v>
      </c>
      <c r="Z66" s="184" t="n">
        <f aca="false">(($C66+AB66)*Y66)+$F$17</f>
        <v>0.315</v>
      </c>
      <c r="AA66" s="65" t="n">
        <f aca="false">VLOOKUP($A66,GASDVOLCURVES,HLOOKUP(X$36,GASDVOLCURVES,2,FALSE()),FALSE())+$F$18</f>
        <v>0.5</v>
      </c>
      <c r="AB66" s="4" t="n">
        <f aca="false">IF($F$20=1,VLOOKUP($A66,skewtable,HLOOKUP(ROUND(AC66-CK66,1),skewtable,2,FALSE()),FALSE())/100,0)</f>
        <v>0</v>
      </c>
      <c r="AC66" s="66" t="e">
        <f aca="false">IF($B$10=1,($CK66*$F$23)-$F$14,$F$22)</f>
        <v>#DIV/0!</v>
      </c>
      <c r="AD66" s="67" t="e">
        <f aca="false">AC66-$CK66+$F$24</f>
        <v>#DIV/0!</v>
      </c>
      <c r="AE66" s="0"/>
      <c r="AF66" s="0"/>
      <c r="AG66" s="0"/>
      <c r="AH66" s="63" t="n">
        <f aca="false">IF(AH$35="nymex",0,VLOOKUP($A66,curvesettle,HLOOKUP(AH$35,curvesettle,2,FALSE())))</f>
        <v>0.33</v>
      </c>
      <c r="AI66" s="65" t="n">
        <f aca="false">IF(ISNUMBER(VLOOKUP($A66,VOLCURVES,HLOOKUP(AH$35,VOLCURVES,2,FALSE()),FALSE())),VLOOKUP($A66,VOLCURVES,HLOOKUP(AH$35,VOLCURVES,2,FALSE()),FALSE()),1)</f>
        <v>1</v>
      </c>
      <c r="AJ66" s="184" t="n">
        <f aca="false">(($C66+AL66)*AI66)+$H$17</f>
        <v>0.315</v>
      </c>
      <c r="AK66" s="65" t="n">
        <f aca="false">VLOOKUP($A66,GASDVOLCURVES,HLOOKUP(AH$36,GASDVOLCURVES,2,FALSE()),FALSE())+$H$18</f>
        <v>1</v>
      </c>
      <c r="AL66" s="4" t="n">
        <f aca="false">IF($H$20=1,VLOOKUP($A66,skewtable,HLOOKUP(ROUND(AM66-CW66,1),skewtable,2,FALSE()),FALSE())/100,0)</f>
        <v>0</v>
      </c>
      <c r="AM66" s="66" t="e">
        <f aca="false">IF($B$10=1,($CW66*$H$23)-$H$14,$H$22)</f>
        <v>#DIV/0!</v>
      </c>
      <c r="AN66" s="67" t="e">
        <f aca="false">AM66-CW66+$H$24</f>
        <v>#DIV/0!</v>
      </c>
      <c r="AO66" s="0"/>
      <c r="AP66" s="0"/>
      <c r="AQ66" s="183"/>
      <c r="AR66" s="183"/>
      <c r="AU66" s="0"/>
      <c r="AV66" s="0"/>
      <c r="AW66" s="0"/>
      <c r="AX66" s="0"/>
      <c r="AY66" s="0"/>
      <c r="AZ66" s="0"/>
      <c r="BA66" s="0"/>
      <c r="BC66" s="64"/>
      <c r="BD66" s="64"/>
      <c r="BE66" s="4" t="n">
        <f aca="false">VLOOKUP($A66,STRADDLE,14,FALSE())</f>
        <v>0.037717515784331</v>
      </c>
      <c r="BF66" s="72" t="n">
        <f aca="false">A67-A66</f>
        <v>31</v>
      </c>
      <c r="BG66" s="179" t="n">
        <f aca="false">A66+BG$35</f>
        <v>38108</v>
      </c>
      <c r="BH66" s="179" t="n">
        <f aca="false">A67-1</f>
        <v>38138</v>
      </c>
      <c r="BJ66" s="179" t="n">
        <f aca="true">IF(BJ$35=0,TODAY(),IF(BJ$36="NYMEX",VLOOKUP($A66,expiration,2,FALSE())+1,BG66))</f>
        <v>38106</v>
      </c>
      <c r="BK66" s="73"/>
      <c r="BL66" s="73" t="n">
        <f aca="false">IF($A66&gt;=BM$32,IF($A66&lt;=BM$33,$BF66,0),0)</f>
        <v>0</v>
      </c>
      <c r="BM66" s="73" t="e">
        <f aca="false">BO66/BL66</f>
        <v>#DIV/0!</v>
      </c>
      <c r="BN66" s="1" t="n">
        <f aca="false">BL66*($B66+B$15)</f>
        <v>0</v>
      </c>
      <c r="BO66" s="47" t="n">
        <f aca="false">IF(ISNUMBER(((BN66/BL66)+B$16+$D66+$B$14)*BL66),((BN66/BL66)+B$16+$D66+$B$14)*BL66,0)</f>
        <v>0</v>
      </c>
      <c r="BP66" s="76" t="n">
        <f aca="false">IF($BL66=0,0,OSTRIP($BM66,$I66,$BJ66-$B$2,$BG66-$BJ66,$BH66-$BJ66,$B$10,$BE66,$F66,$G66,$B$23,$J66,$BQ$34,0))</f>
        <v>0</v>
      </c>
      <c r="BQ66" s="76" t="n">
        <f aca="false">IF($BL66=0,0,OSTRIP($BM66,$I66,$BJ66-$B$2,$BG66-$BJ66,$BH66-$BJ66,$B$10,$BE66,$F66,$G66,$B$23,$J66,$BQ$34,1))</f>
        <v>0</v>
      </c>
      <c r="BR66" s="76" t="n">
        <f aca="false">IF($BL66=0,0,OSTRIP($BM66,$I66,$BJ66-$B$2,$BG66-$BJ66,$BH66-$BJ66,$B$10,$BE66,$F66,$G66,$B$23,$J66,$BQ$34,BQ$35))</f>
        <v>0</v>
      </c>
      <c r="BS66" s="37" t="n">
        <f aca="false">BL66*BP66</f>
        <v>0</v>
      </c>
      <c r="BT66" s="37" t="n">
        <f aca="false">BL66*BQ66</f>
        <v>0</v>
      </c>
      <c r="BU66" s="37" t="n">
        <f aca="false">BL66*BR66</f>
        <v>0</v>
      </c>
      <c r="BV66" s="37" t="n">
        <f aca="false">BL66*G66</f>
        <v>0</v>
      </c>
      <c r="BX66" s="73" t="n">
        <f aca="false">IF($A66&gt;=BY$32,IF($A66&lt;=BY$33,$BF66,0),0)</f>
        <v>0</v>
      </c>
      <c r="BY66" s="186" t="e">
        <f aca="false">CA66/BX66</f>
        <v>#DIV/0!</v>
      </c>
      <c r="BZ66" s="1" t="n">
        <f aca="false">BX66*($B66+$D$15)</f>
        <v>0</v>
      </c>
      <c r="CA66" s="47" t="n">
        <f aca="false">IF(ISNUMBER(((BZ66/BX66)+$D$16+$N66+$D$14)*BX66),((BZ66/BX66)+$D$16+$N66+$D$14)*BX66,0)</f>
        <v>0</v>
      </c>
      <c r="CB66" s="76" t="n">
        <f aca="false">IF($BX66=0,0,OSTRIP($BY66,$S66,$BJ66-$B$2,$BG66-$BJ66,$BH66-$BJ66,$B$10,$BE66,$P66,$Q66,$D$23,$T66,$CC$34,0))</f>
        <v>0</v>
      </c>
      <c r="CC66" s="76" t="n">
        <f aca="false">IF($BX66=0,0,OSTRIP($BY66,$S66,$BJ66-$B$2,$BG66-$BJ66,$BH66-$BJ66,$B$10,$BE66,$P66,$Q66,$D$23,$T66,$CC$34,1))</f>
        <v>0</v>
      </c>
      <c r="CD66" s="76" t="n">
        <f aca="false">IF($BX66=0,0,OSTRIP($BY66,$S66,$BJ66-$B$2,$BG66-$BJ66,$BH66-$BJ66,$B$10,$BE66,$P66,$Q66,$D$23,$T66,$CC$34,CC$35))</f>
        <v>0</v>
      </c>
      <c r="CE66" s="37" t="n">
        <f aca="false">BX66*CB66</f>
        <v>0</v>
      </c>
      <c r="CF66" s="37" t="n">
        <f aca="false">BX66*CC66</f>
        <v>0</v>
      </c>
      <c r="CG66" s="37" t="n">
        <f aca="false">BX66*CD66</f>
        <v>0</v>
      </c>
      <c r="CH66" s="37" t="n">
        <f aca="false">BX66*Q66</f>
        <v>0</v>
      </c>
      <c r="CJ66" s="73" t="n">
        <f aca="false">IF($A66&gt;=CK$32,IF($A66&lt;=CK$33,$BF66,0),0)</f>
        <v>0</v>
      </c>
      <c r="CK66" s="186" t="e">
        <f aca="false">CM66/CJ66</f>
        <v>#DIV/0!</v>
      </c>
      <c r="CL66" s="1" t="n">
        <f aca="false">CJ66*($B66+$F$15)</f>
        <v>0</v>
      </c>
      <c r="CM66" s="47" t="n">
        <f aca="false">IF(ISNUMBER(((CL66/CJ66)+$F$16+$X66+$F$14)*CJ66),((CL66/CJ66)+$F$16+$X66+$F$14)*CJ66,0)</f>
        <v>0</v>
      </c>
      <c r="CN66" s="76" t="n">
        <f aca="false">IF($CJ66=0,0,OSTRIP($CK66,$AC66,$BJ66-$B$2,$BG66-$BJ66,$BH66-$BJ66,$B$10,$BE66,$Z66,$AA66,$F$23,$AD66,$CO$34,0))</f>
        <v>0</v>
      </c>
      <c r="CO66" s="76" t="n">
        <f aca="false">IF($CJ66=0,0,OSTRIP($CK66,$AC66,$BJ66-$B$2,$BG66-$BJ66,$BH66-$BJ66,$B$10,$BE66,$Z66,$AA66,$F$23,$AD66,$CO$34,1))</f>
        <v>0</v>
      </c>
      <c r="CP66" s="76" t="n">
        <f aca="false">IF($CJ66=0,0,OSTRIP($CK66,$AC66,$BJ66-$B$2,$BG66-$BJ66,$BH66-$BJ66,$B$10,$BE66,$Z66,$AA66,$F$23,$AD66,$CO$34,$CO$35))</f>
        <v>0</v>
      </c>
      <c r="CQ66" s="37" t="n">
        <f aca="false">CJ66*CN66</f>
        <v>0</v>
      </c>
      <c r="CR66" s="37" t="n">
        <f aca="false">CJ66*CO66</f>
        <v>0</v>
      </c>
      <c r="CS66" s="37" t="n">
        <f aca="false">CJ66*CP66</f>
        <v>0</v>
      </c>
      <c r="CT66" s="37" t="n">
        <f aca="false">CJ66*AA66</f>
        <v>0</v>
      </c>
      <c r="CV66" s="73" t="n">
        <f aca="false">IF($A66&gt;=CW$32,IF($A66&lt;=CW$33,$BF66,0),0)</f>
        <v>0</v>
      </c>
      <c r="CW66" s="186" t="e">
        <f aca="false">CY66/CV66</f>
        <v>#DIV/0!</v>
      </c>
      <c r="CX66" s="1" t="n">
        <f aca="false">CV66*($B66+$H$15)</f>
        <v>0</v>
      </c>
      <c r="CY66" s="47" t="n">
        <f aca="false">IF(ISNUMBER(((CX66/CV66)+$H$16+$AH66+$H$14)*CV66),((CX66/CV66)+$H$16+$AH66+$H$14)*CV66,0)</f>
        <v>0</v>
      </c>
      <c r="CZ66" s="76" t="n">
        <f aca="false">IF($CV66=0,0,OSTRIP($CW66,$AM66,$BJ66-$B$2,$BG66-$BJ66,$BH66-$BJ66,$B$10,$BE66,$AJ66,$AK66,$H$23,$AN66,$DA$34,0))</f>
        <v>0</v>
      </c>
      <c r="DA66" s="76" t="n">
        <f aca="false">IF($CV66=0,0,OSTRIP($CW66,$AM66,$BJ66-$B$2,$BG66-$BJ66,$BH66-$BJ66,$B$10,$BE66,$AJ66,$AK66,$H$23,$AN66,$DA$34,1))</f>
        <v>0</v>
      </c>
      <c r="DB66" s="76" t="n">
        <f aca="false">IF($CV66=0,0,OSTRIP($CW66,$AM66,$BJ66-$B$2,$BG66-$BJ66,$BH66-$BJ66,$B$10,$BE66,$AJ66,$AK66,$H$23,$AN66,$DA$34,DA$35))</f>
        <v>0</v>
      </c>
      <c r="DC66" s="37" t="n">
        <f aca="false">CV66*CZ66</f>
        <v>0</v>
      </c>
      <c r="DD66" s="37" t="n">
        <f aca="false">CV66*DA66</f>
        <v>0</v>
      </c>
      <c r="DE66" s="37" t="n">
        <f aca="false">CV66*DB66</f>
        <v>0</v>
      </c>
      <c r="DF66" s="37" t="n">
        <f aca="false">CV66*AK66</f>
        <v>0</v>
      </c>
    </row>
    <row r="67" customFormat="false" ht="12.75" hidden="false" customHeight="false" outlineLevel="0" collapsed="false">
      <c r="A67" s="62" t="n">
        <f aca="false">DATE(YEAR(A66),MONTH(A66)+1,1)</f>
        <v>38139</v>
      </c>
      <c r="B67" s="63" t="n">
        <f aca="false">VLOOKUP(A67,STRADDLE,5,FALSE())</f>
        <v>3.2</v>
      </c>
      <c r="C67" s="4" t="n">
        <f aca="false">VLOOKUP(A67,STRADDLE,8,FALSE())</f>
        <v>0.315</v>
      </c>
      <c r="D67" s="63" t="n">
        <f aca="false">IF(D$35="nymex",0,VLOOKUP($A67,curvesettle,HLOOKUP(D$35,curvesettle,2,FALSE())))</f>
        <v>0.335</v>
      </c>
      <c r="E67" s="65" t="n">
        <f aca="false">IF(ISNUMBER(VLOOKUP($A67,VOLCURVES,HLOOKUP(D$35,VOLCURVES,2,FALSE()),FALSE())),VLOOKUP($A67,VOLCURVES,HLOOKUP(D$35,VOLCURVES,2,FALSE()),FALSE()),1)</f>
        <v>0.98</v>
      </c>
      <c r="F67" s="4" t="n">
        <f aca="false">(($C67+H67)*$E67)+B$17</f>
        <v>0.4087</v>
      </c>
      <c r="G67" s="65" t="n">
        <f aca="false">VLOOKUP($A67,GASDVOLCURVES,HLOOKUP(D$36,GASDVOLCURVES,2,FALSE()),FALSE())+$B$18</f>
        <v>0.55</v>
      </c>
      <c r="H67" s="4" t="n">
        <f aca="false">IF($B$20=1,VLOOKUP($A67,skewtable,HLOOKUP(ROUND(I67-BM67,1),skewtable,2,FALSE()),FALSE())/100,0)</f>
        <v>0</v>
      </c>
      <c r="I67" s="66" t="e">
        <f aca="false">IF($B$10=1,($BM67*$B$23)-$B$14,$B$22)</f>
        <v>#DIV/0!</v>
      </c>
      <c r="J67" s="67" t="e">
        <f aca="false">I67-BM67+$B$24</f>
        <v>#DIV/0!</v>
      </c>
      <c r="K67" s="67"/>
      <c r="L67" s="183"/>
      <c r="M67" s="183"/>
      <c r="N67" s="63" t="n">
        <f aca="false">IF(N$35="nymex",0,VLOOKUP($A67,curvesettle,HLOOKUP(N$35,curvesettle,2,FALSE())))</f>
        <v>0.03</v>
      </c>
      <c r="O67" s="65" t="n">
        <f aca="false">IF(ISNUMBER(VLOOKUP($A67,VOLCURVES,HLOOKUP(N$35,VOLCURVES,2,FALSE()),FALSE())),VLOOKUP($A67,VOLCURVES,HLOOKUP(N$35,VOLCURVES,2,FALSE()),FALSE()),1)</f>
        <v>1</v>
      </c>
      <c r="P67" s="184" t="n">
        <f aca="false">(($C67+R67)*O67)+$D$17</f>
        <v>0.315</v>
      </c>
      <c r="Q67" s="65" t="n">
        <f aca="false">VLOOKUP($A67,GASDVOLCURVES,HLOOKUP(N$36,GASDVOLCURVES,2,FALSE()),FALSE())+$D$18</f>
        <v>0.55</v>
      </c>
      <c r="R67" s="4" t="n">
        <f aca="false">IF($D$20=1,VLOOKUP($A67,skewtable,HLOOKUP(ROUND(S67-BY67,1),skewtable,2,FALSE()),FALSE())/100,0)</f>
        <v>0</v>
      </c>
      <c r="S67" s="66" t="e">
        <f aca="false">IF(B$10=1,($BY67*$D$23)-$D$14,$D$22)</f>
        <v>#DIV/0!</v>
      </c>
      <c r="T67" s="67" t="e">
        <f aca="false">S67-$BY67+$D$24</f>
        <v>#DIV/0!</v>
      </c>
      <c r="U67" s="0"/>
      <c r="V67" s="0"/>
      <c r="W67" s="0"/>
      <c r="X67" s="63" t="n">
        <f aca="false">IF(X$35="nymex",0,VLOOKUP($A67,curvesettle,HLOOKUP(X$35,curvesettle,2,FALSE())))</f>
        <v>0.21</v>
      </c>
      <c r="Y67" s="65" t="n">
        <f aca="false">IF(ISNUMBER(VLOOKUP($A67,VOLCURVES,HLOOKUP(X$35,VOLCURVES,2,FALSE()),FALSE())),VLOOKUP($A67,VOLCURVES,HLOOKUP(X$35,VOLCURVES,2,FALSE()),FALSE()),1)</f>
        <v>1</v>
      </c>
      <c r="Z67" s="184" t="n">
        <f aca="false">(($C67+AB67)*Y67)+$F$17</f>
        <v>0.315</v>
      </c>
      <c r="AA67" s="65" t="n">
        <f aca="false">VLOOKUP($A67,GASDVOLCURVES,HLOOKUP(X$36,GASDVOLCURVES,2,FALSE()),FALSE())+$F$18</f>
        <v>0.6</v>
      </c>
      <c r="AB67" s="4" t="n">
        <f aca="false">IF($F$20=1,VLOOKUP($A67,skewtable,HLOOKUP(ROUND(AC67-CK67,1),skewtable,2,FALSE()),FALSE())/100,0)</f>
        <v>0</v>
      </c>
      <c r="AC67" s="66" t="e">
        <f aca="false">IF($B$10=1,($CK67*$F$23)-$F$14,$F$22)</f>
        <v>#DIV/0!</v>
      </c>
      <c r="AD67" s="67" t="e">
        <f aca="false">AC67-$CK67+$F$24</f>
        <v>#DIV/0!</v>
      </c>
      <c r="AE67" s="0"/>
      <c r="AF67" s="0"/>
      <c r="AG67" s="0"/>
      <c r="AH67" s="63" t="n">
        <f aca="false">IF(AH$35="nymex",0,VLOOKUP($A67,curvesettle,HLOOKUP(AH$35,curvesettle,2,FALSE())))</f>
        <v>0.37</v>
      </c>
      <c r="AI67" s="65" t="n">
        <f aca="false">IF(ISNUMBER(VLOOKUP($A67,VOLCURVES,HLOOKUP(AH$35,VOLCURVES,2,FALSE()),FALSE())),VLOOKUP($A67,VOLCURVES,HLOOKUP(AH$35,VOLCURVES,2,FALSE()),FALSE()),1)</f>
        <v>1</v>
      </c>
      <c r="AJ67" s="184" t="n">
        <f aca="false">(($C67+AL67)*AI67)+$H$17</f>
        <v>0.315</v>
      </c>
      <c r="AK67" s="65" t="n">
        <f aca="false">VLOOKUP($A67,GASDVOLCURVES,HLOOKUP(AH$36,GASDVOLCURVES,2,FALSE()),FALSE())+$H$18</f>
        <v>1</v>
      </c>
      <c r="AL67" s="4" t="n">
        <f aca="false">IF($H$20=1,VLOOKUP($A67,skewtable,HLOOKUP(ROUND(AM67-CW67,1),skewtable,2,FALSE()),FALSE())/100,0)</f>
        <v>0</v>
      </c>
      <c r="AM67" s="66" t="e">
        <f aca="false">IF($B$10=1,($CW67*$H$23)-$H$14,$H$22)</f>
        <v>#DIV/0!</v>
      </c>
      <c r="AN67" s="67" t="e">
        <f aca="false">AM67-CW67+$H$24</f>
        <v>#DIV/0!</v>
      </c>
      <c r="AO67" s="0"/>
      <c r="AP67" s="0"/>
      <c r="AQ67" s="183"/>
      <c r="AR67" s="183"/>
      <c r="AU67" s="0"/>
      <c r="AV67" s="0"/>
      <c r="AW67" s="0"/>
      <c r="AX67" s="0"/>
      <c r="AY67" s="0"/>
      <c r="AZ67" s="0"/>
      <c r="BA67" s="0"/>
      <c r="BC67" s="64"/>
      <c r="BD67" s="64"/>
      <c r="BE67" s="4" t="n">
        <f aca="false">VLOOKUP($A67,STRADDLE,14,FALSE())</f>
        <v>0.038437177597991</v>
      </c>
      <c r="BF67" s="72" t="n">
        <f aca="false">A68-A67</f>
        <v>30</v>
      </c>
      <c r="BG67" s="179" t="n">
        <f aca="false">A67+BG$35</f>
        <v>38139</v>
      </c>
      <c r="BH67" s="179" t="n">
        <f aca="false">A68-1</f>
        <v>38168</v>
      </c>
      <c r="BJ67" s="179" t="n">
        <f aca="true">IF(BJ$35=0,TODAY(),IF(BJ$36="NYMEX",VLOOKUP($A67,expiration,2,FALSE())+1,BG67))</f>
        <v>38134</v>
      </c>
      <c r="BK67" s="73"/>
      <c r="BL67" s="73" t="n">
        <f aca="false">IF($A67&gt;=BM$32,IF($A67&lt;=BM$33,$BF67,0),0)</f>
        <v>0</v>
      </c>
      <c r="BM67" s="73" t="e">
        <f aca="false">BO67/BL67</f>
        <v>#DIV/0!</v>
      </c>
      <c r="BN67" s="1" t="n">
        <f aca="false">BL67*($B67+B$15)</f>
        <v>0</v>
      </c>
      <c r="BO67" s="47" t="n">
        <f aca="false">IF(ISNUMBER(((BN67/BL67)+B$16+$D67+$B$14)*BL67),((BN67/BL67)+B$16+$D67+$B$14)*BL67,0)</f>
        <v>0</v>
      </c>
      <c r="BP67" s="76" t="n">
        <f aca="false">IF($BL67=0,0,OSTRIP($BM67,$I67,$BJ67-$B$2,$BG67-$BJ67,$BH67-$BJ67,$B$10,$BE67,$F67,$G67,$B$23,$J67,$BQ$34,0))</f>
        <v>0</v>
      </c>
      <c r="BQ67" s="76" t="n">
        <f aca="false">IF($BL67=0,0,OSTRIP($BM67,$I67,$BJ67-$B$2,$BG67-$BJ67,$BH67-$BJ67,$B$10,$BE67,$F67,$G67,$B$23,$J67,$BQ$34,1))</f>
        <v>0</v>
      </c>
      <c r="BR67" s="76" t="n">
        <f aca="false">IF($BL67=0,0,OSTRIP($BM67,$I67,$BJ67-$B$2,$BG67-$BJ67,$BH67-$BJ67,$B$10,$BE67,$F67,$G67,$B$23,$J67,$BQ$34,BQ$35))</f>
        <v>0</v>
      </c>
      <c r="BS67" s="37" t="n">
        <f aca="false">BL67*BP67</f>
        <v>0</v>
      </c>
      <c r="BT67" s="37" t="n">
        <f aca="false">BL67*BQ67</f>
        <v>0</v>
      </c>
      <c r="BU67" s="37" t="n">
        <f aca="false">BL67*BR67</f>
        <v>0</v>
      </c>
      <c r="BV67" s="37" t="n">
        <f aca="false">BL67*G67</f>
        <v>0</v>
      </c>
      <c r="BX67" s="73" t="n">
        <f aca="false">IF($A67&gt;=BY$32,IF($A67&lt;=BY$33,$BF67,0),0)</f>
        <v>0</v>
      </c>
      <c r="BY67" s="186" t="e">
        <f aca="false">CA67/BX67</f>
        <v>#DIV/0!</v>
      </c>
      <c r="BZ67" s="1" t="n">
        <f aca="false">BX67*($B67+$D$15)</f>
        <v>0</v>
      </c>
      <c r="CA67" s="47" t="n">
        <f aca="false">IF(ISNUMBER(((BZ67/BX67)+$D$16+$N67+$D$14)*BX67),((BZ67/BX67)+$D$16+$N67+$D$14)*BX67,0)</f>
        <v>0</v>
      </c>
      <c r="CB67" s="76" t="n">
        <f aca="false">IF($BX67=0,0,OSTRIP($BY67,$S67,$BJ67-$B$2,$BG67-$BJ67,$BH67-$BJ67,$B$10,$BE67,$P67,$Q67,$D$23,$T67,$CC$34,0))</f>
        <v>0</v>
      </c>
      <c r="CC67" s="76" t="n">
        <f aca="false">IF($BX67=0,0,OSTRIP($BY67,$S67,$BJ67-$B$2,$BG67-$BJ67,$BH67-$BJ67,$B$10,$BE67,$P67,$Q67,$D$23,$T67,$CC$34,1))</f>
        <v>0</v>
      </c>
      <c r="CD67" s="76" t="n">
        <f aca="false">IF($BX67=0,0,OSTRIP($BY67,$S67,$BJ67-$B$2,$BG67-$BJ67,$BH67-$BJ67,$B$10,$BE67,$P67,$Q67,$D$23,$T67,$CC$34,CC$35))</f>
        <v>0</v>
      </c>
      <c r="CE67" s="37" t="n">
        <f aca="false">BX67*CB67</f>
        <v>0</v>
      </c>
      <c r="CF67" s="37" t="n">
        <f aca="false">BX67*CC67</f>
        <v>0</v>
      </c>
      <c r="CG67" s="37" t="n">
        <f aca="false">BX67*CD67</f>
        <v>0</v>
      </c>
      <c r="CH67" s="37" t="n">
        <f aca="false">BX67*Q67</f>
        <v>0</v>
      </c>
      <c r="CJ67" s="73" t="n">
        <f aca="false">IF($A67&gt;=CK$32,IF($A67&lt;=CK$33,$BF67,0),0)</f>
        <v>0</v>
      </c>
      <c r="CK67" s="186" t="e">
        <f aca="false">CM67/CJ67</f>
        <v>#DIV/0!</v>
      </c>
      <c r="CL67" s="1" t="n">
        <f aca="false">CJ67*($B67+$F$15)</f>
        <v>0</v>
      </c>
      <c r="CM67" s="47" t="n">
        <f aca="false">IF(ISNUMBER(((CL67/CJ67)+$F$16+$X67+$F$14)*CJ67),((CL67/CJ67)+$F$16+$X67+$F$14)*CJ67,0)</f>
        <v>0</v>
      </c>
      <c r="CN67" s="76" t="n">
        <f aca="false">IF($CJ67=0,0,OSTRIP($CK67,$AC67,$BJ67-$B$2,$BG67-$BJ67,$BH67-$BJ67,$B$10,$BE67,$Z67,$AA67,$F$23,$AD67,$CO$34,0))</f>
        <v>0</v>
      </c>
      <c r="CO67" s="76" t="n">
        <f aca="false">IF($CJ67=0,0,OSTRIP($CK67,$AC67,$BJ67-$B$2,$BG67-$BJ67,$BH67-$BJ67,$B$10,$BE67,$Z67,$AA67,$F$23,$AD67,$CO$34,1))</f>
        <v>0</v>
      </c>
      <c r="CP67" s="76" t="n">
        <f aca="false">IF($CJ67=0,0,OSTRIP($CK67,$AC67,$BJ67-$B$2,$BG67-$BJ67,$BH67-$BJ67,$B$10,$BE67,$Z67,$AA67,$F$23,$AD67,$CO$34,$CO$35))</f>
        <v>0</v>
      </c>
      <c r="CQ67" s="37" t="n">
        <f aca="false">CJ67*CN67</f>
        <v>0</v>
      </c>
      <c r="CR67" s="37" t="n">
        <f aca="false">CJ67*CO67</f>
        <v>0</v>
      </c>
      <c r="CS67" s="37" t="n">
        <f aca="false">CJ67*CP67</f>
        <v>0</v>
      </c>
      <c r="CT67" s="37" t="n">
        <f aca="false">CJ67*AA67</f>
        <v>0</v>
      </c>
      <c r="CV67" s="73" t="n">
        <f aca="false">IF($A67&gt;=CW$32,IF($A67&lt;=CW$33,$BF67,0),0)</f>
        <v>0</v>
      </c>
      <c r="CW67" s="186" t="e">
        <f aca="false">CY67/CV67</f>
        <v>#DIV/0!</v>
      </c>
      <c r="CX67" s="1" t="n">
        <f aca="false">CV67*($B67+$H$15)</f>
        <v>0</v>
      </c>
      <c r="CY67" s="47" t="n">
        <f aca="false">IF(ISNUMBER(((CX67/CV67)+$H$16+$AH67+$H$14)*CV67),((CX67/CV67)+$H$16+$AH67+$H$14)*CV67,0)</f>
        <v>0</v>
      </c>
      <c r="CZ67" s="76" t="n">
        <f aca="false">IF($CV67=0,0,OSTRIP($CW67,$AM67,$BJ67-$B$2,$BG67-$BJ67,$BH67-$BJ67,$B$10,$BE67,$AJ67,$AK67,$H$23,$AN67,$DA$34,0))</f>
        <v>0</v>
      </c>
      <c r="DA67" s="76" t="n">
        <f aca="false">IF($CV67=0,0,OSTRIP($CW67,$AM67,$BJ67-$B$2,$BG67-$BJ67,$BH67-$BJ67,$B$10,$BE67,$AJ67,$AK67,$H$23,$AN67,$DA$34,1))</f>
        <v>0</v>
      </c>
      <c r="DB67" s="76" t="n">
        <f aca="false">IF($CV67=0,0,OSTRIP($CW67,$AM67,$BJ67-$B$2,$BG67-$BJ67,$BH67-$BJ67,$B$10,$BE67,$AJ67,$AK67,$H$23,$AN67,$DA$34,DA$35))</f>
        <v>0</v>
      </c>
      <c r="DC67" s="37" t="n">
        <f aca="false">CV67*CZ67</f>
        <v>0</v>
      </c>
      <c r="DD67" s="37" t="n">
        <f aca="false">CV67*DA67</f>
        <v>0</v>
      </c>
      <c r="DE67" s="37" t="n">
        <f aca="false">CV67*DB67</f>
        <v>0</v>
      </c>
      <c r="DF67" s="37" t="n">
        <f aca="false">CV67*AK67</f>
        <v>0</v>
      </c>
    </row>
    <row r="68" customFormat="false" ht="12.75" hidden="false" customHeight="false" outlineLevel="0" collapsed="false">
      <c r="A68" s="62" t="n">
        <f aca="false">DATE(YEAR(A67),MONTH(A67)+1,1)</f>
        <v>38169</v>
      </c>
      <c r="B68" s="63" t="n">
        <f aca="false">VLOOKUP(A68,STRADDLE,5,FALSE())</f>
        <v>3.24</v>
      </c>
      <c r="C68" s="4" t="n">
        <f aca="false">VLOOKUP(A68,STRADDLE,8,FALSE())</f>
        <v>0.315</v>
      </c>
      <c r="D68" s="63" t="n">
        <f aca="false">IF(D$35="nymex",0,VLOOKUP($A68,curvesettle,HLOOKUP(D$35,curvesettle,2,FALSE())))</f>
        <v>0.35</v>
      </c>
      <c r="E68" s="65" t="n">
        <f aca="false">IF(ISNUMBER(VLOOKUP($A68,VOLCURVES,HLOOKUP(D$35,VOLCURVES,2,FALSE()),FALSE())),VLOOKUP($A68,VOLCURVES,HLOOKUP(D$35,VOLCURVES,2,FALSE()),FALSE()),1)</f>
        <v>0.98</v>
      </c>
      <c r="F68" s="4" t="n">
        <f aca="false">(($C68+H68)*$E68)+B$17</f>
        <v>0.4087</v>
      </c>
      <c r="G68" s="65" t="n">
        <f aca="false">VLOOKUP($A68,GASDVOLCURVES,HLOOKUP(D$36,GASDVOLCURVES,2,FALSE()),FALSE())+$B$18</f>
        <v>0.6</v>
      </c>
      <c r="H68" s="4" t="n">
        <f aca="false">IF($B$20=1,VLOOKUP($A68,skewtable,HLOOKUP(ROUND(I68-BM68,1),skewtable,2,FALSE()),FALSE())/100,0)</f>
        <v>0</v>
      </c>
      <c r="I68" s="66" t="e">
        <f aca="false">IF($B$10=1,($BM68*$B$23)-$B$14,$B$22)</f>
        <v>#DIV/0!</v>
      </c>
      <c r="J68" s="67" t="e">
        <f aca="false">I68-BM68+$B$24</f>
        <v>#DIV/0!</v>
      </c>
      <c r="K68" s="67"/>
      <c r="L68" s="183"/>
      <c r="M68" s="183"/>
      <c r="N68" s="63" t="n">
        <f aca="false">IF(N$35="nymex",0,VLOOKUP($A68,curvesettle,HLOOKUP(N$35,curvesettle,2,FALSE())))</f>
        <v>0.0325</v>
      </c>
      <c r="O68" s="65" t="n">
        <f aca="false">IF(ISNUMBER(VLOOKUP($A68,VOLCURVES,HLOOKUP(N$35,VOLCURVES,2,FALSE()),FALSE())),VLOOKUP($A68,VOLCURVES,HLOOKUP(N$35,VOLCURVES,2,FALSE()),FALSE()),1)</f>
        <v>1</v>
      </c>
      <c r="P68" s="184" t="n">
        <f aca="false">(($C68+R68)*O68)+$D$17</f>
        <v>0.315</v>
      </c>
      <c r="Q68" s="65" t="n">
        <f aca="false">VLOOKUP($A68,GASDVOLCURVES,HLOOKUP(N$36,GASDVOLCURVES,2,FALSE()),FALSE())+$D$18</f>
        <v>0.6</v>
      </c>
      <c r="R68" s="4" t="n">
        <f aca="false">IF($D$20=1,VLOOKUP($A68,skewtable,HLOOKUP(ROUND(S68-BY68,1),skewtable,2,FALSE()),FALSE())/100,0)</f>
        <v>0</v>
      </c>
      <c r="S68" s="66" t="e">
        <f aca="false">IF(B$10=1,($BY68*$D$23)-$D$14,$D$22)</f>
        <v>#DIV/0!</v>
      </c>
      <c r="T68" s="67" t="e">
        <f aca="false">S68-$BY68+$D$24</f>
        <v>#DIV/0!</v>
      </c>
      <c r="U68" s="0"/>
      <c r="V68" s="0"/>
      <c r="W68" s="0"/>
      <c r="X68" s="63" t="n">
        <f aca="false">IF(X$35="nymex",0,VLOOKUP($A68,curvesettle,HLOOKUP(X$35,curvesettle,2,FALSE())))</f>
        <v>0.21</v>
      </c>
      <c r="Y68" s="65" t="n">
        <f aca="false">IF(ISNUMBER(VLOOKUP($A68,VOLCURVES,HLOOKUP(X$35,VOLCURVES,2,FALSE()),FALSE())),VLOOKUP($A68,VOLCURVES,HLOOKUP(X$35,VOLCURVES,2,FALSE()),FALSE()),1)</f>
        <v>1</v>
      </c>
      <c r="Z68" s="184" t="n">
        <f aca="false">(($C68+AB68)*Y68)+$F$17</f>
        <v>0.315</v>
      </c>
      <c r="AA68" s="65" t="n">
        <f aca="false">VLOOKUP($A68,GASDVOLCURVES,HLOOKUP(X$36,GASDVOLCURVES,2,FALSE()),FALSE())+$F$18</f>
        <v>0.6</v>
      </c>
      <c r="AB68" s="4" t="n">
        <f aca="false">IF($F$20=1,VLOOKUP($A68,skewtable,HLOOKUP(ROUND(AC68-CK68,1),skewtable,2,FALSE()),FALSE())/100,0)</f>
        <v>0</v>
      </c>
      <c r="AC68" s="66" t="e">
        <f aca="false">IF($B$10=1,($CK68*$F$23)-$F$14,$F$22)</f>
        <v>#DIV/0!</v>
      </c>
      <c r="AD68" s="67" t="e">
        <f aca="false">AC68-$CK68+$F$24</f>
        <v>#DIV/0!</v>
      </c>
      <c r="AE68" s="0"/>
      <c r="AF68" s="0"/>
      <c r="AG68" s="0"/>
      <c r="AH68" s="63" t="n">
        <f aca="false">IF(AH$35="nymex",0,VLOOKUP($A68,curvesettle,HLOOKUP(AH$35,curvesettle,2,FALSE())))</f>
        <v>0.41</v>
      </c>
      <c r="AI68" s="65" t="n">
        <f aca="false">IF(ISNUMBER(VLOOKUP($A68,VOLCURVES,HLOOKUP(AH$35,VOLCURVES,2,FALSE()),FALSE())),VLOOKUP($A68,VOLCURVES,HLOOKUP(AH$35,VOLCURVES,2,FALSE()),FALSE()),1)</f>
        <v>1</v>
      </c>
      <c r="AJ68" s="184" t="n">
        <f aca="false">(($C68+AL68)*AI68)+$H$17</f>
        <v>0.315</v>
      </c>
      <c r="AK68" s="65" t="n">
        <f aca="false">VLOOKUP($A68,GASDVOLCURVES,HLOOKUP(AH$36,GASDVOLCURVES,2,FALSE()),FALSE())+$H$18</f>
        <v>1</v>
      </c>
      <c r="AL68" s="4" t="n">
        <f aca="false">IF($H$20=1,VLOOKUP($A68,skewtable,HLOOKUP(ROUND(AM68-CW68,1),skewtable,2,FALSE()),FALSE())/100,0)</f>
        <v>0</v>
      </c>
      <c r="AM68" s="66" t="e">
        <f aca="false">IF($B$10=1,($CW68*$H$23)-$H$14,$H$22)</f>
        <v>#DIV/0!</v>
      </c>
      <c r="AN68" s="67" t="e">
        <f aca="false">AM68-CW68+$H$24</f>
        <v>#DIV/0!</v>
      </c>
      <c r="AO68" s="0"/>
      <c r="AP68" s="0"/>
      <c r="AQ68" s="183"/>
      <c r="AR68" s="183"/>
      <c r="AU68" s="0"/>
      <c r="AV68" s="0"/>
      <c r="AW68" s="0"/>
      <c r="AX68" s="0"/>
      <c r="AY68" s="0"/>
      <c r="AZ68" s="0"/>
      <c r="BA68" s="0"/>
      <c r="BC68" s="64"/>
      <c r="BD68" s="64"/>
      <c r="BE68" s="4" t="n">
        <f aca="false">VLOOKUP($A68,STRADDLE,14,FALSE())</f>
        <v>0.0390982280263858</v>
      </c>
      <c r="BF68" s="72" t="n">
        <f aca="false">A69-A68</f>
        <v>31</v>
      </c>
      <c r="BG68" s="179" t="n">
        <f aca="false">A68+BG$35</f>
        <v>38169</v>
      </c>
      <c r="BH68" s="179" t="n">
        <f aca="false">A69-1</f>
        <v>38199</v>
      </c>
      <c r="BJ68" s="179" t="n">
        <f aca="true">IF(BJ$35=0,TODAY(),IF(BJ$36="NYMEX",VLOOKUP($A68,expiration,2,FALSE())+1,BG68))</f>
        <v>38167</v>
      </c>
      <c r="BK68" s="73"/>
      <c r="BL68" s="73" t="n">
        <f aca="false">IF($A68&gt;=BM$32,IF($A68&lt;=BM$33,$BF68,0),0)</f>
        <v>0</v>
      </c>
      <c r="BM68" s="73" t="e">
        <f aca="false">BO68/BL68</f>
        <v>#DIV/0!</v>
      </c>
      <c r="BN68" s="1" t="n">
        <f aca="false">BL68*($B68+B$15)</f>
        <v>0</v>
      </c>
      <c r="BO68" s="47" t="n">
        <f aca="false">IF(ISNUMBER(((BN68/BL68)+B$16+$D68+$B$14)*BL68),((BN68/BL68)+B$16+$D68+$B$14)*BL68,0)</f>
        <v>0</v>
      </c>
      <c r="BP68" s="76" t="n">
        <f aca="false">IF($BL68=0,0,OSTRIP($BM68,$I68,$BJ68-$B$2,$BG68-$BJ68,$BH68-$BJ68,$B$10,$BE68,$F68,$G68,$B$23,$J68,$BQ$34,0))</f>
        <v>0</v>
      </c>
      <c r="BQ68" s="76" t="n">
        <f aca="false">IF($BL68=0,0,OSTRIP($BM68,$I68,$BJ68-$B$2,$BG68-$BJ68,$BH68-$BJ68,$B$10,$BE68,$F68,$G68,$B$23,$J68,$BQ$34,1))</f>
        <v>0</v>
      </c>
      <c r="BR68" s="76" t="n">
        <f aca="false">IF($BL68=0,0,OSTRIP($BM68,$I68,$BJ68-$B$2,$BG68-$BJ68,$BH68-$BJ68,$B$10,$BE68,$F68,$G68,$B$23,$J68,$BQ$34,BQ$35))</f>
        <v>0</v>
      </c>
      <c r="BS68" s="37" t="n">
        <f aca="false">BL68*BP68</f>
        <v>0</v>
      </c>
      <c r="BT68" s="37" t="n">
        <f aca="false">BL68*BQ68</f>
        <v>0</v>
      </c>
      <c r="BU68" s="37" t="n">
        <f aca="false">BL68*BR68</f>
        <v>0</v>
      </c>
      <c r="BV68" s="37" t="n">
        <f aca="false">BL68*G68</f>
        <v>0</v>
      </c>
      <c r="BX68" s="73" t="n">
        <f aca="false">IF($A68&gt;=BY$32,IF($A68&lt;=BY$33,$BF68,0),0)</f>
        <v>0</v>
      </c>
      <c r="BY68" s="186" t="e">
        <f aca="false">CA68/BX68</f>
        <v>#DIV/0!</v>
      </c>
      <c r="BZ68" s="1" t="n">
        <f aca="false">BX68*($B68+$D$15)</f>
        <v>0</v>
      </c>
      <c r="CA68" s="47" t="n">
        <f aca="false">IF(ISNUMBER(((BZ68/BX68)+$D$16+$N68+$D$14)*BX68),((BZ68/BX68)+$D$16+$N68+$D$14)*BX68,0)</f>
        <v>0</v>
      </c>
      <c r="CB68" s="76" t="n">
        <f aca="false">IF($BX68=0,0,OSTRIP($BY68,$S68,$BJ68-$B$2,$BG68-$BJ68,$BH68-$BJ68,$B$10,$BE68,$P68,$Q68,$D$23,$T68,$CC$34,0))</f>
        <v>0</v>
      </c>
      <c r="CC68" s="76" t="n">
        <f aca="false">IF($BX68=0,0,OSTRIP($BY68,$S68,$BJ68-$B$2,$BG68-$BJ68,$BH68-$BJ68,$B$10,$BE68,$P68,$Q68,$D$23,$T68,$CC$34,1))</f>
        <v>0</v>
      </c>
      <c r="CD68" s="76" t="n">
        <f aca="false">IF($BX68=0,0,OSTRIP($BY68,$S68,$BJ68-$B$2,$BG68-$BJ68,$BH68-$BJ68,$B$10,$BE68,$P68,$Q68,$D$23,$T68,$CC$34,CC$35))</f>
        <v>0</v>
      </c>
      <c r="CE68" s="37" t="n">
        <f aca="false">BX68*CB68</f>
        <v>0</v>
      </c>
      <c r="CF68" s="37" t="n">
        <f aca="false">BX68*CC68</f>
        <v>0</v>
      </c>
      <c r="CG68" s="37" t="n">
        <f aca="false">BX68*CD68</f>
        <v>0</v>
      </c>
      <c r="CH68" s="37" t="n">
        <f aca="false">BX68*Q68</f>
        <v>0</v>
      </c>
      <c r="CJ68" s="73" t="n">
        <f aca="false">IF($A68&gt;=CK$32,IF($A68&lt;=CK$33,$BF68,0),0)</f>
        <v>0</v>
      </c>
      <c r="CK68" s="186" t="e">
        <f aca="false">CM68/CJ68</f>
        <v>#DIV/0!</v>
      </c>
      <c r="CL68" s="1" t="n">
        <f aca="false">CJ68*($B68+$F$15)</f>
        <v>0</v>
      </c>
      <c r="CM68" s="47" t="n">
        <f aca="false">IF(ISNUMBER(((CL68/CJ68)+$F$16+$X68+$F$14)*CJ68),((CL68/CJ68)+$F$16+$X68+$F$14)*CJ68,0)</f>
        <v>0</v>
      </c>
      <c r="CN68" s="76" t="n">
        <f aca="false">IF($CJ68=0,0,OSTRIP($CK68,$AC68,$BJ68-$B$2,$BG68-$BJ68,$BH68-$BJ68,$B$10,$BE68,$Z68,$AA68,$F$23,$AD68,$CO$34,0))</f>
        <v>0</v>
      </c>
      <c r="CO68" s="76" t="n">
        <f aca="false">IF($CJ68=0,0,OSTRIP($CK68,$AC68,$BJ68-$B$2,$BG68-$BJ68,$BH68-$BJ68,$B$10,$BE68,$Z68,$AA68,$F$23,$AD68,$CO$34,1))</f>
        <v>0</v>
      </c>
      <c r="CP68" s="76" t="n">
        <f aca="false">IF($CJ68=0,0,OSTRIP($CK68,$AC68,$BJ68-$B$2,$BG68-$BJ68,$BH68-$BJ68,$B$10,$BE68,$Z68,$AA68,$F$23,$AD68,$CO$34,$CO$35))</f>
        <v>0</v>
      </c>
      <c r="CQ68" s="37" t="n">
        <f aca="false">CJ68*CN68</f>
        <v>0</v>
      </c>
      <c r="CR68" s="37" t="n">
        <f aca="false">CJ68*CO68</f>
        <v>0</v>
      </c>
      <c r="CS68" s="37" t="n">
        <f aca="false">CJ68*CP68</f>
        <v>0</v>
      </c>
      <c r="CT68" s="37" t="n">
        <f aca="false">CJ68*AA68</f>
        <v>0</v>
      </c>
      <c r="CV68" s="73" t="n">
        <f aca="false">IF($A68&gt;=CW$32,IF($A68&lt;=CW$33,$BF68,0),0)</f>
        <v>0</v>
      </c>
      <c r="CW68" s="186" t="e">
        <f aca="false">CY68/CV68</f>
        <v>#DIV/0!</v>
      </c>
      <c r="CX68" s="1" t="n">
        <f aca="false">CV68*($B68+$H$15)</f>
        <v>0</v>
      </c>
      <c r="CY68" s="47" t="n">
        <f aca="false">IF(ISNUMBER(((CX68/CV68)+$H$16+$AH68+$H$14)*CV68),((CX68/CV68)+$H$16+$AH68+$H$14)*CV68,0)</f>
        <v>0</v>
      </c>
      <c r="CZ68" s="76" t="n">
        <f aca="false">IF($CV68=0,0,OSTRIP($CW68,$AM68,$BJ68-$B$2,$BG68-$BJ68,$BH68-$BJ68,$B$10,$BE68,$AJ68,$AK68,$H$23,$AN68,$DA$34,0))</f>
        <v>0</v>
      </c>
      <c r="DA68" s="76" t="n">
        <f aca="false">IF($CV68=0,0,OSTRIP($CW68,$AM68,$BJ68-$B$2,$BG68-$BJ68,$BH68-$BJ68,$B$10,$BE68,$AJ68,$AK68,$H$23,$AN68,$DA$34,1))</f>
        <v>0</v>
      </c>
      <c r="DB68" s="76" t="n">
        <f aca="false">IF($CV68=0,0,OSTRIP($CW68,$AM68,$BJ68-$B$2,$BG68-$BJ68,$BH68-$BJ68,$B$10,$BE68,$AJ68,$AK68,$H$23,$AN68,$DA$34,DA$35))</f>
        <v>0</v>
      </c>
      <c r="DC68" s="37" t="n">
        <f aca="false">CV68*CZ68</f>
        <v>0</v>
      </c>
      <c r="DD68" s="37" t="n">
        <f aca="false">CV68*DA68</f>
        <v>0</v>
      </c>
      <c r="DE68" s="37" t="n">
        <f aca="false">CV68*DB68</f>
        <v>0</v>
      </c>
      <c r="DF68" s="37" t="n">
        <f aca="false">CV68*AK68</f>
        <v>0</v>
      </c>
    </row>
    <row r="69" customFormat="false" ht="12.75" hidden="false" customHeight="false" outlineLevel="0" collapsed="false">
      <c r="A69" s="62" t="n">
        <f aca="false">DATE(YEAR(A68),MONTH(A68)+1,1)</f>
        <v>38200</v>
      </c>
      <c r="B69" s="63" t="n">
        <f aca="false">VLOOKUP(A69,STRADDLE,5,FALSE())</f>
        <v>3.28</v>
      </c>
      <c r="C69" s="4" t="n">
        <f aca="false">VLOOKUP(A69,STRADDLE,8,FALSE())</f>
        <v>0.315</v>
      </c>
      <c r="D69" s="63" t="n">
        <f aca="false">IF(D$35="nymex",0,VLOOKUP($A69,curvesettle,HLOOKUP(D$35,curvesettle,2,FALSE())))</f>
        <v>0.35</v>
      </c>
      <c r="E69" s="65" t="n">
        <f aca="false">IF(ISNUMBER(VLOOKUP($A69,VOLCURVES,HLOOKUP(D$35,VOLCURVES,2,FALSE()),FALSE())),VLOOKUP($A69,VOLCURVES,HLOOKUP(D$35,VOLCURVES,2,FALSE()),FALSE()),1)</f>
        <v>0.98</v>
      </c>
      <c r="F69" s="4" t="n">
        <f aca="false">(($C69+H69)*$E69)+B$17</f>
        <v>0.4087</v>
      </c>
      <c r="G69" s="65" t="n">
        <f aca="false">VLOOKUP($A69,GASDVOLCURVES,HLOOKUP(D$36,GASDVOLCURVES,2,FALSE()),FALSE())+$B$18</f>
        <v>0.65</v>
      </c>
      <c r="H69" s="4" t="n">
        <f aca="false">IF($B$20=1,VLOOKUP($A69,skewtable,HLOOKUP(ROUND(I69-BM69,1),skewtable,2,FALSE()),FALSE())/100,0)</f>
        <v>0</v>
      </c>
      <c r="I69" s="66" t="e">
        <f aca="false">IF($B$10=1,($BM69*$B$23)-$B$14,$B$22)</f>
        <v>#DIV/0!</v>
      </c>
      <c r="J69" s="67" t="e">
        <f aca="false">I69-BM69+$B$24</f>
        <v>#DIV/0!</v>
      </c>
      <c r="K69" s="67"/>
      <c r="L69" s="183"/>
      <c r="M69" s="183"/>
      <c r="N69" s="63" t="n">
        <f aca="false">IF(N$35="nymex",0,VLOOKUP($A69,curvesettle,HLOOKUP(N$35,curvesettle,2,FALSE())))</f>
        <v>0.035</v>
      </c>
      <c r="O69" s="65" t="n">
        <f aca="false">IF(ISNUMBER(VLOOKUP($A69,VOLCURVES,HLOOKUP(N$35,VOLCURVES,2,FALSE()),FALSE())),VLOOKUP($A69,VOLCURVES,HLOOKUP(N$35,VOLCURVES,2,FALSE()),FALSE()),1)</f>
        <v>1</v>
      </c>
      <c r="P69" s="184" t="n">
        <f aca="false">(($C69+R69)*O69)+$D$17</f>
        <v>0.315</v>
      </c>
      <c r="Q69" s="65" t="n">
        <f aca="false">VLOOKUP($A69,GASDVOLCURVES,HLOOKUP(N$36,GASDVOLCURVES,2,FALSE()),FALSE())+$D$18</f>
        <v>0.65</v>
      </c>
      <c r="R69" s="4" t="n">
        <f aca="false">IF($D$20=1,VLOOKUP($A69,skewtable,HLOOKUP(ROUND(S69-BY69,1),skewtable,2,FALSE()),FALSE())/100,0)</f>
        <v>0</v>
      </c>
      <c r="S69" s="66" t="e">
        <f aca="false">IF(B$10=1,($BY69*$D$23)-$D$14,$D$22)</f>
        <v>#DIV/0!</v>
      </c>
      <c r="T69" s="67" t="e">
        <f aca="false">S69-$BY69+$D$24</f>
        <v>#DIV/0!</v>
      </c>
      <c r="U69" s="0"/>
      <c r="V69" s="0"/>
      <c r="W69" s="0"/>
      <c r="X69" s="63" t="n">
        <f aca="false">IF(X$35="nymex",0,VLOOKUP($A69,curvesettle,HLOOKUP(X$35,curvesettle,2,FALSE())))</f>
        <v>0.21</v>
      </c>
      <c r="Y69" s="65" t="n">
        <f aca="false">IF(ISNUMBER(VLOOKUP($A69,VOLCURVES,HLOOKUP(X$35,VOLCURVES,2,FALSE()),FALSE())),VLOOKUP($A69,VOLCURVES,HLOOKUP(X$35,VOLCURVES,2,FALSE()),FALSE()),1)</f>
        <v>1</v>
      </c>
      <c r="Z69" s="184" t="n">
        <f aca="false">(($C69+AB69)*Y69)+$F$17</f>
        <v>0.315</v>
      </c>
      <c r="AA69" s="65" t="n">
        <f aca="false">VLOOKUP($A69,GASDVOLCURVES,HLOOKUP(X$36,GASDVOLCURVES,2,FALSE()),FALSE())+$F$18</f>
        <v>0.7</v>
      </c>
      <c r="AB69" s="4" t="n">
        <f aca="false">IF($F$20=1,VLOOKUP($A69,skewtable,HLOOKUP(ROUND(AC69-CK69,1),skewtable,2,FALSE()),FALSE())/100,0)</f>
        <v>0</v>
      </c>
      <c r="AC69" s="66" t="e">
        <f aca="false">IF($B$10=1,($CK69*$F$23)-$F$14,$F$22)</f>
        <v>#DIV/0!</v>
      </c>
      <c r="AD69" s="67" t="e">
        <f aca="false">AC69-$CK69+$F$24</f>
        <v>#DIV/0!</v>
      </c>
      <c r="AE69" s="0"/>
      <c r="AF69" s="0"/>
      <c r="AG69" s="0"/>
      <c r="AH69" s="63" t="n">
        <f aca="false">IF(AH$35="nymex",0,VLOOKUP($A69,curvesettle,HLOOKUP(AH$35,curvesettle,2,FALSE())))</f>
        <v>0.41</v>
      </c>
      <c r="AI69" s="65" t="n">
        <f aca="false">IF(ISNUMBER(VLOOKUP($A69,VOLCURVES,HLOOKUP(AH$35,VOLCURVES,2,FALSE()),FALSE())),VLOOKUP($A69,VOLCURVES,HLOOKUP(AH$35,VOLCURVES,2,FALSE()),FALSE()),1)</f>
        <v>1</v>
      </c>
      <c r="AJ69" s="184" t="n">
        <f aca="false">(($C69+AL69)*AI69)+$H$17</f>
        <v>0.315</v>
      </c>
      <c r="AK69" s="65" t="n">
        <f aca="false">VLOOKUP($A69,GASDVOLCURVES,HLOOKUP(AH$36,GASDVOLCURVES,2,FALSE()),FALSE())+$H$18</f>
        <v>1.1</v>
      </c>
      <c r="AL69" s="4" t="n">
        <f aca="false">IF($H$20=1,VLOOKUP($A69,skewtable,HLOOKUP(ROUND(AM69-CW69,1),skewtable,2,FALSE()),FALSE())/100,0)</f>
        <v>0</v>
      </c>
      <c r="AM69" s="66" t="e">
        <f aca="false">IF($B$10=1,($CW69*$H$23)-$H$14,$H$22)</f>
        <v>#DIV/0!</v>
      </c>
      <c r="AN69" s="67" t="e">
        <f aca="false">AM69-CW69+$H$24</f>
        <v>#DIV/0!</v>
      </c>
      <c r="AO69" s="0"/>
      <c r="AP69" s="0"/>
      <c r="AQ69" s="183"/>
      <c r="AR69" s="183"/>
      <c r="AU69" s="0"/>
      <c r="AV69" s="0"/>
      <c r="AW69" s="0"/>
      <c r="AX69" s="0"/>
      <c r="AY69" s="0"/>
      <c r="AZ69" s="0"/>
      <c r="BA69" s="0"/>
      <c r="BC69" s="64"/>
      <c r="BD69" s="64"/>
      <c r="BE69" s="4" t="n">
        <f aca="false">VLOOKUP($A69,STRADDLE,14,FALSE())</f>
        <v>0.0397424893326637</v>
      </c>
      <c r="BF69" s="72" t="n">
        <f aca="false">A70-A69</f>
        <v>31</v>
      </c>
      <c r="BG69" s="179" t="n">
        <f aca="false">A69+BG$35</f>
        <v>38200</v>
      </c>
      <c r="BH69" s="179" t="n">
        <f aca="false">A70-1</f>
        <v>38230</v>
      </c>
      <c r="BJ69" s="179" t="n">
        <f aca="true">IF(BJ$35=0,TODAY(),IF(BJ$36="NYMEX",VLOOKUP($A69,expiration,2,FALSE())+1,BG69))</f>
        <v>38197</v>
      </c>
      <c r="BK69" s="73"/>
      <c r="BL69" s="73" t="n">
        <f aca="false">IF($A69&gt;=BM$32,IF($A69&lt;=BM$33,$BF69,0),0)</f>
        <v>0</v>
      </c>
      <c r="BM69" s="73" t="e">
        <f aca="false">BO69/BL69</f>
        <v>#DIV/0!</v>
      </c>
      <c r="BN69" s="1" t="n">
        <f aca="false">BL69*($B69+B$15)</f>
        <v>0</v>
      </c>
      <c r="BO69" s="47" t="n">
        <f aca="false">IF(ISNUMBER(((BN69/BL69)+B$16+$D69+$B$14)*BL69),((BN69/BL69)+B$16+$D69+$B$14)*BL69,0)</f>
        <v>0</v>
      </c>
      <c r="BP69" s="76" t="n">
        <f aca="false">IF($BL69=0,0,OSTRIP($BM69,$I69,$BJ69-$B$2,$BG69-$BJ69,$BH69-$BJ69,$B$10,$BE69,$F69,$G69,$B$23,$J69,$BQ$34,0))</f>
        <v>0</v>
      </c>
      <c r="BQ69" s="76" t="n">
        <f aca="false">IF($BL69=0,0,OSTRIP($BM69,$I69,$BJ69-$B$2,$BG69-$BJ69,$BH69-$BJ69,$B$10,$BE69,$F69,$G69,$B$23,$J69,$BQ$34,1))</f>
        <v>0</v>
      </c>
      <c r="BR69" s="76" t="n">
        <f aca="false">IF($BL69=0,0,OSTRIP($BM69,$I69,$BJ69-$B$2,$BG69-$BJ69,$BH69-$BJ69,$B$10,$BE69,$F69,$G69,$B$23,$J69,$BQ$34,BQ$35))</f>
        <v>0</v>
      </c>
      <c r="BS69" s="37" t="n">
        <f aca="false">BL69*BP69</f>
        <v>0</v>
      </c>
      <c r="BT69" s="37" t="n">
        <f aca="false">BL69*BQ69</f>
        <v>0</v>
      </c>
      <c r="BU69" s="37" t="n">
        <f aca="false">BL69*BR69</f>
        <v>0</v>
      </c>
      <c r="BV69" s="37" t="n">
        <f aca="false">BL69*G69</f>
        <v>0</v>
      </c>
      <c r="BX69" s="73" t="n">
        <f aca="false">IF($A69&gt;=BY$32,IF($A69&lt;=BY$33,$BF69,0),0)</f>
        <v>0</v>
      </c>
      <c r="BY69" s="186" t="e">
        <f aca="false">CA69/BX69</f>
        <v>#DIV/0!</v>
      </c>
      <c r="BZ69" s="1" t="n">
        <f aca="false">BX69*($B69+$D$15)</f>
        <v>0</v>
      </c>
      <c r="CA69" s="47" t="n">
        <f aca="false">IF(ISNUMBER(((BZ69/BX69)+$D$16+$N69+$D$14)*BX69),((BZ69/BX69)+$D$16+$N69+$D$14)*BX69,0)</f>
        <v>0</v>
      </c>
      <c r="CB69" s="76" t="n">
        <f aca="false">IF($BX69=0,0,OSTRIP($BY69,$S69,$BJ69-$B$2,$BG69-$BJ69,$BH69-$BJ69,$B$10,$BE69,$P69,$Q69,$D$23,$T69,$CC$34,0))</f>
        <v>0</v>
      </c>
      <c r="CC69" s="76" t="n">
        <f aca="false">IF($BX69=0,0,OSTRIP($BY69,$S69,$BJ69-$B$2,$BG69-$BJ69,$BH69-$BJ69,$B$10,$BE69,$P69,$Q69,$D$23,$T69,$CC$34,1))</f>
        <v>0</v>
      </c>
      <c r="CD69" s="76" t="n">
        <f aca="false">IF($BX69=0,0,OSTRIP($BY69,$S69,$BJ69-$B$2,$BG69-$BJ69,$BH69-$BJ69,$B$10,$BE69,$P69,$Q69,$D$23,$T69,$CC$34,CC$35))</f>
        <v>0</v>
      </c>
      <c r="CE69" s="37" t="n">
        <f aca="false">BX69*CB69</f>
        <v>0</v>
      </c>
      <c r="CF69" s="37" t="n">
        <f aca="false">BX69*CC69</f>
        <v>0</v>
      </c>
      <c r="CG69" s="37" t="n">
        <f aca="false">BX69*CD69</f>
        <v>0</v>
      </c>
      <c r="CH69" s="37" t="n">
        <f aca="false">BX69*Q69</f>
        <v>0</v>
      </c>
      <c r="CJ69" s="73" t="n">
        <f aca="false">IF($A69&gt;=CK$32,IF($A69&lt;=CK$33,$BF69,0),0)</f>
        <v>0</v>
      </c>
      <c r="CK69" s="186" t="e">
        <f aca="false">CM69/CJ69</f>
        <v>#DIV/0!</v>
      </c>
      <c r="CL69" s="1" t="n">
        <f aca="false">CJ69*($B69+$F$15)</f>
        <v>0</v>
      </c>
      <c r="CM69" s="47" t="n">
        <f aca="false">IF(ISNUMBER(((CL69/CJ69)+$F$16+$X69+$F$14)*CJ69),((CL69/CJ69)+$F$16+$X69+$F$14)*CJ69,0)</f>
        <v>0</v>
      </c>
      <c r="CN69" s="76" t="n">
        <f aca="false">IF($CJ69=0,0,OSTRIP($CK69,$AC69,$BJ69-$B$2,$BG69-$BJ69,$BH69-$BJ69,$B$10,$BE69,$Z69,$AA69,$F$23,$AD69,$CO$34,0))</f>
        <v>0</v>
      </c>
      <c r="CO69" s="76" t="n">
        <f aca="false">IF($CJ69=0,0,OSTRIP($CK69,$AC69,$BJ69-$B$2,$BG69-$BJ69,$BH69-$BJ69,$B$10,$BE69,$Z69,$AA69,$F$23,$AD69,$CO$34,1))</f>
        <v>0</v>
      </c>
      <c r="CP69" s="76" t="n">
        <f aca="false">IF($CJ69=0,0,OSTRIP($CK69,$AC69,$BJ69-$B$2,$BG69-$BJ69,$BH69-$BJ69,$B$10,$BE69,$Z69,$AA69,$F$23,$AD69,$CO$34,$CO$35))</f>
        <v>0</v>
      </c>
      <c r="CQ69" s="37" t="n">
        <f aca="false">CJ69*CN69</f>
        <v>0</v>
      </c>
      <c r="CR69" s="37" t="n">
        <f aca="false">CJ69*CO69</f>
        <v>0</v>
      </c>
      <c r="CS69" s="37" t="n">
        <f aca="false">CJ69*CP69</f>
        <v>0</v>
      </c>
      <c r="CT69" s="37" t="n">
        <f aca="false">CJ69*AA69</f>
        <v>0</v>
      </c>
      <c r="CV69" s="73" t="n">
        <f aca="false">IF($A69&gt;=CW$32,IF($A69&lt;=CW$33,$BF69,0),0)</f>
        <v>0</v>
      </c>
      <c r="CW69" s="186" t="e">
        <f aca="false">CY69/CV69</f>
        <v>#DIV/0!</v>
      </c>
      <c r="CX69" s="1" t="n">
        <f aca="false">CV69*($B69+$H$15)</f>
        <v>0</v>
      </c>
      <c r="CY69" s="47" t="n">
        <f aca="false">IF(ISNUMBER(((CX69/CV69)+$H$16+$AH69+$H$14)*CV69),((CX69/CV69)+$H$16+$AH69+$H$14)*CV69,0)</f>
        <v>0</v>
      </c>
      <c r="CZ69" s="76" t="n">
        <f aca="false">IF($CV69=0,0,OSTRIP($CW69,$AM69,$BJ69-$B$2,$BG69-$BJ69,$BH69-$BJ69,$B$10,$BE69,$AJ69,$AK69,$H$23,$AN69,$DA$34,0))</f>
        <v>0</v>
      </c>
      <c r="DA69" s="76" t="n">
        <f aca="false">IF($CV69=0,0,OSTRIP($CW69,$AM69,$BJ69-$B$2,$BG69-$BJ69,$BH69-$BJ69,$B$10,$BE69,$AJ69,$AK69,$H$23,$AN69,$DA$34,1))</f>
        <v>0</v>
      </c>
      <c r="DB69" s="76" t="n">
        <f aca="false">IF($CV69=0,0,OSTRIP($CW69,$AM69,$BJ69-$B$2,$BG69-$BJ69,$BH69-$BJ69,$B$10,$BE69,$AJ69,$AK69,$H$23,$AN69,$DA$34,DA$35))</f>
        <v>0</v>
      </c>
      <c r="DC69" s="37" t="n">
        <f aca="false">CV69*CZ69</f>
        <v>0</v>
      </c>
      <c r="DD69" s="37" t="n">
        <f aca="false">CV69*DA69</f>
        <v>0</v>
      </c>
      <c r="DE69" s="37" t="n">
        <f aca="false">CV69*DB69</f>
        <v>0</v>
      </c>
      <c r="DF69" s="37" t="n">
        <f aca="false">CV69*AK69</f>
        <v>0</v>
      </c>
    </row>
    <row r="70" customFormat="false" ht="12.75" hidden="false" customHeight="false" outlineLevel="0" collapsed="false">
      <c r="A70" s="62" t="n">
        <f aca="false">DATE(YEAR(A69),MONTH(A69)+1,1)</f>
        <v>38231</v>
      </c>
      <c r="B70" s="63" t="n">
        <f aca="false">VLOOKUP(A70,STRADDLE,5,FALSE())</f>
        <v>3.275</v>
      </c>
      <c r="C70" s="4" t="n">
        <f aca="false">VLOOKUP(A70,STRADDLE,8,FALSE())</f>
        <v>0.315</v>
      </c>
      <c r="D70" s="63" t="n">
        <f aca="false">IF(D$35="nymex",0,VLOOKUP($A70,curvesettle,HLOOKUP(D$35,curvesettle,2,FALSE())))</f>
        <v>0.315</v>
      </c>
      <c r="E70" s="65" t="n">
        <f aca="false">IF(ISNUMBER(VLOOKUP($A70,VOLCURVES,HLOOKUP(D$35,VOLCURVES,2,FALSE()),FALSE())),VLOOKUP($A70,VOLCURVES,HLOOKUP(D$35,VOLCURVES,2,FALSE()),FALSE()),1)</f>
        <v>0.98</v>
      </c>
      <c r="F70" s="4" t="n">
        <f aca="false">(($C70+H70)*$E70)+B$17</f>
        <v>0.4087</v>
      </c>
      <c r="G70" s="65" t="n">
        <f aca="false">VLOOKUP($A70,GASDVOLCURVES,HLOOKUP(D$36,GASDVOLCURVES,2,FALSE()),FALSE())+$B$18</f>
        <v>0.65</v>
      </c>
      <c r="H70" s="4" t="n">
        <f aca="false">IF($B$20=1,VLOOKUP($A70,skewtable,HLOOKUP(ROUND(I70-BM70,1),skewtable,2,FALSE()),FALSE())/100,0)</f>
        <v>0</v>
      </c>
      <c r="I70" s="66" t="e">
        <f aca="false">IF($B$10=1,($BM70*$B$23)-$B$14,$B$22)</f>
        <v>#DIV/0!</v>
      </c>
      <c r="J70" s="67" t="e">
        <f aca="false">I70-BM70+$B$24</f>
        <v>#DIV/0!</v>
      </c>
      <c r="K70" s="67"/>
      <c r="L70" s="183"/>
      <c r="M70" s="183"/>
      <c r="N70" s="63" t="n">
        <f aca="false">IF(N$35="nymex",0,VLOOKUP($A70,curvesettle,HLOOKUP(N$35,curvesettle,2,FALSE())))</f>
        <v>0.0275</v>
      </c>
      <c r="O70" s="65" t="n">
        <f aca="false">IF(ISNUMBER(VLOOKUP($A70,VOLCURVES,HLOOKUP(N$35,VOLCURVES,2,FALSE()),FALSE())),VLOOKUP($A70,VOLCURVES,HLOOKUP(N$35,VOLCURVES,2,FALSE()),FALSE()),1)</f>
        <v>1</v>
      </c>
      <c r="P70" s="184" t="n">
        <f aca="false">(($C70+R70)*O70)+$D$17</f>
        <v>0.315</v>
      </c>
      <c r="Q70" s="65" t="n">
        <f aca="false">VLOOKUP($A70,GASDVOLCURVES,HLOOKUP(N$36,GASDVOLCURVES,2,FALSE()),FALSE())+$D$18</f>
        <v>0.65</v>
      </c>
      <c r="R70" s="4" t="n">
        <f aca="false">IF($D$20=1,VLOOKUP($A70,skewtable,HLOOKUP(ROUND(S70-BY70,1),skewtable,2,FALSE()),FALSE())/100,0)</f>
        <v>0</v>
      </c>
      <c r="S70" s="66" t="e">
        <f aca="false">IF(B$10=1,($BY70*$D$23)-$D$14,$D$22)</f>
        <v>#DIV/0!</v>
      </c>
      <c r="T70" s="67" t="e">
        <f aca="false">S70-$BY70+$D$24</f>
        <v>#DIV/0!</v>
      </c>
      <c r="U70" s="0"/>
      <c r="V70" s="0"/>
      <c r="W70" s="0"/>
      <c r="X70" s="63" t="n">
        <f aca="false">IF(X$35="nymex",0,VLOOKUP($A70,curvesettle,HLOOKUP(X$35,curvesettle,2,FALSE())))</f>
        <v>0.21</v>
      </c>
      <c r="Y70" s="65" t="n">
        <f aca="false">IF(ISNUMBER(VLOOKUP($A70,VOLCURVES,HLOOKUP(X$35,VOLCURVES,2,FALSE()),FALSE())),VLOOKUP($A70,VOLCURVES,HLOOKUP(X$35,VOLCURVES,2,FALSE()),FALSE()),1)</f>
        <v>1</v>
      </c>
      <c r="Z70" s="184" t="n">
        <f aca="false">(($C70+AB70)*Y70)+$F$17</f>
        <v>0.315</v>
      </c>
      <c r="AA70" s="65" t="n">
        <f aca="false">VLOOKUP($A70,GASDVOLCURVES,HLOOKUP(X$36,GASDVOLCURVES,2,FALSE()),FALSE())+$F$18</f>
        <v>0.65</v>
      </c>
      <c r="AB70" s="4" t="n">
        <f aca="false">IF($F$20=1,VLOOKUP($A70,skewtable,HLOOKUP(ROUND(AC70-CK70,1),skewtable,2,FALSE()),FALSE())/100,0)</f>
        <v>0</v>
      </c>
      <c r="AC70" s="66" t="e">
        <f aca="false">IF($B$10=1,($CK70*$F$23)-$F$14,$F$22)</f>
        <v>#DIV/0!</v>
      </c>
      <c r="AD70" s="67" t="e">
        <f aca="false">AC70-$CK70+$F$24</f>
        <v>#DIV/0!</v>
      </c>
      <c r="AE70" s="0"/>
      <c r="AF70" s="0"/>
      <c r="AG70" s="0"/>
      <c r="AH70" s="63" t="n">
        <f aca="false">IF(AH$35="nymex",0,VLOOKUP($A70,curvesettle,HLOOKUP(AH$35,curvesettle,2,FALSE())))</f>
        <v>0.36</v>
      </c>
      <c r="AI70" s="65" t="n">
        <f aca="false">IF(ISNUMBER(VLOOKUP($A70,VOLCURVES,HLOOKUP(AH$35,VOLCURVES,2,FALSE()),FALSE())),VLOOKUP($A70,VOLCURVES,HLOOKUP(AH$35,VOLCURVES,2,FALSE()),FALSE()),1)</f>
        <v>1</v>
      </c>
      <c r="AJ70" s="184" t="n">
        <f aca="false">(($C70+AL70)*AI70)+$H$17</f>
        <v>0.315</v>
      </c>
      <c r="AK70" s="65" t="n">
        <f aca="false">VLOOKUP($A70,GASDVOLCURVES,HLOOKUP(AH$36,GASDVOLCURVES,2,FALSE()),FALSE())+$H$18</f>
        <v>1.1</v>
      </c>
      <c r="AL70" s="4" t="n">
        <f aca="false">IF($H$20=1,VLOOKUP($A70,skewtable,HLOOKUP(ROUND(AM70-CW70,1),skewtable,2,FALSE()),FALSE())/100,0)</f>
        <v>0</v>
      </c>
      <c r="AM70" s="66" t="e">
        <f aca="false">IF($B$10=1,($CW70*$H$23)-$H$14,$H$22)</f>
        <v>#DIV/0!</v>
      </c>
      <c r="AN70" s="67" t="e">
        <f aca="false">AM70-CW70+$H$24</f>
        <v>#DIV/0!</v>
      </c>
      <c r="AO70" s="0"/>
      <c r="AP70" s="0"/>
      <c r="AQ70" s="183"/>
      <c r="AR70" s="183"/>
      <c r="AU70" s="0"/>
      <c r="AV70" s="0"/>
      <c r="AW70" s="0"/>
      <c r="AX70" s="0"/>
      <c r="AY70" s="0"/>
      <c r="AZ70" s="0"/>
      <c r="BA70" s="0"/>
      <c r="BC70" s="64"/>
      <c r="BD70" s="64"/>
      <c r="BE70" s="4" t="n">
        <f aca="false">VLOOKUP($A70,STRADDLE,14,FALSE())</f>
        <v>0.0403867507782238</v>
      </c>
      <c r="BF70" s="72" t="n">
        <f aca="false">A71-A70</f>
        <v>30</v>
      </c>
      <c r="BG70" s="179" t="n">
        <f aca="false">A70+BG$35</f>
        <v>38231</v>
      </c>
      <c r="BH70" s="179" t="n">
        <f aca="false">A71-1</f>
        <v>38260</v>
      </c>
      <c r="BJ70" s="179" t="n">
        <f aca="true">IF(BJ$35=0,TODAY(),IF(BJ$36="NYMEX",VLOOKUP($A70,expiration,2,FALSE())+1,BG70))</f>
        <v>38227</v>
      </c>
      <c r="BK70" s="73"/>
      <c r="BL70" s="73" t="n">
        <f aca="false">IF($A70&gt;=BM$32,IF($A70&lt;=BM$33,$BF70,0),0)</f>
        <v>0</v>
      </c>
      <c r="BM70" s="73" t="e">
        <f aca="false">BO70/BL70</f>
        <v>#DIV/0!</v>
      </c>
      <c r="BN70" s="1" t="n">
        <f aca="false">BL70*($B70+B$15)</f>
        <v>0</v>
      </c>
      <c r="BO70" s="47" t="n">
        <f aca="false">IF(ISNUMBER(((BN70/BL70)+B$16+$D70+$B$14)*BL70),((BN70/BL70)+B$16+$D70+$B$14)*BL70,0)</f>
        <v>0</v>
      </c>
      <c r="BP70" s="76" t="n">
        <f aca="false">IF($BL70=0,0,OSTRIP($BM70,$I70,$BJ70-$B$2,$BG70-$BJ70,$BH70-$BJ70,$B$10,$BE70,$F70,$G70,$B$23,$J70,$BQ$34,0))</f>
        <v>0</v>
      </c>
      <c r="BQ70" s="76" t="n">
        <f aca="false">IF($BL70=0,0,OSTRIP($BM70,$I70,$BJ70-$B$2,$BG70-$BJ70,$BH70-$BJ70,$B$10,$BE70,$F70,$G70,$B$23,$J70,$BQ$34,1))</f>
        <v>0</v>
      </c>
      <c r="BR70" s="76" t="n">
        <f aca="false">IF($BL70=0,0,OSTRIP($BM70,$I70,$BJ70-$B$2,$BG70-$BJ70,$BH70-$BJ70,$B$10,$BE70,$F70,$G70,$B$23,$J70,$BQ$34,BQ$35))</f>
        <v>0</v>
      </c>
      <c r="BS70" s="37" t="n">
        <f aca="false">BL70*BP70</f>
        <v>0</v>
      </c>
      <c r="BT70" s="37" t="n">
        <f aca="false">BL70*BQ70</f>
        <v>0</v>
      </c>
      <c r="BU70" s="37" t="n">
        <f aca="false">BL70*BR70</f>
        <v>0</v>
      </c>
      <c r="BV70" s="37" t="n">
        <f aca="false">BL70*G70</f>
        <v>0</v>
      </c>
      <c r="BX70" s="73" t="n">
        <f aca="false">IF($A70&gt;=BY$32,IF($A70&lt;=BY$33,$BF70,0),0)</f>
        <v>0</v>
      </c>
      <c r="BY70" s="186" t="e">
        <f aca="false">CA70/BX70</f>
        <v>#DIV/0!</v>
      </c>
      <c r="BZ70" s="1" t="n">
        <f aca="false">BX70*($B70+$D$15)</f>
        <v>0</v>
      </c>
      <c r="CA70" s="47" t="n">
        <f aca="false">IF(ISNUMBER(((BZ70/BX70)+$D$16+$N70+$D$14)*BX70),((BZ70/BX70)+$D$16+$N70+$D$14)*BX70,0)</f>
        <v>0</v>
      </c>
      <c r="CB70" s="76" t="n">
        <f aca="false">IF($BX70=0,0,OSTRIP($BY70,$S70,$BJ70-$B$2,$BG70-$BJ70,$BH70-$BJ70,$B$10,$BE70,$P70,$Q70,$D$23,$T70,$CC$34,0))</f>
        <v>0</v>
      </c>
      <c r="CC70" s="76" t="n">
        <f aca="false">IF($BX70=0,0,OSTRIP($BY70,$S70,$BJ70-$B$2,$BG70-$BJ70,$BH70-$BJ70,$B$10,$BE70,$P70,$Q70,$D$23,$T70,$CC$34,1))</f>
        <v>0</v>
      </c>
      <c r="CD70" s="76" t="n">
        <f aca="false">IF($BX70=0,0,OSTRIP($BY70,$S70,$BJ70-$B$2,$BG70-$BJ70,$BH70-$BJ70,$B$10,$BE70,$P70,$Q70,$D$23,$T70,$CC$34,CC$35))</f>
        <v>0</v>
      </c>
      <c r="CE70" s="37" t="n">
        <f aca="false">BX70*CB70</f>
        <v>0</v>
      </c>
      <c r="CF70" s="37" t="n">
        <f aca="false">BX70*CC70</f>
        <v>0</v>
      </c>
      <c r="CG70" s="37" t="n">
        <f aca="false">BX70*CD70</f>
        <v>0</v>
      </c>
      <c r="CH70" s="37" t="n">
        <f aca="false">BX70*Q70</f>
        <v>0</v>
      </c>
      <c r="CJ70" s="73" t="n">
        <f aca="false">IF($A70&gt;=CK$32,IF($A70&lt;=CK$33,$BF70,0),0)</f>
        <v>0</v>
      </c>
      <c r="CK70" s="186" t="e">
        <f aca="false">CM70/CJ70</f>
        <v>#DIV/0!</v>
      </c>
      <c r="CL70" s="1" t="n">
        <f aca="false">CJ70*($B70+$F$15)</f>
        <v>0</v>
      </c>
      <c r="CM70" s="47" t="n">
        <f aca="false">IF(ISNUMBER(((CL70/CJ70)+$F$16+$X70+$F$14)*CJ70),((CL70/CJ70)+$F$16+$X70+$F$14)*CJ70,0)</f>
        <v>0</v>
      </c>
      <c r="CN70" s="76" t="n">
        <f aca="false">IF($CJ70=0,0,OSTRIP($CK70,$AC70,$BJ70-$B$2,$BG70-$BJ70,$BH70-$BJ70,$B$10,$BE70,$Z70,$AA70,$F$23,$AD70,$CO$34,0))</f>
        <v>0</v>
      </c>
      <c r="CO70" s="76" t="n">
        <f aca="false">IF($CJ70=0,0,OSTRIP($CK70,$AC70,$BJ70-$B$2,$BG70-$BJ70,$BH70-$BJ70,$B$10,$BE70,$Z70,$AA70,$F$23,$AD70,$CO$34,1))</f>
        <v>0</v>
      </c>
      <c r="CP70" s="76" t="n">
        <f aca="false">IF($CJ70=0,0,OSTRIP($CK70,$AC70,$BJ70-$B$2,$BG70-$BJ70,$BH70-$BJ70,$B$10,$BE70,$Z70,$AA70,$F$23,$AD70,$CO$34,$CO$35))</f>
        <v>0</v>
      </c>
      <c r="CQ70" s="37" t="n">
        <f aca="false">CJ70*CN70</f>
        <v>0</v>
      </c>
      <c r="CR70" s="37" t="n">
        <f aca="false">CJ70*CO70</f>
        <v>0</v>
      </c>
      <c r="CS70" s="37" t="n">
        <f aca="false">CJ70*CP70</f>
        <v>0</v>
      </c>
      <c r="CT70" s="37" t="n">
        <f aca="false">CJ70*AA70</f>
        <v>0</v>
      </c>
      <c r="CV70" s="73" t="n">
        <f aca="false">IF($A70&gt;=CW$32,IF($A70&lt;=CW$33,$BF70,0),0)</f>
        <v>0</v>
      </c>
      <c r="CW70" s="186" t="e">
        <f aca="false">CY70/CV70</f>
        <v>#DIV/0!</v>
      </c>
      <c r="CX70" s="1" t="n">
        <f aca="false">CV70*($B70+$H$15)</f>
        <v>0</v>
      </c>
      <c r="CY70" s="47" t="n">
        <f aca="false">IF(ISNUMBER(((CX70/CV70)+$H$16+$AH70+$H$14)*CV70),((CX70/CV70)+$H$16+$AH70+$H$14)*CV70,0)</f>
        <v>0</v>
      </c>
      <c r="CZ70" s="76" t="n">
        <f aca="false">IF($CV70=0,0,OSTRIP($CW70,$AM70,$BJ70-$B$2,$BG70-$BJ70,$BH70-$BJ70,$B$10,$BE70,$AJ70,$AK70,$H$23,$AN70,$DA$34,0))</f>
        <v>0</v>
      </c>
      <c r="DA70" s="76" t="n">
        <f aca="false">IF($CV70=0,0,OSTRIP($CW70,$AM70,$BJ70-$B$2,$BG70-$BJ70,$BH70-$BJ70,$B$10,$BE70,$AJ70,$AK70,$H$23,$AN70,$DA$34,1))</f>
        <v>0</v>
      </c>
      <c r="DB70" s="76" t="n">
        <f aca="false">IF($CV70=0,0,OSTRIP($CW70,$AM70,$BJ70-$B$2,$BG70-$BJ70,$BH70-$BJ70,$B$10,$BE70,$AJ70,$AK70,$H$23,$AN70,$DA$34,DA$35))</f>
        <v>0</v>
      </c>
      <c r="DC70" s="37" t="n">
        <f aca="false">CV70*CZ70</f>
        <v>0</v>
      </c>
      <c r="DD70" s="37" t="n">
        <f aca="false">CV70*DA70</f>
        <v>0</v>
      </c>
      <c r="DE70" s="37" t="n">
        <f aca="false">CV70*DB70</f>
        <v>0</v>
      </c>
      <c r="DF70" s="37" t="n">
        <f aca="false">CV70*AK70</f>
        <v>0</v>
      </c>
    </row>
    <row r="71" customFormat="false" ht="12.75" hidden="false" customHeight="false" outlineLevel="0" collapsed="false">
      <c r="A71" s="62" t="n">
        <f aca="false">DATE(YEAR(A70),MONTH(A70)+1,1)</f>
        <v>38261</v>
      </c>
      <c r="B71" s="63" t="n">
        <f aca="false">VLOOKUP(A71,STRADDLE,5,FALSE())</f>
        <v>3.3</v>
      </c>
      <c r="C71" s="4" t="n">
        <f aca="false">VLOOKUP(A71,STRADDLE,8,FALSE())</f>
        <v>0.315</v>
      </c>
      <c r="D71" s="63" t="n">
        <f aca="false">IF(D$35="nymex",0,VLOOKUP($A71,curvesettle,HLOOKUP(D$35,curvesettle,2,FALSE())))</f>
        <v>0.36</v>
      </c>
      <c r="E71" s="65" t="n">
        <f aca="false">IF(ISNUMBER(VLOOKUP($A71,VOLCURVES,HLOOKUP(D$35,VOLCURVES,2,FALSE()),FALSE())),VLOOKUP($A71,VOLCURVES,HLOOKUP(D$35,VOLCURVES,2,FALSE()),FALSE()),1)</f>
        <v>0.98</v>
      </c>
      <c r="F71" s="4" t="n">
        <f aca="false">(($C71+H71)*$E71)+B$17</f>
        <v>0.4087</v>
      </c>
      <c r="G71" s="65" t="n">
        <f aca="false">VLOOKUP($A71,GASDVOLCURVES,HLOOKUP(D$36,GASDVOLCURVES,2,FALSE()),FALSE())+$B$18</f>
        <v>0.7</v>
      </c>
      <c r="H71" s="4" t="n">
        <f aca="false">IF($B$20=1,VLOOKUP($A71,skewtable,HLOOKUP(ROUND(I71-BM71,1),skewtable,2,FALSE()),FALSE())/100,0)</f>
        <v>0</v>
      </c>
      <c r="I71" s="66" t="e">
        <f aca="false">IF($B$10=1,($BM71*$B$23)-$B$14,$B$22)</f>
        <v>#DIV/0!</v>
      </c>
      <c r="J71" s="67" t="e">
        <f aca="false">I71-BM71+$B$24</f>
        <v>#DIV/0!</v>
      </c>
      <c r="K71" s="67"/>
      <c r="L71" s="183"/>
      <c r="M71" s="183"/>
      <c r="N71" s="63" t="n">
        <f aca="false">IF(N$35="nymex",0,VLOOKUP($A71,curvesettle,HLOOKUP(N$35,curvesettle,2,FALSE())))</f>
        <v>0.0175</v>
      </c>
      <c r="O71" s="65" t="n">
        <f aca="false">IF(ISNUMBER(VLOOKUP($A71,VOLCURVES,HLOOKUP(N$35,VOLCURVES,2,FALSE()),FALSE())),VLOOKUP($A71,VOLCURVES,HLOOKUP(N$35,VOLCURVES,2,FALSE()),FALSE()),1)</f>
        <v>1</v>
      </c>
      <c r="P71" s="184" t="n">
        <f aca="false">(($C71+R71)*O71)+$D$17</f>
        <v>0.315</v>
      </c>
      <c r="Q71" s="65" t="n">
        <f aca="false">VLOOKUP($A71,GASDVOLCURVES,HLOOKUP(N$36,GASDVOLCURVES,2,FALSE()),FALSE())+$D$18</f>
        <v>0.7</v>
      </c>
      <c r="R71" s="4" t="n">
        <f aca="false">IF($D$20=1,VLOOKUP($A71,skewtable,HLOOKUP(ROUND(S71-BY71,1),skewtable,2,FALSE()),FALSE())/100,0)</f>
        <v>0</v>
      </c>
      <c r="S71" s="66" t="e">
        <f aca="false">IF(B$10=1,($BY71*$D$23)-$D$14,$D$22)</f>
        <v>#DIV/0!</v>
      </c>
      <c r="T71" s="67" t="e">
        <f aca="false">S71-$BY71+$D$24</f>
        <v>#DIV/0!</v>
      </c>
      <c r="U71" s="0"/>
      <c r="V71" s="0"/>
      <c r="W71" s="0"/>
      <c r="X71" s="63" t="n">
        <f aca="false">IF(X$35="nymex",0,VLOOKUP($A71,curvesettle,HLOOKUP(X$35,curvesettle,2,FALSE())))</f>
        <v>0.21</v>
      </c>
      <c r="Y71" s="65" t="n">
        <f aca="false">IF(ISNUMBER(VLOOKUP($A71,VOLCURVES,HLOOKUP(X$35,VOLCURVES,2,FALSE()),FALSE())),VLOOKUP($A71,VOLCURVES,HLOOKUP(X$35,VOLCURVES,2,FALSE()),FALSE()),1)</f>
        <v>1</v>
      </c>
      <c r="Z71" s="184" t="n">
        <f aca="false">(($C71+AB71)*Y71)+$F$17</f>
        <v>0.315</v>
      </c>
      <c r="AA71" s="65" t="n">
        <f aca="false">VLOOKUP($A71,GASDVOLCURVES,HLOOKUP(X$36,GASDVOLCURVES,2,FALSE()),FALSE())+$F$18</f>
        <v>0.7</v>
      </c>
      <c r="AB71" s="4" t="n">
        <f aca="false">IF($F$20=1,VLOOKUP($A71,skewtable,HLOOKUP(ROUND(AC71-CK71,1),skewtable,2,FALSE()),FALSE())/100,0)</f>
        <v>0</v>
      </c>
      <c r="AC71" s="66" t="e">
        <f aca="false">IF($B$10=1,($CK71*$F$23)-$F$14,$F$22)</f>
        <v>#DIV/0!</v>
      </c>
      <c r="AD71" s="67" t="e">
        <f aca="false">AC71-$CK71+$F$24</f>
        <v>#DIV/0!</v>
      </c>
      <c r="AE71" s="0"/>
      <c r="AF71" s="0"/>
      <c r="AG71" s="0"/>
      <c r="AH71" s="63" t="n">
        <f aca="false">IF(AH$35="nymex",0,VLOOKUP($A71,curvesettle,HLOOKUP(AH$35,curvesettle,2,FALSE())))</f>
        <v>0.4</v>
      </c>
      <c r="AI71" s="65" t="n">
        <f aca="false">IF(ISNUMBER(VLOOKUP($A71,VOLCURVES,HLOOKUP(AH$35,VOLCURVES,2,FALSE()),FALSE())),VLOOKUP($A71,VOLCURVES,HLOOKUP(AH$35,VOLCURVES,2,FALSE()),FALSE()),1)</f>
        <v>1</v>
      </c>
      <c r="AJ71" s="184" t="n">
        <f aca="false">(($C71+AL71)*AI71)+$H$17</f>
        <v>0.315</v>
      </c>
      <c r="AK71" s="65" t="n">
        <f aca="false">VLOOKUP($A71,GASDVOLCURVES,HLOOKUP(AH$36,GASDVOLCURVES,2,FALSE()),FALSE())+$H$18</f>
        <v>1.15</v>
      </c>
      <c r="AL71" s="4" t="n">
        <f aca="false">IF($H$20=1,VLOOKUP($A71,skewtable,HLOOKUP(ROUND(AM71-CW71,1),skewtable,2,FALSE()),FALSE())/100,0)</f>
        <v>0</v>
      </c>
      <c r="AM71" s="66" t="e">
        <f aca="false">IF($B$10=1,($CW71*$H$23)-$H$14,$H$22)</f>
        <v>#DIV/0!</v>
      </c>
      <c r="AN71" s="67" t="e">
        <f aca="false">AM71-CW71+$H$24</f>
        <v>#DIV/0!</v>
      </c>
      <c r="AO71" s="0"/>
      <c r="AP71" s="0"/>
      <c r="AQ71" s="183"/>
      <c r="AR71" s="183"/>
      <c r="AU71" s="0"/>
      <c r="AV71" s="0"/>
      <c r="AW71" s="0"/>
      <c r="AX71" s="0"/>
      <c r="AY71" s="0"/>
      <c r="AZ71" s="0"/>
      <c r="BA71" s="0"/>
      <c r="BC71" s="64"/>
      <c r="BD71" s="64"/>
      <c r="BE71" s="4" t="n">
        <f aca="false">VLOOKUP($A71,STRADDLE,14,FALSE())</f>
        <v>0.0409754465349472</v>
      </c>
      <c r="BF71" s="72" t="n">
        <f aca="false">A72-A71</f>
        <v>31</v>
      </c>
      <c r="BG71" s="179" t="n">
        <f aca="false">A71+BG$35</f>
        <v>38261</v>
      </c>
      <c r="BH71" s="179" t="n">
        <f aca="false">A72-1</f>
        <v>38291</v>
      </c>
      <c r="BJ71" s="179" t="n">
        <f aca="true">IF(BJ$35=0,TODAY(),IF(BJ$36="NYMEX",VLOOKUP($A71,expiration,2,FALSE())+1,BG71))</f>
        <v>38259</v>
      </c>
      <c r="BK71" s="73"/>
      <c r="BL71" s="73" t="n">
        <f aca="false">IF($A71&gt;=BM$32,IF($A71&lt;=BM$33,$BF71,0),0)</f>
        <v>0</v>
      </c>
      <c r="BM71" s="73" t="e">
        <f aca="false">BO71/BL71</f>
        <v>#DIV/0!</v>
      </c>
      <c r="BN71" s="1" t="n">
        <f aca="false">BL71*($B71+B$15)</f>
        <v>0</v>
      </c>
      <c r="BO71" s="47" t="n">
        <f aca="false">IF(ISNUMBER(((BN71/BL71)+B$16+$D71+$B$14)*BL71),((BN71/BL71)+B$16+$D71+$B$14)*BL71,0)</f>
        <v>0</v>
      </c>
      <c r="BP71" s="76" t="n">
        <f aca="false">IF($BL71=0,0,OSTRIP($BM71,$I71,$BJ71-$B$2,$BG71-$BJ71,$BH71-$BJ71,$B$10,$BE71,$F71,$G71,$B$23,$J71,$BQ$34,0))</f>
        <v>0</v>
      </c>
      <c r="BQ71" s="76" t="n">
        <f aca="false">IF($BL71=0,0,OSTRIP($BM71,$I71,$BJ71-$B$2,$BG71-$BJ71,$BH71-$BJ71,$B$10,$BE71,$F71,$G71,$B$23,$J71,$BQ$34,1))</f>
        <v>0</v>
      </c>
      <c r="BR71" s="76" t="n">
        <f aca="false">IF($BL71=0,0,OSTRIP($BM71,$I71,$BJ71-$B$2,$BG71-$BJ71,$BH71-$BJ71,$B$10,$BE71,$F71,$G71,$B$23,$J71,$BQ$34,BQ$35))</f>
        <v>0</v>
      </c>
      <c r="BS71" s="37" t="n">
        <f aca="false">BL71*BP71</f>
        <v>0</v>
      </c>
      <c r="BT71" s="37" t="n">
        <f aca="false">BL71*BQ71</f>
        <v>0</v>
      </c>
      <c r="BU71" s="37" t="n">
        <f aca="false">BL71*BR71</f>
        <v>0</v>
      </c>
      <c r="BV71" s="37" t="n">
        <f aca="false">BL71*G71</f>
        <v>0</v>
      </c>
      <c r="BX71" s="73" t="n">
        <f aca="false">IF($A71&gt;=BY$32,IF($A71&lt;=BY$33,$BF71,0),0)</f>
        <v>0</v>
      </c>
      <c r="BY71" s="186" t="e">
        <f aca="false">CA71/BX71</f>
        <v>#DIV/0!</v>
      </c>
      <c r="BZ71" s="1" t="n">
        <f aca="false">BX71*($B71+$D$15)</f>
        <v>0</v>
      </c>
      <c r="CA71" s="47" t="n">
        <f aca="false">IF(ISNUMBER(((BZ71/BX71)+$D$16+$N71+$D$14)*BX71),((BZ71/BX71)+$D$16+$N71+$D$14)*BX71,0)</f>
        <v>0</v>
      </c>
      <c r="CB71" s="76" t="n">
        <f aca="false">IF($BX71=0,0,OSTRIP($BY71,$S71,$BJ71-$B$2,$BG71-$BJ71,$BH71-$BJ71,$B$10,$BE71,$P71,$Q71,$D$23,$T71,$CC$34,0))</f>
        <v>0</v>
      </c>
      <c r="CC71" s="76" t="n">
        <f aca="false">IF($BX71=0,0,OSTRIP($BY71,$S71,$BJ71-$B$2,$BG71-$BJ71,$BH71-$BJ71,$B$10,$BE71,$P71,$Q71,$D$23,$T71,$CC$34,1))</f>
        <v>0</v>
      </c>
      <c r="CD71" s="76" t="n">
        <f aca="false">IF($BX71=0,0,OSTRIP($BY71,$S71,$BJ71-$B$2,$BG71-$BJ71,$BH71-$BJ71,$B$10,$BE71,$P71,$Q71,$D$23,$T71,$CC$34,CC$35))</f>
        <v>0</v>
      </c>
      <c r="CE71" s="37" t="n">
        <f aca="false">BX71*CB71</f>
        <v>0</v>
      </c>
      <c r="CF71" s="37" t="n">
        <f aca="false">BX71*CC71</f>
        <v>0</v>
      </c>
      <c r="CG71" s="37" t="n">
        <f aca="false">BX71*CD71</f>
        <v>0</v>
      </c>
      <c r="CH71" s="37" t="n">
        <f aca="false">BX71*Q71</f>
        <v>0</v>
      </c>
      <c r="CJ71" s="73" t="n">
        <f aca="false">IF($A71&gt;=CK$32,IF($A71&lt;=CK$33,$BF71,0),0)</f>
        <v>0</v>
      </c>
      <c r="CK71" s="186" t="e">
        <f aca="false">CM71/CJ71</f>
        <v>#DIV/0!</v>
      </c>
      <c r="CL71" s="1" t="n">
        <f aca="false">CJ71*($B71+$F$15)</f>
        <v>0</v>
      </c>
      <c r="CM71" s="47" t="n">
        <f aca="false">IF(ISNUMBER(((CL71/CJ71)+$F$16+$X71+$F$14)*CJ71),((CL71/CJ71)+$F$16+$X71+$F$14)*CJ71,0)</f>
        <v>0</v>
      </c>
      <c r="CN71" s="76" t="n">
        <f aca="false">IF($CJ71=0,0,OSTRIP($CK71,$AC71,$BJ71-$B$2,$BG71-$BJ71,$BH71-$BJ71,$B$10,$BE71,$Z71,$AA71,$F$23,$AD71,$CO$34,0))</f>
        <v>0</v>
      </c>
      <c r="CO71" s="76" t="n">
        <f aca="false">IF($CJ71=0,0,OSTRIP($CK71,$AC71,$BJ71-$B$2,$BG71-$BJ71,$BH71-$BJ71,$B$10,$BE71,$Z71,$AA71,$F$23,$AD71,$CO$34,1))</f>
        <v>0</v>
      </c>
      <c r="CP71" s="76" t="n">
        <f aca="false">IF($CJ71=0,0,OSTRIP($CK71,$AC71,$BJ71-$B$2,$BG71-$BJ71,$BH71-$BJ71,$B$10,$BE71,$Z71,$AA71,$F$23,$AD71,$CO$34,$CO$35))</f>
        <v>0</v>
      </c>
      <c r="CQ71" s="37" t="n">
        <f aca="false">CJ71*CN71</f>
        <v>0</v>
      </c>
      <c r="CR71" s="37" t="n">
        <f aca="false">CJ71*CO71</f>
        <v>0</v>
      </c>
      <c r="CS71" s="37" t="n">
        <f aca="false">CJ71*CP71</f>
        <v>0</v>
      </c>
      <c r="CT71" s="37" t="n">
        <f aca="false">CJ71*AA71</f>
        <v>0</v>
      </c>
      <c r="CV71" s="73" t="n">
        <f aca="false">IF($A71&gt;=CW$32,IF($A71&lt;=CW$33,$BF71,0),0)</f>
        <v>0</v>
      </c>
      <c r="CW71" s="186" t="e">
        <f aca="false">CY71/CV71</f>
        <v>#DIV/0!</v>
      </c>
      <c r="CX71" s="1" t="n">
        <f aca="false">CV71*($B71+$H$15)</f>
        <v>0</v>
      </c>
      <c r="CY71" s="47" t="n">
        <f aca="false">IF(ISNUMBER(((CX71/CV71)+$H$16+$AH71+$H$14)*CV71),((CX71/CV71)+$H$16+$AH71+$H$14)*CV71,0)</f>
        <v>0</v>
      </c>
      <c r="CZ71" s="76" t="n">
        <f aca="false">IF($CV71=0,0,OSTRIP($CW71,$AM71,$BJ71-$B$2,$BG71-$BJ71,$BH71-$BJ71,$B$10,$BE71,$AJ71,$AK71,$H$23,$AN71,$DA$34,0))</f>
        <v>0</v>
      </c>
      <c r="DA71" s="76" t="n">
        <f aca="false">IF($CV71=0,0,OSTRIP($CW71,$AM71,$BJ71-$B$2,$BG71-$BJ71,$BH71-$BJ71,$B$10,$BE71,$AJ71,$AK71,$H$23,$AN71,$DA$34,1))</f>
        <v>0</v>
      </c>
      <c r="DB71" s="76" t="n">
        <f aca="false">IF($CV71=0,0,OSTRIP($CW71,$AM71,$BJ71-$B$2,$BG71-$BJ71,$BH71-$BJ71,$B$10,$BE71,$AJ71,$AK71,$H$23,$AN71,$DA$34,DA$35))</f>
        <v>0</v>
      </c>
      <c r="DC71" s="37" t="n">
        <f aca="false">CV71*CZ71</f>
        <v>0</v>
      </c>
      <c r="DD71" s="37" t="n">
        <f aca="false">CV71*DA71</f>
        <v>0</v>
      </c>
      <c r="DE71" s="37" t="n">
        <f aca="false">CV71*DB71</f>
        <v>0</v>
      </c>
      <c r="DF71" s="37" t="n">
        <f aca="false">CV71*AK71</f>
        <v>0</v>
      </c>
    </row>
    <row r="72" customFormat="false" ht="12.75" hidden="false" customHeight="false" outlineLevel="0" collapsed="false">
      <c r="A72" s="62" t="n">
        <f aca="false">DATE(YEAR(A71),MONTH(A71)+1,1)</f>
        <v>38292</v>
      </c>
      <c r="B72" s="63" t="n">
        <f aca="false">VLOOKUP(A72,STRADDLE,5,FALSE())</f>
        <v>3.452</v>
      </c>
      <c r="C72" s="4" t="n">
        <f aca="false">VLOOKUP(A72,STRADDLE,8,FALSE())</f>
        <v>0.315</v>
      </c>
      <c r="D72" s="63" t="n">
        <f aca="false">IF(D$35="nymex",0,VLOOKUP($A72,curvesettle,HLOOKUP(D$35,curvesettle,2,FALSE())))</f>
        <v>0.46</v>
      </c>
      <c r="E72" s="65" t="n">
        <f aca="false">IF(ISNUMBER(VLOOKUP($A72,VOLCURVES,HLOOKUP(D$35,VOLCURVES,2,FALSE()),FALSE())),VLOOKUP($A72,VOLCURVES,HLOOKUP(D$35,VOLCURVES,2,FALSE()),FALSE()),1)</f>
        <v>1.1</v>
      </c>
      <c r="F72" s="4" t="n">
        <f aca="false">(($C72+H72)*$E72)+B$17</f>
        <v>0.4465</v>
      </c>
      <c r="G72" s="65" t="n">
        <f aca="false">VLOOKUP($A72,GASDVOLCURVES,HLOOKUP(D$36,GASDVOLCURVES,2,FALSE()),FALSE())+$B$18</f>
        <v>0.9</v>
      </c>
      <c r="H72" s="4" t="n">
        <f aca="false">IF($B$20=1,VLOOKUP($A72,skewtable,HLOOKUP(ROUND(I72-BM72,1),skewtable,2,FALSE()),FALSE())/100,0)</f>
        <v>0</v>
      </c>
      <c r="I72" s="66" t="e">
        <f aca="false">IF($B$10=1,($BM72*$B$23)-$B$14,$B$22)</f>
        <v>#DIV/0!</v>
      </c>
      <c r="J72" s="67" t="e">
        <f aca="false">I72-BM72+$B$24</f>
        <v>#DIV/0!</v>
      </c>
      <c r="K72" s="67"/>
      <c r="L72" s="183"/>
      <c r="M72" s="183"/>
      <c r="N72" s="63" t="n">
        <f aca="false">IF(N$35="nymex",0,VLOOKUP($A72,curvesettle,HLOOKUP(N$35,curvesettle,2,FALSE())))</f>
        <v>-0.025</v>
      </c>
      <c r="O72" s="65" t="n">
        <f aca="false">IF(ISNUMBER(VLOOKUP($A72,VOLCURVES,HLOOKUP(N$35,VOLCURVES,2,FALSE()),FALSE())),VLOOKUP($A72,VOLCURVES,HLOOKUP(N$35,VOLCURVES,2,FALSE()),FALSE()),1)</f>
        <v>1</v>
      </c>
      <c r="P72" s="184" t="n">
        <f aca="false">(($C72+R72)*O72)+$D$17</f>
        <v>0.315</v>
      </c>
      <c r="Q72" s="65" t="n">
        <f aca="false">VLOOKUP($A72,GASDVOLCURVES,HLOOKUP(N$36,GASDVOLCURVES,2,FALSE()),FALSE())+$D$18</f>
        <v>0.9</v>
      </c>
      <c r="R72" s="4" t="n">
        <f aca="false">IF($D$20=1,VLOOKUP($A72,skewtable,HLOOKUP(ROUND(S72-BY72,1),skewtable,2,FALSE()),FALSE())/100,0)</f>
        <v>0</v>
      </c>
      <c r="S72" s="66" t="e">
        <f aca="false">IF(B$10=1,($BY72*$D$23)-$D$14,$D$22)</f>
        <v>#DIV/0!</v>
      </c>
      <c r="T72" s="67" t="e">
        <f aca="false">S72-$BY72+$D$24</f>
        <v>#DIV/0!</v>
      </c>
      <c r="U72" s="0"/>
      <c r="V72" s="0"/>
      <c r="W72" s="0"/>
      <c r="X72" s="63" t="n">
        <f aca="false">IF(X$35="nymex",0,VLOOKUP($A72,curvesettle,HLOOKUP(X$35,curvesettle,2,FALSE())))</f>
        <v>0.2</v>
      </c>
      <c r="Y72" s="65" t="n">
        <f aca="false">IF(ISNUMBER(VLOOKUP($A72,VOLCURVES,HLOOKUP(X$35,VOLCURVES,2,FALSE()),FALSE())),VLOOKUP($A72,VOLCURVES,HLOOKUP(X$35,VOLCURVES,2,FALSE()),FALSE()),1)</f>
        <v>1</v>
      </c>
      <c r="Z72" s="184" t="n">
        <f aca="false">(($C72+AB72)*Y72)+$F$17</f>
        <v>0.315</v>
      </c>
      <c r="AA72" s="65" t="n">
        <f aca="false">VLOOKUP($A72,GASDVOLCURVES,HLOOKUP(X$36,GASDVOLCURVES,2,FALSE()),FALSE())+$F$18</f>
        <v>0.9</v>
      </c>
      <c r="AB72" s="4" t="n">
        <f aca="false">IF($F$20=1,VLOOKUP($A72,skewtable,HLOOKUP(ROUND(AC72-CK72,1),skewtable,2,FALSE()),FALSE())/100,0)</f>
        <v>0</v>
      </c>
      <c r="AC72" s="66" t="e">
        <f aca="false">IF($B$10=1,($CK72*$F$23)-$F$14,$F$22)</f>
        <v>#DIV/0!</v>
      </c>
      <c r="AD72" s="67" t="e">
        <f aca="false">AC72-$CK72+$F$24</f>
        <v>#DIV/0!</v>
      </c>
      <c r="AE72" s="0"/>
      <c r="AF72" s="0"/>
      <c r="AG72" s="0"/>
      <c r="AH72" s="63" t="n">
        <f aca="false">IF(AH$35="nymex",0,VLOOKUP($A72,curvesettle,HLOOKUP(AH$35,curvesettle,2,FALSE())))</f>
        <v>0.645</v>
      </c>
      <c r="AI72" s="65" t="n">
        <f aca="false">IF(ISNUMBER(VLOOKUP($A72,VOLCURVES,HLOOKUP(AH$35,VOLCURVES,2,FALSE()),FALSE())),VLOOKUP($A72,VOLCURVES,HLOOKUP(AH$35,VOLCURVES,2,FALSE()),FALSE()),1)</f>
        <v>1.1</v>
      </c>
      <c r="AJ72" s="184" t="n">
        <f aca="false">(($C72+AL72)*AI72)+$H$17</f>
        <v>0.3465</v>
      </c>
      <c r="AK72" s="65" t="n">
        <f aca="false">VLOOKUP($A72,GASDVOLCURVES,HLOOKUP(AH$36,GASDVOLCURVES,2,FALSE()),FALSE())+$H$18</f>
        <v>1.45</v>
      </c>
      <c r="AL72" s="4" t="n">
        <f aca="false">IF($H$20=1,VLOOKUP($A72,skewtable,HLOOKUP(ROUND(AM72-CW72,1),skewtable,2,FALSE()),FALSE())/100,0)</f>
        <v>0</v>
      </c>
      <c r="AM72" s="66" t="e">
        <f aca="false">IF($B$10=1,($CW72*$H$23)-$H$14,$H$22)</f>
        <v>#DIV/0!</v>
      </c>
      <c r="AN72" s="67" t="e">
        <f aca="false">AM72-CW72+$H$24</f>
        <v>#DIV/0!</v>
      </c>
      <c r="AO72" s="0"/>
      <c r="AP72" s="0"/>
      <c r="AQ72" s="183"/>
      <c r="AR72" s="183"/>
      <c r="AU72" s="0"/>
      <c r="AV72" s="0"/>
      <c r="AW72" s="0"/>
      <c r="AX72" s="0"/>
      <c r="AY72" s="0"/>
      <c r="AZ72" s="0"/>
      <c r="BA72" s="0"/>
      <c r="BC72" s="64"/>
      <c r="BD72" s="64"/>
      <c r="BE72" s="4" t="n">
        <f aca="false">VLOOKUP($A72,STRADDLE,14,FALSE())</f>
        <v>0.0415503422333172</v>
      </c>
      <c r="BF72" s="72" t="n">
        <f aca="false">A73-A72</f>
        <v>30</v>
      </c>
      <c r="BG72" s="179" t="n">
        <f aca="false">A72+BG$35</f>
        <v>38292</v>
      </c>
      <c r="BH72" s="179" t="n">
        <f aca="false">A73-1</f>
        <v>38321</v>
      </c>
      <c r="BJ72" s="179" t="n">
        <f aca="true">IF(BJ$35=0,TODAY(),IF(BJ$36="NYMEX",VLOOKUP($A72,expiration,2,FALSE())+1,BG72))</f>
        <v>38288</v>
      </c>
      <c r="BK72" s="73"/>
      <c r="BL72" s="73" t="n">
        <f aca="false">IF($A72&gt;=BM$32,IF($A72&lt;=BM$33,$BF72,0),0)</f>
        <v>0</v>
      </c>
      <c r="BM72" s="73" t="e">
        <f aca="false">BO72/BL72</f>
        <v>#DIV/0!</v>
      </c>
      <c r="BN72" s="1" t="n">
        <f aca="false">BL72*($B72+B$15)</f>
        <v>0</v>
      </c>
      <c r="BO72" s="47" t="n">
        <f aca="false">IF(ISNUMBER(((BN72/BL72)+B$16+$D72+$B$14)*BL72),((BN72/BL72)+B$16+$D72+$B$14)*BL72,0)</f>
        <v>0</v>
      </c>
      <c r="BP72" s="76" t="n">
        <f aca="false">IF($BL72=0,0,OSTRIP($BM72,$I72,$BJ72-$B$2,$BG72-$BJ72,$BH72-$BJ72,$B$10,$BE72,$F72,$G72,$B$23,$J72,$BQ$34,0))</f>
        <v>0</v>
      </c>
      <c r="BQ72" s="76" t="n">
        <f aca="false">IF($BL72=0,0,OSTRIP($BM72,$I72,$BJ72-$B$2,$BG72-$BJ72,$BH72-$BJ72,$B$10,$BE72,$F72,$G72,$B$23,$J72,$BQ$34,1))</f>
        <v>0</v>
      </c>
      <c r="BR72" s="76" t="n">
        <f aca="false">IF($BL72=0,0,OSTRIP($BM72,$I72,$BJ72-$B$2,$BG72-$BJ72,$BH72-$BJ72,$B$10,$BE72,$F72,$G72,$B$23,$J72,$BQ$34,BQ$35))</f>
        <v>0</v>
      </c>
      <c r="BS72" s="37" t="n">
        <f aca="false">BL72*BP72</f>
        <v>0</v>
      </c>
      <c r="BT72" s="37" t="n">
        <f aca="false">BL72*BQ72</f>
        <v>0</v>
      </c>
      <c r="BU72" s="37" t="n">
        <f aca="false">BL72*BR72</f>
        <v>0</v>
      </c>
      <c r="BV72" s="37" t="n">
        <f aca="false">BL72*G72</f>
        <v>0</v>
      </c>
      <c r="BX72" s="73" t="n">
        <f aca="false">IF($A72&gt;=BY$32,IF($A72&lt;=BY$33,$BF72,0),0)</f>
        <v>0</v>
      </c>
      <c r="BY72" s="186" t="e">
        <f aca="false">CA72/BX72</f>
        <v>#DIV/0!</v>
      </c>
      <c r="BZ72" s="1" t="n">
        <f aca="false">BX72*($B72+$D$15)</f>
        <v>0</v>
      </c>
      <c r="CA72" s="47" t="n">
        <f aca="false">IF(ISNUMBER(((BZ72/BX72)+$D$16+$N72+$D$14)*BX72),((BZ72/BX72)+$D$16+$N72+$D$14)*BX72,0)</f>
        <v>0</v>
      </c>
      <c r="CB72" s="76" t="n">
        <f aca="false">IF($BX72=0,0,OSTRIP($BY72,$S72,$BJ72-$B$2,$BG72-$BJ72,$BH72-$BJ72,$B$10,$BE72,$P72,$Q72,$D$23,$T72,$CC$34,0))</f>
        <v>0</v>
      </c>
      <c r="CC72" s="76" t="n">
        <f aca="false">IF($BX72=0,0,OSTRIP($BY72,$S72,$BJ72-$B$2,$BG72-$BJ72,$BH72-$BJ72,$B$10,$BE72,$P72,$Q72,$D$23,$T72,$CC$34,1))</f>
        <v>0</v>
      </c>
      <c r="CD72" s="76" t="n">
        <f aca="false">IF($BX72=0,0,OSTRIP($BY72,$S72,$BJ72-$B$2,$BG72-$BJ72,$BH72-$BJ72,$B$10,$BE72,$P72,$Q72,$D$23,$T72,$CC$34,CC$35))</f>
        <v>0</v>
      </c>
      <c r="CE72" s="37" t="n">
        <f aca="false">BX72*CB72</f>
        <v>0</v>
      </c>
      <c r="CF72" s="37" t="n">
        <f aca="false">BX72*CC72</f>
        <v>0</v>
      </c>
      <c r="CG72" s="37" t="n">
        <f aca="false">BX72*CD72</f>
        <v>0</v>
      </c>
      <c r="CH72" s="37" t="n">
        <f aca="false">BX72*Q72</f>
        <v>0</v>
      </c>
      <c r="CJ72" s="73" t="n">
        <f aca="false">IF($A72&gt;=CK$32,IF($A72&lt;=CK$33,$BF72,0),0)</f>
        <v>0</v>
      </c>
      <c r="CK72" s="186" t="e">
        <f aca="false">CM72/CJ72</f>
        <v>#DIV/0!</v>
      </c>
      <c r="CL72" s="1" t="n">
        <f aca="false">CJ72*($B72+$F$15)</f>
        <v>0</v>
      </c>
      <c r="CM72" s="47" t="n">
        <f aca="false">IF(ISNUMBER(((CL72/CJ72)+$F$16+$X72+$F$14)*CJ72),((CL72/CJ72)+$F$16+$X72+$F$14)*CJ72,0)</f>
        <v>0</v>
      </c>
      <c r="CN72" s="76" t="n">
        <f aca="false">IF($CJ72=0,0,OSTRIP($CK72,$AC72,$BJ72-$B$2,$BG72-$BJ72,$BH72-$BJ72,$B$10,$BE72,$Z72,$AA72,$F$23,$AD72,$CO$34,0))</f>
        <v>0</v>
      </c>
      <c r="CO72" s="76" t="n">
        <f aca="false">IF($CJ72=0,0,OSTRIP($CK72,$AC72,$BJ72-$B$2,$BG72-$BJ72,$BH72-$BJ72,$B$10,$BE72,$Z72,$AA72,$F$23,$AD72,$CO$34,1))</f>
        <v>0</v>
      </c>
      <c r="CP72" s="76" t="n">
        <f aca="false">IF($CJ72=0,0,OSTRIP($CK72,$AC72,$BJ72-$B$2,$BG72-$BJ72,$BH72-$BJ72,$B$10,$BE72,$Z72,$AA72,$F$23,$AD72,$CO$34,$CO$35))</f>
        <v>0</v>
      </c>
      <c r="CQ72" s="37" t="n">
        <f aca="false">CJ72*CN72</f>
        <v>0</v>
      </c>
      <c r="CR72" s="37" t="n">
        <f aca="false">CJ72*CO72</f>
        <v>0</v>
      </c>
      <c r="CS72" s="37" t="n">
        <f aca="false">CJ72*CP72</f>
        <v>0</v>
      </c>
      <c r="CT72" s="37" t="n">
        <f aca="false">CJ72*AA72</f>
        <v>0</v>
      </c>
      <c r="CV72" s="73" t="n">
        <f aca="false">IF($A72&gt;=CW$32,IF($A72&lt;=CW$33,$BF72,0),0)</f>
        <v>0</v>
      </c>
      <c r="CW72" s="186" t="e">
        <f aca="false">CY72/CV72</f>
        <v>#DIV/0!</v>
      </c>
      <c r="CX72" s="1" t="n">
        <f aca="false">CV72*($B72+$H$15)</f>
        <v>0</v>
      </c>
      <c r="CY72" s="47" t="n">
        <f aca="false">IF(ISNUMBER(((CX72/CV72)+$H$16+$AH72+$H$14)*CV72),((CX72/CV72)+$H$16+$AH72+$H$14)*CV72,0)</f>
        <v>0</v>
      </c>
      <c r="CZ72" s="76" t="n">
        <f aca="false">IF($CV72=0,0,OSTRIP($CW72,$AM72,$BJ72-$B$2,$BG72-$BJ72,$BH72-$BJ72,$B$10,$BE72,$AJ72,$AK72,$H$23,$AN72,$DA$34,0))</f>
        <v>0</v>
      </c>
      <c r="DA72" s="76" t="n">
        <f aca="false">IF($CV72=0,0,OSTRIP($CW72,$AM72,$BJ72-$B$2,$BG72-$BJ72,$BH72-$BJ72,$B$10,$BE72,$AJ72,$AK72,$H$23,$AN72,$DA$34,1))</f>
        <v>0</v>
      </c>
      <c r="DB72" s="76" t="n">
        <f aca="false">IF($CV72=0,0,OSTRIP($CW72,$AM72,$BJ72-$B$2,$BG72-$BJ72,$BH72-$BJ72,$B$10,$BE72,$AJ72,$AK72,$H$23,$AN72,$DA$34,DA$35))</f>
        <v>0</v>
      </c>
      <c r="DC72" s="37" t="n">
        <f aca="false">CV72*CZ72</f>
        <v>0</v>
      </c>
      <c r="DD72" s="37" t="n">
        <f aca="false">CV72*DA72</f>
        <v>0</v>
      </c>
      <c r="DE72" s="37" t="n">
        <f aca="false">CV72*DB72</f>
        <v>0</v>
      </c>
      <c r="DF72" s="37" t="n">
        <f aca="false">CV72*AK72</f>
        <v>0</v>
      </c>
    </row>
    <row r="73" customFormat="false" ht="12.75" hidden="false" customHeight="false" outlineLevel="0" collapsed="false">
      <c r="A73" s="62" t="n">
        <f aca="false">DATE(YEAR(A72),MONTH(A72)+1,1)</f>
        <v>38322</v>
      </c>
      <c r="B73" s="63" t="n">
        <f aca="false">VLOOKUP(A73,STRADDLE,5,FALSE())</f>
        <v>3.595</v>
      </c>
      <c r="C73" s="4" t="n">
        <f aca="false">VLOOKUP(A73,STRADDLE,8,FALSE())</f>
        <v>0.315</v>
      </c>
      <c r="D73" s="63" t="n">
        <f aca="false">IF(D$35="nymex",0,VLOOKUP($A73,curvesettle,HLOOKUP(D$35,curvesettle,2,FALSE())))</f>
        <v>0.77</v>
      </c>
      <c r="E73" s="65" t="n">
        <f aca="false">IF(ISNUMBER(VLOOKUP($A73,VOLCURVES,HLOOKUP(D$35,VOLCURVES,2,FALSE()),FALSE())),VLOOKUP($A73,VOLCURVES,HLOOKUP(D$35,VOLCURVES,2,FALSE()),FALSE()),1)</f>
        <v>1.1</v>
      </c>
      <c r="F73" s="4" t="n">
        <f aca="false">(($C73+H73)*$E73)+B$17</f>
        <v>0.4465</v>
      </c>
      <c r="G73" s="65" t="n">
        <f aca="false">VLOOKUP($A73,GASDVOLCURVES,HLOOKUP(D$36,GASDVOLCURVES,2,FALSE()),FALSE())+$B$18</f>
        <v>1.1</v>
      </c>
      <c r="H73" s="4" t="n">
        <f aca="false">IF($B$20=1,VLOOKUP($A73,skewtable,HLOOKUP(ROUND(I73-BM73,1),skewtable,2,FALSE()),FALSE())/100,0)</f>
        <v>0</v>
      </c>
      <c r="I73" s="66" t="e">
        <f aca="false">IF($B$10=1,($BM73*$B$23)-$B$14,$B$22)</f>
        <v>#DIV/0!</v>
      </c>
      <c r="J73" s="67" t="e">
        <f aca="false">I73-BM73+$B$24</f>
        <v>#DIV/0!</v>
      </c>
      <c r="K73" s="67"/>
      <c r="L73" s="183"/>
      <c r="M73" s="183"/>
      <c r="N73" s="63" t="n">
        <f aca="false">IF(N$35="nymex",0,VLOOKUP($A73,curvesettle,HLOOKUP(N$35,curvesettle,2,FALSE())))</f>
        <v>-0.0475</v>
      </c>
      <c r="O73" s="65" t="n">
        <f aca="false">IF(ISNUMBER(VLOOKUP($A73,VOLCURVES,HLOOKUP(N$35,VOLCURVES,2,FALSE()),FALSE())),VLOOKUP($A73,VOLCURVES,HLOOKUP(N$35,VOLCURVES,2,FALSE()),FALSE()),1)</f>
        <v>1</v>
      </c>
      <c r="P73" s="184" t="n">
        <f aca="false">(($C73+R73)*O73)+$D$17</f>
        <v>0.315</v>
      </c>
      <c r="Q73" s="65" t="n">
        <f aca="false">VLOOKUP($A73,GASDVOLCURVES,HLOOKUP(N$36,GASDVOLCURVES,2,FALSE()),FALSE())+$D$18</f>
        <v>1.1</v>
      </c>
      <c r="R73" s="4" t="n">
        <f aca="false">IF($D$20=1,VLOOKUP($A73,skewtable,HLOOKUP(ROUND(S73-BY73,1),skewtable,2,FALSE()),FALSE())/100,0)</f>
        <v>0</v>
      </c>
      <c r="S73" s="66" t="e">
        <f aca="false">IF(B$10=1,($BY73*$D$23)-$D$14,$D$22)</f>
        <v>#DIV/0!</v>
      </c>
      <c r="T73" s="67" t="e">
        <f aca="false">S73-$BY73+$D$24</f>
        <v>#DIV/0!</v>
      </c>
      <c r="U73" s="0"/>
      <c r="V73" s="0"/>
      <c r="W73" s="0"/>
      <c r="X73" s="63" t="n">
        <f aca="false">IF(X$35="nymex",0,VLOOKUP($A73,curvesettle,HLOOKUP(X$35,curvesettle,2,FALSE())))</f>
        <v>0.2</v>
      </c>
      <c r="Y73" s="65" t="n">
        <f aca="false">IF(ISNUMBER(VLOOKUP($A73,VOLCURVES,HLOOKUP(X$35,VOLCURVES,2,FALSE()),FALSE())),VLOOKUP($A73,VOLCURVES,HLOOKUP(X$35,VOLCURVES,2,FALSE()),FALSE()),1)</f>
        <v>1</v>
      </c>
      <c r="Z73" s="184" t="n">
        <f aca="false">(($C73+AB73)*Y73)+$F$17</f>
        <v>0.315</v>
      </c>
      <c r="AA73" s="65" t="n">
        <f aca="false">VLOOKUP($A73,GASDVOLCURVES,HLOOKUP(X$36,GASDVOLCURVES,2,FALSE()),FALSE())+$F$18</f>
        <v>1.1</v>
      </c>
      <c r="AB73" s="4" t="n">
        <f aca="false">IF($F$20=1,VLOOKUP($A73,skewtable,HLOOKUP(ROUND(AC73-CK73,1),skewtable,2,FALSE()),FALSE())/100,0)</f>
        <v>0</v>
      </c>
      <c r="AC73" s="66" t="e">
        <f aca="false">IF($B$10=1,($CK73*$F$23)-$F$14,$F$22)</f>
        <v>#DIV/0!</v>
      </c>
      <c r="AD73" s="67" t="e">
        <f aca="false">AC73-$CK73+$F$24</f>
        <v>#DIV/0!</v>
      </c>
      <c r="AE73" s="0"/>
      <c r="AF73" s="0"/>
      <c r="AG73" s="0"/>
      <c r="AH73" s="63" t="n">
        <f aca="false">IF(AH$35="nymex",0,VLOOKUP($A73,curvesettle,HLOOKUP(AH$35,curvesettle,2,FALSE())))</f>
        <v>0.9</v>
      </c>
      <c r="AI73" s="65" t="n">
        <f aca="false">IF(ISNUMBER(VLOOKUP($A73,VOLCURVES,HLOOKUP(AH$35,VOLCURVES,2,FALSE()),FALSE())),VLOOKUP($A73,VOLCURVES,HLOOKUP(AH$35,VOLCURVES,2,FALSE()),FALSE()),1)</f>
        <v>1.02</v>
      </c>
      <c r="AJ73" s="184" t="n">
        <f aca="false">(($C73+AL73)*AI73)+$H$17</f>
        <v>0.3213</v>
      </c>
      <c r="AK73" s="65" t="n">
        <f aca="false">VLOOKUP($A73,GASDVOLCURVES,HLOOKUP(AH$36,GASDVOLCURVES,2,FALSE()),FALSE())+$H$18</f>
        <v>1.75</v>
      </c>
      <c r="AL73" s="4" t="n">
        <f aca="false">IF($H$20=1,VLOOKUP($A73,skewtable,HLOOKUP(ROUND(AM73-CW73,1),skewtable,2,FALSE()),FALSE())/100,0)</f>
        <v>0</v>
      </c>
      <c r="AM73" s="66" t="e">
        <f aca="false">IF($B$10=1,($CW73*$H$23)-$H$14,$H$22)</f>
        <v>#DIV/0!</v>
      </c>
      <c r="AN73" s="67" t="e">
        <f aca="false">AM73-CW73+$H$24</f>
        <v>#DIV/0!</v>
      </c>
      <c r="AO73" s="0"/>
      <c r="AP73" s="0"/>
      <c r="AQ73" s="183"/>
      <c r="AR73" s="183"/>
      <c r="AU73" s="0"/>
      <c r="AV73" s="0"/>
      <c r="AW73" s="0"/>
      <c r="AX73" s="0"/>
      <c r="AY73" s="0"/>
      <c r="AZ73" s="0"/>
      <c r="BA73" s="0"/>
      <c r="BC73" s="64"/>
      <c r="BD73" s="64"/>
      <c r="BE73" s="4" t="n">
        <f aca="false">VLOOKUP($A73,STRADDLE,14,FALSE())</f>
        <v>0.0421066930146625</v>
      </c>
      <c r="BF73" s="72" t="n">
        <f aca="false">A74-A73</f>
        <v>31</v>
      </c>
      <c r="BG73" s="179" t="n">
        <f aca="false">A73+BG$35</f>
        <v>38322</v>
      </c>
      <c r="BH73" s="179" t="n">
        <f aca="false">A74-1</f>
        <v>38352</v>
      </c>
      <c r="BJ73" s="179" t="n">
        <f aca="true">IF(BJ$35=0,TODAY(),IF(BJ$36="NYMEX",VLOOKUP($A73,expiration,2,FALSE())+1,BG73))</f>
        <v>38318</v>
      </c>
      <c r="BK73" s="73"/>
      <c r="BL73" s="73" t="n">
        <f aca="false">IF($A73&gt;=BM$32,IF($A73&lt;=BM$33,$BF73,0),0)</f>
        <v>0</v>
      </c>
      <c r="BM73" s="73" t="e">
        <f aca="false">BO73/BL73</f>
        <v>#DIV/0!</v>
      </c>
      <c r="BN73" s="1" t="n">
        <f aca="false">BL73*($B73+B$15)</f>
        <v>0</v>
      </c>
      <c r="BO73" s="47" t="n">
        <f aca="false">IF(ISNUMBER(((BN73/BL73)+B$16+$D73+$B$14)*BL73),((BN73/BL73)+B$16+$D73+$B$14)*BL73,0)</f>
        <v>0</v>
      </c>
      <c r="BP73" s="76" t="n">
        <f aca="false">IF($BL73=0,0,OSTRIP($BM73,$I73,$BJ73-$B$2,$BG73-$BJ73,$BH73-$BJ73,$B$10,$BE73,$F73,$G73,$B$23,$J73,$BQ$34,0))</f>
        <v>0</v>
      </c>
      <c r="BQ73" s="76" t="n">
        <f aca="false">IF($BL73=0,0,OSTRIP($BM73,$I73,$BJ73-$B$2,$BG73-$BJ73,$BH73-$BJ73,$B$10,$BE73,$F73,$G73,$B$23,$J73,$BQ$34,1))</f>
        <v>0</v>
      </c>
      <c r="BR73" s="76" t="n">
        <f aca="false">IF($BL73=0,0,OSTRIP($BM73,$I73,$BJ73-$B$2,$BG73-$BJ73,$BH73-$BJ73,$B$10,$BE73,$F73,$G73,$B$23,$J73,$BQ$34,BQ$35))</f>
        <v>0</v>
      </c>
      <c r="BS73" s="37" t="n">
        <f aca="false">BL73*BP73</f>
        <v>0</v>
      </c>
      <c r="BT73" s="37" t="n">
        <f aca="false">BL73*BQ73</f>
        <v>0</v>
      </c>
      <c r="BU73" s="37" t="n">
        <f aca="false">BL73*BR73</f>
        <v>0</v>
      </c>
      <c r="BV73" s="37" t="n">
        <f aca="false">BL73*G73</f>
        <v>0</v>
      </c>
      <c r="BX73" s="73" t="n">
        <f aca="false">IF($A73&gt;=BY$32,IF($A73&lt;=BY$33,$BF73,0),0)</f>
        <v>0</v>
      </c>
      <c r="BY73" s="186" t="e">
        <f aca="false">CA73/BX73</f>
        <v>#DIV/0!</v>
      </c>
      <c r="BZ73" s="1" t="n">
        <f aca="false">BX73*($B73+$D$15)</f>
        <v>0</v>
      </c>
      <c r="CA73" s="47" t="n">
        <f aca="false">IF(ISNUMBER(((BZ73/BX73)+$D$16+$N73+$D$14)*BX73),((BZ73/BX73)+$D$16+$N73+$D$14)*BX73,0)</f>
        <v>0</v>
      </c>
      <c r="CB73" s="76" t="n">
        <f aca="false">IF($BX73=0,0,OSTRIP($BY73,$S73,$BJ73-$B$2,$BG73-$BJ73,$BH73-$BJ73,$B$10,$BE73,$P73,$Q73,$D$23,$T73,$CC$34,0))</f>
        <v>0</v>
      </c>
      <c r="CC73" s="76" t="n">
        <f aca="false">IF($BX73=0,0,OSTRIP($BY73,$S73,$BJ73-$B$2,$BG73-$BJ73,$BH73-$BJ73,$B$10,$BE73,$P73,$Q73,$D$23,$T73,$CC$34,1))</f>
        <v>0</v>
      </c>
      <c r="CD73" s="76" t="n">
        <f aca="false">IF($BX73=0,0,OSTRIP($BY73,$S73,$BJ73-$B$2,$BG73-$BJ73,$BH73-$BJ73,$B$10,$BE73,$P73,$Q73,$D$23,$T73,$CC$34,CC$35))</f>
        <v>0</v>
      </c>
      <c r="CE73" s="37" t="n">
        <f aca="false">BX73*CB73</f>
        <v>0</v>
      </c>
      <c r="CF73" s="37" t="n">
        <f aca="false">BX73*CC73</f>
        <v>0</v>
      </c>
      <c r="CG73" s="37" t="n">
        <f aca="false">BX73*CD73</f>
        <v>0</v>
      </c>
      <c r="CH73" s="37" t="n">
        <f aca="false">BX73*Q73</f>
        <v>0</v>
      </c>
      <c r="CJ73" s="73" t="n">
        <f aca="false">IF($A73&gt;=CK$32,IF($A73&lt;=CK$33,$BF73,0),0)</f>
        <v>0</v>
      </c>
      <c r="CK73" s="186" t="e">
        <f aca="false">CM73/CJ73</f>
        <v>#DIV/0!</v>
      </c>
      <c r="CL73" s="1" t="n">
        <f aca="false">CJ73*($B73+$F$15)</f>
        <v>0</v>
      </c>
      <c r="CM73" s="47" t="n">
        <f aca="false">IF(ISNUMBER(((CL73/CJ73)+$F$16+$X73+$F$14)*CJ73),((CL73/CJ73)+$F$16+$X73+$F$14)*CJ73,0)</f>
        <v>0</v>
      </c>
      <c r="CN73" s="76" t="n">
        <f aca="false">IF($CJ73=0,0,OSTRIP($CK73,$AC73,$BJ73-$B$2,$BG73-$BJ73,$BH73-$BJ73,$B$10,$BE73,$Z73,$AA73,$F$23,$AD73,$CO$34,0))</f>
        <v>0</v>
      </c>
      <c r="CO73" s="76" t="n">
        <f aca="false">IF($CJ73=0,0,OSTRIP($CK73,$AC73,$BJ73-$B$2,$BG73-$BJ73,$BH73-$BJ73,$B$10,$BE73,$Z73,$AA73,$F$23,$AD73,$CO$34,1))</f>
        <v>0</v>
      </c>
      <c r="CP73" s="76" t="n">
        <f aca="false">IF($CJ73=0,0,OSTRIP($CK73,$AC73,$BJ73-$B$2,$BG73-$BJ73,$BH73-$BJ73,$B$10,$BE73,$Z73,$AA73,$F$23,$AD73,$CO$34,$CO$35))</f>
        <v>0</v>
      </c>
      <c r="CQ73" s="37" t="n">
        <f aca="false">CJ73*CN73</f>
        <v>0</v>
      </c>
      <c r="CR73" s="37" t="n">
        <f aca="false">CJ73*CO73</f>
        <v>0</v>
      </c>
      <c r="CS73" s="37" t="n">
        <f aca="false">CJ73*CP73</f>
        <v>0</v>
      </c>
      <c r="CT73" s="37" t="n">
        <f aca="false">CJ73*AA73</f>
        <v>0</v>
      </c>
      <c r="CV73" s="73" t="n">
        <f aca="false">IF($A73&gt;=CW$32,IF($A73&lt;=CW$33,$BF73,0),0)</f>
        <v>0</v>
      </c>
      <c r="CW73" s="186" t="e">
        <f aca="false">CY73/CV73</f>
        <v>#DIV/0!</v>
      </c>
      <c r="CX73" s="1" t="n">
        <f aca="false">CV73*($B73+$H$15)</f>
        <v>0</v>
      </c>
      <c r="CY73" s="47" t="n">
        <f aca="false">IF(ISNUMBER(((CX73/CV73)+$H$16+$AH73+$H$14)*CV73),((CX73/CV73)+$H$16+$AH73+$H$14)*CV73,0)</f>
        <v>0</v>
      </c>
      <c r="CZ73" s="76" t="n">
        <f aca="false">IF($CV73=0,0,OSTRIP($CW73,$AM73,$BJ73-$B$2,$BG73-$BJ73,$BH73-$BJ73,$B$10,$BE73,$AJ73,$AK73,$H$23,$AN73,$DA$34,0))</f>
        <v>0</v>
      </c>
      <c r="DA73" s="76" t="n">
        <f aca="false">IF($CV73=0,0,OSTRIP($CW73,$AM73,$BJ73-$B$2,$BG73-$BJ73,$BH73-$BJ73,$B$10,$BE73,$AJ73,$AK73,$H$23,$AN73,$DA$34,1))</f>
        <v>0</v>
      </c>
      <c r="DB73" s="76" t="n">
        <f aca="false">IF($CV73=0,0,OSTRIP($CW73,$AM73,$BJ73-$B$2,$BG73-$BJ73,$BH73-$BJ73,$B$10,$BE73,$AJ73,$AK73,$H$23,$AN73,$DA$34,DA$35))</f>
        <v>0</v>
      </c>
      <c r="DC73" s="37" t="n">
        <f aca="false">CV73*CZ73</f>
        <v>0</v>
      </c>
      <c r="DD73" s="37" t="n">
        <f aca="false">CV73*DA73</f>
        <v>0</v>
      </c>
      <c r="DE73" s="37" t="n">
        <f aca="false">CV73*DB73</f>
        <v>0</v>
      </c>
      <c r="DF73" s="37" t="n">
        <f aca="false">CV73*AK73</f>
        <v>0</v>
      </c>
    </row>
    <row r="74" customFormat="false" ht="12.75" hidden="false" customHeight="false" outlineLevel="0" collapsed="false">
      <c r="A74" s="62" t="n">
        <f aca="false">DATE(YEAR(A73),MONTH(A73)+1,1)</f>
        <v>38353</v>
      </c>
      <c r="B74" s="63" t="n">
        <f aca="false">VLOOKUP(A74,STRADDLE,5,FALSE())</f>
        <v>3.655</v>
      </c>
      <c r="C74" s="4" t="n">
        <f aca="false">VLOOKUP(A74,STRADDLE,8,FALSE())</f>
        <v>0.315</v>
      </c>
      <c r="D74" s="63" t="n">
        <f aca="false">IF(D$35="nymex",0,VLOOKUP($A74,curvesettle,HLOOKUP(D$35,curvesettle,2,FALSE())))</f>
        <v>1.04</v>
      </c>
      <c r="E74" s="65" t="n">
        <f aca="false">IF(ISNUMBER(VLOOKUP($A74,VOLCURVES,HLOOKUP(D$35,VOLCURVES,2,FALSE()),FALSE())),VLOOKUP($A74,VOLCURVES,HLOOKUP(D$35,VOLCURVES,2,FALSE()),FALSE()),1)</f>
        <v>1.1</v>
      </c>
      <c r="F74" s="4" t="n">
        <f aca="false">(($C74+H74)*$E74)+B$17</f>
        <v>0.4465</v>
      </c>
      <c r="G74" s="65" t="n">
        <f aca="false">VLOOKUP($A74,GASDVOLCURVES,HLOOKUP(D$36,GASDVOLCURVES,2,FALSE()),FALSE())+$B$18</f>
        <v>1.1</v>
      </c>
      <c r="H74" s="4" t="n">
        <f aca="false">IF($B$20=1,VLOOKUP($A74,skewtable,HLOOKUP(ROUND(I74-BM74,1),skewtable,2,FALSE()),FALSE())/100,0)</f>
        <v>0</v>
      </c>
      <c r="I74" s="66" t="e">
        <f aca="false">IF($B$10=1,($BM74*$B$23)-$B$14,$B$22)</f>
        <v>#DIV/0!</v>
      </c>
      <c r="J74" s="67" t="e">
        <f aca="false">I74-BM74+$B$24</f>
        <v>#DIV/0!</v>
      </c>
      <c r="K74" s="67"/>
      <c r="L74" s="183"/>
      <c r="M74" s="183"/>
      <c r="N74" s="63" t="n">
        <f aca="false">IF(N$35="nymex",0,VLOOKUP($A74,curvesettle,HLOOKUP(N$35,curvesettle,2,FALSE())))</f>
        <v>-0.05</v>
      </c>
      <c r="O74" s="65" t="n">
        <f aca="false">IF(ISNUMBER(VLOOKUP($A74,VOLCURVES,HLOOKUP(N$35,VOLCURVES,2,FALSE()),FALSE())),VLOOKUP($A74,VOLCURVES,HLOOKUP(N$35,VOLCURVES,2,FALSE()),FALSE()),1)</f>
        <v>1</v>
      </c>
      <c r="P74" s="184" t="n">
        <f aca="false">(($C74+R74)*O74)+$D$17</f>
        <v>0.315</v>
      </c>
      <c r="Q74" s="65" t="n">
        <f aca="false">VLOOKUP($A74,GASDVOLCURVES,HLOOKUP(N$36,GASDVOLCURVES,2,FALSE()),FALSE())+$D$18</f>
        <v>1.1</v>
      </c>
      <c r="R74" s="4" t="n">
        <f aca="false">IF($D$20=1,VLOOKUP($A74,skewtable,HLOOKUP(ROUND(S74-BY74,1),skewtable,2,FALSE()),FALSE())/100,0)</f>
        <v>0</v>
      </c>
      <c r="S74" s="66" t="e">
        <f aca="false">IF(B$10=1,($BY74*$D$23)-$D$14,$D$22)</f>
        <v>#DIV/0!</v>
      </c>
      <c r="T74" s="67" t="e">
        <f aca="false">S74-$BY74+$D$24</f>
        <v>#DIV/0!</v>
      </c>
      <c r="U74" s="0"/>
      <c r="V74" s="0"/>
      <c r="W74" s="0"/>
      <c r="X74" s="63" t="n">
        <f aca="false">IF(X$35="nymex",0,VLOOKUP($A74,curvesettle,HLOOKUP(X$35,curvesettle,2,FALSE())))</f>
        <v>0.2</v>
      </c>
      <c r="Y74" s="65" t="n">
        <f aca="false">IF(ISNUMBER(VLOOKUP($A74,VOLCURVES,HLOOKUP(X$35,VOLCURVES,2,FALSE()),FALSE())),VLOOKUP($A74,VOLCURVES,HLOOKUP(X$35,VOLCURVES,2,FALSE()),FALSE()),1)</f>
        <v>1</v>
      </c>
      <c r="Z74" s="184" t="n">
        <f aca="false">(($C74+AB74)*Y74)+$F$17</f>
        <v>0.315</v>
      </c>
      <c r="AA74" s="65" t="n">
        <f aca="false">VLOOKUP($A74,GASDVOLCURVES,HLOOKUP(X$36,GASDVOLCURVES,2,FALSE()),FALSE())+$F$18</f>
        <v>1.1</v>
      </c>
      <c r="AB74" s="4" t="n">
        <f aca="false">IF($F$20=1,VLOOKUP($A74,skewtable,HLOOKUP(ROUND(AC74-CK74,1),skewtable,2,FALSE()),FALSE())/100,0)</f>
        <v>0</v>
      </c>
      <c r="AC74" s="66" t="e">
        <f aca="false">IF($B$10=1,($CK74*$F$23)-$F$14,$F$22)</f>
        <v>#DIV/0!</v>
      </c>
      <c r="AD74" s="67" t="e">
        <f aca="false">AC74-$CK74+$F$24</f>
        <v>#DIV/0!</v>
      </c>
      <c r="AE74" s="0"/>
      <c r="AF74" s="0"/>
      <c r="AG74" s="0"/>
      <c r="AH74" s="63" t="n">
        <f aca="false">IF(AH$35="nymex",0,VLOOKUP($A74,curvesettle,HLOOKUP(AH$35,curvesettle,2,FALSE())))</f>
        <v>1.535</v>
      </c>
      <c r="AI74" s="65" t="n">
        <f aca="false">IF(ISNUMBER(VLOOKUP($A74,VOLCURVES,HLOOKUP(AH$35,VOLCURVES,2,FALSE()),FALSE())),VLOOKUP($A74,VOLCURVES,HLOOKUP(AH$35,VOLCURVES,2,FALSE()),FALSE()),1)</f>
        <v>1.04</v>
      </c>
      <c r="AJ74" s="184" t="n">
        <f aca="false">(($C74+AL74)*AI74)+$H$17</f>
        <v>0.3276</v>
      </c>
      <c r="AK74" s="65" t="n">
        <f aca="false">VLOOKUP($A74,GASDVOLCURVES,HLOOKUP(AH$36,GASDVOLCURVES,2,FALSE()),FALSE())+$H$18</f>
        <v>1.95</v>
      </c>
      <c r="AL74" s="4" t="n">
        <f aca="false">IF($H$20=1,VLOOKUP($A74,skewtable,HLOOKUP(ROUND(AM74-CW74,1),skewtable,2,FALSE()),FALSE())/100,0)</f>
        <v>0</v>
      </c>
      <c r="AM74" s="66" t="e">
        <f aca="false">IF($B$10=1,($CW74*$H$23)-$H$14,$H$22)</f>
        <v>#DIV/0!</v>
      </c>
      <c r="AN74" s="67" t="e">
        <f aca="false">AM74-CW74+$H$24</f>
        <v>#DIV/0!</v>
      </c>
      <c r="AO74" s="0"/>
      <c r="AP74" s="0"/>
      <c r="AQ74" s="183"/>
      <c r="AR74" s="183"/>
      <c r="AU74" s="0"/>
      <c r="AV74" s="0"/>
      <c r="AW74" s="0"/>
      <c r="AX74" s="0"/>
      <c r="AY74" s="0"/>
      <c r="AZ74" s="0"/>
      <c r="BA74" s="0"/>
      <c r="BC74" s="64"/>
      <c r="BD74" s="64"/>
      <c r="BE74" s="4" t="n">
        <f aca="false">VLOOKUP($A74,STRADDLE,14,FALSE())</f>
        <v>0.0426576899474638</v>
      </c>
      <c r="BF74" s="72" t="n">
        <f aca="false">A75-A74</f>
        <v>31</v>
      </c>
      <c r="BG74" s="179" t="n">
        <f aca="false">A74+BG$35</f>
        <v>38353</v>
      </c>
      <c r="BH74" s="179" t="n">
        <f aca="false">A75-1</f>
        <v>38383</v>
      </c>
      <c r="BJ74" s="179" t="n">
        <f aca="true">IF(BJ$35=0,TODAY(),IF(BJ$36="NYMEX",VLOOKUP($A74,expiration,2,FALSE())+1,BG74))</f>
        <v>38350</v>
      </c>
      <c r="BK74" s="73"/>
      <c r="BL74" s="73" t="n">
        <f aca="false">IF($A74&gt;=BM$32,IF($A74&lt;=BM$33,$BF74,0),0)</f>
        <v>0</v>
      </c>
      <c r="BM74" s="73" t="e">
        <f aca="false">BO74/BL74</f>
        <v>#DIV/0!</v>
      </c>
      <c r="BN74" s="1" t="n">
        <f aca="false">BL74*($B74+B$15)</f>
        <v>0</v>
      </c>
      <c r="BO74" s="47" t="n">
        <f aca="false">IF(ISNUMBER(((BN74/BL74)+B$16+$D74+$B$14)*BL74),((BN74/BL74)+B$16+$D74+$B$14)*BL74,0)</f>
        <v>0</v>
      </c>
      <c r="BP74" s="76" t="n">
        <f aca="false">IF($BL74=0,0,OSTRIP($BM74,$I74,$BJ74-$B$2,$BG74-$BJ74,$BH74-$BJ74,$B$10,$BE74,$F74,$G74,$B$23,$J74,$BQ$34,0))</f>
        <v>0</v>
      </c>
      <c r="BQ74" s="76" t="n">
        <f aca="false">IF($BL74=0,0,OSTRIP($BM74,$I74,$BJ74-$B$2,$BG74-$BJ74,$BH74-$BJ74,$B$10,$BE74,$F74,$G74,$B$23,$J74,$BQ$34,1))</f>
        <v>0</v>
      </c>
      <c r="BR74" s="76" t="n">
        <f aca="false">IF($BL74=0,0,OSTRIP($BM74,$I74,$BJ74-$B$2,$BG74-$BJ74,$BH74-$BJ74,$B$10,$BE74,$F74,$G74,$B$23,$J74,$BQ$34,BQ$35))</f>
        <v>0</v>
      </c>
      <c r="BS74" s="37" t="n">
        <f aca="false">BL74*BP74</f>
        <v>0</v>
      </c>
      <c r="BT74" s="37" t="n">
        <f aca="false">BL74*BQ74</f>
        <v>0</v>
      </c>
      <c r="BU74" s="37" t="n">
        <f aca="false">BL74*BR74</f>
        <v>0</v>
      </c>
      <c r="BV74" s="37" t="n">
        <f aca="false">BL74*G74</f>
        <v>0</v>
      </c>
      <c r="BX74" s="73" t="n">
        <f aca="false">IF($A74&gt;=BY$32,IF($A74&lt;=BY$33,$BF74,0),0)</f>
        <v>0</v>
      </c>
      <c r="BY74" s="186" t="e">
        <f aca="false">CA74/BX74</f>
        <v>#DIV/0!</v>
      </c>
      <c r="BZ74" s="1" t="n">
        <f aca="false">BX74*($B74+$D$15)</f>
        <v>0</v>
      </c>
      <c r="CA74" s="47" t="n">
        <f aca="false">IF(ISNUMBER(((BZ74/BX74)+$D$16+$N74+$D$14)*BX74),((BZ74/BX74)+$D$16+$N74+$D$14)*BX74,0)</f>
        <v>0</v>
      </c>
      <c r="CB74" s="76" t="n">
        <f aca="false">IF($BX74=0,0,OSTRIP($BY74,$S74,$BJ74-$B$2,$BG74-$BJ74,$BH74-$BJ74,$B$10,$BE74,$P74,$Q74,$D$23,$T74,$CC$34,0))</f>
        <v>0</v>
      </c>
      <c r="CC74" s="76" t="n">
        <f aca="false">IF($BX74=0,0,OSTRIP($BY74,$S74,$BJ74-$B$2,$BG74-$BJ74,$BH74-$BJ74,$B$10,$BE74,$P74,$Q74,$D$23,$T74,$CC$34,1))</f>
        <v>0</v>
      </c>
      <c r="CD74" s="76" t="n">
        <f aca="false">IF($BX74=0,0,OSTRIP($BY74,$S74,$BJ74-$B$2,$BG74-$BJ74,$BH74-$BJ74,$B$10,$BE74,$P74,$Q74,$D$23,$T74,$CC$34,CC$35))</f>
        <v>0</v>
      </c>
      <c r="CE74" s="37" t="n">
        <f aca="false">BX74*CB74</f>
        <v>0</v>
      </c>
      <c r="CF74" s="37" t="n">
        <f aca="false">BX74*CC74</f>
        <v>0</v>
      </c>
      <c r="CG74" s="37" t="n">
        <f aca="false">BX74*CD74</f>
        <v>0</v>
      </c>
      <c r="CH74" s="37" t="n">
        <f aca="false">BX74*Q74</f>
        <v>0</v>
      </c>
      <c r="CJ74" s="73" t="n">
        <f aca="false">IF($A74&gt;=CK$32,IF($A74&lt;=CK$33,$BF74,0),0)</f>
        <v>0</v>
      </c>
      <c r="CK74" s="186" t="e">
        <f aca="false">CM74/CJ74</f>
        <v>#DIV/0!</v>
      </c>
      <c r="CL74" s="1" t="n">
        <f aca="false">CJ74*($B74+$F$15)</f>
        <v>0</v>
      </c>
      <c r="CM74" s="47" t="n">
        <f aca="false">IF(ISNUMBER(((CL74/CJ74)+$F$16+$X74+$F$14)*CJ74),((CL74/CJ74)+$F$16+$X74+$F$14)*CJ74,0)</f>
        <v>0</v>
      </c>
      <c r="CN74" s="76" t="n">
        <f aca="false">IF($CJ74=0,0,OSTRIP($CK74,$AC74,$BJ74-$B$2,$BG74-$BJ74,$BH74-$BJ74,$B$10,$BE74,$Z74,$AA74,$F$23,$AD74,$CO$34,0))</f>
        <v>0</v>
      </c>
      <c r="CO74" s="76" t="n">
        <f aca="false">IF($CJ74=0,0,OSTRIP($CK74,$AC74,$BJ74-$B$2,$BG74-$BJ74,$BH74-$BJ74,$B$10,$BE74,$Z74,$AA74,$F$23,$AD74,$CO$34,1))</f>
        <v>0</v>
      </c>
      <c r="CP74" s="76" t="n">
        <f aca="false">IF($CJ74=0,0,OSTRIP($CK74,$AC74,$BJ74-$B$2,$BG74-$BJ74,$BH74-$BJ74,$B$10,$BE74,$Z74,$AA74,$F$23,$AD74,$CO$34,$CO$35))</f>
        <v>0</v>
      </c>
      <c r="CQ74" s="37" t="n">
        <f aca="false">CJ74*CN74</f>
        <v>0</v>
      </c>
      <c r="CR74" s="37" t="n">
        <f aca="false">CJ74*CO74</f>
        <v>0</v>
      </c>
      <c r="CS74" s="37" t="n">
        <f aca="false">CJ74*CP74</f>
        <v>0</v>
      </c>
      <c r="CT74" s="37" t="n">
        <f aca="false">CJ74*AA74</f>
        <v>0</v>
      </c>
      <c r="CV74" s="73" t="n">
        <f aca="false">IF($A74&gt;=CW$32,IF($A74&lt;=CW$33,$BF74,0),0)</f>
        <v>0</v>
      </c>
      <c r="CW74" s="186" t="e">
        <f aca="false">CY74/CV74</f>
        <v>#DIV/0!</v>
      </c>
      <c r="CX74" s="1" t="n">
        <f aca="false">CV74*($B74+$H$15)</f>
        <v>0</v>
      </c>
      <c r="CY74" s="47" t="n">
        <f aca="false">IF(ISNUMBER(((CX74/CV74)+$H$16+$AH74+$H$14)*CV74),((CX74/CV74)+$H$16+$AH74+$H$14)*CV74,0)</f>
        <v>0</v>
      </c>
      <c r="CZ74" s="76" t="n">
        <f aca="false">IF($CV74=0,0,OSTRIP($CW74,$AM74,$BJ74-$B$2,$BG74-$BJ74,$BH74-$BJ74,$B$10,$BE74,$AJ74,$AK74,$H$23,$AN74,$DA$34,0))</f>
        <v>0</v>
      </c>
      <c r="DA74" s="76" t="n">
        <f aca="false">IF($CV74=0,0,OSTRIP($CW74,$AM74,$BJ74-$B$2,$BG74-$BJ74,$BH74-$BJ74,$B$10,$BE74,$AJ74,$AK74,$H$23,$AN74,$DA$34,1))</f>
        <v>0</v>
      </c>
      <c r="DB74" s="76" t="n">
        <f aca="false">IF($CV74=0,0,OSTRIP($CW74,$AM74,$BJ74-$B$2,$BG74-$BJ74,$BH74-$BJ74,$B$10,$BE74,$AJ74,$AK74,$H$23,$AN74,$DA$34,DA$35))</f>
        <v>0</v>
      </c>
      <c r="DC74" s="37" t="n">
        <f aca="false">CV74*CZ74</f>
        <v>0</v>
      </c>
      <c r="DD74" s="37" t="n">
        <f aca="false">CV74*DA74</f>
        <v>0</v>
      </c>
      <c r="DE74" s="37" t="n">
        <f aca="false">CV74*DB74</f>
        <v>0</v>
      </c>
      <c r="DF74" s="37" t="n">
        <f aca="false">CV74*AK74</f>
        <v>0</v>
      </c>
    </row>
    <row r="75" customFormat="false" ht="12.75" hidden="false" customHeight="false" outlineLevel="0" collapsed="false">
      <c r="A75" s="62" t="n">
        <f aca="false">DATE(YEAR(A74),MONTH(A74)+1,1)</f>
        <v>38384</v>
      </c>
      <c r="B75" s="63" t="n">
        <f aca="false">VLOOKUP(A75,STRADDLE,5,FALSE())</f>
        <v>3.57</v>
      </c>
      <c r="C75" s="4" t="n">
        <f aca="false">VLOOKUP(A75,STRADDLE,8,FALSE())</f>
        <v>0.3125</v>
      </c>
      <c r="D75" s="63" t="n">
        <f aca="false">IF(D$35="nymex",0,VLOOKUP($A75,curvesettle,HLOOKUP(D$35,curvesettle,2,FALSE())))</f>
        <v>1.04</v>
      </c>
      <c r="E75" s="65" t="n">
        <f aca="false">IF(ISNUMBER(VLOOKUP($A75,VOLCURVES,HLOOKUP(D$35,VOLCURVES,2,FALSE()),FALSE())),VLOOKUP($A75,VOLCURVES,HLOOKUP(D$35,VOLCURVES,2,FALSE()),FALSE()),1)</f>
        <v>1.1</v>
      </c>
      <c r="F75" s="4" t="n">
        <f aca="false">(($C75+H75)*$E75)+B$17</f>
        <v>0.44375</v>
      </c>
      <c r="G75" s="65" t="n">
        <f aca="false">VLOOKUP($A75,GASDVOLCURVES,HLOOKUP(D$36,GASDVOLCURVES,2,FALSE()),FALSE())+$B$18</f>
        <v>1.1</v>
      </c>
      <c r="H75" s="4" t="n">
        <f aca="false">IF($B$20=1,VLOOKUP($A75,skewtable,HLOOKUP(ROUND(I75-BM75,1),skewtable,2,FALSE()),FALSE())/100,0)</f>
        <v>0</v>
      </c>
      <c r="I75" s="66" t="e">
        <f aca="false">IF($B$10=1,($BM75*$B$23)-$B$14,$B$22)</f>
        <v>#DIV/0!</v>
      </c>
      <c r="J75" s="67" t="e">
        <f aca="false">I75-BM75+$B$24</f>
        <v>#DIV/0!</v>
      </c>
      <c r="K75" s="67"/>
      <c r="L75" s="183"/>
      <c r="M75" s="183"/>
      <c r="N75" s="63" t="n">
        <f aca="false">IF(N$35="nymex",0,VLOOKUP($A75,curvesettle,HLOOKUP(N$35,curvesettle,2,FALSE())))</f>
        <v>-0.0325</v>
      </c>
      <c r="O75" s="65" t="n">
        <f aca="false">IF(ISNUMBER(VLOOKUP($A75,VOLCURVES,HLOOKUP(N$35,VOLCURVES,2,FALSE()),FALSE())),VLOOKUP($A75,VOLCURVES,HLOOKUP(N$35,VOLCURVES,2,FALSE()),FALSE()),1)</f>
        <v>1</v>
      </c>
      <c r="P75" s="184" t="n">
        <f aca="false">(($C75+R75)*O75)+$D$17</f>
        <v>0.3125</v>
      </c>
      <c r="Q75" s="65" t="n">
        <f aca="false">VLOOKUP($A75,GASDVOLCURVES,HLOOKUP(N$36,GASDVOLCURVES,2,FALSE()),FALSE())+$D$18</f>
        <v>1.1</v>
      </c>
      <c r="R75" s="4" t="n">
        <f aca="false">IF($D$20=1,VLOOKUP($A75,skewtable,HLOOKUP(ROUND(S75-BY75,1),skewtable,2,FALSE()),FALSE())/100,0)</f>
        <v>0</v>
      </c>
      <c r="S75" s="66" t="e">
        <f aca="false">IF(B$10=1,($BY75*$D$23)-$D$14,$D$22)</f>
        <v>#DIV/0!</v>
      </c>
      <c r="T75" s="67" t="e">
        <f aca="false">S75-$BY75+$D$24</f>
        <v>#DIV/0!</v>
      </c>
      <c r="U75" s="0"/>
      <c r="V75" s="0"/>
      <c r="W75" s="0"/>
      <c r="X75" s="63" t="n">
        <f aca="false">IF(X$35="nymex",0,VLOOKUP($A75,curvesettle,HLOOKUP(X$35,curvesettle,2,FALSE())))</f>
        <v>0.2</v>
      </c>
      <c r="Y75" s="65" t="n">
        <f aca="false">IF(ISNUMBER(VLOOKUP($A75,VOLCURVES,HLOOKUP(X$35,VOLCURVES,2,FALSE()),FALSE())),VLOOKUP($A75,VOLCURVES,HLOOKUP(X$35,VOLCURVES,2,FALSE()),FALSE()),1)</f>
        <v>1</v>
      </c>
      <c r="Z75" s="184" t="n">
        <f aca="false">(($C75+AB75)*Y75)+$F$17</f>
        <v>0.3125</v>
      </c>
      <c r="AA75" s="65" t="n">
        <f aca="false">VLOOKUP($A75,GASDVOLCURVES,HLOOKUP(X$36,GASDVOLCURVES,2,FALSE()),FALSE())+$F$18</f>
        <v>1.1</v>
      </c>
      <c r="AB75" s="4" t="n">
        <f aca="false">IF($F$20=1,VLOOKUP($A75,skewtable,HLOOKUP(ROUND(AC75-CK75,1),skewtable,2,FALSE()),FALSE())/100,0)</f>
        <v>0</v>
      </c>
      <c r="AC75" s="66" t="e">
        <f aca="false">IF($B$10=1,($CK75*$F$23)-$F$14,$F$22)</f>
        <v>#DIV/0!</v>
      </c>
      <c r="AD75" s="67" t="e">
        <f aca="false">AC75-$CK75+$F$24</f>
        <v>#DIV/0!</v>
      </c>
      <c r="AE75" s="0"/>
      <c r="AF75" s="0"/>
      <c r="AG75" s="0"/>
      <c r="AH75" s="63" t="n">
        <f aca="false">IF(AH$35="nymex",0,VLOOKUP($A75,curvesettle,HLOOKUP(AH$35,curvesettle,2,FALSE())))</f>
        <v>1.535</v>
      </c>
      <c r="AI75" s="65" t="n">
        <f aca="false">IF(ISNUMBER(VLOOKUP($A75,VOLCURVES,HLOOKUP(AH$35,VOLCURVES,2,FALSE()),FALSE())),VLOOKUP($A75,VOLCURVES,HLOOKUP(AH$35,VOLCURVES,2,FALSE()),FALSE()),1)</f>
        <v>1.04</v>
      </c>
      <c r="AJ75" s="184" t="n">
        <f aca="false">(($C75+AL75)*AI75)+$H$17</f>
        <v>0.325</v>
      </c>
      <c r="AK75" s="65" t="n">
        <f aca="false">VLOOKUP($A75,GASDVOLCURVES,HLOOKUP(AH$36,GASDVOLCURVES,2,FALSE()),FALSE())+$H$18</f>
        <v>1.95</v>
      </c>
      <c r="AL75" s="4" t="n">
        <f aca="false">IF($H$20=1,VLOOKUP($A75,skewtable,HLOOKUP(ROUND(AM75-CW75,1),skewtable,2,FALSE()),FALSE())/100,0)</f>
        <v>0</v>
      </c>
      <c r="AM75" s="66" t="e">
        <f aca="false">IF($B$10=1,($CW75*$H$23)-$H$14,$H$22)</f>
        <v>#DIV/0!</v>
      </c>
      <c r="AN75" s="67" t="e">
        <f aca="false">AM75-CW75+$H$24</f>
        <v>#DIV/0!</v>
      </c>
      <c r="AO75" s="0"/>
      <c r="AP75" s="0"/>
      <c r="AQ75" s="183"/>
      <c r="AR75" s="183"/>
      <c r="AU75" s="0"/>
      <c r="AV75" s="0"/>
      <c r="AW75" s="0"/>
      <c r="AX75" s="0"/>
      <c r="AY75" s="0"/>
      <c r="AZ75" s="0"/>
      <c r="BA75" s="0"/>
      <c r="BC75" s="64"/>
      <c r="BD75" s="64"/>
      <c r="BE75" s="4" t="n">
        <f aca="false">VLOOKUP($A75,STRADDLE,14,FALSE())</f>
        <v>0.0431890054626174</v>
      </c>
      <c r="BF75" s="72" t="n">
        <f aca="false">A76-A75</f>
        <v>28</v>
      </c>
      <c r="BG75" s="179" t="n">
        <f aca="false">A75+BG$35</f>
        <v>38384</v>
      </c>
      <c r="BH75" s="179" t="n">
        <f aca="false">A76-1</f>
        <v>38411</v>
      </c>
      <c r="BJ75" s="179" t="n">
        <f aca="true">IF(BJ$35=0,TODAY(),IF(BJ$36="NYMEX",VLOOKUP($A75,expiration,2,FALSE())+1,BG75))</f>
        <v>38380</v>
      </c>
      <c r="BK75" s="73"/>
      <c r="BL75" s="73" t="n">
        <f aca="false">IF($A75&gt;=BM$32,IF($A75&lt;=BM$33,$BF75,0),0)</f>
        <v>0</v>
      </c>
      <c r="BM75" s="73" t="e">
        <f aca="false">BO75/BL75</f>
        <v>#DIV/0!</v>
      </c>
      <c r="BN75" s="1" t="n">
        <f aca="false">BL75*($B75+B$15)</f>
        <v>0</v>
      </c>
      <c r="BO75" s="47" t="n">
        <f aca="false">IF(ISNUMBER(((BN75/BL75)+B$16+$D75+$B$14)*BL75),((BN75/BL75)+B$16+$D75+$B$14)*BL75,0)</f>
        <v>0</v>
      </c>
      <c r="BP75" s="76" t="n">
        <f aca="false">IF($BL75=0,0,OSTRIP($BM75,$I75,$BJ75-$B$2,$BG75-$BJ75,$BH75-$BJ75,$B$10,$BE75,$F75,$G75,$B$23,$J75,$BQ$34,0))</f>
        <v>0</v>
      </c>
      <c r="BQ75" s="76" t="n">
        <f aca="false">IF($BL75=0,0,OSTRIP($BM75,$I75,$BJ75-$B$2,$BG75-$BJ75,$BH75-$BJ75,$B$10,$BE75,$F75,$G75,$B$23,$J75,$BQ$34,1))</f>
        <v>0</v>
      </c>
      <c r="BR75" s="76" t="n">
        <f aca="false">IF($BL75=0,0,OSTRIP($BM75,$I75,$BJ75-$B$2,$BG75-$BJ75,$BH75-$BJ75,$B$10,$BE75,$F75,$G75,$B$23,$J75,$BQ$34,BQ$35))</f>
        <v>0</v>
      </c>
      <c r="BS75" s="37" t="n">
        <f aca="false">BL75*BP75</f>
        <v>0</v>
      </c>
      <c r="BT75" s="37" t="n">
        <f aca="false">BL75*BQ75</f>
        <v>0</v>
      </c>
      <c r="BU75" s="37" t="n">
        <f aca="false">BL75*BR75</f>
        <v>0</v>
      </c>
      <c r="BV75" s="37" t="n">
        <f aca="false">BL75*G75</f>
        <v>0</v>
      </c>
      <c r="BX75" s="73" t="n">
        <f aca="false">IF($A75&gt;=BY$32,IF($A75&lt;=BY$33,$BF75,0),0)</f>
        <v>0</v>
      </c>
      <c r="BY75" s="186" t="e">
        <f aca="false">CA75/BX75</f>
        <v>#DIV/0!</v>
      </c>
      <c r="BZ75" s="1" t="n">
        <f aca="false">BX75*($B75+$D$15)</f>
        <v>0</v>
      </c>
      <c r="CA75" s="47" t="n">
        <f aca="false">IF(ISNUMBER(((BZ75/BX75)+$D$16+$N75+$D$14)*BX75),((BZ75/BX75)+$D$16+$N75+$D$14)*BX75,0)</f>
        <v>0</v>
      </c>
      <c r="CB75" s="76" t="n">
        <f aca="false">IF($BX75=0,0,OSTRIP($BY75,$S75,$BJ75-$B$2,$BG75-$BJ75,$BH75-$BJ75,$B$10,$BE75,$P75,$Q75,$D$23,$T75,$CC$34,0))</f>
        <v>0</v>
      </c>
      <c r="CC75" s="76" t="n">
        <f aca="false">IF($BX75=0,0,OSTRIP($BY75,$S75,$BJ75-$B$2,$BG75-$BJ75,$BH75-$BJ75,$B$10,$BE75,$P75,$Q75,$D$23,$T75,$CC$34,1))</f>
        <v>0</v>
      </c>
      <c r="CD75" s="76" t="n">
        <f aca="false">IF($BX75=0,0,OSTRIP($BY75,$S75,$BJ75-$B$2,$BG75-$BJ75,$BH75-$BJ75,$B$10,$BE75,$P75,$Q75,$D$23,$T75,$CC$34,CC$35))</f>
        <v>0</v>
      </c>
      <c r="CE75" s="37" t="n">
        <f aca="false">BX75*CB75</f>
        <v>0</v>
      </c>
      <c r="CF75" s="37" t="n">
        <f aca="false">BX75*CC75</f>
        <v>0</v>
      </c>
      <c r="CG75" s="37" t="n">
        <f aca="false">BX75*CD75</f>
        <v>0</v>
      </c>
      <c r="CH75" s="37" t="n">
        <f aca="false">BX75*Q75</f>
        <v>0</v>
      </c>
      <c r="CJ75" s="73" t="n">
        <f aca="false">IF($A75&gt;=CK$32,IF($A75&lt;=CK$33,$BF75,0),0)</f>
        <v>0</v>
      </c>
      <c r="CK75" s="186" t="e">
        <f aca="false">CM75/CJ75</f>
        <v>#DIV/0!</v>
      </c>
      <c r="CL75" s="1" t="n">
        <f aca="false">CJ75*($B75+$F$15)</f>
        <v>0</v>
      </c>
      <c r="CM75" s="47" t="n">
        <f aca="false">IF(ISNUMBER(((CL75/CJ75)+$F$16+$X75+$F$14)*CJ75),((CL75/CJ75)+$F$16+$X75+$F$14)*CJ75,0)</f>
        <v>0</v>
      </c>
      <c r="CN75" s="76" t="n">
        <f aca="false">IF($CJ75=0,0,OSTRIP($CK75,$AC75,$BJ75-$B$2,$BG75-$BJ75,$BH75-$BJ75,$B$10,$BE75,$Z75,$AA75,$F$23,$AD75,$CO$34,0))</f>
        <v>0</v>
      </c>
      <c r="CO75" s="76" t="n">
        <f aca="false">IF($CJ75=0,0,OSTRIP($CK75,$AC75,$BJ75-$B$2,$BG75-$BJ75,$BH75-$BJ75,$B$10,$BE75,$Z75,$AA75,$F$23,$AD75,$CO$34,1))</f>
        <v>0</v>
      </c>
      <c r="CP75" s="76" t="n">
        <f aca="false">IF($CJ75=0,0,OSTRIP($CK75,$AC75,$BJ75-$B$2,$BG75-$BJ75,$BH75-$BJ75,$B$10,$BE75,$Z75,$AA75,$F$23,$AD75,$CO$34,$CO$35))</f>
        <v>0</v>
      </c>
      <c r="CQ75" s="37" t="n">
        <f aca="false">CJ75*CN75</f>
        <v>0</v>
      </c>
      <c r="CR75" s="37" t="n">
        <f aca="false">CJ75*CO75</f>
        <v>0</v>
      </c>
      <c r="CS75" s="37" t="n">
        <f aca="false">CJ75*CP75</f>
        <v>0</v>
      </c>
      <c r="CT75" s="37" t="n">
        <f aca="false">CJ75*AA75</f>
        <v>0</v>
      </c>
      <c r="CV75" s="73" t="n">
        <f aca="false">IF($A75&gt;=CW$32,IF($A75&lt;=CW$33,$BF75,0),0)</f>
        <v>0</v>
      </c>
      <c r="CW75" s="186" t="e">
        <f aca="false">CY75/CV75</f>
        <v>#DIV/0!</v>
      </c>
      <c r="CX75" s="1" t="n">
        <f aca="false">CV75*($B75+$H$15)</f>
        <v>0</v>
      </c>
      <c r="CY75" s="47" t="n">
        <f aca="false">IF(ISNUMBER(((CX75/CV75)+$H$16+$AH75+$H$14)*CV75),((CX75/CV75)+$H$16+$AH75+$H$14)*CV75,0)</f>
        <v>0</v>
      </c>
      <c r="CZ75" s="76" t="n">
        <f aca="false">IF($CV75=0,0,OSTRIP($CW75,$AM75,$BJ75-$B$2,$BG75-$BJ75,$BH75-$BJ75,$B$10,$BE75,$AJ75,$AK75,$H$23,$AN75,$DA$34,0))</f>
        <v>0</v>
      </c>
      <c r="DA75" s="76" t="n">
        <f aca="false">IF($CV75=0,0,OSTRIP($CW75,$AM75,$BJ75-$B$2,$BG75-$BJ75,$BH75-$BJ75,$B$10,$BE75,$AJ75,$AK75,$H$23,$AN75,$DA$34,1))</f>
        <v>0</v>
      </c>
      <c r="DB75" s="76" t="n">
        <f aca="false">IF($CV75=0,0,OSTRIP($CW75,$AM75,$BJ75-$B$2,$BG75-$BJ75,$BH75-$BJ75,$B$10,$BE75,$AJ75,$AK75,$H$23,$AN75,$DA$34,DA$35))</f>
        <v>0</v>
      </c>
      <c r="DC75" s="37" t="n">
        <f aca="false">CV75*CZ75</f>
        <v>0</v>
      </c>
      <c r="DD75" s="37" t="n">
        <f aca="false">CV75*DA75</f>
        <v>0</v>
      </c>
      <c r="DE75" s="37" t="n">
        <f aca="false">CV75*DB75</f>
        <v>0</v>
      </c>
      <c r="DF75" s="37" t="n">
        <f aca="false">CV75*AK75</f>
        <v>0</v>
      </c>
    </row>
    <row r="76" customFormat="false" ht="12.75" hidden="false" customHeight="false" outlineLevel="0" collapsed="false">
      <c r="A76" s="62" t="n">
        <f aca="false">DATE(YEAR(A75),MONTH(A75)+1,1)</f>
        <v>38412</v>
      </c>
      <c r="B76" s="63" t="n">
        <f aca="false">VLOOKUP(A76,STRADDLE,5,FALSE())</f>
        <v>3.44</v>
      </c>
      <c r="C76" s="4" t="n">
        <f aca="false">VLOOKUP(A76,STRADDLE,8,FALSE())</f>
        <v>0.3025</v>
      </c>
      <c r="D76" s="63" t="n">
        <f aca="false">IF(D$35="nymex",0,VLOOKUP($A76,curvesettle,HLOOKUP(D$35,curvesettle,2,FALSE())))</f>
        <v>0.54</v>
      </c>
      <c r="E76" s="65" t="n">
        <f aca="false">IF(ISNUMBER(VLOOKUP($A76,VOLCURVES,HLOOKUP(D$35,VOLCURVES,2,FALSE()),FALSE())),VLOOKUP($A76,VOLCURVES,HLOOKUP(D$35,VOLCURVES,2,FALSE()),FALSE()),1)</f>
        <v>1.1</v>
      </c>
      <c r="F76" s="4" t="n">
        <f aca="false">(($C76+H76)*$E76)+B$17</f>
        <v>0.43275</v>
      </c>
      <c r="G76" s="65" t="n">
        <f aca="false">VLOOKUP($A76,GASDVOLCURVES,HLOOKUP(D$36,GASDVOLCURVES,2,FALSE()),FALSE())+$B$18</f>
        <v>0.85</v>
      </c>
      <c r="H76" s="4" t="n">
        <f aca="false">IF($B$20=1,VLOOKUP($A76,skewtable,HLOOKUP(ROUND(I76-BM76,1),skewtable,2,FALSE()),FALSE())/100,0)</f>
        <v>0</v>
      </c>
      <c r="I76" s="66" t="e">
        <f aca="false">IF($B$10=1,($BM76*$B$23)-$B$14,$B$22)</f>
        <v>#DIV/0!</v>
      </c>
      <c r="J76" s="67" t="e">
        <f aca="false">I76-BM76+$B$24</f>
        <v>#DIV/0!</v>
      </c>
      <c r="K76" s="67"/>
      <c r="L76" s="183"/>
      <c r="M76" s="183"/>
      <c r="N76" s="63" t="n">
        <f aca="false">IF(N$35="nymex",0,VLOOKUP($A76,curvesettle,HLOOKUP(N$35,curvesettle,2,FALSE())))</f>
        <v>-0.02</v>
      </c>
      <c r="O76" s="65" t="n">
        <f aca="false">IF(ISNUMBER(VLOOKUP($A76,VOLCURVES,HLOOKUP(N$35,VOLCURVES,2,FALSE()),FALSE())),VLOOKUP($A76,VOLCURVES,HLOOKUP(N$35,VOLCURVES,2,FALSE()),FALSE()),1)</f>
        <v>1</v>
      </c>
      <c r="P76" s="184" t="n">
        <f aca="false">(($C76+R76)*O76)+$D$17</f>
        <v>0.3025</v>
      </c>
      <c r="Q76" s="65" t="n">
        <f aca="false">VLOOKUP($A76,GASDVOLCURVES,HLOOKUP(N$36,GASDVOLCURVES,2,FALSE()),FALSE())+$D$18</f>
        <v>0.85</v>
      </c>
      <c r="R76" s="4" t="n">
        <f aca="false">IF($D$20=1,VLOOKUP($A76,skewtable,HLOOKUP(ROUND(S76-BY76,1),skewtable,2,FALSE()),FALSE())/100,0)</f>
        <v>0</v>
      </c>
      <c r="S76" s="66" t="e">
        <f aca="false">IF(B$10=1,($BY76*$D$23)-$D$14,$D$22)</f>
        <v>#DIV/0!</v>
      </c>
      <c r="T76" s="67" t="e">
        <f aca="false">S76-$BY76+$D$24</f>
        <v>#DIV/0!</v>
      </c>
      <c r="U76" s="0"/>
      <c r="V76" s="0"/>
      <c r="W76" s="0"/>
      <c r="X76" s="63" t="n">
        <f aca="false">IF(X$35="nymex",0,VLOOKUP($A76,curvesettle,HLOOKUP(X$35,curvesettle,2,FALSE())))</f>
        <v>0.2</v>
      </c>
      <c r="Y76" s="65" t="n">
        <f aca="false">IF(ISNUMBER(VLOOKUP($A76,VOLCURVES,HLOOKUP(X$35,VOLCURVES,2,FALSE()),FALSE())),VLOOKUP($A76,VOLCURVES,HLOOKUP(X$35,VOLCURVES,2,FALSE()),FALSE()),1)</f>
        <v>1</v>
      </c>
      <c r="Z76" s="184" t="n">
        <f aca="false">(($C76+AB76)*Y76)+$F$17</f>
        <v>0.3025</v>
      </c>
      <c r="AA76" s="65" t="n">
        <f aca="false">VLOOKUP($A76,GASDVOLCURVES,HLOOKUP(X$36,GASDVOLCURVES,2,FALSE()),FALSE())+$F$18</f>
        <v>0.85</v>
      </c>
      <c r="AB76" s="4" t="n">
        <f aca="false">IF($F$20=1,VLOOKUP($A76,skewtable,HLOOKUP(ROUND(AC76-CK76,1),skewtable,2,FALSE()),FALSE())/100,0)</f>
        <v>0</v>
      </c>
      <c r="AC76" s="66" t="e">
        <f aca="false">IF($B$10=1,($CK76*$F$23)-$F$14,$F$22)</f>
        <v>#DIV/0!</v>
      </c>
      <c r="AD76" s="67" t="e">
        <f aca="false">AC76-$CK76+$F$24</f>
        <v>#DIV/0!</v>
      </c>
      <c r="AE76" s="0"/>
      <c r="AF76" s="0"/>
      <c r="AG76" s="0"/>
      <c r="AH76" s="63" t="n">
        <f aca="false">IF(AH$35="nymex",0,VLOOKUP($A76,curvesettle,HLOOKUP(AH$35,curvesettle,2,FALSE())))</f>
        <v>0.635</v>
      </c>
      <c r="AI76" s="65" t="n">
        <f aca="false">IF(ISNUMBER(VLOOKUP($A76,VOLCURVES,HLOOKUP(AH$35,VOLCURVES,2,FALSE()),FALSE())),VLOOKUP($A76,VOLCURVES,HLOOKUP(AH$35,VOLCURVES,2,FALSE()),FALSE()),1)</f>
        <v>1.04</v>
      </c>
      <c r="AJ76" s="184" t="n">
        <f aca="false">(($C76+AL76)*AI76)+$H$17</f>
        <v>0.3146</v>
      </c>
      <c r="AK76" s="65" t="n">
        <f aca="false">VLOOKUP($A76,GASDVOLCURVES,HLOOKUP(AH$36,GASDVOLCURVES,2,FALSE()),FALSE())+$H$18</f>
        <v>1.5</v>
      </c>
      <c r="AL76" s="4" t="n">
        <f aca="false">IF($H$20=1,VLOOKUP($A76,skewtable,HLOOKUP(ROUND(AM76-CW76,1),skewtable,2,FALSE()),FALSE())/100,0)</f>
        <v>0</v>
      </c>
      <c r="AM76" s="66" t="e">
        <f aca="false">IF($B$10=1,($CW76*$H$23)-$H$14,$H$22)</f>
        <v>#DIV/0!</v>
      </c>
      <c r="AN76" s="67" t="e">
        <f aca="false">AM76-CW76+$H$24</f>
        <v>#DIV/0!</v>
      </c>
      <c r="AO76" s="0"/>
      <c r="AP76" s="0"/>
      <c r="AQ76" s="183"/>
      <c r="AR76" s="183"/>
      <c r="AU76" s="0"/>
      <c r="AV76" s="0"/>
      <c r="AW76" s="0"/>
      <c r="AX76" s="0"/>
      <c r="AY76" s="0"/>
      <c r="AZ76" s="0"/>
      <c r="BA76" s="0"/>
      <c r="BC76" s="64"/>
      <c r="BD76" s="64"/>
      <c r="BE76" s="4" t="n">
        <f aca="false">VLOOKUP($A76,STRADDLE,14,FALSE())</f>
        <v>0.0436689034285567</v>
      </c>
      <c r="BF76" s="72" t="n">
        <f aca="false">A77-A76</f>
        <v>31</v>
      </c>
      <c r="BG76" s="179" t="n">
        <f aca="false">A76+BG$35</f>
        <v>38412</v>
      </c>
      <c r="BH76" s="179" t="n">
        <f aca="false">A77-1</f>
        <v>38442</v>
      </c>
      <c r="BJ76" s="179" t="n">
        <f aca="true">IF(BJ$35=0,TODAY(),IF(BJ$36="NYMEX",VLOOKUP($A76,expiration,2,FALSE())+1,BG76))</f>
        <v>38408</v>
      </c>
      <c r="BK76" s="73"/>
      <c r="BL76" s="73" t="n">
        <f aca="false">IF($A76&gt;=BM$32,IF($A76&lt;=BM$33,$BF76,0),0)</f>
        <v>0</v>
      </c>
      <c r="BM76" s="73" t="e">
        <f aca="false">BO76/BL76</f>
        <v>#DIV/0!</v>
      </c>
      <c r="BN76" s="1" t="n">
        <f aca="false">BL76*($B76+B$15)</f>
        <v>0</v>
      </c>
      <c r="BO76" s="47" t="n">
        <f aca="false">IF(ISNUMBER(((BN76/BL76)+B$16+$D76+$B$14)*BL76),((BN76/BL76)+B$16+$D76+$B$14)*BL76,0)</f>
        <v>0</v>
      </c>
      <c r="BP76" s="76" t="n">
        <f aca="false">IF($BL76=0,0,OSTRIP($BM76,$I76,$BJ76-$B$2,$BG76-$BJ76,$BH76-$BJ76,$B$10,$BE76,$F76,$G76,$B$23,$J76,$BQ$34,0))</f>
        <v>0</v>
      </c>
      <c r="BQ76" s="76" t="n">
        <f aca="false">IF($BL76=0,0,OSTRIP($BM76,$I76,$BJ76-$B$2,$BG76-$BJ76,$BH76-$BJ76,$B$10,$BE76,$F76,$G76,$B$23,$J76,$BQ$34,1))</f>
        <v>0</v>
      </c>
      <c r="BR76" s="76" t="n">
        <f aca="false">IF($BL76=0,0,OSTRIP($BM76,$I76,$BJ76-$B$2,$BG76-$BJ76,$BH76-$BJ76,$B$10,$BE76,$F76,$G76,$B$23,$J76,$BQ$34,BQ$35))</f>
        <v>0</v>
      </c>
      <c r="BS76" s="37" t="n">
        <f aca="false">BL76*BP76</f>
        <v>0</v>
      </c>
      <c r="BT76" s="37" t="n">
        <f aca="false">BL76*BQ76</f>
        <v>0</v>
      </c>
      <c r="BU76" s="37" t="n">
        <f aca="false">BL76*BR76</f>
        <v>0</v>
      </c>
      <c r="BV76" s="37" t="n">
        <f aca="false">BL76*G76</f>
        <v>0</v>
      </c>
      <c r="BX76" s="73" t="n">
        <f aca="false">IF($A76&gt;=BY$32,IF($A76&lt;=BY$33,$BF76,0),0)</f>
        <v>0</v>
      </c>
      <c r="BY76" s="186" t="e">
        <f aca="false">CA76/BX76</f>
        <v>#DIV/0!</v>
      </c>
      <c r="BZ76" s="1" t="n">
        <f aca="false">BX76*($B76+$D$15)</f>
        <v>0</v>
      </c>
      <c r="CA76" s="47" t="n">
        <f aca="false">IF(ISNUMBER(((BZ76/BX76)+$D$16+$N76+$D$14)*BX76),((BZ76/BX76)+$D$16+$N76+$D$14)*BX76,0)</f>
        <v>0</v>
      </c>
      <c r="CB76" s="76" t="n">
        <f aca="false">IF($BX76=0,0,OSTRIP($BY76,$S76,$BJ76-$B$2,$BG76-$BJ76,$BH76-$BJ76,$B$10,$BE76,$P76,$Q76,$D$23,$T76,$CC$34,0))</f>
        <v>0</v>
      </c>
      <c r="CC76" s="76" t="n">
        <f aca="false">IF($BX76=0,0,OSTRIP($BY76,$S76,$BJ76-$B$2,$BG76-$BJ76,$BH76-$BJ76,$B$10,$BE76,$P76,$Q76,$D$23,$T76,$CC$34,1))</f>
        <v>0</v>
      </c>
      <c r="CD76" s="76" t="n">
        <f aca="false">IF($BX76=0,0,OSTRIP($BY76,$S76,$BJ76-$B$2,$BG76-$BJ76,$BH76-$BJ76,$B$10,$BE76,$P76,$Q76,$D$23,$T76,$CC$34,CC$35))</f>
        <v>0</v>
      </c>
      <c r="CE76" s="37" t="n">
        <f aca="false">BX76*CB76</f>
        <v>0</v>
      </c>
      <c r="CF76" s="37" t="n">
        <f aca="false">BX76*CC76</f>
        <v>0</v>
      </c>
      <c r="CG76" s="37" t="n">
        <f aca="false">BX76*CD76</f>
        <v>0</v>
      </c>
      <c r="CH76" s="37" t="n">
        <f aca="false">BX76*Q76</f>
        <v>0</v>
      </c>
      <c r="CJ76" s="73" t="n">
        <f aca="false">IF($A76&gt;=CK$32,IF($A76&lt;=CK$33,$BF76,0),0)</f>
        <v>0</v>
      </c>
      <c r="CK76" s="186" t="e">
        <f aca="false">CM76/CJ76</f>
        <v>#DIV/0!</v>
      </c>
      <c r="CL76" s="1" t="n">
        <f aca="false">CJ76*($B76+$F$15)</f>
        <v>0</v>
      </c>
      <c r="CM76" s="47" t="n">
        <f aca="false">IF(ISNUMBER(((CL76/CJ76)+$F$16+$X76+$F$14)*CJ76),((CL76/CJ76)+$F$16+$X76+$F$14)*CJ76,0)</f>
        <v>0</v>
      </c>
      <c r="CN76" s="76" t="n">
        <f aca="false">IF($CJ76=0,0,OSTRIP($CK76,$AC76,$BJ76-$B$2,$BG76-$BJ76,$BH76-$BJ76,$B$10,$BE76,$Z76,$AA76,$F$23,$AD76,$CO$34,0))</f>
        <v>0</v>
      </c>
      <c r="CO76" s="76" t="n">
        <f aca="false">IF($CJ76=0,0,OSTRIP($CK76,$AC76,$BJ76-$B$2,$BG76-$BJ76,$BH76-$BJ76,$B$10,$BE76,$Z76,$AA76,$F$23,$AD76,$CO$34,1))</f>
        <v>0</v>
      </c>
      <c r="CP76" s="76" t="n">
        <f aca="false">IF($CJ76=0,0,OSTRIP($CK76,$AC76,$BJ76-$B$2,$BG76-$BJ76,$BH76-$BJ76,$B$10,$BE76,$Z76,$AA76,$F$23,$AD76,$CO$34,$CO$35))</f>
        <v>0</v>
      </c>
      <c r="CQ76" s="37" t="n">
        <f aca="false">CJ76*CN76</f>
        <v>0</v>
      </c>
      <c r="CR76" s="37" t="n">
        <f aca="false">CJ76*CO76</f>
        <v>0</v>
      </c>
      <c r="CS76" s="37" t="n">
        <f aca="false">CJ76*CP76</f>
        <v>0</v>
      </c>
      <c r="CT76" s="37" t="n">
        <f aca="false">CJ76*AA76</f>
        <v>0</v>
      </c>
      <c r="CV76" s="73" t="n">
        <f aca="false">IF($A76&gt;=CW$32,IF($A76&lt;=CW$33,$BF76,0),0)</f>
        <v>0</v>
      </c>
      <c r="CW76" s="186" t="e">
        <f aca="false">CY76/CV76</f>
        <v>#DIV/0!</v>
      </c>
      <c r="CX76" s="1" t="n">
        <f aca="false">CV76*($B76+$H$15)</f>
        <v>0</v>
      </c>
      <c r="CY76" s="47" t="n">
        <f aca="false">IF(ISNUMBER(((CX76/CV76)+$H$16+$AH76+$H$14)*CV76),((CX76/CV76)+$H$16+$AH76+$H$14)*CV76,0)</f>
        <v>0</v>
      </c>
      <c r="CZ76" s="76" t="n">
        <f aca="false">IF($CV76=0,0,OSTRIP($CW76,$AM76,$BJ76-$B$2,$BG76-$BJ76,$BH76-$BJ76,$B$10,$BE76,$AJ76,$AK76,$H$23,$AN76,$DA$34,0))</f>
        <v>0</v>
      </c>
      <c r="DA76" s="76" t="n">
        <f aca="false">IF($CV76=0,0,OSTRIP($CW76,$AM76,$BJ76-$B$2,$BG76-$BJ76,$BH76-$BJ76,$B$10,$BE76,$AJ76,$AK76,$H$23,$AN76,$DA$34,1))</f>
        <v>0</v>
      </c>
      <c r="DB76" s="76" t="n">
        <f aca="false">IF($CV76=0,0,OSTRIP($CW76,$AM76,$BJ76-$B$2,$BG76-$BJ76,$BH76-$BJ76,$B$10,$BE76,$AJ76,$AK76,$H$23,$AN76,$DA$34,DA$35))</f>
        <v>0</v>
      </c>
      <c r="DC76" s="37" t="n">
        <f aca="false">CV76*CZ76</f>
        <v>0</v>
      </c>
      <c r="DD76" s="37" t="n">
        <f aca="false">CV76*DA76</f>
        <v>0</v>
      </c>
      <c r="DE76" s="37" t="n">
        <f aca="false">CV76*DB76</f>
        <v>0</v>
      </c>
      <c r="DF76" s="37" t="n">
        <f aca="false">CV76*AK76</f>
        <v>0</v>
      </c>
    </row>
    <row r="77" customFormat="false" ht="12.75" hidden="false" customHeight="false" outlineLevel="0" collapsed="false">
      <c r="A77" s="62" t="n">
        <f aca="false">DATE(YEAR(A76),MONTH(A76)+1,1)</f>
        <v>38443</v>
      </c>
      <c r="B77" s="63" t="n">
        <f aca="false">VLOOKUP(A77,STRADDLE,5,FALSE())</f>
        <v>3.255</v>
      </c>
      <c r="C77" s="4" t="n">
        <f aca="false">VLOOKUP(A77,STRADDLE,8,FALSE())</f>
        <v>0.2925</v>
      </c>
      <c r="D77" s="63" t="n">
        <f aca="false">IF(D$35="nymex",0,VLOOKUP($A77,curvesettle,HLOOKUP(D$35,curvesettle,2,FALSE())))</f>
        <v>0.36</v>
      </c>
      <c r="E77" s="65" t="n">
        <f aca="false">IF(ISNUMBER(VLOOKUP($A77,VOLCURVES,HLOOKUP(D$35,VOLCURVES,2,FALSE()),FALSE())),VLOOKUP($A77,VOLCURVES,HLOOKUP(D$35,VOLCURVES,2,FALSE()),FALSE()),1)</f>
        <v>0.98</v>
      </c>
      <c r="F77" s="4" t="n">
        <f aca="false">(($C77+H77)*$E77)+B$17</f>
        <v>0.38665</v>
      </c>
      <c r="G77" s="65" t="n">
        <f aca="false">VLOOKUP($A77,GASDVOLCURVES,HLOOKUP(D$36,GASDVOLCURVES,2,FALSE()),FALSE())+$B$18</f>
        <v>0.5</v>
      </c>
      <c r="H77" s="4" t="n">
        <f aca="false">IF($B$20=1,VLOOKUP($A77,skewtable,HLOOKUP(ROUND(I77-BM77,1),skewtable,2,FALSE()),FALSE())/100,0)</f>
        <v>0</v>
      </c>
      <c r="I77" s="66" t="e">
        <f aca="false">IF($B$10=1,($BM77*$B$23)-$B$14,$B$22)</f>
        <v>#DIV/0!</v>
      </c>
      <c r="J77" s="67" t="e">
        <f aca="false">I77-BM77+$B$24</f>
        <v>#DIV/0!</v>
      </c>
      <c r="K77" s="67"/>
      <c r="L77" s="183"/>
      <c r="M77" s="183"/>
      <c r="N77" s="63" t="n">
        <f aca="false">IF(N$35="nymex",0,VLOOKUP($A77,curvesettle,HLOOKUP(N$35,curvesettle,2,FALSE())))</f>
        <v>0.0175</v>
      </c>
      <c r="O77" s="65" t="n">
        <f aca="false">IF(ISNUMBER(VLOOKUP($A77,VOLCURVES,HLOOKUP(N$35,VOLCURVES,2,FALSE()),FALSE())),VLOOKUP($A77,VOLCURVES,HLOOKUP(N$35,VOLCURVES,2,FALSE()),FALSE()),1)</f>
        <v>1</v>
      </c>
      <c r="P77" s="184" t="n">
        <f aca="false">(($C77+R77)*O77)+$D$17</f>
        <v>0.2925</v>
      </c>
      <c r="Q77" s="65" t="n">
        <f aca="false">VLOOKUP($A77,GASDVOLCURVES,HLOOKUP(N$36,GASDVOLCURVES,2,FALSE()),FALSE())+$D$18</f>
        <v>0.5</v>
      </c>
      <c r="R77" s="4" t="n">
        <f aca="false">IF($D$20=1,VLOOKUP($A77,skewtable,HLOOKUP(ROUND(S77-BY77,1),skewtable,2,FALSE()),FALSE())/100,0)</f>
        <v>0</v>
      </c>
      <c r="S77" s="66" t="e">
        <f aca="false">IF(B$10=1,($BY77*$D$23)-$D$14,$D$22)</f>
        <v>#DIV/0!</v>
      </c>
      <c r="T77" s="67" t="e">
        <f aca="false">S77-$BY77+$D$24</f>
        <v>#DIV/0!</v>
      </c>
      <c r="U77" s="0"/>
      <c r="V77" s="0"/>
      <c r="W77" s="0"/>
      <c r="X77" s="63" t="n">
        <f aca="false">IF(X$35="nymex",0,VLOOKUP($A77,curvesettle,HLOOKUP(X$35,curvesettle,2,FALSE())))</f>
        <v>0.23</v>
      </c>
      <c r="Y77" s="65" t="n">
        <f aca="false">IF(ISNUMBER(VLOOKUP($A77,VOLCURVES,HLOOKUP(X$35,VOLCURVES,2,FALSE()),FALSE())),VLOOKUP($A77,VOLCURVES,HLOOKUP(X$35,VOLCURVES,2,FALSE()),FALSE()),1)</f>
        <v>1</v>
      </c>
      <c r="Z77" s="184" t="n">
        <f aca="false">(($C77+AB77)*Y77)+$F$17</f>
        <v>0.2925</v>
      </c>
      <c r="AA77" s="65" t="n">
        <f aca="false">VLOOKUP($A77,GASDVOLCURVES,HLOOKUP(X$36,GASDVOLCURVES,2,FALSE()),FALSE())+$F$18</f>
        <v>0.55</v>
      </c>
      <c r="AB77" s="4" t="n">
        <f aca="false">IF($F$20=1,VLOOKUP($A77,skewtable,HLOOKUP(ROUND(AC77-CK77,1),skewtable,2,FALSE()),FALSE())/100,0)</f>
        <v>0</v>
      </c>
      <c r="AC77" s="66" t="e">
        <f aca="false">IF($B$10=1,($CK77*$F$23)-$F$14,$F$22)</f>
        <v>#DIV/0!</v>
      </c>
      <c r="AD77" s="67" t="e">
        <f aca="false">AC77-$CK77+$F$24</f>
        <v>#DIV/0!</v>
      </c>
      <c r="AE77" s="0"/>
      <c r="AF77" s="0"/>
      <c r="AG77" s="0"/>
      <c r="AH77" s="63" t="n">
        <f aca="false">IF(AH$35="nymex",0,VLOOKUP($A77,curvesettle,HLOOKUP(AH$35,curvesettle,2,FALSE())))</f>
        <v>0.38</v>
      </c>
      <c r="AI77" s="65" t="n">
        <f aca="false">IF(ISNUMBER(VLOOKUP($A77,VOLCURVES,HLOOKUP(AH$35,VOLCURVES,2,FALSE()),FALSE())),VLOOKUP($A77,VOLCURVES,HLOOKUP(AH$35,VOLCURVES,2,FALSE()),FALSE()),1)</f>
        <v>1</v>
      </c>
      <c r="AJ77" s="184" t="n">
        <f aca="false">(($C77+AL77)*AI77)+$H$17</f>
        <v>0.2925</v>
      </c>
      <c r="AK77" s="65" t="n">
        <f aca="false">VLOOKUP($A77,GASDVOLCURVES,HLOOKUP(AH$36,GASDVOLCURVES,2,FALSE()),FALSE())+$H$18</f>
        <v>0.95</v>
      </c>
      <c r="AL77" s="4" t="n">
        <f aca="false">IF($H$20=1,VLOOKUP($A77,skewtable,HLOOKUP(ROUND(AM77-CW77,1),skewtable,2,FALSE()),FALSE())/100,0)</f>
        <v>0</v>
      </c>
      <c r="AM77" s="66" t="e">
        <f aca="false">IF($B$10=1,($CW77*$H$23)-$H$14,$H$22)</f>
        <v>#DIV/0!</v>
      </c>
      <c r="AN77" s="67" t="e">
        <f aca="false">AM77-CW77+$H$24</f>
        <v>#DIV/0!</v>
      </c>
      <c r="AO77" s="0"/>
      <c r="AP77" s="0"/>
      <c r="AQ77" s="183"/>
      <c r="AR77" s="183"/>
      <c r="AU77" s="0"/>
      <c r="AV77" s="0"/>
      <c r="AW77" s="0"/>
      <c r="AX77" s="0"/>
      <c r="AY77" s="0"/>
      <c r="AZ77" s="0"/>
      <c r="BA77" s="0"/>
      <c r="BC77" s="64"/>
      <c r="BD77" s="64"/>
      <c r="BE77" s="4" t="n">
        <f aca="false">VLOOKUP($A77,STRADDLE,14,FALSE())</f>
        <v>0.0441629859154538</v>
      </c>
      <c r="BF77" s="72" t="n">
        <f aca="false">A78-A77</f>
        <v>30</v>
      </c>
      <c r="BG77" s="179" t="n">
        <f aca="false">A77+BG$35</f>
        <v>38443</v>
      </c>
      <c r="BH77" s="179" t="n">
        <f aca="false">A78-1</f>
        <v>38472</v>
      </c>
      <c r="BJ77" s="179" t="n">
        <f aca="true">IF(BJ$35=0,TODAY(),IF(BJ$36="NYMEX",VLOOKUP($A77,expiration,2,FALSE())+1,BG77))</f>
        <v>38441</v>
      </c>
      <c r="BK77" s="73"/>
      <c r="BL77" s="73" t="n">
        <f aca="false">IF($A77&gt;=BM$32,IF($A77&lt;=BM$33,$BF77,0),0)</f>
        <v>0</v>
      </c>
      <c r="BM77" s="73" t="e">
        <f aca="false">BO77/BL77</f>
        <v>#DIV/0!</v>
      </c>
      <c r="BN77" s="1" t="n">
        <f aca="false">BL77*($B77+B$15)</f>
        <v>0</v>
      </c>
      <c r="BO77" s="47" t="n">
        <f aca="false">IF(ISNUMBER(((BN77/BL77)+B$16+$D77+$B$14)*BL77),((BN77/BL77)+B$16+$D77+$B$14)*BL77,0)</f>
        <v>0</v>
      </c>
      <c r="BP77" s="76" t="n">
        <f aca="false">IF($BL77=0,0,OSTRIP($BM77,$I77,$BJ77-$B$2,$BG77-$BJ77,$BH77-$BJ77,$B$10,$BE77,$F77,$G77,$B$23,$J77,$BQ$34,0))</f>
        <v>0</v>
      </c>
      <c r="BQ77" s="76" t="n">
        <f aca="false">IF($BL77=0,0,OSTRIP($BM77,$I77,$BJ77-$B$2,$BG77-$BJ77,$BH77-$BJ77,$B$10,$BE77,$F77,$G77,$B$23,$J77,$BQ$34,1))</f>
        <v>0</v>
      </c>
      <c r="BR77" s="76" t="n">
        <f aca="false">IF($BL77=0,0,OSTRIP($BM77,$I77,$BJ77-$B$2,$BG77-$BJ77,$BH77-$BJ77,$B$10,$BE77,$F77,$G77,$B$23,$J77,$BQ$34,BQ$35))</f>
        <v>0</v>
      </c>
      <c r="BS77" s="37" t="n">
        <f aca="false">BL77*BP77</f>
        <v>0</v>
      </c>
      <c r="BT77" s="37" t="n">
        <f aca="false">BL77*BQ77</f>
        <v>0</v>
      </c>
      <c r="BU77" s="37" t="n">
        <f aca="false">BL77*BR77</f>
        <v>0</v>
      </c>
      <c r="BV77" s="37" t="n">
        <f aca="false">BL77*G77</f>
        <v>0</v>
      </c>
      <c r="BX77" s="73" t="n">
        <f aca="false">IF($A77&gt;=BY$32,IF($A77&lt;=BY$33,$BF77,0),0)</f>
        <v>0</v>
      </c>
      <c r="BY77" s="186" t="e">
        <f aca="false">CA77/BX77</f>
        <v>#DIV/0!</v>
      </c>
      <c r="BZ77" s="1" t="n">
        <f aca="false">BX77*($B77+$D$15)</f>
        <v>0</v>
      </c>
      <c r="CA77" s="47" t="n">
        <f aca="false">IF(ISNUMBER(((BZ77/BX77)+$D$16+$N77+$D$14)*BX77),((BZ77/BX77)+$D$16+$N77+$D$14)*BX77,0)</f>
        <v>0</v>
      </c>
      <c r="CB77" s="76" t="n">
        <f aca="false">IF($BX77=0,0,OSTRIP($BY77,$S77,$BJ77-$B$2,$BG77-$BJ77,$BH77-$BJ77,$B$10,$BE77,$P77,$Q77,$D$23,$T77,$CC$34,0))</f>
        <v>0</v>
      </c>
      <c r="CC77" s="76" t="n">
        <f aca="false">IF($BX77=0,0,OSTRIP($BY77,$S77,$BJ77-$B$2,$BG77-$BJ77,$BH77-$BJ77,$B$10,$BE77,$P77,$Q77,$D$23,$T77,$CC$34,1))</f>
        <v>0</v>
      </c>
      <c r="CD77" s="76" t="n">
        <f aca="false">IF($BX77=0,0,OSTRIP($BY77,$S77,$BJ77-$B$2,$BG77-$BJ77,$BH77-$BJ77,$B$10,$BE77,$P77,$Q77,$D$23,$T77,$CC$34,CC$35))</f>
        <v>0</v>
      </c>
      <c r="CE77" s="37" t="n">
        <f aca="false">BX77*CB77</f>
        <v>0</v>
      </c>
      <c r="CF77" s="37" t="n">
        <f aca="false">BX77*CC77</f>
        <v>0</v>
      </c>
      <c r="CG77" s="37" t="n">
        <f aca="false">BX77*CD77</f>
        <v>0</v>
      </c>
      <c r="CH77" s="37" t="n">
        <f aca="false">BX77*Q77</f>
        <v>0</v>
      </c>
      <c r="CJ77" s="73" t="n">
        <f aca="false">IF($A77&gt;=CK$32,IF($A77&lt;=CK$33,$BF77,0),0)</f>
        <v>0</v>
      </c>
      <c r="CK77" s="186" t="e">
        <f aca="false">CM77/CJ77</f>
        <v>#DIV/0!</v>
      </c>
      <c r="CL77" s="1" t="n">
        <f aca="false">CJ77*($B77+$F$15)</f>
        <v>0</v>
      </c>
      <c r="CM77" s="47" t="n">
        <f aca="false">IF(ISNUMBER(((CL77/CJ77)+$F$16+$X77+$F$14)*CJ77),((CL77/CJ77)+$F$16+$X77+$F$14)*CJ77,0)</f>
        <v>0</v>
      </c>
      <c r="CN77" s="76" t="n">
        <f aca="false">IF($CJ77=0,0,OSTRIP($CK77,$AC77,$BJ77-$B$2,$BG77-$BJ77,$BH77-$BJ77,$B$10,$BE77,$Z77,$AA77,$F$23,$AD77,$CO$34,0))</f>
        <v>0</v>
      </c>
      <c r="CO77" s="76" t="n">
        <f aca="false">IF($CJ77=0,0,OSTRIP($CK77,$AC77,$BJ77-$B$2,$BG77-$BJ77,$BH77-$BJ77,$B$10,$BE77,$Z77,$AA77,$F$23,$AD77,$CO$34,1))</f>
        <v>0</v>
      </c>
      <c r="CP77" s="76" t="n">
        <f aca="false">IF($CJ77=0,0,OSTRIP($CK77,$AC77,$BJ77-$B$2,$BG77-$BJ77,$BH77-$BJ77,$B$10,$BE77,$Z77,$AA77,$F$23,$AD77,$CO$34,$CO$35))</f>
        <v>0</v>
      </c>
      <c r="CQ77" s="37" t="n">
        <f aca="false">CJ77*CN77</f>
        <v>0</v>
      </c>
      <c r="CR77" s="37" t="n">
        <f aca="false">CJ77*CO77</f>
        <v>0</v>
      </c>
      <c r="CS77" s="37" t="n">
        <f aca="false">CJ77*CP77</f>
        <v>0</v>
      </c>
      <c r="CT77" s="37" t="n">
        <f aca="false">CJ77*AA77</f>
        <v>0</v>
      </c>
      <c r="CV77" s="73" t="n">
        <f aca="false">IF($A77&gt;=CW$32,IF($A77&lt;=CW$33,$BF77,0),0)</f>
        <v>0</v>
      </c>
      <c r="CW77" s="186" t="e">
        <f aca="false">CY77/CV77</f>
        <v>#DIV/0!</v>
      </c>
      <c r="CX77" s="1" t="n">
        <f aca="false">CV77*($B77+$H$15)</f>
        <v>0</v>
      </c>
      <c r="CY77" s="47" t="n">
        <f aca="false">IF(ISNUMBER(((CX77/CV77)+$H$16+$AH77+$H$14)*CV77),((CX77/CV77)+$H$16+$AH77+$H$14)*CV77,0)</f>
        <v>0</v>
      </c>
      <c r="CZ77" s="76" t="n">
        <f aca="false">IF($CV77=0,0,OSTRIP($CW77,$AM77,$BJ77-$B$2,$BG77-$BJ77,$BH77-$BJ77,$B$10,$BE77,$AJ77,$AK77,$H$23,$AN77,$DA$34,0))</f>
        <v>0</v>
      </c>
      <c r="DA77" s="76" t="n">
        <f aca="false">IF($CV77=0,0,OSTRIP($CW77,$AM77,$BJ77-$B$2,$BG77-$BJ77,$BH77-$BJ77,$B$10,$BE77,$AJ77,$AK77,$H$23,$AN77,$DA$34,1))</f>
        <v>0</v>
      </c>
      <c r="DB77" s="76" t="n">
        <f aca="false">IF($CV77=0,0,OSTRIP($CW77,$AM77,$BJ77-$B$2,$BG77-$BJ77,$BH77-$BJ77,$B$10,$BE77,$AJ77,$AK77,$H$23,$AN77,$DA$34,DA$35))</f>
        <v>0</v>
      </c>
      <c r="DC77" s="37" t="n">
        <f aca="false">CV77*CZ77</f>
        <v>0</v>
      </c>
      <c r="DD77" s="37" t="n">
        <f aca="false">CV77*DA77</f>
        <v>0</v>
      </c>
      <c r="DE77" s="37" t="n">
        <f aca="false">CV77*DB77</f>
        <v>0</v>
      </c>
      <c r="DF77" s="37" t="n">
        <f aca="false">CV77*AK77</f>
        <v>0</v>
      </c>
    </row>
    <row r="78" customFormat="false" ht="12.75" hidden="false" customHeight="false" outlineLevel="0" collapsed="false">
      <c r="A78" s="62" t="n">
        <f aca="false">DATE(YEAR(A77),MONTH(A77)+1,1)</f>
        <v>38473</v>
      </c>
      <c r="B78" s="63" t="n">
        <f aca="false">VLOOKUP(A78,STRADDLE,5,FALSE())</f>
        <v>3.25</v>
      </c>
      <c r="C78" s="4" t="n">
        <f aca="false">VLOOKUP(A78,STRADDLE,8,FALSE())</f>
        <v>0.285</v>
      </c>
      <c r="D78" s="63" t="n">
        <f aca="false">IF(D$35="nymex",0,VLOOKUP($A78,curvesettle,HLOOKUP(D$35,curvesettle,2,FALSE())))</f>
        <v>0.325</v>
      </c>
      <c r="E78" s="65" t="n">
        <f aca="false">IF(ISNUMBER(VLOOKUP($A78,VOLCURVES,HLOOKUP(D$35,VOLCURVES,2,FALSE()),FALSE())),VLOOKUP($A78,VOLCURVES,HLOOKUP(D$35,VOLCURVES,2,FALSE()),FALSE()),1)</f>
        <v>0.98</v>
      </c>
      <c r="F78" s="4" t="n">
        <f aca="false">(($C78+H78)*$E78)+B$17</f>
        <v>0.3793</v>
      </c>
      <c r="G78" s="65" t="n">
        <f aca="false">VLOOKUP($A78,GASDVOLCURVES,HLOOKUP(D$36,GASDVOLCURVES,2,FALSE()),FALSE())+$B$18</f>
        <v>0.55</v>
      </c>
      <c r="H78" s="4" t="n">
        <f aca="false">IF($B$20=1,VLOOKUP($A78,skewtable,HLOOKUP(ROUND(I78-BM78,1),skewtable,2,FALSE()),FALSE())/100,0)</f>
        <v>0</v>
      </c>
      <c r="I78" s="66" t="e">
        <f aca="false">IF($B$10=1,($BM78*$B$23)-$B$14,$B$22)</f>
        <v>#DIV/0!</v>
      </c>
      <c r="J78" s="67" t="e">
        <f aca="false">I78-BM78+$B$24</f>
        <v>#DIV/0!</v>
      </c>
      <c r="K78" s="67"/>
      <c r="L78" s="183"/>
      <c r="M78" s="183"/>
      <c r="N78" s="63" t="n">
        <f aca="false">IF(N$35="nymex",0,VLOOKUP($A78,curvesettle,HLOOKUP(N$35,curvesettle,2,FALSE())))</f>
        <v>0.0175</v>
      </c>
      <c r="O78" s="65" t="n">
        <f aca="false">IF(ISNUMBER(VLOOKUP($A78,VOLCURVES,HLOOKUP(N$35,VOLCURVES,2,FALSE()),FALSE())),VLOOKUP($A78,VOLCURVES,HLOOKUP(N$35,VOLCURVES,2,FALSE()),FALSE()),1)</f>
        <v>1</v>
      </c>
      <c r="P78" s="184" t="n">
        <f aca="false">(($C78+R78)*O78)+$D$17</f>
        <v>0.285</v>
      </c>
      <c r="Q78" s="65" t="n">
        <f aca="false">VLOOKUP($A78,GASDVOLCURVES,HLOOKUP(N$36,GASDVOLCURVES,2,FALSE()),FALSE())+$D$18</f>
        <v>0.55</v>
      </c>
      <c r="R78" s="4" t="n">
        <f aca="false">IF($D$20=1,VLOOKUP($A78,skewtable,HLOOKUP(ROUND(S78-BY78,1),skewtable,2,FALSE()),FALSE())/100,0)</f>
        <v>0</v>
      </c>
      <c r="S78" s="66" t="e">
        <f aca="false">IF(B$10=1,($BY78*$D$23)-$D$14,$D$22)</f>
        <v>#DIV/0!</v>
      </c>
      <c r="T78" s="67" t="e">
        <f aca="false">S78-$BY78+$D$24</f>
        <v>#DIV/0!</v>
      </c>
      <c r="U78" s="0"/>
      <c r="V78" s="0"/>
      <c r="W78" s="0"/>
      <c r="X78" s="63" t="n">
        <f aca="false">IF(X$35="nymex",0,VLOOKUP($A78,curvesettle,HLOOKUP(X$35,curvesettle,2,FALSE())))</f>
        <v>0.23</v>
      </c>
      <c r="Y78" s="65" t="n">
        <f aca="false">IF(ISNUMBER(VLOOKUP($A78,VOLCURVES,HLOOKUP(X$35,VOLCURVES,2,FALSE()),FALSE())),VLOOKUP($A78,VOLCURVES,HLOOKUP(X$35,VOLCURVES,2,FALSE()),FALSE()),1)</f>
        <v>1</v>
      </c>
      <c r="Z78" s="184" t="n">
        <f aca="false">(($C78+AB78)*Y78)+$F$17</f>
        <v>0.285</v>
      </c>
      <c r="AA78" s="65" t="n">
        <f aca="false">VLOOKUP($A78,GASDVOLCURVES,HLOOKUP(X$36,GASDVOLCURVES,2,FALSE()),FALSE())+$F$18</f>
        <v>0.5</v>
      </c>
      <c r="AB78" s="4" t="n">
        <f aca="false">IF($F$20=1,VLOOKUP($A78,skewtable,HLOOKUP(ROUND(AC78-CK78,1),skewtable,2,FALSE()),FALSE())/100,0)</f>
        <v>0</v>
      </c>
      <c r="AC78" s="66" t="e">
        <f aca="false">IF($B$10=1,($CK78*$F$23)-$F$14,$F$22)</f>
        <v>#DIV/0!</v>
      </c>
      <c r="AD78" s="67" t="e">
        <f aca="false">AC78-$CK78+$F$24</f>
        <v>#DIV/0!</v>
      </c>
      <c r="AE78" s="0"/>
      <c r="AF78" s="0"/>
      <c r="AG78" s="0"/>
      <c r="AH78" s="63" t="n">
        <f aca="false">IF(AH$35="nymex",0,VLOOKUP($A78,curvesettle,HLOOKUP(AH$35,curvesettle,2,FALSE())))</f>
        <v>0.33</v>
      </c>
      <c r="AI78" s="65" t="n">
        <f aca="false">IF(ISNUMBER(VLOOKUP($A78,VOLCURVES,HLOOKUP(AH$35,VOLCURVES,2,FALSE()),FALSE())),VLOOKUP($A78,VOLCURVES,HLOOKUP(AH$35,VOLCURVES,2,FALSE()),FALSE()),1)</f>
        <v>1</v>
      </c>
      <c r="AJ78" s="184" t="n">
        <f aca="false">(($C78+AL78)*AI78)+$H$17</f>
        <v>0.285</v>
      </c>
      <c r="AK78" s="65" t="n">
        <f aca="false">VLOOKUP($A78,GASDVOLCURVES,HLOOKUP(AH$36,GASDVOLCURVES,2,FALSE()),FALSE())+$H$18</f>
        <v>1</v>
      </c>
      <c r="AL78" s="4" t="n">
        <f aca="false">IF($H$20=1,VLOOKUP($A78,skewtable,HLOOKUP(ROUND(AM78-CW78,1),skewtable,2,FALSE()),FALSE())/100,0)</f>
        <v>0</v>
      </c>
      <c r="AM78" s="66" t="e">
        <f aca="false">IF($B$10=1,($CW78*$H$23)-$H$14,$H$22)</f>
        <v>#DIV/0!</v>
      </c>
      <c r="AN78" s="67" t="e">
        <f aca="false">AM78-CW78+$H$24</f>
        <v>#DIV/0!</v>
      </c>
      <c r="AO78" s="0"/>
      <c r="AP78" s="0"/>
      <c r="AQ78" s="183"/>
      <c r="AR78" s="183"/>
      <c r="AU78" s="0"/>
      <c r="AV78" s="0"/>
      <c r="AW78" s="0"/>
      <c r="AX78" s="0"/>
      <c r="AY78" s="0"/>
      <c r="AZ78" s="0"/>
      <c r="BA78" s="0"/>
      <c r="BC78" s="64"/>
      <c r="BD78" s="64"/>
      <c r="BE78" s="4" t="n">
        <f aca="false">VLOOKUP($A78,STRADDLE,14,FALSE())</f>
        <v>0.0446087139677753</v>
      </c>
      <c r="BF78" s="72" t="n">
        <f aca="false">A79-A78</f>
        <v>31</v>
      </c>
      <c r="BG78" s="179" t="n">
        <f aca="false">A78+BG$35</f>
        <v>38473</v>
      </c>
      <c r="BH78" s="179" t="n">
        <f aca="false">A79-1</f>
        <v>38503</v>
      </c>
      <c r="BJ78" s="179" t="n">
        <f aca="true">IF(BJ$35=0,TODAY(),IF(BJ$36="NYMEX",VLOOKUP($A78,expiration,2,FALSE())+1,BG78))</f>
        <v>38470</v>
      </c>
      <c r="BK78" s="73"/>
      <c r="BL78" s="73" t="n">
        <f aca="false">IF($A78&gt;=BM$32,IF($A78&lt;=BM$33,$BF78,0),0)</f>
        <v>0</v>
      </c>
      <c r="BM78" s="73" t="e">
        <f aca="false">BO78/BL78</f>
        <v>#DIV/0!</v>
      </c>
      <c r="BN78" s="1" t="n">
        <f aca="false">BL78*($B78+B$15)</f>
        <v>0</v>
      </c>
      <c r="BO78" s="47" t="n">
        <f aca="false">IF(ISNUMBER(((BN78/BL78)+B$16+$D78+$B$14)*BL78),((BN78/BL78)+B$16+$D78+$B$14)*BL78,0)</f>
        <v>0</v>
      </c>
      <c r="BP78" s="76" t="n">
        <f aca="false">IF($BL78=0,0,OSTRIP($BM78,$I78,$BJ78-$B$2,$BG78-$BJ78,$BH78-$BJ78,$B$10,$BE78,$F78,$G78,$B$23,$J78,$BQ$34,0))</f>
        <v>0</v>
      </c>
      <c r="BQ78" s="76" t="n">
        <f aca="false">IF($BL78=0,0,OSTRIP($BM78,$I78,$BJ78-$B$2,$BG78-$BJ78,$BH78-$BJ78,$B$10,$BE78,$F78,$G78,$B$23,$J78,$BQ$34,1))</f>
        <v>0</v>
      </c>
      <c r="BR78" s="76" t="n">
        <f aca="false">IF($BL78=0,0,OSTRIP($BM78,$I78,$BJ78-$B$2,$BG78-$BJ78,$BH78-$BJ78,$B$10,$BE78,$F78,$G78,$B$23,$J78,$BQ$34,BQ$35))</f>
        <v>0</v>
      </c>
      <c r="BS78" s="37" t="n">
        <f aca="false">BL78*BP78</f>
        <v>0</v>
      </c>
      <c r="BT78" s="37" t="n">
        <f aca="false">BL78*BQ78</f>
        <v>0</v>
      </c>
      <c r="BU78" s="37" t="n">
        <f aca="false">BL78*BR78</f>
        <v>0</v>
      </c>
      <c r="BV78" s="37" t="n">
        <f aca="false">BL78*G78</f>
        <v>0</v>
      </c>
      <c r="BX78" s="73" t="n">
        <f aca="false">IF($A78&gt;=BY$32,IF($A78&lt;=BY$33,$BF78,0),0)</f>
        <v>0</v>
      </c>
      <c r="BY78" s="186" t="e">
        <f aca="false">CA78/BX78</f>
        <v>#DIV/0!</v>
      </c>
      <c r="BZ78" s="1" t="n">
        <f aca="false">BX78*($B78+$D$15)</f>
        <v>0</v>
      </c>
      <c r="CA78" s="47" t="n">
        <f aca="false">IF(ISNUMBER(((BZ78/BX78)+$D$16+$N78+$D$14)*BX78),((BZ78/BX78)+$D$16+$N78+$D$14)*BX78,0)</f>
        <v>0</v>
      </c>
      <c r="CB78" s="76" t="n">
        <f aca="false">IF($BX78=0,0,OSTRIP($BY78,$S78,$BJ78-$B$2,$BG78-$BJ78,$BH78-$BJ78,$B$10,$BE78,$P78,$Q78,$D$23,$T78,$CC$34,0))</f>
        <v>0</v>
      </c>
      <c r="CC78" s="76" t="n">
        <f aca="false">IF($BX78=0,0,OSTRIP($BY78,$S78,$BJ78-$B$2,$BG78-$BJ78,$BH78-$BJ78,$B$10,$BE78,$P78,$Q78,$D$23,$T78,$CC$34,1))</f>
        <v>0</v>
      </c>
      <c r="CD78" s="76" t="n">
        <f aca="false">IF($BX78=0,0,OSTRIP($BY78,$S78,$BJ78-$B$2,$BG78-$BJ78,$BH78-$BJ78,$B$10,$BE78,$P78,$Q78,$D$23,$T78,$CC$34,CC$35))</f>
        <v>0</v>
      </c>
      <c r="CE78" s="37" t="n">
        <f aca="false">BX78*CB78</f>
        <v>0</v>
      </c>
      <c r="CF78" s="37" t="n">
        <f aca="false">BX78*CC78</f>
        <v>0</v>
      </c>
      <c r="CG78" s="37" t="n">
        <f aca="false">BX78*CD78</f>
        <v>0</v>
      </c>
      <c r="CH78" s="37" t="n">
        <f aca="false">BX78*Q78</f>
        <v>0</v>
      </c>
      <c r="CJ78" s="73" t="n">
        <f aca="false">IF($A78&gt;=CK$32,IF($A78&lt;=CK$33,$BF78,0),0)</f>
        <v>0</v>
      </c>
      <c r="CK78" s="186" t="e">
        <f aca="false">CM78/CJ78</f>
        <v>#DIV/0!</v>
      </c>
      <c r="CL78" s="1" t="n">
        <f aca="false">CJ78*($B78+$F$15)</f>
        <v>0</v>
      </c>
      <c r="CM78" s="47" t="n">
        <f aca="false">IF(ISNUMBER(((CL78/CJ78)+$F$16+$X78+$F$14)*CJ78),((CL78/CJ78)+$F$16+$X78+$F$14)*CJ78,0)</f>
        <v>0</v>
      </c>
      <c r="CN78" s="76" t="n">
        <f aca="false">IF($CJ78=0,0,OSTRIP($CK78,$AC78,$BJ78-$B$2,$BG78-$BJ78,$BH78-$BJ78,$B$10,$BE78,$Z78,$AA78,$F$23,$AD78,$CO$34,0))</f>
        <v>0</v>
      </c>
      <c r="CO78" s="76" t="n">
        <f aca="false">IF($CJ78=0,0,OSTRIP($CK78,$AC78,$BJ78-$B$2,$BG78-$BJ78,$BH78-$BJ78,$B$10,$BE78,$Z78,$AA78,$F$23,$AD78,$CO$34,1))</f>
        <v>0</v>
      </c>
      <c r="CP78" s="76" t="n">
        <f aca="false">IF($CJ78=0,0,OSTRIP($CK78,$AC78,$BJ78-$B$2,$BG78-$BJ78,$BH78-$BJ78,$B$10,$BE78,$Z78,$AA78,$F$23,$AD78,$CO$34,$CO$35))</f>
        <v>0</v>
      </c>
      <c r="CQ78" s="37" t="n">
        <f aca="false">CJ78*CN78</f>
        <v>0</v>
      </c>
      <c r="CR78" s="37" t="n">
        <f aca="false">CJ78*CO78</f>
        <v>0</v>
      </c>
      <c r="CS78" s="37" t="n">
        <f aca="false">CJ78*CP78</f>
        <v>0</v>
      </c>
      <c r="CT78" s="37" t="n">
        <f aca="false">CJ78*AA78</f>
        <v>0</v>
      </c>
      <c r="CV78" s="73" t="n">
        <f aca="false">IF($A78&gt;=CW$32,IF($A78&lt;=CW$33,$BF78,0),0)</f>
        <v>0</v>
      </c>
      <c r="CW78" s="186" t="e">
        <f aca="false">CY78/CV78</f>
        <v>#DIV/0!</v>
      </c>
      <c r="CX78" s="1" t="n">
        <f aca="false">CV78*($B78+$H$15)</f>
        <v>0</v>
      </c>
      <c r="CY78" s="47" t="n">
        <f aca="false">IF(ISNUMBER(((CX78/CV78)+$H$16+$AH78+$H$14)*CV78),((CX78/CV78)+$H$16+$AH78+$H$14)*CV78,0)</f>
        <v>0</v>
      </c>
      <c r="CZ78" s="76" t="n">
        <f aca="false">IF($CV78=0,0,OSTRIP($CW78,$AM78,$BJ78-$B$2,$BG78-$BJ78,$BH78-$BJ78,$B$10,$BE78,$AJ78,$AK78,$H$23,$AN78,$DA$34,0))</f>
        <v>0</v>
      </c>
      <c r="DA78" s="76" t="n">
        <f aca="false">IF($CV78=0,0,OSTRIP($CW78,$AM78,$BJ78-$B$2,$BG78-$BJ78,$BH78-$BJ78,$B$10,$BE78,$AJ78,$AK78,$H$23,$AN78,$DA$34,1))</f>
        <v>0</v>
      </c>
      <c r="DB78" s="76" t="n">
        <f aca="false">IF($CV78=0,0,OSTRIP($CW78,$AM78,$BJ78-$B$2,$BG78-$BJ78,$BH78-$BJ78,$B$10,$BE78,$AJ78,$AK78,$H$23,$AN78,$DA$34,DA$35))</f>
        <v>0</v>
      </c>
      <c r="DC78" s="37" t="n">
        <f aca="false">CV78*CZ78</f>
        <v>0</v>
      </c>
      <c r="DD78" s="37" t="n">
        <f aca="false">CV78*DA78</f>
        <v>0</v>
      </c>
      <c r="DE78" s="37" t="n">
        <f aca="false">CV78*DB78</f>
        <v>0</v>
      </c>
      <c r="DF78" s="37" t="n">
        <f aca="false">CV78*AK78</f>
        <v>0</v>
      </c>
    </row>
    <row r="79" customFormat="false" ht="12.75" hidden="false" customHeight="false" outlineLevel="0" collapsed="false">
      <c r="A79" s="62" t="n">
        <f aca="false">DATE(YEAR(A78),MONTH(A78)+1,1)</f>
        <v>38504</v>
      </c>
      <c r="B79" s="63" t="n">
        <f aca="false">VLOOKUP(A79,STRADDLE,5,FALSE())</f>
        <v>3.285</v>
      </c>
      <c r="C79" s="4" t="n">
        <f aca="false">VLOOKUP(A79,STRADDLE,8,FALSE())</f>
        <v>0.285</v>
      </c>
      <c r="D79" s="63" t="n">
        <f aca="false">IF(D$35="nymex",0,VLOOKUP($A79,curvesettle,HLOOKUP(D$35,curvesettle,2,FALSE())))</f>
        <v>0.335</v>
      </c>
      <c r="E79" s="65" t="n">
        <f aca="false">IF(ISNUMBER(VLOOKUP($A79,VOLCURVES,HLOOKUP(D$35,VOLCURVES,2,FALSE()),FALSE())),VLOOKUP($A79,VOLCURVES,HLOOKUP(D$35,VOLCURVES,2,FALSE()),FALSE()),1)</f>
        <v>0.98</v>
      </c>
      <c r="F79" s="4" t="n">
        <f aca="false">(($C79+H79)*$E79)+B$17</f>
        <v>0.3793</v>
      </c>
      <c r="G79" s="65" t="n">
        <f aca="false">VLOOKUP($A79,GASDVOLCURVES,HLOOKUP(D$36,GASDVOLCURVES,2,FALSE()),FALSE())+$B$18</f>
        <v>0.55</v>
      </c>
      <c r="H79" s="4" t="n">
        <f aca="false">IF($B$20=1,VLOOKUP($A79,skewtable,HLOOKUP(ROUND(I79-BM79,1),skewtable,2,FALSE()),FALSE())/100,0)</f>
        <v>0</v>
      </c>
      <c r="I79" s="66" t="e">
        <f aca="false">IF($B$10=1,($BM79*$B$23)-$B$14,$B$22)</f>
        <v>#DIV/0!</v>
      </c>
      <c r="J79" s="67" t="e">
        <f aca="false">I79-BM79+$B$24</f>
        <v>#DIV/0!</v>
      </c>
      <c r="K79" s="67"/>
      <c r="L79" s="183"/>
      <c r="M79" s="183"/>
      <c r="N79" s="63" t="n">
        <f aca="false">IF(N$35="nymex",0,VLOOKUP($A79,curvesettle,HLOOKUP(N$35,curvesettle,2,FALSE())))</f>
        <v>0.0225</v>
      </c>
      <c r="O79" s="65" t="n">
        <f aca="false">IF(ISNUMBER(VLOOKUP($A79,VOLCURVES,HLOOKUP(N$35,VOLCURVES,2,FALSE()),FALSE())),VLOOKUP($A79,VOLCURVES,HLOOKUP(N$35,VOLCURVES,2,FALSE()),FALSE()),1)</f>
        <v>1</v>
      </c>
      <c r="P79" s="184" t="n">
        <f aca="false">(($C79+R79)*O79)+$D$17</f>
        <v>0.285</v>
      </c>
      <c r="Q79" s="65" t="n">
        <f aca="false">VLOOKUP($A79,GASDVOLCURVES,HLOOKUP(N$36,GASDVOLCURVES,2,FALSE()),FALSE())+$D$18</f>
        <v>0.55</v>
      </c>
      <c r="R79" s="4" t="n">
        <f aca="false">IF($D$20=1,VLOOKUP($A79,skewtable,HLOOKUP(ROUND(S79-BY79,1),skewtable,2,FALSE()),FALSE())/100,0)</f>
        <v>0</v>
      </c>
      <c r="S79" s="66" t="e">
        <f aca="false">IF(B$10=1,($BY79*$D$23)-$D$14,$D$22)</f>
        <v>#DIV/0!</v>
      </c>
      <c r="T79" s="67" t="e">
        <f aca="false">S79-$BY79+$D$24</f>
        <v>#DIV/0!</v>
      </c>
      <c r="U79" s="0"/>
      <c r="V79" s="0"/>
      <c r="W79" s="0"/>
      <c r="X79" s="63" t="n">
        <f aca="false">IF(X$35="nymex",0,VLOOKUP($A79,curvesettle,HLOOKUP(X$35,curvesettle,2,FALSE())))</f>
        <v>0.23</v>
      </c>
      <c r="Y79" s="65" t="n">
        <f aca="false">IF(ISNUMBER(VLOOKUP($A79,VOLCURVES,HLOOKUP(X$35,VOLCURVES,2,FALSE()),FALSE())),VLOOKUP($A79,VOLCURVES,HLOOKUP(X$35,VOLCURVES,2,FALSE()),FALSE()),1)</f>
        <v>1</v>
      </c>
      <c r="Z79" s="184" t="n">
        <f aca="false">(($C79+AB79)*Y79)+$F$17</f>
        <v>0.285</v>
      </c>
      <c r="AA79" s="65" t="n">
        <f aca="false">VLOOKUP($A79,GASDVOLCURVES,HLOOKUP(X$36,GASDVOLCURVES,2,FALSE()),FALSE())+$F$18</f>
        <v>0.6</v>
      </c>
      <c r="AB79" s="4" t="n">
        <f aca="false">IF($F$20=1,VLOOKUP($A79,skewtable,HLOOKUP(ROUND(AC79-CK79,1),skewtable,2,FALSE()),FALSE())/100,0)</f>
        <v>0</v>
      </c>
      <c r="AC79" s="66" t="e">
        <f aca="false">IF($B$10=1,($CK79*$F$23)-$F$14,$F$22)</f>
        <v>#DIV/0!</v>
      </c>
      <c r="AD79" s="67" t="e">
        <f aca="false">AC79-$CK79+$F$24</f>
        <v>#DIV/0!</v>
      </c>
      <c r="AE79" s="0"/>
      <c r="AF79" s="0"/>
      <c r="AG79" s="0"/>
      <c r="AH79" s="63" t="n">
        <f aca="false">IF(AH$35="nymex",0,VLOOKUP($A79,curvesettle,HLOOKUP(AH$35,curvesettle,2,FALSE())))</f>
        <v>0.37</v>
      </c>
      <c r="AI79" s="65" t="n">
        <f aca="false">IF(ISNUMBER(VLOOKUP($A79,VOLCURVES,HLOOKUP(AH$35,VOLCURVES,2,FALSE()),FALSE())),VLOOKUP($A79,VOLCURVES,HLOOKUP(AH$35,VOLCURVES,2,FALSE()),FALSE()),1)</f>
        <v>1</v>
      </c>
      <c r="AJ79" s="184" t="n">
        <f aca="false">(($C79+AL79)*AI79)+$H$17</f>
        <v>0.285</v>
      </c>
      <c r="AK79" s="65" t="n">
        <f aca="false">VLOOKUP($A79,GASDVOLCURVES,HLOOKUP(AH$36,GASDVOLCURVES,2,FALSE()),FALSE())+$H$18</f>
        <v>1</v>
      </c>
      <c r="AL79" s="4" t="n">
        <f aca="false">IF($H$20=1,VLOOKUP($A79,skewtable,HLOOKUP(ROUND(AM79-CW79,1),skewtable,2,FALSE()),FALSE())/100,0)</f>
        <v>0</v>
      </c>
      <c r="AM79" s="66" t="e">
        <f aca="false">IF($B$10=1,($CW79*$H$23)-$H$14,$H$22)</f>
        <v>#DIV/0!</v>
      </c>
      <c r="AN79" s="67" t="e">
        <f aca="false">AM79-CW79+$H$24</f>
        <v>#DIV/0!</v>
      </c>
      <c r="AO79" s="0"/>
      <c r="AP79" s="0"/>
      <c r="AQ79" s="183"/>
      <c r="AR79" s="183"/>
      <c r="AU79" s="0"/>
      <c r="AV79" s="0"/>
      <c r="AW79" s="0"/>
      <c r="AX79" s="0"/>
      <c r="AY79" s="0"/>
      <c r="AZ79" s="0"/>
      <c r="BA79" s="0"/>
      <c r="BC79" s="64"/>
      <c r="BD79" s="64"/>
      <c r="BE79" s="4" t="n">
        <f aca="false">VLOOKUP($A79,STRADDLE,14,FALSE())</f>
        <v>0.0450692996917126</v>
      </c>
      <c r="BF79" s="72" t="n">
        <f aca="false">A80-A79</f>
        <v>30</v>
      </c>
      <c r="BG79" s="179" t="n">
        <f aca="false">A79+BG$35</f>
        <v>38504</v>
      </c>
      <c r="BH79" s="179" t="n">
        <f aca="false">A80-1</f>
        <v>38533</v>
      </c>
      <c r="BJ79" s="179" t="n">
        <f aca="true">IF(BJ$35=0,TODAY(),IF(BJ$36="NYMEX",VLOOKUP($A79,expiration,2,FALSE())+1,BG79))</f>
        <v>38499</v>
      </c>
      <c r="BK79" s="73"/>
      <c r="BL79" s="73" t="n">
        <f aca="false">IF($A79&gt;=BM$32,IF($A79&lt;=BM$33,$BF79,0),0)</f>
        <v>0</v>
      </c>
      <c r="BM79" s="73" t="e">
        <f aca="false">BO79/BL79</f>
        <v>#DIV/0!</v>
      </c>
      <c r="BN79" s="1" t="n">
        <f aca="false">BL79*($B79+B$15)</f>
        <v>0</v>
      </c>
      <c r="BO79" s="47" t="n">
        <f aca="false">IF(ISNUMBER(((BN79/BL79)+B$16+$D79+$B$14)*BL79),((BN79/BL79)+B$16+$D79+$B$14)*BL79,0)</f>
        <v>0</v>
      </c>
      <c r="BP79" s="76" t="n">
        <f aca="false">IF($BL79=0,0,OSTRIP($BM79,$I79,$BJ79-$B$2,$BG79-$BJ79,$BH79-$BJ79,$B$10,$BE79,$F79,$G79,$B$23,$J79,$BQ$34,0))</f>
        <v>0</v>
      </c>
      <c r="BQ79" s="76" t="n">
        <f aca="false">IF($BL79=0,0,OSTRIP($BM79,$I79,$BJ79-$B$2,$BG79-$BJ79,$BH79-$BJ79,$B$10,$BE79,$F79,$G79,$B$23,$J79,$BQ$34,1))</f>
        <v>0</v>
      </c>
      <c r="BR79" s="76" t="n">
        <f aca="false">IF($BL79=0,0,OSTRIP($BM79,$I79,$BJ79-$B$2,$BG79-$BJ79,$BH79-$BJ79,$B$10,$BE79,$F79,$G79,$B$23,$J79,$BQ$34,BQ$35))</f>
        <v>0</v>
      </c>
      <c r="BS79" s="37" t="n">
        <f aca="false">BL79*BP79</f>
        <v>0</v>
      </c>
      <c r="BT79" s="37" t="n">
        <f aca="false">BL79*BQ79</f>
        <v>0</v>
      </c>
      <c r="BU79" s="37" t="n">
        <f aca="false">BL79*BR79</f>
        <v>0</v>
      </c>
      <c r="BV79" s="37" t="n">
        <f aca="false">BL79*G79</f>
        <v>0</v>
      </c>
      <c r="BX79" s="73" t="n">
        <f aca="false">IF($A79&gt;=BY$32,IF($A79&lt;=BY$33,$BF79,0),0)</f>
        <v>0</v>
      </c>
      <c r="BY79" s="186" t="e">
        <f aca="false">CA79/BX79</f>
        <v>#DIV/0!</v>
      </c>
      <c r="BZ79" s="1" t="n">
        <f aca="false">BX79*($B79+$D$15)</f>
        <v>0</v>
      </c>
      <c r="CA79" s="47" t="n">
        <f aca="false">IF(ISNUMBER(((BZ79/BX79)+$D$16+$N79+$D$14)*BX79),((BZ79/BX79)+$D$16+$N79+$D$14)*BX79,0)</f>
        <v>0</v>
      </c>
      <c r="CB79" s="76" t="n">
        <f aca="false">IF($BX79=0,0,OSTRIP($BY79,$S79,$BJ79-$B$2,$BG79-$BJ79,$BH79-$BJ79,$B$10,$BE79,$P79,$Q79,$D$23,$T79,$CC$34,0))</f>
        <v>0</v>
      </c>
      <c r="CC79" s="76" t="n">
        <f aca="false">IF($BX79=0,0,OSTRIP($BY79,$S79,$BJ79-$B$2,$BG79-$BJ79,$BH79-$BJ79,$B$10,$BE79,$P79,$Q79,$D$23,$T79,$CC$34,1))</f>
        <v>0</v>
      </c>
      <c r="CD79" s="76" t="n">
        <f aca="false">IF($BX79=0,0,OSTRIP($BY79,$S79,$BJ79-$B$2,$BG79-$BJ79,$BH79-$BJ79,$B$10,$BE79,$P79,$Q79,$D$23,$T79,$CC$34,CC$35))</f>
        <v>0</v>
      </c>
      <c r="CE79" s="37" t="n">
        <f aca="false">BX79*CB79</f>
        <v>0</v>
      </c>
      <c r="CF79" s="37" t="n">
        <f aca="false">BX79*CC79</f>
        <v>0</v>
      </c>
      <c r="CG79" s="37" t="n">
        <f aca="false">BX79*CD79</f>
        <v>0</v>
      </c>
      <c r="CH79" s="37" t="n">
        <f aca="false">BX79*Q79</f>
        <v>0</v>
      </c>
      <c r="CJ79" s="73" t="n">
        <f aca="false">IF($A79&gt;=CK$32,IF($A79&lt;=CK$33,$BF79,0),0)</f>
        <v>0</v>
      </c>
      <c r="CK79" s="186" t="e">
        <f aca="false">CM79/CJ79</f>
        <v>#DIV/0!</v>
      </c>
      <c r="CL79" s="1" t="n">
        <f aca="false">CJ79*($B79+$F$15)</f>
        <v>0</v>
      </c>
      <c r="CM79" s="47" t="n">
        <f aca="false">IF(ISNUMBER(((CL79/CJ79)+$F$16+$X79+$F$14)*CJ79),((CL79/CJ79)+$F$16+$X79+$F$14)*CJ79,0)</f>
        <v>0</v>
      </c>
      <c r="CN79" s="76" t="n">
        <f aca="false">IF($CJ79=0,0,OSTRIP($CK79,$AC79,$BJ79-$B$2,$BG79-$BJ79,$BH79-$BJ79,$B$10,$BE79,$Z79,$AA79,$F$23,$AD79,$CO$34,0))</f>
        <v>0</v>
      </c>
      <c r="CO79" s="76" t="n">
        <f aca="false">IF($CJ79=0,0,OSTRIP($CK79,$AC79,$BJ79-$B$2,$BG79-$BJ79,$BH79-$BJ79,$B$10,$BE79,$Z79,$AA79,$F$23,$AD79,$CO$34,1))</f>
        <v>0</v>
      </c>
      <c r="CP79" s="76" t="n">
        <f aca="false">IF($CJ79=0,0,OSTRIP($CK79,$AC79,$BJ79-$B$2,$BG79-$BJ79,$BH79-$BJ79,$B$10,$BE79,$Z79,$AA79,$F$23,$AD79,$CO$34,$CO$35))</f>
        <v>0</v>
      </c>
      <c r="CQ79" s="37" t="n">
        <f aca="false">CJ79*CN79</f>
        <v>0</v>
      </c>
      <c r="CR79" s="37" t="n">
        <f aca="false">CJ79*CO79</f>
        <v>0</v>
      </c>
      <c r="CS79" s="37" t="n">
        <f aca="false">CJ79*CP79</f>
        <v>0</v>
      </c>
      <c r="CT79" s="37" t="n">
        <f aca="false">CJ79*AA79</f>
        <v>0</v>
      </c>
      <c r="CV79" s="73" t="n">
        <f aca="false">IF($A79&gt;=CW$32,IF($A79&lt;=CW$33,$BF79,0),0)</f>
        <v>0</v>
      </c>
      <c r="CW79" s="186" t="e">
        <f aca="false">CY79/CV79</f>
        <v>#DIV/0!</v>
      </c>
      <c r="CX79" s="1" t="n">
        <f aca="false">CV79*($B79+$H$15)</f>
        <v>0</v>
      </c>
      <c r="CY79" s="47" t="n">
        <f aca="false">IF(ISNUMBER(((CX79/CV79)+$H$16+$AH79+$H$14)*CV79),((CX79/CV79)+$H$16+$AH79+$H$14)*CV79,0)</f>
        <v>0</v>
      </c>
      <c r="CZ79" s="76" t="n">
        <f aca="false">IF($CV79=0,0,OSTRIP($CW79,$AM79,$BJ79-$B$2,$BG79-$BJ79,$BH79-$BJ79,$B$10,$BE79,$AJ79,$AK79,$H$23,$AN79,$DA$34,0))</f>
        <v>0</v>
      </c>
      <c r="DA79" s="76" t="n">
        <f aca="false">IF($CV79=0,0,OSTRIP($CW79,$AM79,$BJ79-$B$2,$BG79-$BJ79,$BH79-$BJ79,$B$10,$BE79,$AJ79,$AK79,$H$23,$AN79,$DA$34,1))</f>
        <v>0</v>
      </c>
      <c r="DB79" s="76" t="n">
        <f aca="false">IF($CV79=0,0,OSTRIP($CW79,$AM79,$BJ79-$B$2,$BG79-$BJ79,$BH79-$BJ79,$B$10,$BE79,$AJ79,$AK79,$H$23,$AN79,$DA$34,DA$35))</f>
        <v>0</v>
      </c>
      <c r="DC79" s="37" t="n">
        <f aca="false">CV79*CZ79</f>
        <v>0</v>
      </c>
      <c r="DD79" s="37" t="n">
        <f aca="false">CV79*DA79</f>
        <v>0</v>
      </c>
      <c r="DE79" s="37" t="n">
        <f aca="false">CV79*DB79</f>
        <v>0</v>
      </c>
      <c r="DF79" s="37" t="n">
        <f aca="false">CV79*AK79</f>
        <v>0</v>
      </c>
    </row>
    <row r="80" customFormat="false" ht="12.75" hidden="false" customHeight="false" outlineLevel="0" collapsed="false">
      <c r="A80" s="62" t="n">
        <f aca="false">DATE(YEAR(A79),MONTH(A79)+1,1)</f>
        <v>38534</v>
      </c>
      <c r="B80" s="63" t="n">
        <f aca="false">VLOOKUP(A80,STRADDLE,5,FALSE())</f>
        <v>3.325</v>
      </c>
      <c r="C80" s="4" t="n">
        <f aca="false">VLOOKUP(A80,STRADDLE,8,FALSE())</f>
        <v>0.28</v>
      </c>
      <c r="D80" s="63" t="n">
        <f aca="false">IF(D$35="nymex",0,VLOOKUP($A80,curvesettle,HLOOKUP(D$35,curvesettle,2,FALSE())))</f>
        <v>0.35</v>
      </c>
      <c r="E80" s="65" t="n">
        <f aca="false">IF(ISNUMBER(VLOOKUP($A80,VOLCURVES,HLOOKUP(D$35,VOLCURVES,2,FALSE()),FALSE())),VLOOKUP($A80,VOLCURVES,HLOOKUP(D$35,VOLCURVES,2,FALSE()),FALSE()),1)</f>
        <v>0.98</v>
      </c>
      <c r="F80" s="4" t="n">
        <f aca="false">(($C80+H80)*$E80)+B$17</f>
        <v>0.3744</v>
      </c>
      <c r="G80" s="65" t="n">
        <f aca="false">VLOOKUP($A80,GASDVOLCURVES,HLOOKUP(D$36,GASDVOLCURVES,2,FALSE()),FALSE())+$B$18</f>
        <v>0.6</v>
      </c>
      <c r="H80" s="4" t="n">
        <f aca="false">IF($B$20=1,VLOOKUP($A80,skewtable,HLOOKUP(ROUND(I80-BM80,1),skewtable,2,FALSE()),FALSE())/100,0)</f>
        <v>0</v>
      </c>
      <c r="I80" s="66" t="e">
        <f aca="false">IF($B$10=1,($BM80*$B$23)-$B$14,$B$22)</f>
        <v>#DIV/0!</v>
      </c>
      <c r="J80" s="67" t="e">
        <f aca="false">I80-BM80+$B$24</f>
        <v>#DIV/0!</v>
      </c>
      <c r="K80" s="67"/>
      <c r="L80" s="183"/>
      <c r="M80" s="183"/>
      <c r="N80" s="63" t="n">
        <f aca="false">IF(N$35="nymex",0,VLOOKUP($A80,curvesettle,HLOOKUP(N$35,curvesettle,2,FALSE())))</f>
        <v>0.025</v>
      </c>
      <c r="O80" s="65" t="n">
        <f aca="false">IF(ISNUMBER(VLOOKUP($A80,VOLCURVES,HLOOKUP(N$35,VOLCURVES,2,FALSE()),FALSE())),VLOOKUP($A80,VOLCURVES,HLOOKUP(N$35,VOLCURVES,2,FALSE()),FALSE()),1)</f>
        <v>1</v>
      </c>
      <c r="P80" s="184" t="n">
        <f aca="false">(($C80+R80)*O80)+$D$17</f>
        <v>0.28</v>
      </c>
      <c r="Q80" s="65" t="n">
        <f aca="false">VLOOKUP($A80,GASDVOLCURVES,HLOOKUP(N$36,GASDVOLCURVES,2,FALSE()),FALSE())+$D$18</f>
        <v>0.6</v>
      </c>
      <c r="R80" s="4" t="n">
        <f aca="false">IF($D$20=1,VLOOKUP($A80,skewtable,HLOOKUP(ROUND(S80-BY80,1),skewtable,2,FALSE()),FALSE())/100,0)</f>
        <v>0</v>
      </c>
      <c r="S80" s="66" t="e">
        <f aca="false">IF(B$10=1,($BY80*$D$23)-$D$14,$D$22)</f>
        <v>#DIV/0!</v>
      </c>
      <c r="T80" s="67" t="e">
        <f aca="false">S80-$BY80+$D$24</f>
        <v>#DIV/0!</v>
      </c>
      <c r="U80" s="0"/>
      <c r="V80" s="0"/>
      <c r="W80" s="0"/>
      <c r="X80" s="63" t="n">
        <f aca="false">IF(X$35="nymex",0,VLOOKUP($A80,curvesettle,HLOOKUP(X$35,curvesettle,2,FALSE())))</f>
        <v>0.23</v>
      </c>
      <c r="Y80" s="65" t="n">
        <f aca="false">IF(ISNUMBER(VLOOKUP($A80,VOLCURVES,HLOOKUP(X$35,VOLCURVES,2,FALSE()),FALSE())),VLOOKUP($A80,VOLCURVES,HLOOKUP(X$35,VOLCURVES,2,FALSE()),FALSE()),1)</f>
        <v>1</v>
      </c>
      <c r="Z80" s="184" t="n">
        <f aca="false">(($C80+AB80)*Y80)+$F$17</f>
        <v>0.28</v>
      </c>
      <c r="AA80" s="65" t="n">
        <f aca="false">VLOOKUP($A80,GASDVOLCURVES,HLOOKUP(X$36,GASDVOLCURVES,2,FALSE()),FALSE())+$F$18</f>
        <v>0.6</v>
      </c>
      <c r="AB80" s="4" t="n">
        <f aca="false">IF($F$20=1,VLOOKUP($A80,skewtable,HLOOKUP(ROUND(AC80-CK80,1),skewtable,2,FALSE()),FALSE())/100,0)</f>
        <v>0</v>
      </c>
      <c r="AC80" s="66" t="e">
        <f aca="false">IF($B$10=1,($CK80*$F$23)-$F$14,$F$22)</f>
        <v>#DIV/0!</v>
      </c>
      <c r="AD80" s="67" t="e">
        <f aca="false">AC80-$CK80+$F$24</f>
        <v>#DIV/0!</v>
      </c>
      <c r="AE80" s="0"/>
      <c r="AF80" s="0"/>
      <c r="AG80" s="0"/>
      <c r="AH80" s="63" t="n">
        <f aca="false">IF(AH$35="nymex",0,VLOOKUP($A80,curvesettle,HLOOKUP(AH$35,curvesettle,2,FALSE())))</f>
        <v>0.41</v>
      </c>
      <c r="AI80" s="65" t="n">
        <f aca="false">IF(ISNUMBER(VLOOKUP($A80,VOLCURVES,HLOOKUP(AH$35,VOLCURVES,2,FALSE()),FALSE())),VLOOKUP($A80,VOLCURVES,HLOOKUP(AH$35,VOLCURVES,2,FALSE()),FALSE()),1)</f>
        <v>1</v>
      </c>
      <c r="AJ80" s="184" t="n">
        <f aca="false">(($C80+AL80)*AI80)+$H$17</f>
        <v>0.28</v>
      </c>
      <c r="AK80" s="65" t="n">
        <f aca="false">VLOOKUP($A80,GASDVOLCURVES,HLOOKUP(AH$36,GASDVOLCURVES,2,FALSE()),FALSE())+$H$18</f>
        <v>1</v>
      </c>
      <c r="AL80" s="4" t="n">
        <f aca="false">IF($H$20=1,VLOOKUP($A80,skewtable,HLOOKUP(ROUND(AM80-CW80,1),skewtable,2,FALSE()),FALSE())/100,0)</f>
        <v>0</v>
      </c>
      <c r="AM80" s="66" t="e">
        <f aca="false">IF($B$10=1,($CW80*$H$23)-$H$14,$H$22)</f>
        <v>#DIV/0!</v>
      </c>
      <c r="AN80" s="67" t="e">
        <f aca="false">AM80-CW80+$H$24</f>
        <v>#DIV/0!</v>
      </c>
      <c r="AO80" s="0"/>
      <c r="AP80" s="0"/>
      <c r="AQ80" s="183"/>
      <c r="AR80" s="183"/>
      <c r="AU80" s="0"/>
      <c r="AV80" s="0"/>
      <c r="AW80" s="0"/>
      <c r="AX80" s="0"/>
      <c r="AY80" s="0"/>
      <c r="AZ80" s="0"/>
      <c r="BA80" s="0"/>
      <c r="BC80" s="64"/>
      <c r="BD80" s="64"/>
      <c r="BE80" s="4" t="n">
        <f aca="false">VLOOKUP($A80,STRADDLE,14,FALSE())</f>
        <v>0.0454931128840683</v>
      </c>
      <c r="BF80" s="72" t="n">
        <f aca="false">A81-A80</f>
        <v>31</v>
      </c>
      <c r="BG80" s="179" t="n">
        <f aca="false">A80+BG$35</f>
        <v>38534</v>
      </c>
      <c r="BH80" s="179" t="n">
        <f aca="false">A81-1</f>
        <v>38564</v>
      </c>
      <c r="BJ80" s="179" t="n">
        <f aca="true">IF(BJ$35=0,TODAY(),IF(BJ$36="NYMEX",VLOOKUP($A80,expiration,2,FALSE())+1,BG80))</f>
        <v>38532</v>
      </c>
      <c r="BK80" s="73"/>
      <c r="BL80" s="73" t="n">
        <f aca="false">IF($A80&gt;=BM$32,IF($A80&lt;=BM$33,$BF80,0),0)</f>
        <v>0</v>
      </c>
      <c r="BM80" s="73" t="e">
        <f aca="false">BO80/BL80</f>
        <v>#DIV/0!</v>
      </c>
      <c r="BN80" s="1" t="n">
        <f aca="false">BL80*($B80+B$15)</f>
        <v>0</v>
      </c>
      <c r="BO80" s="47" t="n">
        <f aca="false">IF(ISNUMBER(((BN80/BL80)+B$16+$D80+$B$14)*BL80),((BN80/BL80)+B$16+$D80+$B$14)*BL80,0)</f>
        <v>0</v>
      </c>
      <c r="BP80" s="76" t="n">
        <f aca="false">IF($BL80=0,0,OSTRIP($BM80,$I80,$BJ80-$B$2,$BG80-$BJ80,$BH80-$BJ80,$B$10,$BE80,$F80,$G80,$B$23,$J80,$BQ$34,0))</f>
        <v>0</v>
      </c>
      <c r="BQ80" s="76" t="n">
        <f aca="false">IF($BL80=0,0,OSTRIP($BM80,$I80,$BJ80-$B$2,$BG80-$BJ80,$BH80-$BJ80,$B$10,$BE80,$F80,$G80,$B$23,$J80,$BQ$34,1))</f>
        <v>0</v>
      </c>
      <c r="BR80" s="76" t="n">
        <f aca="false">IF($BL80=0,0,OSTRIP($BM80,$I80,$BJ80-$B$2,$BG80-$BJ80,$BH80-$BJ80,$B$10,$BE80,$F80,$G80,$B$23,$J80,$BQ$34,BQ$35))</f>
        <v>0</v>
      </c>
      <c r="BS80" s="37" t="n">
        <f aca="false">BL80*BP80</f>
        <v>0</v>
      </c>
      <c r="BT80" s="37" t="n">
        <f aca="false">BL80*BQ80</f>
        <v>0</v>
      </c>
      <c r="BU80" s="37" t="n">
        <f aca="false">BL80*BR80</f>
        <v>0</v>
      </c>
      <c r="BV80" s="37" t="n">
        <f aca="false">BL80*G80</f>
        <v>0</v>
      </c>
      <c r="BX80" s="73" t="n">
        <f aca="false">IF($A80&gt;=BY$32,IF($A80&lt;=BY$33,$BF80,0),0)</f>
        <v>0</v>
      </c>
      <c r="BY80" s="186" t="e">
        <f aca="false">CA80/BX80</f>
        <v>#DIV/0!</v>
      </c>
      <c r="BZ80" s="1" t="n">
        <f aca="false">BX80*($B80+$D$15)</f>
        <v>0</v>
      </c>
      <c r="CA80" s="47" t="n">
        <f aca="false">IF(ISNUMBER(((BZ80/BX80)+$D$16+$N80+$D$14)*BX80),((BZ80/BX80)+$D$16+$N80+$D$14)*BX80,0)</f>
        <v>0</v>
      </c>
      <c r="CB80" s="76" t="n">
        <f aca="false">IF($BX80=0,0,OSTRIP($BY80,$S80,$BJ80-$B$2,$BG80-$BJ80,$BH80-$BJ80,$B$10,$BE80,$P80,$Q80,$D$23,$T80,$CC$34,0))</f>
        <v>0</v>
      </c>
      <c r="CC80" s="76" t="n">
        <f aca="false">IF($BX80=0,0,OSTRIP($BY80,$S80,$BJ80-$B$2,$BG80-$BJ80,$BH80-$BJ80,$B$10,$BE80,$P80,$Q80,$D$23,$T80,$CC$34,1))</f>
        <v>0</v>
      </c>
      <c r="CD80" s="76" t="n">
        <f aca="false">IF($BX80=0,0,OSTRIP($BY80,$S80,$BJ80-$B$2,$BG80-$BJ80,$BH80-$BJ80,$B$10,$BE80,$P80,$Q80,$D$23,$T80,$CC$34,CC$35))</f>
        <v>0</v>
      </c>
      <c r="CE80" s="37" t="n">
        <f aca="false">BX80*CB80</f>
        <v>0</v>
      </c>
      <c r="CF80" s="37" t="n">
        <f aca="false">BX80*CC80</f>
        <v>0</v>
      </c>
      <c r="CG80" s="37" t="n">
        <f aca="false">BX80*CD80</f>
        <v>0</v>
      </c>
      <c r="CH80" s="37" t="n">
        <f aca="false">BX80*Q80</f>
        <v>0</v>
      </c>
      <c r="CJ80" s="73" t="n">
        <f aca="false">IF($A80&gt;=CK$32,IF($A80&lt;=CK$33,$BF80,0),0)</f>
        <v>0</v>
      </c>
      <c r="CK80" s="186" t="e">
        <f aca="false">CM80/CJ80</f>
        <v>#DIV/0!</v>
      </c>
      <c r="CL80" s="1" t="n">
        <f aca="false">CJ80*($B80+$F$15)</f>
        <v>0</v>
      </c>
      <c r="CM80" s="47" t="n">
        <f aca="false">IF(ISNUMBER(((CL80/CJ80)+$F$16+$X80+$F$14)*CJ80),((CL80/CJ80)+$F$16+$X80+$F$14)*CJ80,0)</f>
        <v>0</v>
      </c>
      <c r="CN80" s="76" t="n">
        <f aca="false">IF($CJ80=0,0,OSTRIP($CK80,$AC80,$BJ80-$B$2,$BG80-$BJ80,$BH80-$BJ80,$B$10,$BE80,$Z80,$AA80,$F$23,$AD80,$CO$34,0))</f>
        <v>0</v>
      </c>
      <c r="CO80" s="76" t="n">
        <f aca="false">IF($CJ80=0,0,OSTRIP($CK80,$AC80,$BJ80-$B$2,$BG80-$BJ80,$BH80-$BJ80,$B$10,$BE80,$Z80,$AA80,$F$23,$AD80,$CO$34,1))</f>
        <v>0</v>
      </c>
      <c r="CP80" s="76" t="n">
        <f aca="false">IF($CJ80=0,0,OSTRIP($CK80,$AC80,$BJ80-$B$2,$BG80-$BJ80,$BH80-$BJ80,$B$10,$BE80,$Z80,$AA80,$F$23,$AD80,$CO$34,$CO$35))</f>
        <v>0</v>
      </c>
      <c r="CQ80" s="37" t="n">
        <f aca="false">CJ80*CN80</f>
        <v>0</v>
      </c>
      <c r="CR80" s="37" t="n">
        <f aca="false">CJ80*CO80</f>
        <v>0</v>
      </c>
      <c r="CS80" s="37" t="n">
        <f aca="false">CJ80*CP80</f>
        <v>0</v>
      </c>
      <c r="CT80" s="37" t="n">
        <f aca="false">CJ80*AA80</f>
        <v>0</v>
      </c>
      <c r="CV80" s="73" t="n">
        <f aca="false">IF($A80&gt;=CW$32,IF($A80&lt;=CW$33,$BF80,0),0)</f>
        <v>0</v>
      </c>
      <c r="CW80" s="186" t="e">
        <f aca="false">CY80/CV80</f>
        <v>#DIV/0!</v>
      </c>
      <c r="CX80" s="1" t="n">
        <f aca="false">CV80*($B80+$H$15)</f>
        <v>0</v>
      </c>
      <c r="CY80" s="47" t="n">
        <f aca="false">IF(ISNUMBER(((CX80/CV80)+$H$16+$AH80+$H$14)*CV80),((CX80/CV80)+$H$16+$AH80+$H$14)*CV80,0)</f>
        <v>0</v>
      </c>
      <c r="CZ80" s="76" t="n">
        <f aca="false">IF($CV80=0,0,OSTRIP($CW80,$AM80,$BJ80-$B$2,$BG80-$BJ80,$BH80-$BJ80,$B$10,$BE80,$AJ80,$AK80,$H$23,$AN80,$DA$34,0))</f>
        <v>0</v>
      </c>
      <c r="DA80" s="76" t="n">
        <f aca="false">IF($CV80=0,0,OSTRIP($CW80,$AM80,$BJ80-$B$2,$BG80-$BJ80,$BH80-$BJ80,$B$10,$BE80,$AJ80,$AK80,$H$23,$AN80,$DA$34,1))</f>
        <v>0</v>
      </c>
      <c r="DB80" s="76" t="n">
        <f aca="false">IF($CV80=0,0,OSTRIP($CW80,$AM80,$BJ80-$B$2,$BG80-$BJ80,$BH80-$BJ80,$B$10,$BE80,$AJ80,$AK80,$H$23,$AN80,$DA$34,DA$35))</f>
        <v>0</v>
      </c>
      <c r="DC80" s="37" t="n">
        <f aca="false">CV80*CZ80</f>
        <v>0</v>
      </c>
      <c r="DD80" s="37" t="n">
        <f aca="false">CV80*DA80</f>
        <v>0</v>
      </c>
      <c r="DE80" s="37" t="n">
        <f aca="false">CV80*DB80</f>
        <v>0</v>
      </c>
      <c r="DF80" s="37" t="n">
        <f aca="false">CV80*AK80</f>
        <v>0</v>
      </c>
    </row>
    <row r="81" customFormat="false" ht="12.75" hidden="false" customHeight="false" outlineLevel="0" collapsed="false">
      <c r="A81" s="62" t="n">
        <f aca="false">DATE(YEAR(A80),MONTH(A80)+1,1)</f>
        <v>38565</v>
      </c>
      <c r="B81" s="63" t="n">
        <f aca="false">VLOOKUP(A81,STRADDLE,5,FALSE())</f>
        <v>3.365</v>
      </c>
      <c r="C81" s="4" t="n">
        <f aca="false">VLOOKUP(A81,STRADDLE,8,FALSE())</f>
        <v>0.28</v>
      </c>
      <c r="D81" s="63" t="n">
        <f aca="false">IF(D$35="nymex",0,VLOOKUP($A81,curvesettle,HLOOKUP(D$35,curvesettle,2,FALSE())))</f>
        <v>0.35</v>
      </c>
      <c r="E81" s="65" t="n">
        <f aca="false">IF(ISNUMBER(VLOOKUP($A81,VOLCURVES,HLOOKUP(D$35,VOLCURVES,2,FALSE()),FALSE())),VLOOKUP($A81,VOLCURVES,HLOOKUP(D$35,VOLCURVES,2,FALSE()),FALSE()),1)</f>
        <v>0.98</v>
      </c>
      <c r="F81" s="4" t="n">
        <f aca="false">(($C81+H81)*$E81)+B$17</f>
        <v>0.3744</v>
      </c>
      <c r="G81" s="65" t="n">
        <f aca="false">VLOOKUP($A81,GASDVOLCURVES,HLOOKUP(D$36,GASDVOLCURVES,2,FALSE()),FALSE())+$B$18</f>
        <v>0.65</v>
      </c>
      <c r="H81" s="4" t="n">
        <f aca="false">IF($B$20=1,VLOOKUP($A81,skewtable,HLOOKUP(ROUND(I81-BM81,1),skewtable,2,FALSE()),FALSE())/100,0)</f>
        <v>0</v>
      </c>
      <c r="I81" s="66" t="e">
        <f aca="false">IF($B$10=1,($BM81*$B$23)-$B$14,$B$22)</f>
        <v>#DIV/0!</v>
      </c>
      <c r="J81" s="67" t="e">
        <f aca="false">I81-BM81+$B$24</f>
        <v>#DIV/0!</v>
      </c>
      <c r="K81" s="67"/>
      <c r="L81" s="183"/>
      <c r="M81" s="183"/>
      <c r="N81" s="63" t="n">
        <f aca="false">IF(N$35="nymex",0,VLOOKUP($A81,curvesettle,HLOOKUP(N$35,curvesettle,2,FALSE())))</f>
        <v>0.0275</v>
      </c>
      <c r="O81" s="65" t="n">
        <f aca="false">IF(ISNUMBER(VLOOKUP($A81,VOLCURVES,HLOOKUP(N$35,VOLCURVES,2,FALSE()),FALSE())),VLOOKUP($A81,VOLCURVES,HLOOKUP(N$35,VOLCURVES,2,FALSE()),FALSE()),1)</f>
        <v>1</v>
      </c>
      <c r="P81" s="184" t="n">
        <f aca="false">(($C81+R81)*O81)+$D$17</f>
        <v>0.28</v>
      </c>
      <c r="Q81" s="65" t="n">
        <f aca="false">VLOOKUP($A81,GASDVOLCURVES,HLOOKUP(N$36,GASDVOLCURVES,2,FALSE()),FALSE())+$D$18</f>
        <v>0.65</v>
      </c>
      <c r="R81" s="4" t="n">
        <f aca="false">IF($D$20=1,VLOOKUP($A81,skewtable,HLOOKUP(ROUND(S81-BY81,1),skewtable,2,FALSE()),FALSE())/100,0)</f>
        <v>0</v>
      </c>
      <c r="S81" s="66" t="e">
        <f aca="false">IF(B$10=1,($BY81*$D$23)-$D$14,$D$22)</f>
        <v>#DIV/0!</v>
      </c>
      <c r="T81" s="67" t="e">
        <f aca="false">S81-$BY81+$D$24</f>
        <v>#DIV/0!</v>
      </c>
      <c r="U81" s="0"/>
      <c r="V81" s="0"/>
      <c r="W81" s="0"/>
      <c r="X81" s="63" t="n">
        <f aca="false">IF(X$35="nymex",0,VLOOKUP($A81,curvesettle,HLOOKUP(X$35,curvesettle,2,FALSE())))</f>
        <v>0.23</v>
      </c>
      <c r="Y81" s="65" t="n">
        <f aca="false">IF(ISNUMBER(VLOOKUP($A81,VOLCURVES,HLOOKUP(X$35,VOLCURVES,2,FALSE()),FALSE())),VLOOKUP($A81,VOLCURVES,HLOOKUP(X$35,VOLCURVES,2,FALSE()),FALSE()),1)</f>
        <v>1</v>
      </c>
      <c r="Z81" s="184" t="n">
        <f aca="false">(($C81+AB81)*Y81)+$F$17</f>
        <v>0.28</v>
      </c>
      <c r="AA81" s="65" t="n">
        <f aca="false">VLOOKUP($A81,GASDVOLCURVES,HLOOKUP(X$36,GASDVOLCURVES,2,FALSE()),FALSE())+$F$18</f>
        <v>0.7</v>
      </c>
      <c r="AB81" s="4" t="n">
        <f aca="false">IF($F$20=1,VLOOKUP($A81,skewtable,HLOOKUP(ROUND(AC81-CK81,1),skewtable,2,FALSE()),FALSE())/100,0)</f>
        <v>0</v>
      </c>
      <c r="AC81" s="66" t="e">
        <f aca="false">IF($B$10=1,($CK81*$F$23)-$F$14,$F$22)</f>
        <v>#DIV/0!</v>
      </c>
      <c r="AD81" s="67" t="e">
        <f aca="false">AC81-$CK81+$F$24</f>
        <v>#DIV/0!</v>
      </c>
      <c r="AE81" s="0"/>
      <c r="AF81" s="0"/>
      <c r="AG81" s="0"/>
      <c r="AH81" s="63" t="n">
        <f aca="false">IF(AH$35="nymex",0,VLOOKUP($A81,curvesettle,HLOOKUP(AH$35,curvesettle,2,FALSE())))</f>
        <v>0.41</v>
      </c>
      <c r="AI81" s="65" t="n">
        <f aca="false">IF(ISNUMBER(VLOOKUP($A81,VOLCURVES,HLOOKUP(AH$35,VOLCURVES,2,FALSE()),FALSE())),VLOOKUP($A81,VOLCURVES,HLOOKUP(AH$35,VOLCURVES,2,FALSE()),FALSE()),1)</f>
        <v>1</v>
      </c>
      <c r="AJ81" s="184" t="n">
        <f aca="false">(($C81+AL81)*AI81)+$H$17</f>
        <v>0.28</v>
      </c>
      <c r="AK81" s="65" t="n">
        <f aca="false">VLOOKUP($A81,GASDVOLCURVES,HLOOKUP(AH$36,GASDVOLCURVES,2,FALSE()),FALSE())+$H$18</f>
        <v>1.1</v>
      </c>
      <c r="AL81" s="4" t="n">
        <f aca="false">IF($H$20=1,VLOOKUP($A81,skewtable,HLOOKUP(ROUND(AM81-CW81,1),skewtable,2,FALSE()),FALSE())/100,0)</f>
        <v>0</v>
      </c>
      <c r="AM81" s="66" t="e">
        <f aca="false">IF($B$10=1,($CW81*$H$23)-$H$14,$H$22)</f>
        <v>#DIV/0!</v>
      </c>
      <c r="AN81" s="67" t="e">
        <f aca="false">AM81-CW81+$H$24</f>
        <v>#DIV/0!</v>
      </c>
      <c r="AO81" s="0"/>
      <c r="AP81" s="0"/>
      <c r="AQ81" s="183"/>
      <c r="AR81" s="183"/>
      <c r="AU81" s="0"/>
      <c r="AV81" s="0"/>
      <c r="AW81" s="0"/>
      <c r="AX81" s="0"/>
      <c r="AY81" s="0"/>
      <c r="AZ81" s="0"/>
      <c r="BA81" s="0"/>
      <c r="BC81" s="64"/>
      <c r="BD81" s="64"/>
      <c r="BE81" s="4" t="n">
        <f aca="false">VLOOKUP($A81,STRADDLE,14,FALSE())</f>
        <v>0.045909969215757</v>
      </c>
      <c r="BF81" s="72" t="n">
        <f aca="false">A82-A81</f>
        <v>31</v>
      </c>
      <c r="BG81" s="179" t="n">
        <f aca="false">A81+BG$35</f>
        <v>38565</v>
      </c>
      <c r="BH81" s="179" t="n">
        <f aca="false">A82-1</f>
        <v>38595</v>
      </c>
      <c r="BJ81" s="179" t="n">
        <f aca="true">IF(BJ$35=0,TODAY(),IF(BJ$36="NYMEX",VLOOKUP($A81,expiration,2,FALSE())+1,BG81))</f>
        <v>38561</v>
      </c>
      <c r="BK81" s="73"/>
      <c r="BL81" s="73" t="n">
        <f aca="false">IF($A81&gt;=BM$32,IF($A81&lt;=BM$33,$BF81,0),0)</f>
        <v>0</v>
      </c>
      <c r="BM81" s="73" t="e">
        <f aca="false">BO81/BL81</f>
        <v>#DIV/0!</v>
      </c>
      <c r="BN81" s="1" t="n">
        <f aca="false">BL81*($B81+B$15)</f>
        <v>0</v>
      </c>
      <c r="BO81" s="47" t="n">
        <f aca="false">IF(ISNUMBER(((BN81/BL81)+B$16+$D81+$B$14)*BL81),((BN81/BL81)+B$16+$D81+$B$14)*BL81,0)</f>
        <v>0</v>
      </c>
      <c r="BP81" s="76" t="n">
        <f aca="false">IF($BL81=0,0,OSTRIP($BM81,$I81,$BJ81-$B$2,$BG81-$BJ81,$BH81-$BJ81,$B$10,$BE81,$F81,$G81,$B$23,$J81,$BQ$34,0))</f>
        <v>0</v>
      </c>
      <c r="BQ81" s="76" t="n">
        <f aca="false">IF($BL81=0,0,OSTRIP($BM81,$I81,$BJ81-$B$2,$BG81-$BJ81,$BH81-$BJ81,$B$10,$BE81,$F81,$G81,$B$23,$J81,$BQ$34,1))</f>
        <v>0</v>
      </c>
      <c r="BR81" s="76" t="n">
        <f aca="false">IF($BL81=0,0,OSTRIP($BM81,$I81,$BJ81-$B$2,$BG81-$BJ81,$BH81-$BJ81,$B$10,$BE81,$F81,$G81,$B$23,$J81,$BQ$34,BQ$35))</f>
        <v>0</v>
      </c>
      <c r="BS81" s="37" t="n">
        <f aca="false">BL81*BP81</f>
        <v>0</v>
      </c>
      <c r="BT81" s="37" t="n">
        <f aca="false">BL81*BQ81</f>
        <v>0</v>
      </c>
      <c r="BU81" s="37" t="n">
        <f aca="false">BL81*BR81</f>
        <v>0</v>
      </c>
      <c r="BV81" s="37" t="n">
        <f aca="false">BL81*G81</f>
        <v>0</v>
      </c>
      <c r="BX81" s="73" t="n">
        <f aca="false">IF($A81&gt;=BY$32,IF($A81&lt;=BY$33,$BF81,0),0)</f>
        <v>0</v>
      </c>
      <c r="BY81" s="186" t="e">
        <f aca="false">CA81/BX81</f>
        <v>#DIV/0!</v>
      </c>
      <c r="BZ81" s="1" t="n">
        <f aca="false">BX81*($B81+$D$15)</f>
        <v>0</v>
      </c>
      <c r="CA81" s="47" t="n">
        <f aca="false">IF(ISNUMBER(((BZ81/BX81)+$D$16+$N81+$D$14)*BX81),((BZ81/BX81)+$D$16+$N81+$D$14)*BX81,0)</f>
        <v>0</v>
      </c>
      <c r="CB81" s="76" t="n">
        <f aca="false">IF($BX81=0,0,OSTRIP($BY81,$S81,$BJ81-$B$2,$BG81-$BJ81,$BH81-$BJ81,$B$10,$BE81,$P81,$Q81,$D$23,$T81,$CC$34,0))</f>
        <v>0</v>
      </c>
      <c r="CC81" s="76" t="n">
        <f aca="false">IF($BX81=0,0,OSTRIP($BY81,$S81,$BJ81-$B$2,$BG81-$BJ81,$BH81-$BJ81,$B$10,$BE81,$P81,$Q81,$D$23,$T81,$CC$34,1))</f>
        <v>0</v>
      </c>
      <c r="CD81" s="76" t="n">
        <f aca="false">IF($BX81=0,0,OSTRIP($BY81,$S81,$BJ81-$B$2,$BG81-$BJ81,$BH81-$BJ81,$B$10,$BE81,$P81,$Q81,$D$23,$T81,$CC$34,CC$35))</f>
        <v>0</v>
      </c>
      <c r="CE81" s="37" t="n">
        <f aca="false">BX81*CB81</f>
        <v>0</v>
      </c>
      <c r="CF81" s="37" t="n">
        <f aca="false">BX81*CC81</f>
        <v>0</v>
      </c>
      <c r="CG81" s="37" t="n">
        <f aca="false">BX81*CD81</f>
        <v>0</v>
      </c>
      <c r="CH81" s="37" t="n">
        <f aca="false">BX81*Q81</f>
        <v>0</v>
      </c>
      <c r="CJ81" s="73" t="n">
        <f aca="false">IF($A81&gt;=CK$32,IF($A81&lt;=CK$33,$BF81,0),0)</f>
        <v>0</v>
      </c>
      <c r="CK81" s="186" t="e">
        <f aca="false">CM81/CJ81</f>
        <v>#DIV/0!</v>
      </c>
      <c r="CL81" s="1" t="n">
        <f aca="false">CJ81*($B81+$F$15)</f>
        <v>0</v>
      </c>
      <c r="CM81" s="47" t="n">
        <f aca="false">IF(ISNUMBER(((CL81/CJ81)+$F$16+$X81+$F$14)*CJ81),((CL81/CJ81)+$F$16+$X81+$F$14)*CJ81,0)</f>
        <v>0</v>
      </c>
      <c r="CN81" s="76" t="n">
        <f aca="false">IF($CJ81=0,0,OSTRIP($CK81,$AC81,$BJ81-$B$2,$BG81-$BJ81,$BH81-$BJ81,$B$10,$BE81,$Z81,$AA81,$F$23,$AD81,$CO$34,0))</f>
        <v>0</v>
      </c>
      <c r="CO81" s="76" t="n">
        <f aca="false">IF($CJ81=0,0,OSTRIP($CK81,$AC81,$BJ81-$B$2,$BG81-$BJ81,$BH81-$BJ81,$B$10,$BE81,$Z81,$AA81,$F$23,$AD81,$CO$34,1))</f>
        <v>0</v>
      </c>
      <c r="CP81" s="76" t="n">
        <f aca="false">IF($CJ81=0,0,OSTRIP($CK81,$AC81,$BJ81-$B$2,$BG81-$BJ81,$BH81-$BJ81,$B$10,$BE81,$Z81,$AA81,$F$23,$AD81,$CO$34,$CO$35))</f>
        <v>0</v>
      </c>
      <c r="CQ81" s="37" t="n">
        <f aca="false">CJ81*CN81</f>
        <v>0</v>
      </c>
      <c r="CR81" s="37" t="n">
        <f aca="false">CJ81*CO81</f>
        <v>0</v>
      </c>
      <c r="CS81" s="37" t="n">
        <f aca="false">CJ81*CP81</f>
        <v>0</v>
      </c>
      <c r="CT81" s="37" t="n">
        <f aca="false">CJ81*AA81</f>
        <v>0</v>
      </c>
      <c r="CV81" s="73" t="n">
        <f aca="false">IF($A81&gt;=CW$32,IF($A81&lt;=CW$33,$BF81,0),0)</f>
        <v>0</v>
      </c>
      <c r="CW81" s="186" t="e">
        <f aca="false">CY81/CV81</f>
        <v>#DIV/0!</v>
      </c>
      <c r="CX81" s="1" t="n">
        <f aca="false">CV81*($B81+$H$15)</f>
        <v>0</v>
      </c>
      <c r="CY81" s="47" t="n">
        <f aca="false">IF(ISNUMBER(((CX81/CV81)+$H$16+$AH81+$H$14)*CV81),((CX81/CV81)+$H$16+$AH81+$H$14)*CV81,0)</f>
        <v>0</v>
      </c>
      <c r="CZ81" s="76" t="n">
        <f aca="false">IF($CV81=0,0,OSTRIP($CW81,$AM81,$BJ81-$B$2,$BG81-$BJ81,$BH81-$BJ81,$B$10,$BE81,$AJ81,$AK81,$H$23,$AN81,$DA$34,0))</f>
        <v>0</v>
      </c>
      <c r="DA81" s="76" t="n">
        <f aca="false">IF($CV81=0,0,OSTRIP($CW81,$AM81,$BJ81-$B$2,$BG81-$BJ81,$BH81-$BJ81,$B$10,$BE81,$AJ81,$AK81,$H$23,$AN81,$DA$34,1))</f>
        <v>0</v>
      </c>
      <c r="DB81" s="76" t="n">
        <f aca="false">IF($CV81=0,0,OSTRIP($CW81,$AM81,$BJ81-$B$2,$BG81-$BJ81,$BH81-$BJ81,$B$10,$BE81,$AJ81,$AK81,$H$23,$AN81,$DA$34,DA$35))</f>
        <v>0</v>
      </c>
      <c r="DC81" s="37" t="n">
        <f aca="false">CV81*CZ81</f>
        <v>0</v>
      </c>
      <c r="DD81" s="37" t="n">
        <f aca="false">CV81*DA81</f>
        <v>0</v>
      </c>
      <c r="DE81" s="37" t="n">
        <f aca="false">CV81*DB81</f>
        <v>0</v>
      </c>
      <c r="DF81" s="37" t="n">
        <f aca="false">CV81*AK81</f>
        <v>0</v>
      </c>
    </row>
    <row r="82" customFormat="false" ht="12.75" hidden="false" customHeight="false" outlineLevel="0" collapsed="false">
      <c r="A82" s="62" t="n">
        <f aca="false">DATE(YEAR(A81),MONTH(A81)+1,1)</f>
        <v>38596</v>
      </c>
      <c r="B82" s="63" t="n">
        <f aca="false">VLOOKUP(A82,STRADDLE,5,FALSE())</f>
        <v>3.36</v>
      </c>
      <c r="C82" s="4" t="n">
        <f aca="false">VLOOKUP(A82,STRADDLE,8,FALSE())</f>
        <v>0.28</v>
      </c>
      <c r="D82" s="63" t="n">
        <f aca="false">IF(D$35="nymex",0,VLOOKUP($A82,curvesettle,HLOOKUP(D$35,curvesettle,2,FALSE())))</f>
        <v>0.315</v>
      </c>
      <c r="E82" s="65" t="n">
        <f aca="false">IF(ISNUMBER(VLOOKUP($A82,VOLCURVES,HLOOKUP(D$35,VOLCURVES,2,FALSE()),FALSE())),VLOOKUP($A82,VOLCURVES,HLOOKUP(D$35,VOLCURVES,2,FALSE()),FALSE()),1)</f>
        <v>0.98</v>
      </c>
      <c r="F82" s="4" t="n">
        <f aca="false">(($C82+H82)*$E82)+B$17</f>
        <v>0.3744</v>
      </c>
      <c r="G82" s="65" t="n">
        <f aca="false">VLOOKUP($A82,GASDVOLCURVES,HLOOKUP(D$36,GASDVOLCURVES,2,FALSE()),FALSE())+$B$18</f>
        <v>0.65</v>
      </c>
      <c r="H82" s="4" t="n">
        <f aca="false">IF($B$20=1,VLOOKUP($A82,skewtable,HLOOKUP(ROUND(I82-BM82,1),skewtable,2,FALSE()),FALSE())/100,0)</f>
        <v>0</v>
      </c>
      <c r="I82" s="66" t="e">
        <f aca="false">IF($B$10=1,($BM82*$B$23)-$B$14,$B$22)</f>
        <v>#DIV/0!</v>
      </c>
      <c r="J82" s="67" t="e">
        <f aca="false">I82-BM82+$B$24</f>
        <v>#DIV/0!</v>
      </c>
      <c r="K82" s="67"/>
      <c r="L82" s="183"/>
      <c r="M82" s="183"/>
      <c r="N82" s="63" t="n">
        <f aca="false">IF(N$35="nymex",0,VLOOKUP($A82,curvesettle,HLOOKUP(N$35,curvesettle,2,FALSE())))</f>
        <v>0.02</v>
      </c>
      <c r="O82" s="65" t="n">
        <f aca="false">IF(ISNUMBER(VLOOKUP($A82,VOLCURVES,HLOOKUP(N$35,VOLCURVES,2,FALSE()),FALSE())),VLOOKUP($A82,VOLCURVES,HLOOKUP(N$35,VOLCURVES,2,FALSE()),FALSE()),1)</f>
        <v>1</v>
      </c>
      <c r="P82" s="184" t="n">
        <f aca="false">(($C82+R82)*O82)+$D$17</f>
        <v>0.28</v>
      </c>
      <c r="Q82" s="65" t="n">
        <f aca="false">VLOOKUP($A82,GASDVOLCURVES,HLOOKUP(N$36,GASDVOLCURVES,2,FALSE()),FALSE())+$D$18</f>
        <v>0.65</v>
      </c>
      <c r="R82" s="4" t="n">
        <f aca="false">IF($D$20=1,VLOOKUP($A82,skewtable,HLOOKUP(ROUND(S82-BY82,1),skewtable,2,FALSE()),FALSE())/100,0)</f>
        <v>0</v>
      </c>
      <c r="S82" s="66" t="e">
        <f aca="false">IF(B$10=1,($BY82*$D$23)-$D$14,$D$22)</f>
        <v>#DIV/0!</v>
      </c>
      <c r="T82" s="67" t="e">
        <f aca="false">S82-$BY82+$D$24</f>
        <v>#DIV/0!</v>
      </c>
      <c r="U82" s="0"/>
      <c r="V82" s="0"/>
      <c r="W82" s="0"/>
      <c r="X82" s="63" t="n">
        <f aca="false">IF(X$35="nymex",0,VLOOKUP($A82,curvesettle,HLOOKUP(X$35,curvesettle,2,FALSE())))</f>
        <v>0.23</v>
      </c>
      <c r="Y82" s="65" t="n">
        <f aca="false">IF(ISNUMBER(VLOOKUP($A82,VOLCURVES,HLOOKUP(X$35,VOLCURVES,2,FALSE()),FALSE())),VLOOKUP($A82,VOLCURVES,HLOOKUP(X$35,VOLCURVES,2,FALSE()),FALSE()),1)</f>
        <v>1</v>
      </c>
      <c r="Z82" s="184" t="n">
        <f aca="false">(($C82+AB82)*Y82)+$F$17</f>
        <v>0.28</v>
      </c>
      <c r="AA82" s="65" t="n">
        <f aca="false">VLOOKUP($A82,GASDVOLCURVES,HLOOKUP(X$36,GASDVOLCURVES,2,FALSE()),FALSE())+$F$18</f>
        <v>0.65</v>
      </c>
      <c r="AB82" s="4" t="n">
        <f aca="false">IF($F$20=1,VLOOKUP($A82,skewtable,HLOOKUP(ROUND(AC82-CK82,1),skewtable,2,FALSE()),FALSE())/100,0)</f>
        <v>0</v>
      </c>
      <c r="AC82" s="66" t="e">
        <f aca="false">IF($B$10=1,($CK82*$F$23)-$F$14,$F$22)</f>
        <v>#DIV/0!</v>
      </c>
      <c r="AD82" s="67" t="e">
        <f aca="false">AC82-$CK82+$F$24</f>
        <v>#DIV/0!</v>
      </c>
      <c r="AE82" s="0"/>
      <c r="AF82" s="0"/>
      <c r="AG82" s="0"/>
      <c r="AH82" s="63" t="n">
        <f aca="false">IF(AH$35="nymex",0,VLOOKUP($A82,curvesettle,HLOOKUP(AH$35,curvesettle,2,FALSE())))</f>
        <v>0.36</v>
      </c>
      <c r="AI82" s="65" t="n">
        <f aca="false">IF(ISNUMBER(VLOOKUP($A82,VOLCURVES,HLOOKUP(AH$35,VOLCURVES,2,FALSE()),FALSE())),VLOOKUP($A82,VOLCURVES,HLOOKUP(AH$35,VOLCURVES,2,FALSE()),FALSE()),1)</f>
        <v>1</v>
      </c>
      <c r="AJ82" s="184" t="n">
        <f aca="false">(($C82+AL82)*AI82)+$H$17</f>
        <v>0.28</v>
      </c>
      <c r="AK82" s="65" t="n">
        <f aca="false">VLOOKUP($A82,GASDVOLCURVES,HLOOKUP(AH$36,GASDVOLCURVES,2,FALSE()),FALSE())+$H$18</f>
        <v>1.1</v>
      </c>
      <c r="AL82" s="4" t="n">
        <f aca="false">IF($H$20=1,VLOOKUP($A82,skewtable,HLOOKUP(ROUND(AM82-CW82,1),skewtable,2,FALSE()),FALSE())/100,0)</f>
        <v>0</v>
      </c>
      <c r="AM82" s="66" t="e">
        <f aca="false">IF($B$10=1,($CW82*$H$23)-$H$14,$H$22)</f>
        <v>#DIV/0!</v>
      </c>
      <c r="AN82" s="67" t="e">
        <f aca="false">AM82-CW82+$H$24</f>
        <v>#DIV/0!</v>
      </c>
      <c r="AO82" s="0"/>
      <c r="AP82" s="0"/>
      <c r="AQ82" s="183"/>
      <c r="AR82" s="183"/>
      <c r="AU82" s="0"/>
      <c r="AV82" s="0"/>
      <c r="AW82" s="0"/>
      <c r="AX82" s="0"/>
      <c r="AY82" s="0"/>
      <c r="AZ82" s="0"/>
      <c r="BA82" s="0"/>
      <c r="BC82" s="64"/>
      <c r="BD82" s="64"/>
      <c r="BE82" s="4" t="n">
        <f aca="false">VLOOKUP($A82,STRADDLE,14,FALSE())</f>
        <v>0.04632682560558</v>
      </c>
      <c r="BF82" s="72" t="n">
        <f aca="false">A83-A82</f>
        <v>30</v>
      </c>
      <c r="BG82" s="179" t="n">
        <f aca="false">A82+BG$35</f>
        <v>38596</v>
      </c>
      <c r="BH82" s="179" t="n">
        <f aca="false">A83-1</f>
        <v>38625</v>
      </c>
      <c r="BJ82" s="179" t="n">
        <f aca="true">IF(BJ$35=0,TODAY(),IF(BJ$36="NYMEX",VLOOKUP($A82,expiration,2,FALSE())+1,BG82))</f>
        <v>38594</v>
      </c>
      <c r="BK82" s="73"/>
      <c r="BL82" s="73" t="n">
        <f aca="false">IF($A82&gt;=BM$32,IF($A82&lt;=BM$33,$BF82,0),0)</f>
        <v>0</v>
      </c>
      <c r="BM82" s="73" t="e">
        <f aca="false">BO82/BL82</f>
        <v>#DIV/0!</v>
      </c>
      <c r="BN82" s="1" t="n">
        <f aca="false">BL82*($B82+B$15)</f>
        <v>0</v>
      </c>
      <c r="BO82" s="47" t="n">
        <f aca="false">IF(ISNUMBER(((BN82/BL82)+B$16+$D82+$B$14)*BL82),((BN82/BL82)+B$16+$D82+$B$14)*BL82,0)</f>
        <v>0</v>
      </c>
      <c r="BP82" s="76" t="n">
        <f aca="false">IF($BL82=0,0,OSTRIP($BM82,$I82,$BJ82-$B$2,$BG82-$BJ82,$BH82-$BJ82,$B$10,$BE82,$F82,$G82,$B$23,$J82,$BQ$34,0))</f>
        <v>0</v>
      </c>
      <c r="BQ82" s="76" t="n">
        <f aca="false">IF($BL82=0,0,OSTRIP($BM82,$I82,$BJ82-$B$2,$BG82-$BJ82,$BH82-$BJ82,$B$10,$BE82,$F82,$G82,$B$23,$J82,$BQ$34,1))</f>
        <v>0</v>
      </c>
      <c r="BR82" s="76" t="n">
        <f aca="false">IF($BL82=0,0,OSTRIP($BM82,$I82,$BJ82-$B$2,$BG82-$BJ82,$BH82-$BJ82,$B$10,$BE82,$F82,$G82,$B$23,$J82,$BQ$34,BQ$35))</f>
        <v>0</v>
      </c>
      <c r="BS82" s="37" t="n">
        <f aca="false">BL82*BP82</f>
        <v>0</v>
      </c>
      <c r="BT82" s="37" t="n">
        <f aca="false">BL82*BQ82</f>
        <v>0</v>
      </c>
      <c r="BU82" s="37" t="n">
        <f aca="false">BL82*BR82</f>
        <v>0</v>
      </c>
      <c r="BV82" s="37" t="n">
        <f aca="false">BL82*G82</f>
        <v>0</v>
      </c>
      <c r="BX82" s="73" t="n">
        <f aca="false">IF($A82&gt;=BY$32,IF($A82&lt;=BY$33,$BF82,0),0)</f>
        <v>0</v>
      </c>
      <c r="BY82" s="186" t="e">
        <f aca="false">CA82/BX82</f>
        <v>#DIV/0!</v>
      </c>
      <c r="BZ82" s="1" t="n">
        <f aca="false">BX82*($B82+$D$15)</f>
        <v>0</v>
      </c>
      <c r="CA82" s="47" t="n">
        <f aca="false">IF(ISNUMBER(((BZ82/BX82)+$D$16+$N82+$D$14)*BX82),((BZ82/BX82)+$D$16+$N82+$D$14)*BX82,0)</f>
        <v>0</v>
      </c>
      <c r="CB82" s="76" t="n">
        <f aca="false">IF($BX82=0,0,OSTRIP($BY82,$S82,$BJ82-$B$2,$BG82-$BJ82,$BH82-$BJ82,$B$10,$BE82,$P82,$Q82,$D$23,$T82,$CC$34,0))</f>
        <v>0</v>
      </c>
      <c r="CC82" s="76" t="n">
        <f aca="false">IF($BX82=0,0,OSTRIP($BY82,$S82,$BJ82-$B$2,$BG82-$BJ82,$BH82-$BJ82,$B$10,$BE82,$P82,$Q82,$D$23,$T82,$CC$34,1))</f>
        <v>0</v>
      </c>
      <c r="CD82" s="76" t="n">
        <f aca="false">IF($BX82=0,0,OSTRIP($BY82,$S82,$BJ82-$B$2,$BG82-$BJ82,$BH82-$BJ82,$B$10,$BE82,$P82,$Q82,$D$23,$T82,$CC$34,CC$35))</f>
        <v>0</v>
      </c>
      <c r="CE82" s="37" t="n">
        <f aca="false">BX82*CB82</f>
        <v>0</v>
      </c>
      <c r="CF82" s="37" t="n">
        <f aca="false">BX82*CC82</f>
        <v>0</v>
      </c>
      <c r="CG82" s="37" t="n">
        <f aca="false">BX82*CD82</f>
        <v>0</v>
      </c>
      <c r="CH82" s="37" t="n">
        <f aca="false">BX82*Q82</f>
        <v>0</v>
      </c>
      <c r="CJ82" s="73" t="n">
        <f aca="false">IF($A82&gt;=CK$32,IF($A82&lt;=CK$33,$BF82,0),0)</f>
        <v>0</v>
      </c>
      <c r="CK82" s="186" t="e">
        <f aca="false">CM82/CJ82</f>
        <v>#DIV/0!</v>
      </c>
      <c r="CL82" s="1" t="n">
        <f aca="false">CJ82*($B82+$F$15)</f>
        <v>0</v>
      </c>
      <c r="CM82" s="47" t="n">
        <f aca="false">IF(ISNUMBER(((CL82/CJ82)+$F$16+$X82+$F$14)*CJ82),((CL82/CJ82)+$F$16+$X82+$F$14)*CJ82,0)</f>
        <v>0</v>
      </c>
      <c r="CN82" s="76" t="n">
        <f aca="false">IF($CJ82=0,0,OSTRIP($CK82,$AC82,$BJ82-$B$2,$BG82-$BJ82,$BH82-$BJ82,$B$10,$BE82,$Z82,$AA82,$F$23,$AD82,$CO$34,0))</f>
        <v>0</v>
      </c>
      <c r="CO82" s="76" t="n">
        <f aca="false">IF($CJ82=0,0,OSTRIP($CK82,$AC82,$BJ82-$B$2,$BG82-$BJ82,$BH82-$BJ82,$B$10,$BE82,$Z82,$AA82,$F$23,$AD82,$CO$34,1))</f>
        <v>0</v>
      </c>
      <c r="CP82" s="76" t="n">
        <f aca="false">IF($CJ82=0,0,OSTRIP($CK82,$AC82,$BJ82-$B$2,$BG82-$BJ82,$BH82-$BJ82,$B$10,$BE82,$Z82,$AA82,$F$23,$AD82,$CO$34,$CO$35))</f>
        <v>0</v>
      </c>
      <c r="CQ82" s="37" t="n">
        <f aca="false">CJ82*CN82</f>
        <v>0</v>
      </c>
      <c r="CR82" s="37" t="n">
        <f aca="false">CJ82*CO82</f>
        <v>0</v>
      </c>
      <c r="CS82" s="37" t="n">
        <f aca="false">CJ82*CP82</f>
        <v>0</v>
      </c>
      <c r="CT82" s="37" t="n">
        <f aca="false">CJ82*AA82</f>
        <v>0</v>
      </c>
      <c r="CV82" s="73" t="n">
        <f aca="false">IF($A82&gt;=CW$32,IF($A82&lt;=CW$33,$BF82,0),0)</f>
        <v>0</v>
      </c>
      <c r="CW82" s="186" t="e">
        <f aca="false">CY82/CV82</f>
        <v>#DIV/0!</v>
      </c>
      <c r="CX82" s="1" t="n">
        <f aca="false">CV82*($B82+$H$15)</f>
        <v>0</v>
      </c>
      <c r="CY82" s="47" t="n">
        <f aca="false">IF(ISNUMBER(((CX82/CV82)+$H$16+$AH82+$H$14)*CV82),((CX82/CV82)+$H$16+$AH82+$H$14)*CV82,0)</f>
        <v>0</v>
      </c>
      <c r="CZ82" s="76" t="n">
        <f aca="false">IF($CV82=0,0,OSTRIP($CW82,$AM82,$BJ82-$B$2,$BG82-$BJ82,$BH82-$BJ82,$B$10,$BE82,$AJ82,$AK82,$H$23,$AN82,$DA$34,0))</f>
        <v>0</v>
      </c>
      <c r="DA82" s="76" t="n">
        <f aca="false">IF($CV82=0,0,OSTRIP($CW82,$AM82,$BJ82-$B$2,$BG82-$BJ82,$BH82-$BJ82,$B$10,$BE82,$AJ82,$AK82,$H$23,$AN82,$DA$34,1))</f>
        <v>0</v>
      </c>
      <c r="DB82" s="76" t="n">
        <f aca="false">IF($CV82=0,0,OSTRIP($CW82,$AM82,$BJ82-$B$2,$BG82-$BJ82,$BH82-$BJ82,$B$10,$BE82,$AJ82,$AK82,$H$23,$AN82,$DA$34,DA$35))</f>
        <v>0</v>
      </c>
      <c r="DC82" s="37" t="n">
        <f aca="false">CV82*CZ82</f>
        <v>0</v>
      </c>
      <c r="DD82" s="37" t="n">
        <f aca="false">CV82*DA82</f>
        <v>0</v>
      </c>
      <c r="DE82" s="37" t="n">
        <f aca="false">CV82*DB82</f>
        <v>0</v>
      </c>
      <c r="DF82" s="37" t="n">
        <f aca="false">CV82*AK82</f>
        <v>0</v>
      </c>
    </row>
    <row r="83" customFormat="false" ht="12.75" hidden="false" customHeight="false" outlineLevel="0" collapsed="false">
      <c r="A83" s="62" t="n">
        <f aca="false">DATE(YEAR(A82),MONTH(A82)+1,1)</f>
        <v>38626</v>
      </c>
      <c r="B83" s="63" t="n">
        <f aca="false">VLOOKUP(A83,STRADDLE,5,FALSE())</f>
        <v>3.385</v>
      </c>
      <c r="C83" s="4" t="n">
        <f aca="false">VLOOKUP(A83,STRADDLE,8,FALSE())</f>
        <v>0.28</v>
      </c>
      <c r="D83" s="63" t="n">
        <f aca="false">IF(D$35="nymex",0,VLOOKUP($A83,curvesettle,HLOOKUP(D$35,curvesettle,2,FALSE())))</f>
        <v>0.36</v>
      </c>
      <c r="E83" s="65" t="n">
        <f aca="false">IF(ISNUMBER(VLOOKUP($A83,VOLCURVES,HLOOKUP(D$35,VOLCURVES,2,FALSE()),FALSE())),VLOOKUP($A83,VOLCURVES,HLOOKUP(D$35,VOLCURVES,2,FALSE()),FALSE()),1)</f>
        <v>0.98</v>
      </c>
      <c r="F83" s="4" t="n">
        <f aca="false">(($C83+H83)*$E83)+B$17</f>
        <v>0.3744</v>
      </c>
      <c r="G83" s="65" t="n">
        <f aca="false">VLOOKUP($A83,GASDVOLCURVES,HLOOKUP(D$36,GASDVOLCURVES,2,FALSE()),FALSE())+$B$18</f>
        <v>0.7</v>
      </c>
      <c r="H83" s="4" t="n">
        <f aca="false">IF($B$20=1,VLOOKUP($A83,skewtable,HLOOKUP(ROUND(I83-BM83,1),skewtable,2,FALSE()),FALSE())/100,0)</f>
        <v>0</v>
      </c>
      <c r="I83" s="66" t="e">
        <f aca="false">IF($B$10=1,($BM83*$B$23)-$B$14,$B$22)</f>
        <v>#DIV/0!</v>
      </c>
      <c r="J83" s="67" t="e">
        <f aca="false">I83-BM83+$B$24</f>
        <v>#DIV/0!</v>
      </c>
      <c r="K83" s="67"/>
      <c r="L83" s="183"/>
      <c r="M83" s="183"/>
      <c r="N83" s="63" t="n">
        <f aca="false">IF(N$35="nymex",0,VLOOKUP($A83,curvesettle,HLOOKUP(N$35,curvesettle,2,FALSE())))</f>
        <v>0.01</v>
      </c>
      <c r="O83" s="65" t="n">
        <f aca="false">IF(ISNUMBER(VLOOKUP($A83,VOLCURVES,HLOOKUP(N$35,VOLCURVES,2,FALSE()),FALSE())),VLOOKUP($A83,VOLCURVES,HLOOKUP(N$35,VOLCURVES,2,FALSE()),FALSE()),1)</f>
        <v>1</v>
      </c>
      <c r="P83" s="184" t="n">
        <f aca="false">(($C83+R83)*O83)+$D$17</f>
        <v>0.28</v>
      </c>
      <c r="Q83" s="65" t="n">
        <f aca="false">VLOOKUP($A83,GASDVOLCURVES,HLOOKUP(N$36,GASDVOLCURVES,2,FALSE()),FALSE())+$D$18</f>
        <v>0.7</v>
      </c>
      <c r="R83" s="4" t="n">
        <f aca="false">IF($D$20=1,VLOOKUP($A83,skewtable,HLOOKUP(ROUND(S83-BY83,1),skewtable,2,FALSE()),FALSE())/100,0)</f>
        <v>0</v>
      </c>
      <c r="S83" s="66" t="e">
        <f aca="false">IF(B$10=1,($BY83*$D$23)-$D$14,$D$22)</f>
        <v>#DIV/0!</v>
      </c>
      <c r="T83" s="67" t="e">
        <f aca="false">S83-$BY83+$D$24</f>
        <v>#DIV/0!</v>
      </c>
      <c r="U83" s="0"/>
      <c r="V83" s="0"/>
      <c r="W83" s="0"/>
      <c r="X83" s="63" t="n">
        <f aca="false">IF(X$35="nymex",0,VLOOKUP($A83,curvesettle,HLOOKUP(X$35,curvesettle,2,FALSE())))</f>
        <v>0.23</v>
      </c>
      <c r="Y83" s="65" t="n">
        <f aca="false">IF(ISNUMBER(VLOOKUP($A83,VOLCURVES,HLOOKUP(X$35,VOLCURVES,2,FALSE()),FALSE())),VLOOKUP($A83,VOLCURVES,HLOOKUP(X$35,VOLCURVES,2,FALSE()),FALSE()),1)</f>
        <v>1</v>
      </c>
      <c r="Z83" s="184" t="n">
        <f aca="false">(($C83+AB83)*Y83)+$F$17</f>
        <v>0.28</v>
      </c>
      <c r="AA83" s="65" t="n">
        <f aca="false">VLOOKUP($A83,GASDVOLCURVES,HLOOKUP(X$36,GASDVOLCURVES,2,FALSE()),FALSE())+$F$18</f>
        <v>0.7</v>
      </c>
      <c r="AB83" s="4" t="n">
        <f aca="false">IF($F$20=1,VLOOKUP($A83,skewtable,HLOOKUP(ROUND(AC83-CK83,1),skewtable,2,FALSE()),FALSE())/100,0)</f>
        <v>0</v>
      </c>
      <c r="AC83" s="66" t="e">
        <f aca="false">IF($B$10=1,($CK83*$F$23)-$F$14,$F$22)</f>
        <v>#DIV/0!</v>
      </c>
      <c r="AD83" s="67" t="e">
        <f aca="false">AC83-$CK83+$F$24</f>
        <v>#DIV/0!</v>
      </c>
      <c r="AE83" s="0"/>
      <c r="AF83" s="0"/>
      <c r="AG83" s="0"/>
      <c r="AH83" s="63" t="n">
        <f aca="false">IF(AH$35="nymex",0,VLOOKUP($A83,curvesettle,HLOOKUP(AH$35,curvesettle,2,FALSE())))</f>
        <v>0.4</v>
      </c>
      <c r="AI83" s="65" t="n">
        <f aca="false">IF(ISNUMBER(VLOOKUP($A83,VOLCURVES,HLOOKUP(AH$35,VOLCURVES,2,FALSE()),FALSE())),VLOOKUP($A83,VOLCURVES,HLOOKUP(AH$35,VOLCURVES,2,FALSE()),FALSE()),1)</f>
        <v>1</v>
      </c>
      <c r="AJ83" s="184" t="n">
        <f aca="false">(($C83+AL83)*AI83)+$H$17</f>
        <v>0.28</v>
      </c>
      <c r="AK83" s="65" t="n">
        <f aca="false">VLOOKUP($A83,GASDVOLCURVES,HLOOKUP(AH$36,GASDVOLCURVES,2,FALSE()),FALSE())+$H$18</f>
        <v>1.15</v>
      </c>
      <c r="AL83" s="4" t="n">
        <f aca="false">IF($H$20=1,VLOOKUP($A83,skewtable,HLOOKUP(ROUND(AM83-CW83,1),skewtable,2,FALSE()),FALSE())/100,0)</f>
        <v>0</v>
      </c>
      <c r="AM83" s="66" t="e">
        <f aca="false">IF($B$10=1,($CW83*$H$23)-$H$14,$H$22)</f>
        <v>#DIV/0!</v>
      </c>
      <c r="AN83" s="67" t="e">
        <f aca="false">AM83-CW83+$H$24</f>
        <v>#DIV/0!</v>
      </c>
      <c r="AO83" s="0"/>
      <c r="AP83" s="0"/>
      <c r="AQ83" s="183"/>
      <c r="AR83" s="183"/>
      <c r="AU83" s="0"/>
      <c r="AV83" s="0"/>
      <c r="AW83" s="0"/>
      <c r="AX83" s="0"/>
      <c r="AY83" s="0"/>
      <c r="AZ83" s="0"/>
      <c r="BA83" s="0"/>
      <c r="BC83" s="64"/>
      <c r="BD83" s="64"/>
      <c r="BE83" s="4" t="n">
        <f aca="false">VLOOKUP($A83,STRADDLE,14,FALSE())</f>
        <v>0.0467165492653465</v>
      </c>
      <c r="BF83" s="72" t="n">
        <f aca="false">A84-A83</f>
        <v>31</v>
      </c>
      <c r="BG83" s="179" t="n">
        <f aca="false">A83+BG$35</f>
        <v>38626</v>
      </c>
      <c r="BH83" s="179" t="n">
        <f aca="false">A84-1</f>
        <v>38656</v>
      </c>
      <c r="BJ83" s="179" t="n">
        <f aca="true">IF(BJ$35=0,TODAY(),IF(BJ$36="NYMEX",VLOOKUP($A83,expiration,2,FALSE())+1,BG83))</f>
        <v>38624</v>
      </c>
      <c r="BK83" s="73"/>
      <c r="BL83" s="73" t="n">
        <f aca="false">IF($A83&gt;=BM$32,IF($A83&lt;=BM$33,$BF83,0),0)</f>
        <v>0</v>
      </c>
      <c r="BM83" s="73" t="e">
        <f aca="false">BO83/BL83</f>
        <v>#DIV/0!</v>
      </c>
      <c r="BN83" s="1" t="n">
        <f aca="false">BL83*($B83+B$15)</f>
        <v>0</v>
      </c>
      <c r="BO83" s="47" t="n">
        <f aca="false">IF(ISNUMBER(((BN83/BL83)+B$16+$D83+$B$14)*BL83),((BN83/BL83)+B$16+$D83+$B$14)*BL83,0)</f>
        <v>0</v>
      </c>
      <c r="BP83" s="76" t="n">
        <f aca="false">IF($BL83=0,0,OSTRIP($BM83,$I83,$BJ83-$B$2,$BG83-$BJ83,$BH83-$BJ83,$B$10,$BE83,$F83,$G83,$B$23,$J83,$BQ$34,0))</f>
        <v>0</v>
      </c>
      <c r="BQ83" s="76" t="n">
        <f aca="false">IF($BL83=0,0,OSTRIP($BM83,$I83,$BJ83-$B$2,$BG83-$BJ83,$BH83-$BJ83,$B$10,$BE83,$F83,$G83,$B$23,$J83,$BQ$34,1))</f>
        <v>0</v>
      </c>
      <c r="BR83" s="76" t="n">
        <f aca="false">IF($BL83=0,0,OSTRIP($BM83,$I83,$BJ83-$B$2,$BG83-$BJ83,$BH83-$BJ83,$B$10,$BE83,$F83,$G83,$B$23,$J83,$BQ$34,BQ$35))</f>
        <v>0</v>
      </c>
      <c r="BS83" s="37" t="n">
        <f aca="false">BL83*BP83</f>
        <v>0</v>
      </c>
      <c r="BT83" s="37" t="n">
        <f aca="false">BL83*BQ83</f>
        <v>0</v>
      </c>
      <c r="BU83" s="37" t="n">
        <f aca="false">BL83*BR83</f>
        <v>0</v>
      </c>
      <c r="BV83" s="37" t="n">
        <f aca="false">BL83*G83</f>
        <v>0</v>
      </c>
      <c r="BX83" s="73" t="n">
        <f aca="false">IF($A83&gt;=BY$32,IF($A83&lt;=BY$33,$BF83,0),0)</f>
        <v>0</v>
      </c>
      <c r="BY83" s="186" t="e">
        <f aca="false">CA83/BX83</f>
        <v>#DIV/0!</v>
      </c>
      <c r="BZ83" s="1" t="n">
        <f aca="false">BX83*($B83+$D$15)</f>
        <v>0</v>
      </c>
      <c r="CA83" s="47" t="n">
        <f aca="false">IF(ISNUMBER(((BZ83/BX83)+$D$16+$N83+$D$14)*BX83),((BZ83/BX83)+$D$16+$N83+$D$14)*BX83,0)</f>
        <v>0</v>
      </c>
      <c r="CB83" s="76" t="n">
        <f aca="false">IF($BX83=0,0,OSTRIP($BY83,$S83,$BJ83-$B$2,$BG83-$BJ83,$BH83-$BJ83,$B$10,$BE83,$P83,$Q83,$D$23,$T83,$CC$34,0))</f>
        <v>0</v>
      </c>
      <c r="CC83" s="76" t="n">
        <f aca="false">IF($BX83=0,0,OSTRIP($BY83,$S83,$BJ83-$B$2,$BG83-$BJ83,$BH83-$BJ83,$B$10,$BE83,$P83,$Q83,$D$23,$T83,$CC$34,1))</f>
        <v>0</v>
      </c>
      <c r="CD83" s="76" t="n">
        <f aca="false">IF($BX83=0,0,OSTRIP($BY83,$S83,$BJ83-$B$2,$BG83-$BJ83,$BH83-$BJ83,$B$10,$BE83,$P83,$Q83,$D$23,$T83,$CC$34,CC$35))</f>
        <v>0</v>
      </c>
      <c r="CE83" s="37" t="n">
        <f aca="false">BX83*CB83</f>
        <v>0</v>
      </c>
      <c r="CF83" s="37" t="n">
        <f aca="false">BX83*CC83</f>
        <v>0</v>
      </c>
      <c r="CG83" s="37" t="n">
        <f aca="false">BX83*CD83</f>
        <v>0</v>
      </c>
      <c r="CH83" s="37" t="n">
        <f aca="false">BX83*Q83</f>
        <v>0</v>
      </c>
      <c r="CJ83" s="73" t="n">
        <f aca="false">IF($A83&gt;=CK$32,IF($A83&lt;=CK$33,$BF83,0),0)</f>
        <v>0</v>
      </c>
      <c r="CK83" s="186" t="e">
        <f aca="false">CM83/CJ83</f>
        <v>#DIV/0!</v>
      </c>
      <c r="CL83" s="1" t="n">
        <f aca="false">CJ83*($B83+$F$15)</f>
        <v>0</v>
      </c>
      <c r="CM83" s="47" t="n">
        <f aca="false">IF(ISNUMBER(((CL83/CJ83)+$F$16+$X83+$F$14)*CJ83),((CL83/CJ83)+$F$16+$X83+$F$14)*CJ83,0)</f>
        <v>0</v>
      </c>
      <c r="CN83" s="76" t="n">
        <f aca="false">IF($CJ83=0,0,OSTRIP($CK83,$AC83,$BJ83-$B$2,$BG83-$BJ83,$BH83-$BJ83,$B$10,$BE83,$Z83,$AA83,$F$23,$AD83,$CO$34,0))</f>
        <v>0</v>
      </c>
      <c r="CO83" s="76" t="n">
        <f aca="false">IF($CJ83=0,0,OSTRIP($CK83,$AC83,$BJ83-$B$2,$BG83-$BJ83,$BH83-$BJ83,$B$10,$BE83,$Z83,$AA83,$F$23,$AD83,$CO$34,1))</f>
        <v>0</v>
      </c>
      <c r="CP83" s="76" t="n">
        <f aca="false">IF($CJ83=0,0,OSTRIP($CK83,$AC83,$BJ83-$B$2,$BG83-$BJ83,$BH83-$BJ83,$B$10,$BE83,$Z83,$AA83,$F$23,$AD83,$CO$34,$CO$35))</f>
        <v>0</v>
      </c>
      <c r="CQ83" s="37" t="n">
        <f aca="false">CJ83*CN83</f>
        <v>0</v>
      </c>
      <c r="CR83" s="37" t="n">
        <f aca="false">CJ83*CO83</f>
        <v>0</v>
      </c>
      <c r="CS83" s="37" t="n">
        <f aca="false">CJ83*CP83</f>
        <v>0</v>
      </c>
      <c r="CT83" s="37" t="n">
        <f aca="false">CJ83*AA83</f>
        <v>0</v>
      </c>
      <c r="CV83" s="73" t="n">
        <f aca="false">IF($A83&gt;=CW$32,IF($A83&lt;=CW$33,$BF83,0),0)</f>
        <v>0</v>
      </c>
      <c r="CW83" s="186" t="e">
        <f aca="false">CY83/CV83</f>
        <v>#DIV/0!</v>
      </c>
      <c r="CX83" s="1" t="n">
        <f aca="false">CV83*($B83+$H$15)</f>
        <v>0</v>
      </c>
      <c r="CY83" s="47" t="n">
        <f aca="false">IF(ISNUMBER(((CX83/CV83)+$H$16+$AH83+$H$14)*CV83),((CX83/CV83)+$H$16+$AH83+$H$14)*CV83,0)</f>
        <v>0</v>
      </c>
      <c r="CZ83" s="76" t="n">
        <f aca="false">IF($CV83=0,0,OSTRIP($CW83,$AM83,$BJ83-$B$2,$BG83-$BJ83,$BH83-$BJ83,$B$10,$BE83,$AJ83,$AK83,$H$23,$AN83,$DA$34,0))</f>
        <v>0</v>
      </c>
      <c r="DA83" s="76" t="n">
        <f aca="false">IF($CV83=0,0,OSTRIP($CW83,$AM83,$BJ83-$B$2,$BG83-$BJ83,$BH83-$BJ83,$B$10,$BE83,$AJ83,$AK83,$H$23,$AN83,$DA$34,1))</f>
        <v>0</v>
      </c>
      <c r="DB83" s="76" t="n">
        <f aca="false">IF($CV83=0,0,OSTRIP($CW83,$AM83,$BJ83-$B$2,$BG83-$BJ83,$BH83-$BJ83,$B$10,$BE83,$AJ83,$AK83,$H$23,$AN83,$DA$34,DA$35))</f>
        <v>0</v>
      </c>
      <c r="DC83" s="37" t="n">
        <f aca="false">CV83*CZ83</f>
        <v>0</v>
      </c>
      <c r="DD83" s="37" t="n">
        <f aca="false">CV83*DA83</f>
        <v>0</v>
      </c>
      <c r="DE83" s="37" t="n">
        <f aca="false">CV83*DB83</f>
        <v>0</v>
      </c>
      <c r="DF83" s="37" t="n">
        <f aca="false">CV83*AK83</f>
        <v>0</v>
      </c>
    </row>
    <row r="84" customFormat="false" ht="12.75" hidden="false" customHeight="false" outlineLevel="0" collapsed="false">
      <c r="A84" s="62" t="n">
        <f aca="false">DATE(YEAR(A83),MONTH(A83)+1,1)</f>
        <v>38657</v>
      </c>
      <c r="B84" s="63" t="n">
        <f aca="false">VLOOKUP(A84,STRADDLE,5,FALSE())</f>
        <v>3.537</v>
      </c>
      <c r="C84" s="4" t="n">
        <f aca="false">VLOOKUP(A84,STRADDLE,8,FALSE())</f>
        <v>0.28</v>
      </c>
      <c r="D84" s="63" t="n">
        <f aca="false">IF(D$35="nymex",0,VLOOKUP($A84,curvesettle,HLOOKUP(D$35,curvesettle,2,FALSE())))</f>
        <v>0.46</v>
      </c>
      <c r="E84" s="65" t="n">
        <f aca="false">IF(ISNUMBER(VLOOKUP($A84,VOLCURVES,HLOOKUP(D$35,VOLCURVES,2,FALSE()),FALSE())),VLOOKUP($A84,VOLCURVES,HLOOKUP(D$35,VOLCURVES,2,FALSE()),FALSE()),1)</f>
        <v>1.1</v>
      </c>
      <c r="F84" s="4" t="n">
        <f aca="false">(($C84+H84)*$E84)+B$17</f>
        <v>0.408</v>
      </c>
      <c r="G84" s="65" t="n">
        <f aca="false">VLOOKUP($A84,GASDVOLCURVES,HLOOKUP(D$36,GASDVOLCURVES,2,FALSE()),FALSE())+$B$18</f>
        <v>0.9</v>
      </c>
      <c r="H84" s="4" t="n">
        <f aca="false">IF($B$20=1,VLOOKUP($A84,skewtable,HLOOKUP(ROUND(I84-BM84,1),skewtable,2,FALSE()),FALSE())/100,0)</f>
        <v>0</v>
      </c>
      <c r="I84" s="66" t="e">
        <f aca="false">IF($B$10=1,($BM84*$B$23)-$B$14,$B$22)</f>
        <v>#DIV/0!</v>
      </c>
      <c r="J84" s="67" t="e">
        <f aca="false">I84-BM84+$B$24</f>
        <v>#DIV/0!</v>
      </c>
      <c r="K84" s="67"/>
      <c r="L84" s="183"/>
      <c r="M84" s="183"/>
      <c r="N84" s="63" t="n">
        <f aca="false">IF(N$35="nymex",0,VLOOKUP($A84,curvesettle,HLOOKUP(N$35,curvesettle,2,FALSE())))</f>
        <v>-0.0225</v>
      </c>
      <c r="O84" s="65" t="n">
        <f aca="false">IF(ISNUMBER(VLOOKUP($A84,VOLCURVES,HLOOKUP(N$35,VOLCURVES,2,FALSE()),FALSE())),VLOOKUP($A84,VOLCURVES,HLOOKUP(N$35,VOLCURVES,2,FALSE()),FALSE()),1)</f>
        <v>1</v>
      </c>
      <c r="P84" s="184" t="n">
        <f aca="false">(($C84+R84)*O84)+$D$17</f>
        <v>0.28</v>
      </c>
      <c r="Q84" s="65" t="n">
        <f aca="false">VLOOKUP($A84,GASDVOLCURVES,HLOOKUP(N$36,GASDVOLCURVES,2,FALSE()),FALSE())+$D$18</f>
        <v>0.9</v>
      </c>
      <c r="R84" s="4" t="n">
        <f aca="false">IF($D$20=1,VLOOKUP($A84,skewtable,HLOOKUP(ROUND(S84-BY84,1),skewtable,2,FALSE()),FALSE())/100,0)</f>
        <v>0</v>
      </c>
      <c r="S84" s="66" t="e">
        <f aca="false">IF(B$10=1,($BY84*$D$23)-$D$14,$D$22)</f>
        <v>#DIV/0!</v>
      </c>
      <c r="T84" s="67" t="e">
        <f aca="false">S84-$BY84+$D$24</f>
        <v>#DIV/0!</v>
      </c>
      <c r="U84" s="0"/>
      <c r="V84" s="0"/>
      <c r="W84" s="0"/>
      <c r="X84" s="63" t="n">
        <f aca="false">IF(X$35="nymex",0,VLOOKUP($A84,curvesettle,HLOOKUP(X$35,curvesettle,2,FALSE())))</f>
        <v>0.24</v>
      </c>
      <c r="Y84" s="65" t="n">
        <f aca="false">IF(ISNUMBER(VLOOKUP($A84,VOLCURVES,HLOOKUP(X$35,VOLCURVES,2,FALSE()),FALSE())),VLOOKUP($A84,VOLCURVES,HLOOKUP(X$35,VOLCURVES,2,FALSE()),FALSE()),1)</f>
        <v>1</v>
      </c>
      <c r="Z84" s="184" t="n">
        <f aca="false">(($C84+AB84)*Y84)+$F$17</f>
        <v>0.28</v>
      </c>
      <c r="AA84" s="65" t="n">
        <f aca="false">VLOOKUP($A84,GASDVOLCURVES,HLOOKUP(X$36,GASDVOLCURVES,2,FALSE()),FALSE())+$F$18</f>
        <v>0.9</v>
      </c>
      <c r="AB84" s="4" t="n">
        <f aca="false">IF($F$20=1,VLOOKUP($A84,skewtable,HLOOKUP(ROUND(AC84-CK84,1),skewtable,2,FALSE()),FALSE())/100,0)</f>
        <v>0</v>
      </c>
      <c r="AC84" s="66" t="e">
        <f aca="false">IF($B$10=1,($CK84*$F$23)-$F$14,$F$22)</f>
        <v>#DIV/0!</v>
      </c>
      <c r="AD84" s="67" t="e">
        <f aca="false">AC84-$CK84+$F$24</f>
        <v>#DIV/0!</v>
      </c>
      <c r="AE84" s="0"/>
      <c r="AF84" s="0"/>
      <c r="AG84" s="0"/>
      <c r="AH84" s="63" t="n">
        <f aca="false">IF(AH$35="nymex",0,VLOOKUP($A84,curvesettle,HLOOKUP(AH$35,curvesettle,2,FALSE())))</f>
        <v>0.65</v>
      </c>
      <c r="AI84" s="65" t="n">
        <f aca="false">IF(ISNUMBER(VLOOKUP($A84,VOLCURVES,HLOOKUP(AH$35,VOLCURVES,2,FALSE()),FALSE())),VLOOKUP($A84,VOLCURVES,HLOOKUP(AH$35,VOLCURVES,2,FALSE()),FALSE()),1)</f>
        <v>1.1</v>
      </c>
      <c r="AJ84" s="184" t="n">
        <f aca="false">(($C84+AL84)*AI84)+$H$17</f>
        <v>0.308</v>
      </c>
      <c r="AK84" s="65" t="n">
        <f aca="false">VLOOKUP($A84,GASDVOLCURVES,HLOOKUP(AH$36,GASDVOLCURVES,2,FALSE()),FALSE())+$H$18</f>
        <v>1.45</v>
      </c>
      <c r="AL84" s="4" t="n">
        <f aca="false">IF($H$20=1,VLOOKUP($A84,skewtable,HLOOKUP(ROUND(AM84-CW84,1),skewtable,2,FALSE()),FALSE())/100,0)</f>
        <v>0</v>
      </c>
      <c r="AM84" s="66" t="e">
        <f aca="false">IF($B$10=1,($CW84*$H$23)-$H$14,$H$22)</f>
        <v>#DIV/0!</v>
      </c>
      <c r="AN84" s="67" t="e">
        <f aca="false">AM84-CW84+$H$24</f>
        <v>#DIV/0!</v>
      </c>
      <c r="AO84" s="0"/>
      <c r="AP84" s="0"/>
      <c r="AQ84" s="183"/>
      <c r="AR84" s="183"/>
      <c r="AU84" s="0"/>
      <c r="AV84" s="0"/>
      <c r="AW84" s="0"/>
      <c r="AX84" s="0"/>
      <c r="AY84" s="0"/>
      <c r="AZ84" s="0"/>
      <c r="BA84" s="0"/>
      <c r="BC84" s="64"/>
      <c r="BD84" s="64"/>
      <c r="BE84" s="4" t="n">
        <f aca="false">VLOOKUP($A84,STRADDLE,14,FALSE())</f>
        <v>0.0470928800068173</v>
      </c>
      <c r="BF84" s="72" t="n">
        <f aca="false">A85-A84</f>
        <v>30</v>
      </c>
      <c r="BG84" s="179" t="n">
        <f aca="false">A84+BG$35</f>
        <v>38657</v>
      </c>
      <c r="BH84" s="179" t="n">
        <f aca="false">A85-1</f>
        <v>38686</v>
      </c>
      <c r="BJ84" s="179" t="n">
        <f aca="true">IF(BJ$35=0,TODAY(),IF(BJ$36="NYMEX",VLOOKUP($A84,expiration,2,FALSE())+1,BG84))</f>
        <v>38653</v>
      </c>
      <c r="BK84" s="73"/>
      <c r="BL84" s="73" t="n">
        <f aca="false">IF($A84&gt;=BM$32,IF($A84&lt;=BM$33,$BF84,0),0)</f>
        <v>0</v>
      </c>
      <c r="BM84" s="73" t="e">
        <f aca="false">BO84/BL84</f>
        <v>#DIV/0!</v>
      </c>
      <c r="BN84" s="1" t="n">
        <f aca="false">BL84*($B84+B$15)</f>
        <v>0</v>
      </c>
      <c r="BO84" s="47" t="n">
        <f aca="false">IF(ISNUMBER(((BN84/BL84)+B$16+$D84+$B$14)*BL84),((BN84/BL84)+B$16+$D84+$B$14)*BL84,0)</f>
        <v>0</v>
      </c>
      <c r="BP84" s="76" t="n">
        <f aca="false">IF($BL84=0,0,OSTRIP($BM84,$I84,$BJ84-$B$2,$BG84-$BJ84,$BH84-$BJ84,$B$10,$BE84,$F84,$G84,$B$23,$J84,$BQ$34,0))</f>
        <v>0</v>
      </c>
      <c r="BQ84" s="76" t="n">
        <f aca="false">IF($BL84=0,0,OSTRIP($BM84,$I84,$BJ84-$B$2,$BG84-$BJ84,$BH84-$BJ84,$B$10,$BE84,$F84,$G84,$B$23,$J84,$BQ$34,1))</f>
        <v>0</v>
      </c>
      <c r="BR84" s="76" t="n">
        <f aca="false">IF($BL84=0,0,OSTRIP($BM84,$I84,$BJ84-$B$2,$BG84-$BJ84,$BH84-$BJ84,$B$10,$BE84,$F84,$G84,$B$23,$J84,$BQ$34,BQ$35))</f>
        <v>0</v>
      </c>
      <c r="BS84" s="37" t="n">
        <f aca="false">BL84*BP84</f>
        <v>0</v>
      </c>
      <c r="BT84" s="37" t="n">
        <f aca="false">BL84*BQ84</f>
        <v>0</v>
      </c>
      <c r="BU84" s="37" t="n">
        <f aca="false">BL84*BR84</f>
        <v>0</v>
      </c>
      <c r="BV84" s="37" t="n">
        <f aca="false">BL84*G84</f>
        <v>0</v>
      </c>
      <c r="BX84" s="73" t="n">
        <f aca="false">IF($A84&gt;=BY$32,IF($A84&lt;=BY$33,$BF84,0),0)</f>
        <v>0</v>
      </c>
      <c r="BY84" s="186" t="e">
        <f aca="false">CA84/BX84</f>
        <v>#DIV/0!</v>
      </c>
      <c r="BZ84" s="1" t="n">
        <f aca="false">BX84*($B84+$D$15)</f>
        <v>0</v>
      </c>
      <c r="CA84" s="47" t="n">
        <f aca="false">IF(ISNUMBER(((BZ84/BX84)+$D$16+$N84+$D$14)*BX84),((BZ84/BX84)+$D$16+$N84+$D$14)*BX84,0)</f>
        <v>0</v>
      </c>
      <c r="CB84" s="76" t="n">
        <f aca="false">IF($BX84=0,0,OSTRIP($BY84,$S84,$BJ84-$B$2,$BG84-$BJ84,$BH84-$BJ84,$B$10,$BE84,$P84,$Q84,$D$23,$T84,$CC$34,0))</f>
        <v>0</v>
      </c>
      <c r="CC84" s="76" t="n">
        <f aca="false">IF($BX84=0,0,OSTRIP($BY84,$S84,$BJ84-$B$2,$BG84-$BJ84,$BH84-$BJ84,$B$10,$BE84,$P84,$Q84,$D$23,$T84,$CC$34,1))</f>
        <v>0</v>
      </c>
      <c r="CD84" s="76" t="n">
        <f aca="false">IF($BX84=0,0,OSTRIP($BY84,$S84,$BJ84-$B$2,$BG84-$BJ84,$BH84-$BJ84,$B$10,$BE84,$P84,$Q84,$D$23,$T84,$CC$34,CC$35))</f>
        <v>0</v>
      </c>
      <c r="CE84" s="37" t="n">
        <f aca="false">BX84*CB84</f>
        <v>0</v>
      </c>
      <c r="CF84" s="37" t="n">
        <f aca="false">BX84*CC84</f>
        <v>0</v>
      </c>
      <c r="CG84" s="37" t="n">
        <f aca="false">BX84*CD84</f>
        <v>0</v>
      </c>
      <c r="CH84" s="37" t="n">
        <f aca="false">BX84*Q84</f>
        <v>0</v>
      </c>
      <c r="CJ84" s="73" t="n">
        <f aca="false">IF($A84&gt;=CK$32,IF($A84&lt;=CK$33,$BF84,0),0)</f>
        <v>0</v>
      </c>
      <c r="CK84" s="186" t="e">
        <f aca="false">CM84/CJ84</f>
        <v>#DIV/0!</v>
      </c>
      <c r="CL84" s="1" t="n">
        <f aca="false">CJ84*($B84+$F$15)</f>
        <v>0</v>
      </c>
      <c r="CM84" s="47" t="n">
        <f aca="false">IF(ISNUMBER(((CL84/CJ84)+$F$16+$X84+$F$14)*CJ84),((CL84/CJ84)+$F$16+$X84+$F$14)*CJ84,0)</f>
        <v>0</v>
      </c>
      <c r="CN84" s="76" t="n">
        <f aca="false">IF($CJ84=0,0,OSTRIP($CK84,$AC84,$BJ84-$B$2,$BG84-$BJ84,$BH84-$BJ84,$B$10,$BE84,$Z84,$AA84,$F$23,$AD84,$CO$34,0))</f>
        <v>0</v>
      </c>
      <c r="CO84" s="76" t="n">
        <f aca="false">IF($CJ84=0,0,OSTRIP($CK84,$AC84,$BJ84-$B$2,$BG84-$BJ84,$BH84-$BJ84,$B$10,$BE84,$Z84,$AA84,$F$23,$AD84,$CO$34,1))</f>
        <v>0</v>
      </c>
      <c r="CP84" s="76" t="n">
        <f aca="false">IF($CJ84=0,0,OSTRIP($CK84,$AC84,$BJ84-$B$2,$BG84-$BJ84,$BH84-$BJ84,$B$10,$BE84,$Z84,$AA84,$F$23,$AD84,$CO$34,$CO$35))</f>
        <v>0</v>
      </c>
      <c r="CQ84" s="37" t="n">
        <f aca="false">CJ84*CN84</f>
        <v>0</v>
      </c>
      <c r="CR84" s="37" t="n">
        <f aca="false">CJ84*CO84</f>
        <v>0</v>
      </c>
      <c r="CS84" s="37" t="n">
        <f aca="false">CJ84*CP84</f>
        <v>0</v>
      </c>
      <c r="CT84" s="37" t="n">
        <f aca="false">CJ84*AA84</f>
        <v>0</v>
      </c>
      <c r="CV84" s="73" t="n">
        <f aca="false">IF($A84&gt;=CW$32,IF($A84&lt;=CW$33,$BF84,0),0)</f>
        <v>0</v>
      </c>
      <c r="CW84" s="186" t="e">
        <f aca="false">CY84/CV84</f>
        <v>#DIV/0!</v>
      </c>
      <c r="CX84" s="1" t="n">
        <f aca="false">CV84*($B84+$H$15)</f>
        <v>0</v>
      </c>
      <c r="CY84" s="47" t="n">
        <f aca="false">IF(ISNUMBER(((CX84/CV84)+$H$16+$AH84+$H$14)*CV84),((CX84/CV84)+$H$16+$AH84+$H$14)*CV84,0)</f>
        <v>0</v>
      </c>
      <c r="CZ84" s="76" t="n">
        <f aca="false">IF($CV84=0,0,OSTRIP($CW84,$AM84,$BJ84-$B$2,$BG84-$BJ84,$BH84-$BJ84,$B$10,$BE84,$AJ84,$AK84,$H$23,$AN84,$DA$34,0))</f>
        <v>0</v>
      </c>
      <c r="DA84" s="76" t="n">
        <f aca="false">IF($CV84=0,0,OSTRIP($CW84,$AM84,$BJ84-$B$2,$BG84-$BJ84,$BH84-$BJ84,$B$10,$BE84,$AJ84,$AK84,$H$23,$AN84,$DA$34,1))</f>
        <v>0</v>
      </c>
      <c r="DB84" s="76" t="n">
        <f aca="false">IF($CV84=0,0,OSTRIP($CW84,$AM84,$BJ84-$B$2,$BG84-$BJ84,$BH84-$BJ84,$B$10,$BE84,$AJ84,$AK84,$H$23,$AN84,$DA$34,DA$35))</f>
        <v>0</v>
      </c>
      <c r="DC84" s="37" t="n">
        <f aca="false">CV84*CZ84</f>
        <v>0</v>
      </c>
      <c r="DD84" s="37" t="n">
        <f aca="false">CV84*DA84</f>
        <v>0</v>
      </c>
      <c r="DE84" s="37" t="n">
        <f aca="false">CV84*DB84</f>
        <v>0</v>
      </c>
      <c r="DF84" s="37" t="n">
        <f aca="false">CV84*AK84</f>
        <v>0</v>
      </c>
    </row>
    <row r="85" customFormat="false" ht="12.75" hidden="false" customHeight="false" outlineLevel="0" collapsed="false">
      <c r="A85" s="62" t="n">
        <f aca="false">DATE(YEAR(A84),MONTH(A84)+1,1)</f>
        <v>38687</v>
      </c>
      <c r="B85" s="63" t="n">
        <f aca="false">VLOOKUP(A85,STRADDLE,5,FALSE())</f>
        <v>3.68</v>
      </c>
      <c r="C85" s="4" t="n">
        <f aca="false">VLOOKUP(A85,STRADDLE,8,FALSE())</f>
        <v>0.28</v>
      </c>
      <c r="D85" s="63" t="n">
        <f aca="false">IF(D$35="nymex",0,VLOOKUP($A85,curvesettle,HLOOKUP(D$35,curvesettle,2,FALSE())))</f>
        <v>0.77</v>
      </c>
      <c r="E85" s="65" t="n">
        <f aca="false">IF(ISNUMBER(VLOOKUP($A85,VOLCURVES,HLOOKUP(D$35,VOLCURVES,2,FALSE()),FALSE())),VLOOKUP($A85,VOLCURVES,HLOOKUP(D$35,VOLCURVES,2,FALSE()),FALSE()),1)</f>
        <v>1.1</v>
      </c>
      <c r="F85" s="4" t="n">
        <f aca="false">(($C85+H85)*$E85)+B$17</f>
        <v>0.408</v>
      </c>
      <c r="G85" s="65" t="n">
        <f aca="false">VLOOKUP($A85,GASDVOLCURVES,HLOOKUP(D$36,GASDVOLCURVES,2,FALSE()),FALSE())+$B$18</f>
        <v>1.1</v>
      </c>
      <c r="H85" s="4" t="n">
        <f aca="false">IF($B$20=1,VLOOKUP($A85,skewtable,HLOOKUP(ROUND(I85-BM85,1),skewtable,2,FALSE()),FALSE())/100,0)</f>
        <v>0</v>
      </c>
      <c r="I85" s="66" t="e">
        <f aca="false">IF($B$10=1,($BM85*$B$23)-$B$14,$B$22)</f>
        <v>#DIV/0!</v>
      </c>
      <c r="J85" s="67" t="e">
        <f aca="false">I85-BM85+$B$24</f>
        <v>#DIV/0!</v>
      </c>
      <c r="K85" s="67"/>
      <c r="L85" s="183"/>
      <c r="M85" s="183"/>
      <c r="N85" s="63" t="n">
        <f aca="false">IF(N$35="nymex",0,VLOOKUP($A85,curvesettle,HLOOKUP(N$35,curvesettle,2,FALSE())))</f>
        <v>-0.045</v>
      </c>
      <c r="O85" s="65" t="n">
        <f aca="false">IF(ISNUMBER(VLOOKUP($A85,VOLCURVES,HLOOKUP(N$35,VOLCURVES,2,FALSE()),FALSE())),VLOOKUP($A85,VOLCURVES,HLOOKUP(N$35,VOLCURVES,2,FALSE()),FALSE()),1)</f>
        <v>1</v>
      </c>
      <c r="P85" s="184" t="n">
        <f aca="false">(($C85+R85)*O85)+$D$17</f>
        <v>0.28</v>
      </c>
      <c r="Q85" s="65" t="n">
        <f aca="false">VLOOKUP($A85,GASDVOLCURVES,HLOOKUP(N$36,GASDVOLCURVES,2,FALSE()),FALSE())+$D$18</f>
        <v>1.1</v>
      </c>
      <c r="R85" s="4" t="n">
        <f aca="false">IF($D$20=1,VLOOKUP($A85,skewtable,HLOOKUP(ROUND(S85-BY85,1),skewtable,2,FALSE()),FALSE())/100,0)</f>
        <v>0</v>
      </c>
      <c r="S85" s="66" t="e">
        <f aca="false">IF(B$10=1,($BY85*$D$23)-$D$14,$D$22)</f>
        <v>#DIV/0!</v>
      </c>
      <c r="T85" s="67" t="e">
        <f aca="false">S85-$BY85+$D$24</f>
        <v>#DIV/0!</v>
      </c>
      <c r="U85" s="0"/>
      <c r="V85" s="0"/>
      <c r="W85" s="0"/>
      <c r="X85" s="63" t="n">
        <f aca="false">IF(X$35="nymex",0,VLOOKUP($A85,curvesettle,HLOOKUP(X$35,curvesettle,2,FALSE())))</f>
        <v>0.24</v>
      </c>
      <c r="Y85" s="65" t="n">
        <f aca="false">IF(ISNUMBER(VLOOKUP($A85,VOLCURVES,HLOOKUP(X$35,VOLCURVES,2,FALSE()),FALSE())),VLOOKUP($A85,VOLCURVES,HLOOKUP(X$35,VOLCURVES,2,FALSE()),FALSE()),1)</f>
        <v>1</v>
      </c>
      <c r="Z85" s="184" t="n">
        <f aca="false">(($C85+AB85)*Y85)+$F$17</f>
        <v>0.28</v>
      </c>
      <c r="AA85" s="65" t="n">
        <f aca="false">VLOOKUP($A85,GASDVOLCURVES,HLOOKUP(X$36,GASDVOLCURVES,2,FALSE()),FALSE())+$F$18</f>
        <v>1.1</v>
      </c>
      <c r="AB85" s="4" t="n">
        <f aca="false">IF($F$20=1,VLOOKUP($A85,skewtable,HLOOKUP(ROUND(AC85-CK85,1),skewtable,2,FALSE()),FALSE())/100,0)</f>
        <v>0</v>
      </c>
      <c r="AC85" s="66" t="e">
        <f aca="false">IF($B$10=1,($CK85*$F$23)-$F$14,$F$22)</f>
        <v>#DIV/0!</v>
      </c>
      <c r="AD85" s="67" t="e">
        <f aca="false">AC85-$CK85+$F$24</f>
        <v>#DIV/0!</v>
      </c>
      <c r="AE85" s="0"/>
      <c r="AF85" s="0"/>
      <c r="AG85" s="0"/>
      <c r="AH85" s="63" t="n">
        <f aca="false">IF(AH$35="nymex",0,VLOOKUP($A85,curvesettle,HLOOKUP(AH$35,curvesettle,2,FALSE())))</f>
        <v>0.98</v>
      </c>
      <c r="AI85" s="65" t="n">
        <f aca="false">IF(ISNUMBER(VLOOKUP($A85,VOLCURVES,HLOOKUP(AH$35,VOLCURVES,2,FALSE()),FALSE())),VLOOKUP($A85,VOLCURVES,HLOOKUP(AH$35,VOLCURVES,2,FALSE()),FALSE()),1)</f>
        <v>1.02</v>
      </c>
      <c r="AJ85" s="184" t="n">
        <f aca="false">(($C85+AL85)*AI85)+$H$17</f>
        <v>0.2856</v>
      </c>
      <c r="AK85" s="65" t="n">
        <f aca="false">VLOOKUP($A85,GASDVOLCURVES,HLOOKUP(AH$36,GASDVOLCURVES,2,FALSE()),FALSE())+$H$18</f>
        <v>1.75</v>
      </c>
      <c r="AL85" s="4" t="n">
        <f aca="false">IF($H$20=1,VLOOKUP($A85,skewtable,HLOOKUP(ROUND(AM85-CW85,1),skewtable,2,FALSE()),FALSE())/100,0)</f>
        <v>0</v>
      </c>
      <c r="AM85" s="66" t="e">
        <f aca="false">IF($B$10=1,($CW85*$H$23)-$H$14,$H$22)</f>
        <v>#DIV/0!</v>
      </c>
      <c r="AN85" s="67" t="e">
        <f aca="false">AM85-CW85+$H$24</f>
        <v>#DIV/0!</v>
      </c>
      <c r="AO85" s="0"/>
      <c r="AP85" s="0"/>
      <c r="AQ85" s="183"/>
      <c r="AR85" s="183"/>
      <c r="AU85" s="0"/>
      <c r="AV85" s="0"/>
      <c r="AW85" s="0"/>
      <c r="AX85" s="0"/>
      <c r="AY85" s="0"/>
      <c r="AZ85" s="0"/>
      <c r="BA85" s="0"/>
      <c r="BC85" s="64"/>
      <c r="BD85" s="64"/>
      <c r="BE85" s="4" t="n">
        <f aca="false">VLOOKUP($A85,STRADDLE,14,FALSE())</f>
        <v>0.0474570710920372</v>
      </c>
      <c r="BF85" s="72" t="n">
        <f aca="false">A86-A85</f>
        <v>31</v>
      </c>
      <c r="BG85" s="179" t="n">
        <f aca="false">A85+BG$35</f>
        <v>38687</v>
      </c>
      <c r="BH85" s="179" t="n">
        <f aca="false">A86-1</f>
        <v>38717</v>
      </c>
      <c r="BJ85" s="179" t="n">
        <f aca="true">IF(BJ$35=0,TODAY(),IF(BJ$36="NYMEX",VLOOKUP($A85,expiration,2,FALSE())+1,BG85))</f>
        <v>38685</v>
      </c>
      <c r="BK85" s="73"/>
      <c r="BL85" s="73" t="n">
        <f aca="false">IF($A85&gt;=BM$32,IF($A85&lt;=BM$33,$BF85,0),0)</f>
        <v>0</v>
      </c>
      <c r="BM85" s="73" t="e">
        <f aca="false">BO85/BL85</f>
        <v>#DIV/0!</v>
      </c>
      <c r="BN85" s="1" t="n">
        <f aca="false">BL85*($B85+B$15)</f>
        <v>0</v>
      </c>
      <c r="BO85" s="47" t="n">
        <f aca="false">IF(ISNUMBER(((BN85/BL85)+B$16+$D85+$B$14)*BL85),((BN85/BL85)+B$16+$D85+$B$14)*BL85,0)</f>
        <v>0</v>
      </c>
      <c r="BP85" s="76" t="n">
        <f aca="false">IF($BL85=0,0,OSTRIP($BM85,$I85,$BJ85-$B$2,$BG85-$BJ85,$BH85-$BJ85,$B$10,$BE85,$F85,$G85,$B$23,$J85,$BQ$34,0))</f>
        <v>0</v>
      </c>
      <c r="BQ85" s="76" t="n">
        <f aca="false">IF($BL85=0,0,OSTRIP($BM85,$I85,$BJ85-$B$2,$BG85-$BJ85,$BH85-$BJ85,$B$10,$BE85,$F85,$G85,$B$23,$J85,$BQ$34,1))</f>
        <v>0</v>
      </c>
      <c r="BR85" s="76" t="n">
        <f aca="false">IF($BL85=0,0,OSTRIP($BM85,$I85,$BJ85-$B$2,$BG85-$BJ85,$BH85-$BJ85,$B$10,$BE85,$F85,$G85,$B$23,$J85,$BQ$34,BQ$35))</f>
        <v>0</v>
      </c>
      <c r="BS85" s="37" t="n">
        <f aca="false">BL85*BP85</f>
        <v>0</v>
      </c>
      <c r="BT85" s="37" t="n">
        <f aca="false">BL85*BQ85</f>
        <v>0</v>
      </c>
      <c r="BU85" s="37" t="n">
        <f aca="false">BL85*BR85</f>
        <v>0</v>
      </c>
      <c r="BV85" s="37" t="n">
        <f aca="false">BL85*G85</f>
        <v>0</v>
      </c>
      <c r="BX85" s="73" t="n">
        <f aca="false">IF($A85&gt;=BY$32,IF($A85&lt;=BY$33,$BF85,0),0)</f>
        <v>0</v>
      </c>
      <c r="BY85" s="186" t="e">
        <f aca="false">CA85/BX85</f>
        <v>#DIV/0!</v>
      </c>
      <c r="BZ85" s="1" t="n">
        <f aca="false">BX85*($B85+$D$15)</f>
        <v>0</v>
      </c>
      <c r="CA85" s="47" t="n">
        <f aca="false">IF(ISNUMBER(((BZ85/BX85)+$D$16+$N85+$D$14)*BX85),((BZ85/BX85)+$D$16+$N85+$D$14)*BX85,0)</f>
        <v>0</v>
      </c>
      <c r="CB85" s="76" t="n">
        <f aca="false">IF($BX85=0,0,OSTRIP($BY85,$S85,$BJ85-$B$2,$BG85-$BJ85,$BH85-$BJ85,$B$10,$BE85,$P85,$Q85,$D$23,$T85,$CC$34,0))</f>
        <v>0</v>
      </c>
      <c r="CC85" s="76" t="n">
        <f aca="false">IF($BX85=0,0,OSTRIP($BY85,$S85,$BJ85-$B$2,$BG85-$BJ85,$BH85-$BJ85,$B$10,$BE85,$P85,$Q85,$D$23,$T85,$CC$34,1))</f>
        <v>0</v>
      </c>
      <c r="CD85" s="76" t="n">
        <f aca="false">IF($BX85=0,0,OSTRIP($BY85,$S85,$BJ85-$B$2,$BG85-$BJ85,$BH85-$BJ85,$B$10,$BE85,$P85,$Q85,$D$23,$T85,$CC$34,CC$35))</f>
        <v>0</v>
      </c>
      <c r="CE85" s="37" t="n">
        <f aca="false">BX85*CB85</f>
        <v>0</v>
      </c>
      <c r="CF85" s="37" t="n">
        <f aca="false">BX85*CC85</f>
        <v>0</v>
      </c>
      <c r="CG85" s="37" t="n">
        <f aca="false">BX85*CD85</f>
        <v>0</v>
      </c>
      <c r="CH85" s="37" t="n">
        <f aca="false">BX85*Q85</f>
        <v>0</v>
      </c>
      <c r="CJ85" s="73" t="n">
        <f aca="false">IF($A85&gt;=CK$32,IF($A85&lt;=CK$33,$BF85,0),0)</f>
        <v>0</v>
      </c>
      <c r="CK85" s="186" t="e">
        <f aca="false">CM85/CJ85</f>
        <v>#DIV/0!</v>
      </c>
      <c r="CL85" s="1" t="n">
        <f aca="false">CJ85*($B85+$F$15)</f>
        <v>0</v>
      </c>
      <c r="CM85" s="47" t="n">
        <f aca="false">IF(ISNUMBER(((CL85/CJ85)+$F$16+$X85+$F$14)*CJ85),((CL85/CJ85)+$F$16+$X85+$F$14)*CJ85,0)</f>
        <v>0</v>
      </c>
      <c r="CN85" s="76" t="n">
        <f aca="false">IF($CJ85=0,0,OSTRIP($CK85,$AC85,$BJ85-$B$2,$BG85-$BJ85,$BH85-$BJ85,$B$10,$BE85,$Z85,$AA85,$F$23,$AD85,$CO$34,0))</f>
        <v>0</v>
      </c>
      <c r="CO85" s="76" t="n">
        <f aca="false">IF($CJ85=0,0,OSTRIP($CK85,$AC85,$BJ85-$B$2,$BG85-$BJ85,$BH85-$BJ85,$B$10,$BE85,$Z85,$AA85,$F$23,$AD85,$CO$34,1))</f>
        <v>0</v>
      </c>
      <c r="CP85" s="76" t="n">
        <f aca="false">IF($CJ85=0,0,OSTRIP($CK85,$AC85,$BJ85-$B$2,$BG85-$BJ85,$BH85-$BJ85,$B$10,$BE85,$Z85,$AA85,$F$23,$AD85,$CO$34,$CO$35))</f>
        <v>0</v>
      </c>
      <c r="CQ85" s="37" t="n">
        <f aca="false">CJ85*CN85</f>
        <v>0</v>
      </c>
      <c r="CR85" s="37" t="n">
        <f aca="false">CJ85*CO85</f>
        <v>0</v>
      </c>
      <c r="CS85" s="37" t="n">
        <f aca="false">CJ85*CP85</f>
        <v>0</v>
      </c>
      <c r="CT85" s="37" t="n">
        <f aca="false">CJ85*AA85</f>
        <v>0</v>
      </c>
      <c r="CV85" s="73" t="n">
        <f aca="false">IF($A85&gt;=CW$32,IF($A85&lt;=CW$33,$BF85,0),0)</f>
        <v>0</v>
      </c>
      <c r="CW85" s="186" t="e">
        <f aca="false">CY85/CV85</f>
        <v>#DIV/0!</v>
      </c>
      <c r="CX85" s="1" t="n">
        <f aca="false">CV85*($B85+$H$15)</f>
        <v>0</v>
      </c>
      <c r="CY85" s="47" t="n">
        <f aca="false">IF(ISNUMBER(((CX85/CV85)+$H$16+$AH85+$H$14)*CV85),((CX85/CV85)+$H$16+$AH85+$H$14)*CV85,0)</f>
        <v>0</v>
      </c>
      <c r="CZ85" s="76" t="n">
        <f aca="false">IF($CV85=0,0,OSTRIP($CW85,$AM85,$BJ85-$B$2,$BG85-$BJ85,$BH85-$BJ85,$B$10,$BE85,$AJ85,$AK85,$H$23,$AN85,$DA$34,0))</f>
        <v>0</v>
      </c>
      <c r="DA85" s="76" t="n">
        <f aca="false">IF($CV85=0,0,OSTRIP($CW85,$AM85,$BJ85-$B$2,$BG85-$BJ85,$BH85-$BJ85,$B$10,$BE85,$AJ85,$AK85,$H$23,$AN85,$DA$34,1))</f>
        <v>0</v>
      </c>
      <c r="DB85" s="76" t="n">
        <f aca="false">IF($CV85=0,0,OSTRIP($CW85,$AM85,$BJ85-$B$2,$BG85-$BJ85,$BH85-$BJ85,$B$10,$BE85,$AJ85,$AK85,$H$23,$AN85,$DA$34,DA$35))</f>
        <v>0</v>
      </c>
      <c r="DC85" s="37" t="n">
        <f aca="false">CV85*CZ85</f>
        <v>0</v>
      </c>
      <c r="DD85" s="37" t="n">
        <f aca="false">CV85*DA85</f>
        <v>0</v>
      </c>
      <c r="DE85" s="37" t="n">
        <f aca="false">CV85*DB85</f>
        <v>0</v>
      </c>
      <c r="DF85" s="37" t="n">
        <f aca="false">CV85*AK85</f>
        <v>0</v>
      </c>
    </row>
    <row r="86" customFormat="false" ht="12.75" hidden="false" customHeight="false" outlineLevel="0" collapsed="false">
      <c r="A86" s="62" t="n">
        <f aca="false">DATE(YEAR(A85),MONTH(A85)+1,1)</f>
        <v>38718</v>
      </c>
      <c r="B86" s="63" t="n">
        <f aca="false">VLOOKUP(A86,STRADDLE,5,FALSE())</f>
        <v>3.735</v>
      </c>
      <c r="C86" s="4" t="n">
        <f aca="false">VLOOKUP(A86,STRADDLE,8,FALSE())</f>
        <v>0.285</v>
      </c>
      <c r="D86" s="63" t="n">
        <f aca="false">IF(D$35="nymex",0,VLOOKUP($A86,curvesettle,HLOOKUP(D$35,curvesettle,2,FALSE())))</f>
        <v>1.04</v>
      </c>
      <c r="E86" s="65" t="n">
        <f aca="false">IF(ISNUMBER(VLOOKUP($A86,VOLCURVES,HLOOKUP(D$35,VOLCURVES,2,FALSE()),FALSE())),VLOOKUP($A86,VOLCURVES,HLOOKUP(D$35,VOLCURVES,2,FALSE()),FALSE()),1)</f>
        <v>1.1</v>
      </c>
      <c r="F86" s="4" t="n">
        <f aca="false">(($C86+H86)*$E86)+B$17</f>
        <v>0.4135</v>
      </c>
      <c r="G86" s="65" t="n">
        <f aca="false">VLOOKUP($A86,GASDVOLCURVES,HLOOKUP(D$36,GASDVOLCURVES,2,FALSE()),FALSE())+$B$18</f>
        <v>1.1</v>
      </c>
      <c r="H86" s="4" t="n">
        <f aca="false">IF($B$20=1,VLOOKUP($A86,skewtable,HLOOKUP(ROUND(I86-BM86,1),skewtable,2,FALSE()),FALSE())/100,0)</f>
        <v>0</v>
      </c>
      <c r="I86" s="66" t="e">
        <f aca="false">IF($B$10=1,($BM86*$B$23)-$B$14,$B$22)</f>
        <v>#DIV/0!</v>
      </c>
      <c r="J86" s="67" t="e">
        <f aca="false">I86-BM86+$B$24</f>
        <v>#DIV/0!</v>
      </c>
      <c r="K86" s="67"/>
      <c r="L86" s="183"/>
      <c r="M86" s="183"/>
      <c r="N86" s="63" t="n">
        <f aca="false">IF(N$35="nymex",0,VLOOKUP($A86,curvesettle,HLOOKUP(N$35,curvesettle,2,FALSE())))</f>
        <v>-0.0475</v>
      </c>
      <c r="O86" s="65" t="n">
        <f aca="false">IF(ISNUMBER(VLOOKUP($A86,VOLCURVES,HLOOKUP(N$35,VOLCURVES,2,FALSE()),FALSE())),VLOOKUP($A86,VOLCURVES,HLOOKUP(N$35,VOLCURVES,2,FALSE()),FALSE()),1)</f>
        <v>1</v>
      </c>
      <c r="P86" s="184" t="n">
        <f aca="false">(($C86+R86)*O86)+$D$17</f>
        <v>0.285</v>
      </c>
      <c r="Q86" s="65" t="n">
        <f aca="false">VLOOKUP($A86,GASDVOLCURVES,HLOOKUP(N$36,GASDVOLCURVES,2,FALSE()),FALSE())+$D$18</f>
        <v>1.1</v>
      </c>
      <c r="R86" s="4" t="n">
        <f aca="false">IF($D$20=1,VLOOKUP($A86,skewtable,HLOOKUP(ROUND(S86-BY86,1),skewtable,2,FALSE()),FALSE())/100,0)</f>
        <v>0</v>
      </c>
      <c r="S86" s="66" t="e">
        <f aca="false">IF(B$10=1,($BY86*$D$23)-$D$14,$D$22)</f>
        <v>#DIV/0!</v>
      </c>
      <c r="T86" s="67" t="e">
        <f aca="false">S86-$BY86+$D$24</f>
        <v>#DIV/0!</v>
      </c>
      <c r="U86" s="0"/>
      <c r="V86" s="0"/>
      <c r="W86" s="0"/>
      <c r="X86" s="63" t="n">
        <f aca="false">IF(X$35="nymex",0,VLOOKUP($A86,curvesettle,HLOOKUP(X$35,curvesettle,2,FALSE())))</f>
        <v>0.24</v>
      </c>
      <c r="Y86" s="65" t="n">
        <f aca="false">IF(ISNUMBER(VLOOKUP($A86,VOLCURVES,HLOOKUP(X$35,VOLCURVES,2,FALSE()),FALSE())),VLOOKUP($A86,VOLCURVES,HLOOKUP(X$35,VOLCURVES,2,FALSE()),FALSE()),1)</f>
        <v>1</v>
      </c>
      <c r="Z86" s="184" t="n">
        <f aca="false">(($C86+AB86)*Y86)+$F$17</f>
        <v>0.285</v>
      </c>
      <c r="AA86" s="65" t="n">
        <f aca="false">VLOOKUP($A86,GASDVOLCURVES,HLOOKUP(X$36,GASDVOLCURVES,2,FALSE()),FALSE())+$F$18</f>
        <v>1.1</v>
      </c>
      <c r="AB86" s="4" t="n">
        <f aca="false">IF($F$20=1,VLOOKUP($A86,skewtable,HLOOKUP(ROUND(AC86-CK86,1),skewtable,2,FALSE()),FALSE())/100,0)</f>
        <v>0</v>
      </c>
      <c r="AC86" s="66" t="e">
        <f aca="false">IF($B$10=1,($CK86*$F$23)-$F$14,$F$22)</f>
        <v>#DIV/0!</v>
      </c>
      <c r="AD86" s="67" t="e">
        <f aca="false">AC86-$CK86+$F$24</f>
        <v>#DIV/0!</v>
      </c>
      <c r="AE86" s="0"/>
      <c r="AF86" s="0"/>
      <c r="AG86" s="0"/>
      <c r="AH86" s="63" t="n">
        <f aca="false">IF(AH$35="nymex",0,VLOOKUP($A86,curvesettle,HLOOKUP(AH$35,curvesettle,2,FALSE())))</f>
        <v>1.6</v>
      </c>
      <c r="AI86" s="65" t="n">
        <f aca="false">IF(ISNUMBER(VLOOKUP($A86,VOLCURVES,HLOOKUP(AH$35,VOLCURVES,2,FALSE()),FALSE())),VLOOKUP($A86,VOLCURVES,HLOOKUP(AH$35,VOLCURVES,2,FALSE()),FALSE()),1)</f>
        <v>1.04</v>
      </c>
      <c r="AJ86" s="184" t="n">
        <f aca="false">(($C86+AL86)*AI86)+$H$17</f>
        <v>0.2964</v>
      </c>
      <c r="AK86" s="65" t="n">
        <f aca="false">VLOOKUP($A86,GASDVOLCURVES,HLOOKUP(AH$36,GASDVOLCURVES,2,FALSE()),FALSE())+$H$18</f>
        <v>1.95</v>
      </c>
      <c r="AL86" s="4" t="n">
        <f aca="false">IF($H$20=1,VLOOKUP($A86,skewtable,HLOOKUP(ROUND(AM86-CW86,1),skewtable,2,FALSE()),FALSE())/100,0)</f>
        <v>0</v>
      </c>
      <c r="AM86" s="66" t="e">
        <f aca="false">IF($B$10=1,($CW86*$H$23)-$H$14,$H$22)</f>
        <v>#DIV/0!</v>
      </c>
      <c r="AN86" s="67" t="e">
        <f aca="false">AM86-CW86+$H$24</f>
        <v>#DIV/0!</v>
      </c>
      <c r="AO86" s="0"/>
      <c r="AP86" s="0"/>
      <c r="AQ86" s="183"/>
      <c r="AR86" s="183"/>
      <c r="AU86" s="0"/>
      <c r="AV86" s="0"/>
      <c r="AW86" s="0"/>
      <c r="AX86" s="0"/>
      <c r="AY86" s="0"/>
      <c r="AZ86" s="0"/>
      <c r="BA86" s="0"/>
      <c r="BC86" s="64"/>
      <c r="BD86" s="64"/>
      <c r="BE86" s="4" t="n">
        <f aca="false">VLOOKUP($A86,STRADDLE,14,FALSE())</f>
        <v>0.0478100678250022</v>
      </c>
      <c r="BF86" s="72" t="n">
        <f aca="false">A87-A86</f>
        <v>31</v>
      </c>
      <c r="BG86" s="179" t="n">
        <f aca="false">A86+BG$35</f>
        <v>38718</v>
      </c>
      <c r="BH86" s="179" t="n">
        <f aca="false">A87-1</f>
        <v>38748</v>
      </c>
      <c r="BJ86" s="179" t="n">
        <f aca="true">IF(BJ$35=0,TODAY(),IF(BJ$36="NYMEX",VLOOKUP($A86,expiration,2,FALSE())+1,BG86))</f>
        <v>38715</v>
      </c>
      <c r="BK86" s="73"/>
      <c r="BL86" s="73" t="n">
        <f aca="false">IF($A86&gt;=BM$32,IF($A86&lt;=BM$33,$BF86,0),0)</f>
        <v>0</v>
      </c>
      <c r="BM86" s="73" t="e">
        <f aca="false">BO86/BL86</f>
        <v>#DIV/0!</v>
      </c>
      <c r="BN86" s="1" t="n">
        <f aca="false">BL86*($B86+B$15)</f>
        <v>0</v>
      </c>
      <c r="BO86" s="47" t="n">
        <f aca="false">IF(ISNUMBER(((BN86/BL86)+B$16+$D86+$B$14)*BL86),((BN86/BL86)+B$16+$D86+$B$14)*BL86,0)</f>
        <v>0</v>
      </c>
      <c r="BP86" s="76" t="n">
        <f aca="false">IF($BL86=0,0,OSTRIP($BM86,$I86,$BJ86-$B$2,$BG86-$BJ86,$BH86-$BJ86,$B$10,$BE86,$F86,$G86,$B$23,$J86,$BQ$34,0))</f>
        <v>0</v>
      </c>
      <c r="BQ86" s="76" t="n">
        <f aca="false">IF($BL86=0,0,OSTRIP($BM86,$I86,$BJ86-$B$2,$BG86-$BJ86,$BH86-$BJ86,$B$10,$BE86,$F86,$G86,$B$23,$J86,$BQ$34,1))</f>
        <v>0</v>
      </c>
      <c r="BR86" s="76" t="n">
        <f aca="false">IF($BL86=0,0,OSTRIP($BM86,$I86,$BJ86-$B$2,$BG86-$BJ86,$BH86-$BJ86,$B$10,$BE86,$F86,$G86,$B$23,$J86,$BQ$34,BQ$35))</f>
        <v>0</v>
      </c>
      <c r="BS86" s="37" t="n">
        <f aca="false">BL86*BP86</f>
        <v>0</v>
      </c>
      <c r="BT86" s="37" t="n">
        <f aca="false">BL86*BQ86</f>
        <v>0</v>
      </c>
      <c r="BU86" s="37" t="n">
        <f aca="false">BL86*BR86</f>
        <v>0</v>
      </c>
      <c r="BV86" s="37" t="n">
        <f aca="false">BL86*G86</f>
        <v>0</v>
      </c>
      <c r="BX86" s="73" t="n">
        <f aca="false">IF($A86&gt;=BY$32,IF($A86&lt;=BY$33,$BF86,0),0)</f>
        <v>0</v>
      </c>
      <c r="BY86" s="186" t="e">
        <f aca="false">CA86/BX86</f>
        <v>#DIV/0!</v>
      </c>
      <c r="BZ86" s="1" t="n">
        <f aca="false">BX86*($B86+$D$15)</f>
        <v>0</v>
      </c>
      <c r="CA86" s="47" t="n">
        <f aca="false">IF(ISNUMBER(((BZ86/BX86)+$D$16+$N86+$D$14)*BX86),((BZ86/BX86)+$D$16+$N86+$D$14)*BX86,0)</f>
        <v>0</v>
      </c>
      <c r="CB86" s="76" t="n">
        <f aca="false">IF($BX86=0,0,OSTRIP($BY86,$S86,$BJ86-$B$2,$BG86-$BJ86,$BH86-$BJ86,$B$10,$BE86,$P86,$Q86,$D$23,$T86,$CC$34,0))</f>
        <v>0</v>
      </c>
      <c r="CC86" s="76" t="n">
        <f aca="false">IF($BX86=0,0,OSTRIP($BY86,$S86,$BJ86-$B$2,$BG86-$BJ86,$BH86-$BJ86,$B$10,$BE86,$P86,$Q86,$D$23,$T86,$CC$34,1))</f>
        <v>0</v>
      </c>
      <c r="CD86" s="76" t="n">
        <f aca="false">IF($BX86=0,0,OSTRIP($BY86,$S86,$BJ86-$B$2,$BG86-$BJ86,$BH86-$BJ86,$B$10,$BE86,$P86,$Q86,$D$23,$T86,$CC$34,CC$35))</f>
        <v>0</v>
      </c>
      <c r="CE86" s="37" t="n">
        <f aca="false">BX86*CB86</f>
        <v>0</v>
      </c>
      <c r="CF86" s="37" t="n">
        <f aca="false">BX86*CC86</f>
        <v>0</v>
      </c>
      <c r="CG86" s="37" t="n">
        <f aca="false">BX86*CD86</f>
        <v>0</v>
      </c>
      <c r="CH86" s="37" t="n">
        <f aca="false">BX86*Q86</f>
        <v>0</v>
      </c>
      <c r="CJ86" s="73" t="n">
        <f aca="false">IF($A86&gt;=CK$32,IF($A86&lt;=CK$33,$BF86,0),0)</f>
        <v>0</v>
      </c>
      <c r="CK86" s="186" t="e">
        <f aca="false">CM86/CJ86</f>
        <v>#DIV/0!</v>
      </c>
      <c r="CL86" s="1" t="n">
        <f aca="false">CJ86*($B86+$F$15)</f>
        <v>0</v>
      </c>
      <c r="CM86" s="47" t="n">
        <f aca="false">IF(ISNUMBER(((CL86/CJ86)+$F$16+$X86+$F$14)*CJ86),((CL86/CJ86)+$F$16+$X86+$F$14)*CJ86,0)</f>
        <v>0</v>
      </c>
      <c r="CN86" s="76" t="n">
        <f aca="false">IF($CJ86=0,0,OSTRIP($CK86,$AC86,$BJ86-$B$2,$BG86-$BJ86,$BH86-$BJ86,$B$10,$BE86,$Z86,$AA86,$F$23,$AD86,$CO$34,0))</f>
        <v>0</v>
      </c>
      <c r="CO86" s="76" t="n">
        <f aca="false">IF($CJ86=0,0,OSTRIP($CK86,$AC86,$BJ86-$B$2,$BG86-$BJ86,$BH86-$BJ86,$B$10,$BE86,$Z86,$AA86,$F$23,$AD86,$CO$34,1))</f>
        <v>0</v>
      </c>
      <c r="CP86" s="76" t="n">
        <f aca="false">IF($CJ86=0,0,OSTRIP($CK86,$AC86,$BJ86-$B$2,$BG86-$BJ86,$BH86-$BJ86,$B$10,$BE86,$Z86,$AA86,$F$23,$AD86,$CO$34,$CO$35))</f>
        <v>0</v>
      </c>
      <c r="CQ86" s="37" t="n">
        <f aca="false">CJ86*CN86</f>
        <v>0</v>
      </c>
      <c r="CR86" s="37" t="n">
        <f aca="false">CJ86*CO86</f>
        <v>0</v>
      </c>
      <c r="CS86" s="37" t="n">
        <f aca="false">CJ86*CP86</f>
        <v>0</v>
      </c>
      <c r="CT86" s="37" t="n">
        <f aca="false">CJ86*AA86</f>
        <v>0</v>
      </c>
      <c r="CV86" s="73" t="n">
        <f aca="false">IF($A86&gt;=CW$32,IF($A86&lt;=CW$33,$BF86,0),0)</f>
        <v>0</v>
      </c>
      <c r="CW86" s="186" t="e">
        <f aca="false">CY86/CV86</f>
        <v>#DIV/0!</v>
      </c>
      <c r="CX86" s="1" t="n">
        <f aca="false">CV86*($B86+$H$15)</f>
        <v>0</v>
      </c>
      <c r="CY86" s="47" t="n">
        <f aca="false">IF(ISNUMBER(((CX86/CV86)+$H$16+$AH86+$H$14)*CV86),((CX86/CV86)+$H$16+$AH86+$H$14)*CV86,0)</f>
        <v>0</v>
      </c>
      <c r="CZ86" s="76" t="n">
        <f aca="false">IF($CV86=0,0,OSTRIP($CW86,$AM86,$BJ86-$B$2,$BG86-$BJ86,$BH86-$BJ86,$B$10,$BE86,$AJ86,$AK86,$H$23,$AN86,$DA$34,0))</f>
        <v>0</v>
      </c>
      <c r="DA86" s="76" t="n">
        <f aca="false">IF($CV86=0,0,OSTRIP($CW86,$AM86,$BJ86-$B$2,$BG86-$BJ86,$BH86-$BJ86,$B$10,$BE86,$AJ86,$AK86,$H$23,$AN86,$DA$34,1))</f>
        <v>0</v>
      </c>
      <c r="DB86" s="76" t="n">
        <f aca="false">IF($CV86=0,0,OSTRIP($CW86,$AM86,$BJ86-$B$2,$BG86-$BJ86,$BH86-$BJ86,$B$10,$BE86,$AJ86,$AK86,$H$23,$AN86,$DA$34,DA$35))</f>
        <v>0</v>
      </c>
      <c r="DC86" s="37" t="n">
        <f aca="false">CV86*CZ86</f>
        <v>0</v>
      </c>
      <c r="DD86" s="37" t="n">
        <f aca="false">CV86*DA86</f>
        <v>0</v>
      </c>
      <c r="DE86" s="37" t="n">
        <f aca="false">CV86*DB86</f>
        <v>0</v>
      </c>
      <c r="DF86" s="37" t="n">
        <f aca="false">CV86*AK86</f>
        <v>0</v>
      </c>
    </row>
    <row r="87" customFormat="false" ht="12.75" hidden="false" customHeight="false" outlineLevel="0" collapsed="false">
      <c r="A87" s="62" t="n">
        <f aca="false">DATE(YEAR(A86),MONTH(A86)+1,1)</f>
        <v>38749</v>
      </c>
      <c r="B87" s="63" t="n">
        <f aca="false">VLOOKUP(A87,STRADDLE,5,FALSE())</f>
        <v>3.65</v>
      </c>
      <c r="C87" s="4" t="n">
        <f aca="false">VLOOKUP(A87,STRADDLE,8,FALSE())</f>
        <v>0.28</v>
      </c>
      <c r="D87" s="63" t="n">
        <f aca="false">IF(D$35="nymex",0,VLOOKUP($A87,curvesettle,HLOOKUP(D$35,curvesettle,2,FALSE())))</f>
        <v>1.04</v>
      </c>
      <c r="E87" s="65" t="n">
        <f aca="false">IF(ISNUMBER(VLOOKUP($A87,VOLCURVES,HLOOKUP(D$35,VOLCURVES,2,FALSE()),FALSE())),VLOOKUP($A87,VOLCURVES,HLOOKUP(D$35,VOLCURVES,2,FALSE()),FALSE()),1)</f>
        <v>1.1</v>
      </c>
      <c r="F87" s="4" t="n">
        <f aca="false">(($C87+H87)*$E87)+B$17</f>
        <v>0.408</v>
      </c>
      <c r="G87" s="65" t="n">
        <f aca="false">VLOOKUP($A87,GASDVOLCURVES,HLOOKUP(D$36,GASDVOLCURVES,2,FALSE()),FALSE())+$B$18</f>
        <v>1.1</v>
      </c>
      <c r="H87" s="4" t="n">
        <f aca="false">IF($B$20=1,VLOOKUP($A87,skewtable,HLOOKUP(ROUND(I87-BM87,1),skewtable,2,FALSE()),FALSE())/100,0)</f>
        <v>0</v>
      </c>
      <c r="I87" s="66" t="e">
        <f aca="false">IF($B$10=1,($BM87*$B$23)-$B$14,$B$22)</f>
        <v>#DIV/0!</v>
      </c>
      <c r="J87" s="67" t="e">
        <f aca="false">I87-BM87+$B$24</f>
        <v>#DIV/0!</v>
      </c>
      <c r="K87" s="67"/>
      <c r="L87" s="183"/>
      <c r="M87" s="183"/>
      <c r="N87" s="63" t="n">
        <f aca="false">IF(N$35="nymex",0,VLOOKUP($A87,curvesettle,HLOOKUP(N$35,curvesettle,2,FALSE())))</f>
        <v>-0.03</v>
      </c>
      <c r="O87" s="65" t="n">
        <f aca="false">IF(ISNUMBER(VLOOKUP($A87,VOLCURVES,HLOOKUP(N$35,VOLCURVES,2,FALSE()),FALSE())),VLOOKUP($A87,VOLCURVES,HLOOKUP(N$35,VOLCURVES,2,FALSE()),FALSE()),1)</f>
        <v>1</v>
      </c>
      <c r="P87" s="184" t="n">
        <f aca="false">(($C87+R87)*O87)+$D$17</f>
        <v>0.28</v>
      </c>
      <c r="Q87" s="65" t="n">
        <f aca="false">VLOOKUP($A87,GASDVOLCURVES,HLOOKUP(N$36,GASDVOLCURVES,2,FALSE()),FALSE())+$D$18</f>
        <v>1.1</v>
      </c>
      <c r="R87" s="4" t="n">
        <f aca="false">IF($D$20=1,VLOOKUP($A87,skewtable,HLOOKUP(ROUND(S87-BY87,1),skewtable,2,FALSE()),FALSE())/100,0)</f>
        <v>0</v>
      </c>
      <c r="S87" s="66" t="e">
        <f aca="false">IF(B$10=1,($BY87*$D$23)-$D$14,$D$22)</f>
        <v>#DIV/0!</v>
      </c>
      <c r="T87" s="67" t="e">
        <f aca="false">S87-$BY87+$D$24</f>
        <v>#DIV/0!</v>
      </c>
      <c r="U87" s="0"/>
      <c r="V87" s="0"/>
      <c r="W87" s="0"/>
      <c r="X87" s="63" t="n">
        <f aca="false">IF(X$35="nymex",0,VLOOKUP($A87,curvesettle,HLOOKUP(X$35,curvesettle,2,FALSE())))</f>
        <v>0.24</v>
      </c>
      <c r="Y87" s="65" t="n">
        <f aca="false">IF(ISNUMBER(VLOOKUP($A87,VOLCURVES,HLOOKUP(X$35,VOLCURVES,2,FALSE()),FALSE())),VLOOKUP($A87,VOLCURVES,HLOOKUP(X$35,VOLCURVES,2,FALSE()),FALSE()),1)</f>
        <v>1</v>
      </c>
      <c r="Z87" s="184" t="n">
        <f aca="false">(($C87+AB87)*Y87)+$F$17</f>
        <v>0.28</v>
      </c>
      <c r="AA87" s="65" t="n">
        <f aca="false">VLOOKUP($A87,GASDVOLCURVES,HLOOKUP(X$36,GASDVOLCURVES,2,FALSE()),FALSE())+$F$18</f>
        <v>1.1</v>
      </c>
      <c r="AB87" s="4" t="n">
        <f aca="false">IF($F$20=1,VLOOKUP($A87,skewtable,HLOOKUP(ROUND(AC87-CK87,1),skewtable,2,FALSE()),FALSE())/100,0)</f>
        <v>0</v>
      </c>
      <c r="AC87" s="66" t="e">
        <f aca="false">IF($B$10=1,($CK87*$F$23)-$F$14,$F$22)</f>
        <v>#DIV/0!</v>
      </c>
      <c r="AD87" s="67" t="e">
        <f aca="false">AC87-$CK87+$F$24</f>
        <v>#DIV/0!</v>
      </c>
      <c r="AE87" s="0"/>
      <c r="AF87" s="0"/>
      <c r="AG87" s="0"/>
      <c r="AH87" s="63" t="n">
        <f aca="false">IF(AH$35="nymex",0,VLOOKUP($A87,curvesettle,HLOOKUP(AH$35,curvesettle,2,FALSE())))</f>
        <v>1.6</v>
      </c>
      <c r="AI87" s="65" t="n">
        <f aca="false">IF(ISNUMBER(VLOOKUP($A87,VOLCURVES,HLOOKUP(AH$35,VOLCURVES,2,FALSE()),FALSE())),VLOOKUP($A87,VOLCURVES,HLOOKUP(AH$35,VOLCURVES,2,FALSE()),FALSE()),1)</f>
        <v>1.04</v>
      </c>
      <c r="AJ87" s="184" t="n">
        <f aca="false">(($C87+AL87)*AI87)+$H$17</f>
        <v>0.2912</v>
      </c>
      <c r="AK87" s="65" t="n">
        <f aca="false">VLOOKUP($A87,GASDVOLCURVES,HLOOKUP(AH$36,GASDVOLCURVES,2,FALSE()),FALSE())+$H$18</f>
        <v>1.95</v>
      </c>
      <c r="AL87" s="4" t="n">
        <f aca="false">IF($H$20=1,VLOOKUP($A87,skewtable,HLOOKUP(ROUND(AM87-CW87,1),skewtable,2,FALSE()),FALSE())/100,0)</f>
        <v>0</v>
      </c>
      <c r="AM87" s="66" t="e">
        <f aca="false">IF($B$10=1,($CW87*$H$23)-$H$14,$H$22)</f>
        <v>#DIV/0!</v>
      </c>
      <c r="AN87" s="67" t="e">
        <f aca="false">AM87-CW87+$H$24</f>
        <v>#DIV/0!</v>
      </c>
      <c r="AO87" s="0"/>
      <c r="AP87" s="0"/>
      <c r="AQ87" s="183"/>
      <c r="AR87" s="183"/>
      <c r="AU87" s="0"/>
      <c r="AV87" s="0"/>
      <c r="AW87" s="0"/>
      <c r="AX87" s="0"/>
      <c r="AY87" s="0"/>
      <c r="AZ87" s="0"/>
      <c r="BA87" s="0"/>
      <c r="BC87" s="64"/>
      <c r="BD87" s="64"/>
      <c r="BE87" s="4" t="n">
        <f aca="false">VLOOKUP($A87,STRADDLE,14,FALSE())</f>
        <v>0.0481206389556634</v>
      </c>
      <c r="BF87" s="72" t="n">
        <f aca="false">A88-A87</f>
        <v>28</v>
      </c>
      <c r="BG87" s="179" t="n">
        <f aca="false">A87+BG$35</f>
        <v>38749</v>
      </c>
      <c r="BH87" s="179" t="n">
        <f aca="false">A88-1</f>
        <v>38776</v>
      </c>
      <c r="BJ87" s="179" t="n">
        <f aca="true">IF(BJ$35=0,TODAY(),IF(BJ$36="NYMEX",VLOOKUP($A87,expiration,2,FALSE())+1,BG87))</f>
        <v>38745</v>
      </c>
      <c r="BK87" s="73"/>
      <c r="BL87" s="73" t="n">
        <f aca="false">IF($A87&gt;=BM$32,IF($A87&lt;=BM$33,$BF87,0),0)</f>
        <v>0</v>
      </c>
      <c r="BM87" s="73" t="e">
        <f aca="false">BO87/BL87</f>
        <v>#DIV/0!</v>
      </c>
      <c r="BN87" s="1" t="n">
        <f aca="false">BL87*($B87+B$15)</f>
        <v>0</v>
      </c>
      <c r="BO87" s="47" t="n">
        <f aca="false">IF(ISNUMBER(((BN87/BL87)+B$16+$D87+$B$14)*BL87),((BN87/BL87)+B$16+$D87+$B$14)*BL87,0)</f>
        <v>0</v>
      </c>
      <c r="BP87" s="76" t="n">
        <f aca="false">IF($BL87=0,0,OSTRIP($BM87,$I87,$BJ87-$B$2,$BG87-$BJ87,$BH87-$BJ87,$B$10,$BE87,$F87,$G87,$B$23,$J87,$BQ$34,0))</f>
        <v>0</v>
      </c>
      <c r="BQ87" s="76" t="n">
        <f aca="false">IF($BL87=0,0,OSTRIP($BM87,$I87,$BJ87-$B$2,$BG87-$BJ87,$BH87-$BJ87,$B$10,$BE87,$F87,$G87,$B$23,$J87,$BQ$34,1))</f>
        <v>0</v>
      </c>
      <c r="BR87" s="76" t="n">
        <f aca="false">IF($BL87=0,0,OSTRIP($BM87,$I87,$BJ87-$B$2,$BG87-$BJ87,$BH87-$BJ87,$B$10,$BE87,$F87,$G87,$B$23,$J87,$BQ$34,BQ$35))</f>
        <v>0</v>
      </c>
      <c r="BS87" s="37" t="n">
        <f aca="false">BL87*BP87</f>
        <v>0</v>
      </c>
      <c r="BT87" s="37" t="n">
        <f aca="false">BL87*BQ87</f>
        <v>0</v>
      </c>
      <c r="BU87" s="37" t="n">
        <f aca="false">BL87*BR87</f>
        <v>0</v>
      </c>
      <c r="BV87" s="37" t="n">
        <f aca="false">BL87*G87</f>
        <v>0</v>
      </c>
      <c r="BX87" s="73" t="n">
        <f aca="false">IF($A87&gt;=BY$32,IF($A87&lt;=BY$33,$BF87,0),0)</f>
        <v>0</v>
      </c>
      <c r="BY87" s="186" t="e">
        <f aca="false">CA87/BX87</f>
        <v>#DIV/0!</v>
      </c>
      <c r="BZ87" s="1" t="n">
        <f aca="false">BX87*($B87+$D$15)</f>
        <v>0</v>
      </c>
      <c r="CA87" s="47" t="n">
        <f aca="false">IF(ISNUMBER(((BZ87/BX87)+$D$16+$N87+$D$14)*BX87),((BZ87/BX87)+$D$16+$N87+$D$14)*BX87,0)</f>
        <v>0</v>
      </c>
      <c r="CB87" s="76" t="n">
        <f aca="false">IF($BX87=0,0,OSTRIP($BY87,$S87,$BJ87-$B$2,$BG87-$BJ87,$BH87-$BJ87,$B$10,$BE87,$P87,$Q87,$D$23,$T87,$CC$34,0))</f>
        <v>0</v>
      </c>
      <c r="CC87" s="76" t="n">
        <f aca="false">IF($BX87=0,0,OSTRIP($BY87,$S87,$BJ87-$B$2,$BG87-$BJ87,$BH87-$BJ87,$B$10,$BE87,$P87,$Q87,$D$23,$T87,$CC$34,1))</f>
        <v>0</v>
      </c>
      <c r="CD87" s="76" t="n">
        <f aca="false">IF($BX87=0,0,OSTRIP($BY87,$S87,$BJ87-$B$2,$BG87-$BJ87,$BH87-$BJ87,$B$10,$BE87,$P87,$Q87,$D$23,$T87,$CC$34,CC$35))</f>
        <v>0</v>
      </c>
      <c r="CE87" s="37" t="n">
        <f aca="false">BX87*CB87</f>
        <v>0</v>
      </c>
      <c r="CF87" s="37" t="n">
        <f aca="false">BX87*CC87</f>
        <v>0</v>
      </c>
      <c r="CG87" s="37" t="n">
        <f aca="false">BX87*CD87</f>
        <v>0</v>
      </c>
      <c r="CH87" s="37" t="n">
        <f aca="false">BX87*Q87</f>
        <v>0</v>
      </c>
      <c r="CJ87" s="73" t="n">
        <f aca="false">IF($A87&gt;=CK$32,IF($A87&lt;=CK$33,$BF87,0),0)</f>
        <v>0</v>
      </c>
      <c r="CK87" s="186" t="e">
        <f aca="false">CM87/CJ87</f>
        <v>#DIV/0!</v>
      </c>
      <c r="CL87" s="1" t="n">
        <f aca="false">CJ87*($B87+$F$15)</f>
        <v>0</v>
      </c>
      <c r="CM87" s="47" t="n">
        <f aca="false">IF(ISNUMBER(((CL87/CJ87)+$F$16+$X87+$F$14)*CJ87),((CL87/CJ87)+$F$16+$X87+$F$14)*CJ87,0)</f>
        <v>0</v>
      </c>
      <c r="CN87" s="76" t="n">
        <f aca="false">IF($CJ87=0,0,OSTRIP($CK87,$AC87,$BJ87-$B$2,$BG87-$BJ87,$BH87-$BJ87,$B$10,$BE87,$Z87,$AA87,$F$23,$AD87,$CO$34,0))</f>
        <v>0</v>
      </c>
      <c r="CO87" s="76" t="n">
        <f aca="false">IF($CJ87=0,0,OSTRIP($CK87,$AC87,$BJ87-$B$2,$BG87-$BJ87,$BH87-$BJ87,$B$10,$BE87,$Z87,$AA87,$F$23,$AD87,$CO$34,1))</f>
        <v>0</v>
      </c>
      <c r="CP87" s="76" t="n">
        <f aca="false">IF($CJ87=0,0,OSTRIP($CK87,$AC87,$BJ87-$B$2,$BG87-$BJ87,$BH87-$BJ87,$B$10,$BE87,$Z87,$AA87,$F$23,$AD87,$CO$34,$CO$35))</f>
        <v>0</v>
      </c>
      <c r="CQ87" s="37" t="n">
        <f aca="false">CJ87*CN87</f>
        <v>0</v>
      </c>
      <c r="CR87" s="37" t="n">
        <f aca="false">CJ87*CO87</f>
        <v>0</v>
      </c>
      <c r="CS87" s="37" t="n">
        <f aca="false">CJ87*CP87</f>
        <v>0</v>
      </c>
      <c r="CT87" s="37" t="n">
        <f aca="false">CJ87*AA87</f>
        <v>0</v>
      </c>
      <c r="CV87" s="73" t="n">
        <f aca="false">IF($A87&gt;=CW$32,IF($A87&lt;=CW$33,$BF87,0),0)</f>
        <v>0</v>
      </c>
      <c r="CW87" s="186" t="e">
        <f aca="false">CY87/CV87</f>
        <v>#DIV/0!</v>
      </c>
      <c r="CX87" s="1" t="n">
        <f aca="false">CV87*($B87+$H$15)</f>
        <v>0</v>
      </c>
      <c r="CY87" s="47" t="n">
        <f aca="false">IF(ISNUMBER(((CX87/CV87)+$H$16+$AH87+$H$14)*CV87),((CX87/CV87)+$H$16+$AH87+$H$14)*CV87,0)</f>
        <v>0</v>
      </c>
      <c r="CZ87" s="76" t="n">
        <f aca="false">IF($CV87=0,0,OSTRIP($CW87,$AM87,$BJ87-$B$2,$BG87-$BJ87,$BH87-$BJ87,$B$10,$BE87,$AJ87,$AK87,$H$23,$AN87,$DA$34,0))</f>
        <v>0</v>
      </c>
      <c r="DA87" s="76" t="n">
        <f aca="false">IF($CV87=0,0,OSTRIP($CW87,$AM87,$BJ87-$B$2,$BG87-$BJ87,$BH87-$BJ87,$B$10,$BE87,$AJ87,$AK87,$H$23,$AN87,$DA$34,1))</f>
        <v>0</v>
      </c>
      <c r="DB87" s="76" t="n">
        <f aca="false">IF($CV87=0,0,OSTRIP($CW87,$AM87,$BJ87-$B$2,$BG87-$BJ87,$BH87-$BJ87,$B$10,$BE87,$AJ87,$AK87,$H$23,$AN87,$DA$34,DA$35))</f>
        <v>0</v>
      </c>
      <c r="DC87" s="37" t="n">
        <f aca="false">CV87*CZ87</f>
        <v>0</v>
      </c>
      <c r="DD87" s="37" t="n">
        <f aca="false">CV87*DA87</f>
        <v>0</v>
      </c>
      <c r="DE87" s="37" t="n">
        <f aca="false">CV87*DB87</f>
        <v>0</v>
      </c>
      <c r="DF87" s="37" t="n">
        <f aca="false">CV87*AK87</f>
        <v>0</v>
      </c>
    </row>
    <row r="88" customFormat="false" ht="12.75" hidden="false" customHeight="false" outlineLevel="0" collapsed="false">
      <c r="A88" s="62" t="n">
        <f aca="false">DATE(YEAR(A87),MONTH(A87)+1,1)</f>
        <v>38777</v>
      </c>
      <c r="B88" s="63" t="n">
        <f aca="false">VLOOKUP(A88,STRADDLE,5,FALSE())</f>
        <v>3.52</v>
      </c>
      <c r="C88" s="4" t="n">
        <f aca="false">VLOOKUP(A88,STRADDLE,8,FALSE())</f>
        <v>0.27</v>
      </c>
      <c r="D88" s="63" t="n">
        <f aca="false">IF(D$35="nymex",0,VLOOKUP($A88,curvesettle,HLOOKUP(D$35,curvesettle,2,FALSE())))</f>
        <v>0.54</v>
      </c>
      <c r="E88" s="65" t="n">
        <f aca="false">IF(ISNUMBER(VLOOKUP($A88,VOLCURVES,HLOOKUP(D$35,VOLCURVES,2,FALSE()),FALSE())),VLOOKUP($A88,VOLCURVES,HLOOKUP(D$35,VOLCURVES,2,FALSE()),FALSE()),1)</f>
        <v>1.1</v>
      </c>
      <c r="F88" s="4" t="n">
        <f aca="false">(($C88+H88)*$E88)+B$17</f>
        <v>0.397</v>
      </c>
      <c r="G88" s="65" t="n">
        <f aca="false">VLOOKUP($A88,GASDVOLCURVES,HLOOKUP(D$36,GASDVOLCURVES,2,FALSE()),FALSE())+$B$18</f>
        <v>0.85</v>
      </c>
      <c r="H88" s="4" t="n">
        <f aca="false">IF($B$20=1,VLOOKUP($A88,skewtable,HLOOKUP(ROUND(I88-BM88,1),skewtable,2,FALSE()),FALSE())/100,0)</f>
        <v>0</v>
      </c>
      <c r="I88" s="66" t="e">
        <f aca="false">IF($B$10=1,($BM88*$B$23)-$B$14,$B$22)</f>
        <v>#DIV/0!</v>
      </c>
      <c r="J88" s="67" t="e">
        <f aca="false">I88-BM88+$B$24</f>
        <v>#DIV/0!</v>
      </c>
      <c r="K88" s="67"/>
      <c r="L88" s="183"/>
      <c r="M88" s="183"/>
      <c r="N88" s="63" t="n">
        <f aca="false">IF(N$35="nymex",0,VLOOKUP($A88,curvesettle,HLOOKUP(N$35,curvesettle,2,FALSE())))</f>
        <v>-0.0175</v>
      </c>
      <c r="O88" s="65" t="n">
        <f aca="false">IF(ISNUMBER(VLOOKUP($A88,VOLCURVES,HLOOKUP(N$35,VOLCURVES,2,FALSE()),FALSE())),VLOOKUP($A88,VOLCURVES,HLOOKUP(N$35,VOLCURVES,2,FALSE()),FALSE()),1)</f>
        <v>1</v>
      </c>
      <c r="P88" s="184" t="n">
        <f aca="false">(($C88+R88)*O88)+$D$17</f>
        <v>0.27</v>
      </c>
      <c r="Q88" s="65" t="n">
        <f aca="false">VLOOKUP($A88,GASDVOLCURVES,HLOOKUP(N$36,GASDVOLCURVES,2,FALSE()),FALSE())+$D$18</f>
        <v>0.85</v>
      </c>
      <c r="R88" s="4" t="n">
        <f aca="false">IF($D$20=1,VLOOKUP($A88,skewtable,HLOOKUP(ROUND(S88-BY88,1),skewtable,2,FALSE()),FALSE())/100,0)</f>
        <v>0</v>
      </c>
      <c r="S88" s="66" t="e">
        <f aca="false">IF(B$10=1,($BY88*$D$23)-$D$14,$D$22)</f>
        <v>#DIV/0!</v>
      </c>
      <c r="T88" s="67" t="e">
        <f aca="false">S88-$BY88+$D$24</f>
        <v>#DIV/0!</v>
      </c>
      <c r="U88" s="0"/>
      <c r="V88" s="0"/>
      <c r="W88" s="0"/>
      <c r="X88" s="63" t="n">
        <f aca="false">IF(X$35="nymex",0,VLOOKUP($A88,curvesettle,HLOOKUP(X$35,curvesettle,2,FALSE())))</f>
        <v>0.24</v>
      </c>
      <c r="Y88" s="65" t="n">
        <f aca="false">IF(ISNUMBER(VLOOKUP($A88,VOLCURVES,HLOOKUP(X$35,VOLCURVES,2,FALSE()),FALSE())),VLOOKUP($A88,VOLCURVES,HLOOKUP(X$35,VOLCURVES,2,FALSE()),FALSE()),1)</f>
        <v>1</v>
      </c>
      <c r="Z88" s="184" t="n">
        <f aca="false">(($C88+AB88)*Y88)+$F$17</f>
        <v>0.27</v>
      </c>
      <c r="AA88" s="65" t="n">
        <f aca="false">VLOOKUP($A88,GASDVOLCURVES,HLOOKUP(X$36,GASDVOLCURVES,2,FALSE()),FALSE())+$F$18</f>
        <v>0.85</v>
      </c>
      <c r="AB88" s="4" t="n">
        <f aca="false">IF($F$20=1,VLOOKUP($A88,skewtable,HLOOKUP(ROUND(AC88-CK88,1),skewtable,2,FALSE()),FALSE())/100,0)</f>
        <v>0</v>
      </c>
      <c r="AC88" s="66" t="e">
        <f aca="false">IF($B$10=1,($CK88*$F$23)-$F$14,$F$22)</f>
        <v>#DIV/0!</v>
      </c>
      <c r="AD88" s="67" t="e">
        <f aca="false">AC88-$CK88+$F$24</f>
        <v>#DIV/0!</v>
      </c>
      <c r="AE88" s="0"/>
      <c r="AF88" s="0"/>
      <c r="AG88" s="0"/>
      <c r="AH88" s="63" t="n">
        <f aca="false">IF(AH$35="nymex",0,VLOOKUP($A88,curvesettle,HLOOKUP(AH$35,curvesettle,2,FALSE())))</f>
        <v>0.64</v>
      </c>
      <c r="AI88" s="65" t="n">
        <f aca="false">IF(ISNUMBER(VLOOKUP($A88,VOLCURVES,HLOOKUP(AH$35,VOLCURVES,2,FALSE()),FALSE())),VLOOKUP($A88,VOLCURVES,HLOOKUP(AH$35,VOLCURVES,2,FALSE()),FALSE()),1)</f>
        <v>1.04</v>
      </c>
      <c r="AJ88" s="184" t="n">
        <f aca="false">(($C88+AL88)*AI88)+$H$17</f>
        <v>0.2808</v>
      </c>
      <c r="AK88" s="65" t="n">
        <f aca="false">VLOOKUP($A88,GASDVOLCURVES,HLOOKUP(AH$36,GASDVOLCURVES,2,FALSE()),FALSE())+$H$18</f>
        <v>1.5</v>
      </c>
      <c r="AL88" s="4" t="n">
        <f aca="false">IF($H$20=1,VLOOKUP($A88,skewtable,HLOOKUP(ROUND(AM88-CW88,1),skewtable,2,FALSE()),FALSE())/100,0)</f>
        <v>0</v>
      </c>
      <c r="AM88" s="66" t="e">
        <f aca="false">IF($B$10=1,($CW88*$H$23)-$H$14,$H$22)</f>
        <v>#DIV/0!</v>
      </c>
      <c r="AN88" s="67" t="e">
        <f aca="false">AM88-CW88+$H$24</f>
        <v>#DIV/0!</v>
      </c>
      <c r="AO88" s="0"/>
      <c r="AP88" s="0"/>
      <c r="AQ88" s="183"/>
      <c r="AR88" s="183"/>
      <c r="AU88" s="0"/>
      <c r="AV88" s="0"/>
      <c r="AW88" s="0"/>
      <c r="AX88" s="0"/>
      <c r="AY88" s="0"/>
      <c r="AZ88" s="0"/>
      <c r="BA88" s="0"/>
      <c r="BC88" s="64"/>
      <c r="BD88" s="64"/>
      <c r="BE88" s="4" t="n">
        <f aca="false">VLOOKUP($A88,STRADDLE,14,FALSE())</f>
        <v>0.0484011548433219</v>
      </c>
      <c r="BF88" s="72" t="n">
        <f aca="false">A89-A88</f>
        <v>31</v>
      </c>
      <c r="BG88" s="179" t="n">
        <f aca="false">A88+BG$35</f>
        <v>38777</v>
      </c>
      <c r="BH88" s="179" t="n">
        <f aca="false">A89-1</f>
        <v>38807</v>
      </c>
      <c r="BJ88" s="179" t="n">
        <f aca="true">IF(BJ$35=0,TODAY(),IF(BJ$36="NYMEX",VLOOKUP($A88,expiration,2,FALSE())+1,BG88))</f>
        <v>38773</v>
      </c>
      <c r="BK88" s="73"/>
      <c r="BL88" s="73" t="n">
        <f aca="false">IF($A88&gt;=BM$32,IF($A88&lt;=BM$33,$BF88,0),0)</f>
        <v>0</v>
      </c>
      <c r="BM88" s="73" t="e">
        <f aca="false">BO88/BL88</f>
        <v>#DIV/0!</v>
      </c>
      <c r="BN88" s="1" t="n">
        <f aca="false">BL88*($B88+B$15)</f>
        <v>0</v>
      </c>
      <c r="BO88" s="47" t="n">
        <f aca="false">IF(ISNUMBER(((BN88/BL88)+B$16+$D88+$B$14)*BL88),((BN88/BL88)+B$16+$D88+$B$14)*BL88,0)</f>
        <v>0</v>
      </c>
      <c r="BP88" s="76" t="n">
        <f aca="false">IF($BL88=0,0,OSTRIP($BM88,$I88,$BJ88-$B$2,$BG88-$BJ88,$BH88-$BJ88,$B$10,$BE88,$F88,$G88,$B$23,$J88,$BQ$34,0))</f>
        <v>0</v>
      </c>
      <c r="BQ88" s="76" t="n">
        <f aca="false">IF($BL88=0,0,OSTRIP($BM88,$I88,$BJ88-$B$2,$BG88-$BJ88,$BH88-$BJ88,$B$10,$BE88,$F88,$G88,$B$23,$J88,$BQ$34,1))</f>
        <v>0</v>
      </c>
      <c r="BR88" s="76" t="n">
        <f aca="false">IF($BL88=0,0,OSTRIP($BM88,$I88,$BJ88-$B$2,$BG88-$BJ88,$BH88-$BJ88,$B$10,$BE88,$F88,$G88,$B$23,$J88,$BQ$34,BQ$35))</f>
        <v>0</v>
      </c>
      <c r="BS88" s="37" t="n">
        <f aca="false">BL88*BP88</f>
        <v>0</v>
      </c>
      <c r="BT88" s="37" t="n">
        <f aca="false">BL88*BQ88</f>
        <v>0</v>
      </c>
      <c r="BU88" s="37" t="n">
        <f aca="false">BL88*BR88</f>
        <v>0</v>
      </c>
      <c r="BV88" s="37" t="n">
        <f aca="false">BL88*G88</f>
        <v>0</v>
      </c>
      <c r="BX88" s="73" t="n">
        <f aca="false">IF($A88&gt;=BY$32,IF($A88&lt;=BY$33,$BF88,0),0)</f>
        <v>0</v>
      </c>
      <c r="BY88" s="186" t="e">
        <f aca="false">CA88/BX88</f>
        <v>#DIV/0!</v>
      </c>
      <c r="BZ88" s="1" t="n">
        <f aca="false">BX88*($B88+$D$15)</f>
        <v>0</v>
      </c>
      <c r="CA88" s="47" t="n">
        <f aca="false">IF(ISNUMBER(((BZ88/BX88)+$D$16+$N88+$D$14)*BX88),((BZ88/BX88)+$D$16+$N88+$D$14)*BX88,0)</f>
        <v>0</v>
      </c>
      <c r="CB88" s="76" t="n">
        <f aca="false">IF($BX88=0,0,OSTRIP($BY88,$S88,$BJ88-$B$2,$BG88-$BJ88,$BH88-$BJ88,$B$10,$BE88,$P88,$Q88,$D$23,$T88,$CC$34,0))</f>
        <v>0</v>
      </c>
      <c r="CC88" s="76" t="n">
        <f aca="false">IF($BX88=0,0,OSTRIP($BY88,$S88,$BJ88-$B$2,$BG88-$BJ88,$BH88-$BJ88,$B$10,$BE88,$P88,$Q88,$D$23,$T88,$CC$34,1))</f>
        <v>0</v>
      </c>
      <c r="CD88" s="76" t="n">
        <f aca="false">IF($BX88=0,0,OSTRIP($BY88,$S88,$BJ88-$B$2,$BG88-$BJ88,$BH88-$BJ88,$B$10,$BE88,$P88,$Q88,$D$23,$T88,$CC$34,CC$35))</f>
        <v>0</v>
      </c>
      <c r="CE88" s="37" t="n">
        <f aca="false">BX88*CB88</f>
        <v>0</v>
      </c>
      <c r="CF88" s="37" t="n">
        <f aca="false">BX88*CC88</f>
        <v>0</v>
      </c>
      <c r="CG88" s="37" t="n">
        <f aca="false">BX88*CD88</f>
        <v>0</v>
      </c>
      <c r="CH88" s="37" t="n">
        <f aca="false">BX88*Q88</f>
        <v>0</v>
      </c>
      <c r="CJ88" s="73" t="n">
        <f aca="false">IF($A88&gt;=CK$32,IF($A88&lt;=CK$33,$BF88,0),0)</f>
        <v>0</v>
      </c>
      <c r="CK88" s="186" t="e">
        <f aca="false">CM88/CJ88</f>
        <v>#DIV/0!</v>
      </c>
      <c r="CL88" s="1" t="n">
        <f aca="false">CJ88*($B88+$F$15)</f>
        <v>0</v>
      </c>
      <c r="CM88" s="47" t="n">
        <f aca="false">IF(ISNUMBER(((CL88/CJ88)+$F$16+$X88+$F$14)*CJ88),((CL88/CJ88)+$F$16+$X88+$F$14)*CJ88,0)</f>
        <v>0</v>
      </c>
      <c r="CN88" s="76" t="n">
        <f aca="false">IF($CJ88=0,0,OSTRIP($CK88,$AC88,$BJ88-$B$2,$BG88-$BJ88,$BH88-$BJ88,$B$10,$BE88,$Z88,$AA88,$F$23,$AD88,$CO$34,0))</f>
        <v>0</v>
      </c>
      <c r="CO88" s="76" t="n">
        <f aca="false">IF($CJ88=0,0,OSTRIP($CK88,$AC88,$BJ88-$B$2,$BG88-$BJ88,$BH88-$BJ88,$B$10,$BE88,$Z88,$AA88,$F$23,$AD88,$CO$34,1))</f>
        <v>0</v>
      </c>
      <c r="CP88" s="76" t="n">
        <f aca="false">IF($CJ88=0,0,OSTRIP($CK88,$AC88,$BJ88-$B$2,$BG88-$BJ88,$BH88-$BJ88,$B$10,$BE88,$Z88,$AA88,$F$23,$AD88,$CO$34,$CO$35))</f>
        <v>0</v>
      </c>
      <c r="CQ88" s="37" t="n">
        <f aca="false">CJ88*CN88</f>
        <v>0</v>
      </c>
      <c r="CR88" s="37" t="n">
        <f aca="false">CJ88*CO88</f>
        <v>0</v>
      </c>
      <c r="CS88" s="37" t="n">
        <f aca="false">CJ88*CP88</f>
        <v>0</v>
      </c>
      <c r="CT88" s="37" t="n">
        <f aca="false">CJ88*AA88</f>
        <v>0</v>
      </c>
      <c r="CV88" s="73" t="n">
        <f aca="false">IF($A88&gt;=CW$32,IF($A88&lt;=CW$33,$BF88,0),0)</f>
        <v>0</v>
      </c>
      <c r="CW88" s="186" t="e">
        <f aca="false">CY88/CV88</f>
        <v>#DIV/0!</v>
      </c>
      <c r="CX88" s="1" t="n">
        <f aca="false">CV88*($B88+$H$15)</f>
        <v>0</v>
      </c>
      <c r="CY88" s="47" t="n">
        <f aca="false">IF(ISNUMBER(((CX88/CV88)+$H$16+$AH88+$H$14)*CV88),((CX88/CV88)+$H$16+$AH88+$H$14)*CV88,0)</f>
        <v>0</v>
      </c>
      <c r="CZ88" s="76" t="n">
        <f aca="false">IF($CV88=0,0,OSTRIP($CW88,$AM88,$BJ88-$B$2,$BG88-$BJ88,$BH88-$BJ88,$B$10,$BE88,$AJ88,$AK88,$H$23,$AN88,$DA$34,0))</f>
        <v>0</v>
      </c>
      <c r="DA88" s="76" t="n">
        <f aca="false">IF($CV88=0,0,OSTRIP($CW88,$AM88,$BJ88-$B$2,$BG88-$BJ88,$BH88-$BJ88,$B$10,$BE88,$AJ88,$AK88,$H$23,$AN88,$DA$34,1))</f>
        <v>0</v>
      </c>
      <c r="DB88" s="76" t="n">
        <f aca="false">IF($CV88=0,0,OSTRIP($CW88,$AM88,$BJ88-$B$2,$BG88-$BJ88,$BH88-$BJ88,$B$10,$BE88,$AJ88,$AK88,$H$23,$AN88,$DA$34,DA$35))</f>
        <v>0</v>
      </c>
      <c r="DC88" s="37" t="n">
        <f aca="false">CV88*CZ88</f>
        <v>0</v>
      </c>
      <c r="DD88" s="37" t="n">
        <f aca="false">CV88*DA88</f>
        <v>0</v>
      </c>
      <c r="DE88" s="37" t="n">
        <f aca="false">CV88*DB88</f>
        <v>0</v>
      </c>
      <c r="DF88" s="37" t="n">
        <f aca="false">CV88*AK88</f>
        <v>0</v>
      </c>
    </row>
    <row r="89" customFormat="false" ht="12.75" hidden="false" customHeight="false" outlineLevel="0" collapsed="false">
      <c r="A89" s="62" t="n">
        <f aca="false">DATE(YEAR(A88),MONTH(A88)+1,1)</f>
        <v>38808</v>
      </c>
      <c r="B89" s="63" t="n">
        <f aca="false">VLOOKUP(A89,STRADDLE,5,FALSE())</f>
        <v>3.335</v>
      </c>
      <c r="C89" s="4" t="n">
        <f aca="false">VLOOKUP(A89,STRADDLE,8,FALSE())</f>
        <v>0.25</v>
      </c>
      <c r="D89" s="63" t="n">
        <f aca="false">IF(D$35="nymex",0,VLOOKUP($A89,curvesettle,HLOOKUP(D$35,curvesettle,2,FALSE())))</f>
        <v>0.36</v>
      </c>
      <c r="E89" s="65" t="n">
        <f aca="false">IF(ISNUMBER(VLOOKUP($A89,VOLCURVES,HLOOKUP(D$35,VOLCURVES,2,FALSE()),FALSE())),VLOOKUP($A89,VOLCURVES,HLOOKUP(D$35,VOLCURVES,2,FALSE()),FALSE()),1)</f>
        <v>0.98</v>
      </c>
      <c r="F89" s="4" t="n">
        <f aca="false">(($C89+H89)*$E89)+B$17</f>
        <v>0.345</v>
      </c>
      <c r="G89" s="65" t="n">
        <f aca="false">VLOOKUP($A89,GASDVOLCURVES,HLOOKUP(D$36,GASDVOLCURVES,2,FALSE()),FALSE())+$B$18</f>
        <v>0.5</v>
      </c>
      <c r="H89" s="4" t="n">
        <f aca="false">IF($B$20=1,VLOOKUP($A89,skewtable,HLOOKUP(ROUND(I89-BM89,1),skewtable,2,FALSE()),FALSE())/100,0)</f>
        <v>0</v>
      </c>
      <c r="I89" s="66" t="e">
        <f aca="false">IF($B$10=1,($BM89*$B$23)-$B$14,$B$22)</f>
        <v>#DIV/0!</v>
      </c>
      <c r="J89" s="67" t="e">
        <f aca="false">I89-BM89+$B$24</f>
        <v>#DIV/0!</v>
      </c>
      <c r="K89" s="67"/>
      <c r="L89" s="183"/>
      <c r="M89" s="183"/>
      <c r="N89" s="63" t="n">
        <f aca="false">IF(N$35="nymex",0,VLOOKUP($A89,curvesettle,HLOOKUP(N$35,curvesettle,2,FALSE())))</f>
        <v>0.02</v>
      </c>
      <c r="O89" s="65" t="n">
        <f aca="false">IF(ISNUMBER(VLOOKUP($A89,VOLCURVES,HLOOKUP(N$35,VOLCURVES,2,FALSE()),FALSE())),VLOOKUP($A89,VOLCURVES,HLOOKUP(N$35,VOLCURVES,2,FALSE()),FALSE()),1)</f>
        <v>1</v>
      </c>
      <c r="P89" s="184" t="n">
        <f aca="false">(($C89+R89)*O89)+$D$17</f>
        <v>0.25</v>
      </c>
      <c r="Q89" s="65" t="n">
        <f aca="false">VLOOKUP($A89,GASDVOLCURVES,HLOOKUP(N$36,GASDVOLCURVES,2,FALSE()),FALSE())+$D$18</f>
        <v>0.5</v>
      </c>
      <c r="R89" s="4" t="n">
        <f aca="false">IF($D$20=1,VLOOKUP($A89,skewtable,HLOOKUP(ROUND(S89-BY89,1),skewtable,2,FALSE()),FALSE())/100,0)</f>
        <v>0</v>
      </c>
      <c r="S89" s="66" t="e">
        <f aca="false">IF(B$10=1,($BY89*$D$23)-$D$14,$D$22)</f>
        <v>#DIV/0!</v>
      </c>
      <c r="T89" s="67" t="e">
        <f aca="false">S89-$BY89+$D$24</f>
        <v>#DIV/0!</v>
      </c>
      <c r="U89" s="0"/>
      <c r="V89" s="0"/>
      <c r="W89" s="0"/>
      <c r="X89" s="63" t="n">
        <f aca="false">IF(X$35="nymex",0,VLOOKUP($A89,curvesettle,HLOOKUP(X$35,curvesettle,2,FALSE())))</f>
        <v>0.26</v>
      </c>
      <c r="Y89" s="65" t="n">
        <f aca="false">IF(ISNUMBER(VLOOKUP($A89,VOLCURVES,HLOOKUP(X$35,VOLCURVES,2,FALSE()),FALSE())),VLOOKUP($A89,VOLCURVES,HLOOKUP(X$35,VOLCURVES,2,FALSE()),FALSE()),1)</f>
        <v>1</v>
      </c>
      <c r="Z89" s="184" t="n">
        <f aca="false">(($C89+AB89)*Y89)+$F$17</f>
        <v>0.25</v>
      </c>
      <c r="AA89" s="65" t="n">
        <f aca="false">VLOOKUP($A89,GASDVOLCURVES,HLOOKUP(X$36,GASDVOLCURVES,2,FALSE()),FALSE())+$F$18</f>
        <v>0.55</v>
      </c>
      <c r="AB89" s="4" t="n">
        <f aca="false">IF($F$20=1,VLOOKUP($A89,skewtable,HLOOKUP(ROUND(AC89-CK89,1),skewtable,2,FALSE()),FALSE())/100,0)</f>
        <v>0</v>
      </c>
      <c r="AC89" s="66" t="e">
        <f aca="false">IF($B$10=1,($CK89*$F$23)-$F$14,$F$22)</f>
        <v>#DIV/0!</v>
      </c>
      <c r="AD89" s="67" t="e">
        <f aca="false">AC89-$CK89+$F$24</f>
        <v>#DIV/0!</v>
      </c>
      <c r="AE89" s="0"/>
      <c r="AF89" s="0"/>
      <c r="AG89" s="0"/>
      <c r="AH89" s="63" t="n">
        <f aca="false">IF(AH$35="nymex",0,VLOOKUP($A89,curvesettle,HLOOKUP(AH$35,curvesettle,2,FALSE())))</f>
        <v>0.38</v>
      </c>
      <c r="AI89" s="65" t="n">
        <f aca="false">IF(ISNUMBER(VLOOKUP($A89,VOLCURVES,HLOOKUP(AH$35,VOLCURVES,2,FALSE()),FALSE())),VLOOKUP($A89,VOLCURVES,HLOOKUP(AH$35,VOLCURVES,2,FALSE()),FALSE()),1)</f>
        <v>1</v>
      </c>
      <c r="AJ89" s="184" t="n">
        <f aca="false">(($C89+AL89)*AI89)+$H$17</f>
        <v>0.25</v>
      </c>
      <c r="AK89" s="65" t="n">
        <f aca="false">VLOOKUP($A89,GASDVOLCURVES,HLOOKUP(AH$36,GASDVOLCURVES,2,FALSE()),FALSE())+$H$18</f>
        <v>0.95</v>
      </c>
      <c r="AL89" s="4" t="n">
        <f aca="false">IF($H$20=1,VLOOKUP($A89,skewtable,HLOOKUP(ROUND(AM89-CW89,1),skewtable,2,FALSE()),FALSE())/100,0)</f>
        <v>0</v>
      </c>
      <c r="AM89" s="66" t="e">
        <f aca="false">IF($B$10=1,($CW89*$H$23)-$H$14,$H$22)</f>
        <v>#DIV/0!</v>
      </c>
      <c r="AN89" s="67" t="e">
        <f aca="false">AM89-CW89+$H$24</f>
        <v>#DIV/0!</v>
      </c>
      <c r="AO89" s="0"/>
      <c r="AP89" s="0"/>
      <c r="AQ89" s="183"/>
      <c r="AR89" s="183"/>
      <c r="AU89" s="0"/>
      <c r="AV89" s="0"/>
      <c r="AW89" s="0"/>
      <c r="AX89" s="0"/>
      <c r="AY89" s="0"/>
      <c r="AZ89" s="0"/>
      <c r="BA89" s="0"/>
      <c r="BC89" s="64"/>
      <c r="BD89" s="64"/>
      <c r="BE89" s="4" t="n">
        <f aca="false">VLOOKUP($A89,STRADDLE,14,FALSE())</f>
        <v>0.0487117260353274</v>
      </c>
      <c r="BF89" s="72" t="n">
        <f aca="false">A90-A89</f>
        <v>30</v>
      </c>
      <c r="BG89" s="179" t="n">
        <f aca="false">A89+BG$35</f>
        <v>38808</v>
      </c>
      <c r="BH89" s="179" t="n">
        <f aca="false">A90-1</f>
        <v>38837</v>
      </c>
      <c r="BJ89" s="179" t="n">
        <f aca="true">IF(BJ$35=0,TODAY(),IF(BJ$36="NYMEX",VLOOKUP($A89,expiration,2,FALSE())+1,BG89))</f>
        <v>38806</v>
      </c>
      <c r="BK89" s="73"/>
      <c r="BL89" s="73" t="n">
        <f aca="false">IF($A89&gt;=BM$32,IF($A89&lt;=BM$33,$BF89,0),0)</f>
        <v>0</v>
      </c>
      <c r="BM89" s="73" t="e">
        <f aca="false">BO89/BL89</f>
        <v>#DIV/0!</v>
      </c>
      <c r="BN89" s="1" t="n">
        <f aca="false">BL89*($B89+B$15)</f>
        <v>0</v>
      </c>
      <c r="BO89" s="47" t="n">
        <f aca="false">IF(ISNUMBER(((BN89/BL89)+B$16+$D89+$B$14)*BL89),((BN89/BL89)+B$16+$D89+$B$14)*BL89,0)</f>
        <v>0</v>
      </c>
      <c r="BP89" s="76" t="n">
        <f aca="false">IF($BL89=0,0,OSTRIP($BM89,$I89,$BJ89-$B$2,$BG89-$BJ89,$BH89-$BJ89,$B$10,$BE89,$F89,$G89,$B$23,$J89,$BQ$34,0))</f>
        <v>0</v>
      </c>
      <c r="BQ89" s="76" t="n">
        <f aca="false">IF($BL89=0,0,OSTRIP($BM89,$I89,$BJ89-$B$2,$BG89-$BJ89,$BH89-$BJ89,$B$10,$BE89,$F89,$G89,$B$23,$J89,$BQ$34,1))</f>
        <v>0</v>
      </c>
      <c r="BR89" s="76" t="n">
        <f aca="false">IF($BL89=0,0,OSTRIP($BM89,$I89,$BJ89-$B$2,$BG89-$BJ89,$BH89-$BJ89,$B$10,$BE89,$F89,$G89,$B$23,$J89,$BQ$34,BQ$35))</f>
        <v>0</v>
      </c>
      <c r="BS89" s="37" t="n">
        <f aca="false">BL89*BP89</f>
        <v>0</v>
      </c>
      <c r="BT89" s="37" t="n">
        <f aca="false">BL89*BQ89</f>
        <v>0</v>
      </c>
      <c r="BU89" s="37" t="n">
        <f aca="false">BL89*BR89</f>
        <v>0</v>
      </c>
      <c r="BV89" s="37" t="n">
        <f aca="false">BL89*G89</f>
        <v>0</v>
      </c>
      <c r="BX89" s="73" t="n">
        <f aca="false">IF($A89&gt;=BY$32,IF($A89&lt;=BY$33,$BF89,0),0)</f>
        <v>0</v>
      </c>
      <c r="BY89" s="186" t="e">
        <f aca="false">CA89/BX89</f>
        <v>#DIV/0!</v>
      </c>
      <c r="BZ89" s="1" t="n">
        <f aca="false">BX89*($B89+$D$15)</f>
        <v>0</v>
      </c>
      <c r="CA89" s="47" t="n">
        <f aca="false">IF(ISNUMBER(((BZ89/BX89)+$D$16+$N89+$D$14)*BX89),((BZ89/BX89)+$D$16+$N89+$D$14)*BX89,0)</f>
        <v>0</v>
      </c>
      <c r="CB89" s="76" t="n">
        <f aca="false">IF($BX89=0,0,OSTRIP($BY89,$S89,$BJ89-$B$2,$BG89-$BJ89,$BH89-$BJ89,$B$10,$BE89,$P89,$Q89,$D$23,$T89,$CC$34,0))</f>
        <v>0</v>
      </c>
      <c r="CC89" s="76" t="n">
        <f aca="false">IF($BX89=0,0,OSTRIP($BY89,$S89,$BJ89-$B$2,$BG89-$BJ89,$BH89-$BJ89,$B$10,$BE89,$P89,$Q89,$D$23,$T89,$CC$34,1))</f>
        <v>0</v>
      </c>
      <c r="CD89" s="76" t="n">
        <f aca="false">IF($BX89=0,0,OSTRIP($BY89,$S89,$BJ89-$B$2,$BG89-$BJ89,$BH89-$BJ89,$B$10,$BE89,$P89,$Q89,$D$23,$T89,$CC$34,CC$35))</f>
        <v>0</v>
      </c>
      <c r="CE89" s="37" t="n">
        <f aca="false">BX89*CB89</f>
        <v>0</v>
      </c>
      <c r="CF89" s="37" t="n">
        <f aca="false">BX89*CC89</f>
        <v>0</v>
      </c>
      <c r="CG89" s="37" t="n">
        <f aca="false">BX89*CD89</f>
        <v>0</v>
      </c>
      <c r="CH89" s="37" t="n">
        <f aca="false">BX89*Q89</f>
        <v>0</v>
      </c>
      <c r="CJ89" s="73" t="n">
        <f aca="false">IF($A89&gt;=CK$32,IF($A89&lt;=CK$33,$BF89,0),0)</f>
        <v>0</v>
      </c>
      <c r="CK89" s="186" t="e">
        <f aca="false">CM89/CJ89</f>
        <v>#DIV/0!</v>
      </c>
      <c r="CL89" s="1" t="n">
        <f aca="false">CJ89*($B89+$F$15)</f>
        <v>0</v>
      </c>
      <c r="CM89" s="47" t="n">
        <f aca="false">IF(ISNUMBER(((CL89/CJ89)+$F$16+$X89+$F$14)*CJ89),((CL89/CJ89)+$F$16+$X89+$F$14)*CJ89,0)</f>
        <v>0</v>
      </c>
      <c r="CN89" s="76" t="n">
        <f aca="false">IF($CJ89=0,0,OSTRIP($CK89,$AC89,$BJ89-$B$2,$BG89-$BJ89,$BH89-$BJ89,$B$10,$BE89,$Z89,$AA89,$F$23,$AD89,$CO$34,0))</f>
        <v>0</v>
      </c>
      <c r="CO89" s="76" t="n">
        <f aca="false">IF($CJ89=0,0,OSTRIP($CK89,$AC89,$BJ89-$B$2,$BG89-$BJ89,$BH89-$BJ89,$B$10,$BE89,$Z89,$AA89,$F$23,$AD89,$CO$34,1))</f>
        <v>0</v>
      </c>
      <c r="CP89" s="76" t="n">
        <f aca="false">IF($CJ89=0,0,OSTRIP($CK89,$AC89,$BJ89-$B$2,$BG89-$BJ89,$BH89-$BJ89,$B$10,$BE89,$Z89,$AA89,$F$23,$AD89,$CO$34,$CO$35))</f>
        <v>0</v>
      </c>
      <c r="CQ89" s="37" t="n">
        <f aca="false">CJ89*CN89</f>
        <v>0</v>
      </c>
      <c r="CR89" s="37" t="n">
        <f aca="false">CJ89*CO89</f>
        <v>0</v>
      </c>
      <c r="CS89" s="37" t="n">
        <f aca="false">CJ89*CP89</f>
        <v>0</v>
      </c>
      <c r="CT89" s="37" t="n">
        <f aca="false">CJ89*AA89</f>
        <v>0</v>
      </c>
      <c r="CV89" s="73" t="n">
        <f aca="false">IF($A89&gt;=CW$32,IF($A89&lt;=CW$33,$BF89,0),0)</f>
        <v>0</v>
      </c>
      <c r="CW89" s="186" t="e">
        <f aca="false">CY89/CV89</f>
        <v>#DIV/0!</v>
      </c>
      <c r="CX89" s="1" t="n">
        <f aca="false">CV89*($B89+$H$15)</f>
        <v>0</v>
      </c>
      <c r="CY89" s="47" t="n">
        <f aca="false">IF(ISNUMBER(((CX89/CV89)+$H$16+$AH89+$H$14)*CV89),((CX89/CV89)+$H$16+$AH89+$H$14)*CV89,0)</f>
        <v>0</v>
      </c>
      <c r="CZ89" s="76" t="n">
        <f aca="false">IF($CV89=0,0,OSTRIP($CW89,$AM89,$BJ89-$B$2,$BG89-$BJ89,$BH89-$BJ89,$B$10,$BE89,$AJ89,$AK89,$H$23,$AN89,$DA$34,0))</f>
        <v>0</v>
      </c>
      <c r="DA89" s="76" t="n">
        <f aca="false">IF($CV89=0,0,OSTRIP($CW89,$AM89,$BJ89-$B$2,$BG89-$BJ89,$BH89-$BJ89,$B$10,$BE89,$AJ89,$AK89,$H$23,$AN89,$DA$34,1))</f>
        <v>0</v>
      </c>
      <c r="DB89" s="76" t="n">
        <f aca="false">IF($CV89=0,0,OSTRIP($CW89,$AM89,$BJ89-$B$2,$BG89-$BJ89,$BH89-$BJ89,$B$10,$BE89,$AJ89,$AK89,$H$23,$AN89,$DA$34,DA$35))</f>
        <v>0</v>
      </c>
      <c r="DC89" s="37" t="n">
        <f aca="false">CV89*CZ89</f>
        <v>0</v>
      </c>
      <c r="DD89" s="37" t="n">
        <f aca="false">CV89*DA89</f>
        <v>0</v>
      </c>
      <c r="DE89" s="37" t="n">
        <f aca="false">CV89*DB89</f>
        <v>0</v>
      </c>
      <c r="DF89" s="37" t="n">
        <f aca="false">CV89*AK89</f>
        <v>0</v>
      </c>
    </row>
    <row r="90" customFormat="false" ht="12.75" hidden="false" customHeight="false" outlineLevel="0" collapsed="false">
      <c r="A90" s="62" t="n">
        <f aca="false">DATE(YEAR(A89),MONTH(A89)+1,1)</f>
        <v>38838</v>
      </c>
      <c r="B90" s="63" t="n">
        <f aca="false">VLOOKUP(A90,STRADDLE,5,FALSE())</f>
        <v>3.33</v>
      </c>
      <c r="C90" s="4" t="n">
        <f aca="false">VLOOKUP(A90,STRADDLE,8,FALSE())</f>
        <v>0.245</v>
      </c>
      <c r="D90" s="63" t="n">
        <f aca="false">IF(D$35="nymex",0,VLOOKUP($A90,curvesettle,HLOOKUP(D$35,curvesettle,2,FALSE())))</f>
        <v>0.325</v>
      </c>
      <c r="E90" s="65" t="n">
        <f aca="false">IF(ISNUMBER(VLOOKUP($A90,VOLCURVES,HLOOKUP(D$35,VOLCURVES,2,FALSE()),FALSE())),VLOOKUP($A90,VOLCURVES,HLOOKUP(D$35,VOLCURVES,2,FALSE()),FALSE()),1)</f>
        <v>0.98</v>
      </c>
      <c r="F90" s="4" t="n">
        <f aca="false">(($C90+H90)*$E90)+B$17</f>
        <v>0.3401</v>
      </c>
      <c r="G90" s="65" t="n">
        <f aca="false">VLOOKUP($A90,GASDVOLCURVES,HLOOKUP(D$36,GASDVOLCURVES,2,FALSE()),FALSE())+$B$18</f>
        <v>0.55</v>
      </c>
      <c r="H90" s="4" t="n">
        <f aca="false">IF($B$20=1,VLOOKUP($A90,skewtable,HLOOKUP(ROUND(I90-BM90,1),skewtable,2,FALSE()),FALSE())/100,0)</f>
        <v>0</v>
      </c>
      <c r="I90" s="66" t="e">
        <f aca="false">IF($B$10=1,($BM90*$B$23)-$B$14,$B$22)</f>
        <v>#DIV/0!</v>
      </c>
      <c r="J90" s="67" t="e">
        <f aca="false">I90-BM90+$B$24</f>
        <v>#DIV/0!</v>
      </c>
      <c r="K90" s="67"/>
      <c r="L90" s="183"/>
      <c r="M90" s="183"/>
      <c r="N90" s="63" t="n">
        <f aca="false">IF(N$35="nymex",0,VLOOKUP($A90,curvesettle,HLOOKUP(N$35,curvesettle,2,FALSE())))</f>
        <v>0.02</v>
      </c>
      <c r="O90" s="65" t="n">
        <f aca="false">IF(ISNUMBER(VLOOKUP($A90,VOLCURVES,HLOOKUP(N$35,VOLCURVES,2,FALSE()),FALSE())),VLOOKUP($A90,VOLCURVES,HLOOKUP(N$35,VOLCURVES,2,FALSE()),FALSE()),1)</f>
        <v>1</v>
      </c>
      <c r="P90" s="184" t="n">
        <f aca="false">(($C90+R90)*O90)+$D$17</f>
        <v>0.245</v>
      </c>
      <c r="Q90" s="65" t="n">
        <f aca="false">VLOOKUP($A90,GASDVOLCURVES,HLOOKUP(N$36,GASDVOLCURVES,2,FALSE()),FALSE())+$D$18</f>
        <v>0.55</v>
      </c>
      <c r="R90" s="4" t="n">
        <f aca="false">IF($D$20=1,VLOOKUP($A90,skewtable,HLOOKUP(ROUND(S90-BY90,1),skewtable,2,FALSE()),FALSE())/100,0)</f>
        <v>0</v>
      </c>
      <c r="S90" s="66" t="e">
        <f aca="false">IF(B$10=1,($BY90*$D$23)-$D$14,$D$22)</f>
        <v>#DIV/0!</v>
      </c>
      <c r="T90" s="67" t="e">
        <f aca="false">S90-$BY90+$D$24</f>
        <v>#DIV/0!</v>
      </c>
      <c r="U90" s="0"/>
      <c r="V90" s="0"/>
      <c r="W90" s="0"/>
      <c r="X90" s="63" t="n">
        <f aca="false">IF(X$35="nymex",0,VLOOKUP($A90,curvesettle,HLOOKUP(X$35,curvesettle,2,FALSE())))</f>
        <v>0.26</v>
      </c>
      <c r="Y90" s="65" t="n">
        <f aca="false">IF(ISNUMBER(VLOOKUP($A90,VOLCURVES,HLOOKUP(X$35,VOLCURVES,2,FALSE()),FALSE())),VLOOKUP($A90,VOLCURVES,HLOOKUP(X$35,VOLCURVES,2,FALSE()),FALSE()),1)</f>
        <v>1</v>
      </c>
      <c r="Z90" s="184" t="n">
        <f aca="false">(($C90+AB90)*Y90)+$F$17</f>
        <v>0.245</v>
      </c>
      <c r="AA90" s="65" t="n">
        <f aca="false">VLOOKUP($A90,GASDVOLCURVES,HLOOKUP(X$36,GASDVOLCURVES,2,FALSE()),FALSE())+$F$18</f>
        <v>0.5</v>
      </c>
      <c r="AB90" s="4" t="n">
        <f aca="false">IF($F$20=1,VLOOKUP($A90,skewtable,HLOOKUP(ROUND(AC90-CK90,1),skewtable,2,FALSE()),FALSE())/100,0)</f>
        <v>0</v>
      </c>
      <c r="AC90" s="66" t="e">
        <f aca="false">IF($B$10=1,($CK90*$F$23)-$F$14,$F$22)</f>
        <v>#DIV/0!</v>
      </c>
      <c r="AD90" s="67" t="e">
        <f aca="false">AC90-$CK90+$F$24</f>
        <v>#DIV/0!</v>
      </c>
      <c r="AE90" s="0"/>
      <c r="AF90" s="0"/>
      <c r="AG90" s="0"/>
      <c r="AH90" s="63" t="n">
        <f aca="false">IF(AH$35="nymex",0,VLOOKUP($A90,curvesettle,HLOOKUP(AH$35,curvesettle,2,FALSE())))</f>
        <v>0.33</v>
      </c>
      <c r="AI90" s="65" t="n">
        <f aca="false">IF(ISNUMBER(VLOOKUP($A90,VOLCURVES,HLOOKUP(AH$35,VOLCURVES,2,FALSE()),FALSE())),VLOOKUP($A90,VOLCURVES,HLOOKUP(AH$35,VOLCURVES,2,FALSE()),FALSE()),1)</f>
        <v>1</v>
      </c>
      <c r="AJ90" s="184" t="n">
        <f aca="false">(($C90+AL90)*AI90)+$H$17</f>
        <v>0.245</v>
      </c>
      <c r="AK90" s="65" t="n">
        <f aca="false">VLOOKUP($A90,GASDVOLCURVES,HLOOKUP(AH$36,GASDVOLCURVES,2,FALSE()),FALSE())+$H$18</f>
        <v>1</v>
      </c>
      <c r="AL90" s="4" t="n">
        <f aca="false">IF($H$20=1,VLOOKUP($A90,skewtable,HLOOKUP(ROUND(AM90-CW90,1),skewtable,2,FALSE()),FALSE())/100,0)</f>
        <v>0</v>
      </c>
      <c r="AM90" s="66" t="e">
        <f aca="false">IF($B$10=1,($CW90*$H$23)-$H$14,$H$22)</f>
        <v>#DIV/0!</v>
      </c>
      <c r="AN90" s="67" t="e">
        <f aca="false">AM90-CW90+$H$24</f>
        <v>#DIV/0!</v>
      </c>
      <c r="AO90" s="0"/>
      <c r="AP90" s="0"/>
      <c r="AQ90" s="183"/>
      <c r="AR90" s="183"/>
      <c r="AU90" s="0"/>
      <c r="AV90" s="0"/>
      <c r="AW90" s="0"/>
      <c r="AX90" s="0"/>
      <c r="AY90" s="0"/>
      <c r="AZ90" s="0"/>
      <c r="BA90" s="0"/>
      <c r="BC90" s="64"/>
      <c r="BD90" s="64"/>
      <c r="BE90" s="4" t="n">
        <f aca="false">VLOOKUP($A90,STRADDLE,14,FALSE())</f>
        <v>0.0490122788324676</v>
      </c>
      <c r="BF90" s="72" t="n">
        <f aca="false">A91-A90</f>
        <v>31</v>
      </c>
      <c r="BG90" s="179" t="n">
        <f aca="false">A90+BG$35</f>
        <v>38838</v>
      </c>
      <c r="BH90" s="179" t="n">
        <f aca="false">A91-1</f>
        <v>38868</v>
      </c>
      <c r="BJ90" s="179" t="n">
        <f aca="true">IF(BJ$35=0,TODAY(),IF(BJ$36="NYMEX",VLOOKUP($A90,expiration,2,FALSE())+1,BG90))</f>
        <v>38834</v>
      </c>
      <c r="BK90" s="73"/>
      <c r="BL90" s="73" t="n">
        <f aca="false">IF($A90&gt;=BM$32,IF($A90&lt;=BM$33,$BF90,0),0)</f>
        <v>0</v>
      </c>
      <c r="BM90" s="73" t="e">
        <f aca="false">BO90/BL90</f>
        <v>#DIV/0!</v>
      </c>
      <c r="BN90" s="1" t="n">
        <f aca="false">BL90*($B90+B$15)</f>
        <v>0</v>
      </c>
      <c r="BO90" s="47" t="n">
        <f aca="false">IF(ISNUMBER(((BN90/BL90)+B$16+$D90+$B$14)*BL90),((BN90/BL90)+B$16+$D90+$B$14)*BL90,0)</f>
        <v>0</v>
      </c>
      <c r="BP90" s="76" t="n">
        <f aca="false">IF($BL90=0,0,OSTRIP($BM90,$I90,$BJ90-$B$2,$BG90-$BJ90,$BH90-$BJ90,$B$10,$BE90,$F90,$G90,$B$23,$J90,$BQ$34,0))</f>
        <v>0</v>
      </c>
      <c r="BQ90" s="76" t="n">
        <f aca="false">IF($BL90=0,0,OSTRIP($BM90,$I90,$BJ90-$B$2,$BG90-$BJ90,$BH90-$BJ90,$B$10,$BE90,$F90,$G90,$B$23,$J90,$BQ$34,1))</f>
        <v>0</v>
      </c>
      <c r="BR90" s="76" t="n">
        <f aca="false">IF($BL90=0,0,OSTRIP($BM90,$I90,$BJ90-$B$2,$BG90-$BJ90,$BH90-$BJ90,$B$10,$BE90,$F90,$G90,$B$23,$J90,$BQ$34,BQ$35))</f>
        <v>0</v>
      </c>
      <c r="BS90" s="37" t="n">
        <f aca="false">BL90*BP90</f>
        <v>0</v>
      </c>
      <c r="BT90" s="37" t="n">
        <f aca="false">BL90*BQ90</f>
        <v>0</v>
      </c>
      <c r="BU90" s="37" t="n">
        <f aca="false">BL90*BR90</f>
        <v>0</v>
      </c>
      <c r="BV90" s="37" t="n">
        <f aca="false">BL90*G90</f>
        <v>0</v>
      </c>
      <c r="BX90" s="73" t="n">
        <f aca="false">IF($A90&gt;=BY$32,IF($A90&lt;=BY$33,$BF90,0),0)</f>
        <v>0</v>
      </c>
      <c r="BY90" s="186" t="e">
        <f aca="false">CA90/BX90</f>
        <v>#DIV/0!</v>
      </c>
      <c r="BZ90" s="1" t="n">
        <f aca="false">BX90*($B90+$D$15)</f>
        <v>0</v>
      </c>
      <c r="CA90" s="47" t="n">
        <f aca="false">IF(ISNUMBER(((BZ90/BX90)+$D$16+$N90+$D$14)*BX90),((BZ90/BX90)+$D$16+$N90+$D$14)*BX90,0)</f>
        <v>0</v>
      </c>
      <c r="CB90" s="76" t="n">
        <f aca="false">IF($BX90=0,0,OSTRIP($BY90,$S90,$BJ90-$B$2,$BG90-$BJ90,$BH90-$BJ90,$B$10,$BE90,$P90,$Q90,$D$23,$T90,$CC$34,0))</f>
        <v>0</v>
      </c>
      <c r="CC90" s="76" t="n">
        <f aca="false">IF($BX90=0,0,OSTRIP($BY90,$S90,$BJ90-$B$2,$BG90-$BJ90,$BH90-$BJ90,$B$10,$BE90,$P90,$Q90,$D$23,$T90,$CC$34,1))</f>
        <v>0</v>
      </c>
      <c r="CD90" s="76" t="n">
        <f aca="false">IF($BX90=0,0,OSTRIP($BY90,$S90,$BJ90-$B$2,$BG90-$BJ90,$BH90-$BJ90,$B$10,$BE90,$P90,$Q90,$D$23,$T90,$CC$34,CC$35))</f>
        <v>0</v>
      </c>
      <c r="CE90" s="37" t="n">
        <f aca="false">BX90*CB90</f>
        <v>0</v>
      </c>
      <c r="CF90" s="37" t="n">
        <f aca="false">BX90*CC90</f>
        <v>0</v>
      </c>
      <c r="CG90" s="37" t="n">
        <f aca="false">BX90*CD90</f>
        <v>0</v>
      </c>
      <c r="CH90" s="37" t="n">
        <f aca="false">BX90*Q90</f>
        <v>0</v>
      </c>
      <c r="CJ90" s="73" t="n">
        <f aca="false">IF($A90&gt;=CK$32,IF($A90&lt;=CK$33,$BF90,0),0)</f>
        <v>0</v>
      </c>
      <c r="CK90" s="186" t="e">
        <f aca="false">CM90/CJ90</f>
        <v>#DIV/0!</v>
      </c>
      <c r="CL90" s="1" t="n">
        <f aca="false">CJ90*($B90+$F$15)</f>
        <v>0</v>
      </c>
      <c r="CM90" s="47" t="n">
        <f aca="false">IF(ISNUMBER(((CL90/CJ90)+$F$16+$X90+$F$14)*CJ90),((CL90/CJ90)+$F$16+$X90+$F$14)*CJ90,0)</f>
        <v>0</v>
      </c>
      <c r="CN90" s="76" t="n">
        <f aca="false">IF($CJ90=0,0,OSTRIP($CK90,$AC90,$BJ90-$B$2,$BG90-$BJ90,$BH90-$BJ90,$B$10,$BE90,$Z90,$AA90,$F$23,$AD90,$CO$34,0))</f>
        <v>0</v>
      </c>
      <c r="CO90" s="76" t="n">
        <f aca="false">IF($CJ90=0,0,OSTRIP($CK90,$AC90,$BJ90-$B$2,$BG90-$BJ90,$BH90-$BJ90,$B$10,$BE90,$Z90,$AA90,$F$23,$AD90,$CO$34,1))</f>
        <v>0</v>
      </c>
      <c r="CP90" s="76" t="n">
        <f aca="false">IF($CJ90=0,0,OSTRIP($CK90,$AC90,$BJ90-$B$2,$BG90-$BJ90,$BH90-$BJ90,$B$10,$BE90,$Z90,$AA90,$F$23,$AD90,$CO$34,$CO$35))</f>
        <v>0</v>
      </c>
      <c r="CQ90" s="37" t="n">
        <f aca="false">CJ90*CN90</f>
        <v>0</v>
      </c>
      <c r="CR90" s="37" t="n">
        <f aca="false">CJ90*CO90</f>
        <v>0</v>
      </c>
      <c r="CS90" s="37" t="n">
        <f aca="false">CJ90*CP90</f>
        <v>0</v>
      </c>
      <c r="CT90" s="37" t="n">
        <f aca="false">CJ90*AA90</f>
        <v>0</v>
      </c>
      <c r="CV90" s="73" t="n">
        <f aca="false">IF($A90&gt;=CW$32,IF($A90&lt;=CW$33,$BF90,0),0)</f>
        <v>0</v>
      </c>
      <c r="CW90" s="186" t="e">
        <f aca="false">CY90/CV90</f>
        <v>#DIV/0!</v>
      </c>
      <c r="CX90" s="1" t="n">
        <f aca="false">CV90*($B90+$H$15)</f>
        <v>0</v>
      </c>
      <c r="CY90" s="47" t="n">
        <f aca="false">IF(ISNUMBER(((CX90/CV90)+$H$16+$AH90+$H$14)*CV90),((CX90/CV90)+$H$16+$AH90+$H$14)*CV90,0)</f>
        <v>0</v>
      </c>
      <c r="CZ90" s="76" t="n">
        <f aca="false">IF($CV90=0,0,OSTRIP($CW90,$AM90,$BJ90-$B$2,$BG90-$BJ90,$BH90-$BJ90,$B$10,$BE90,$AJ90,$AK90,$H$23,$AN90,$DA$34,0))</f>
        <v>0</v>
      </c>
      <c r="DA90" s="76" t="n">
        <f aca="false">IF($CV90=0,0,OSTRIP($CW90,$AM90,$BJ90-$B$2,$BG90-$BJ90,$BH90-$BJ90,$B$10,$BE90,$AJ90,$AK90,$H$23,$AN90,$DA$34,1))</f>
        <v>0</v>
      </c>
      <c r="DB90" s="76" t="n">
        <f aca="false">IF($CV90=0,0,OSTRIP($CW90,$AM90,$BJ90-$B$2,$BG90-$BJ90,$BH90-$BJ90,$B$10,$BE90,$AJ90,$AK90,$H$23,$AN90,$DA$34,DA$35))</f>
        <v>0</v>
      </c>
      <c r="DC90" s="37" t="n">
        <f aca="false">CV90*CZ90</f>
        <v>0</v>
      </c>
      <c r="DD90" s="37" t="n">
        <f aca="false">CV90*DA90</f>
        <v>0</v>
      </c>
      <c r="DE90" s="37" t="n">
        <f aca="false">CV90*DB90</f>
        <v>0</v>
      </c>
      <c r="DF90" s="37" t="n">
        <f aca="false">CV90*AK90</f>
        <v>0</v>
      </c>
    </row>
    <row r="91" customFormat="false" ht="12.75" hidden="false" customHeight="false" outlineLevel="0" collapsed="false">
      <c r="A91" s="62" t="n">
        <f aca="false">DATE(YEAR(A90),MONTH(A90)+1,1)</f>
        <v>38869</v>
      </c>
      <c r="B91" s="63" t="n">
        <f aca="false">VLOOKUP(A91,STRADDLE,5,FALSE())</f>
        <v>3.365</v>
      </c>
      <c r="C91" s="4" t="n">
        <f aca="false">VLOOKUP(A91,STRADDLE,8,FALSE())</f>
        <v>0.2475</v>
      </c>
      <c r="D91" s="63" t="n">
        <f aca="false">IF(D$35="nymex",0,VLOOKUP($A91,curvesettle,HLOOKUP(D$35,curvesettle,2,FALSE())))</f>
        <v>0.335</v>
      </c>
      <c r="E91" s="65" t="n">
        <f aca="false">IF(ISNUMBER(VLOOKUP($A91,VOLCURVES,HLOOKUP(D$35,VOLCURVES,2,FALSE()),FALSE())),VLOOKUP($A91,VOLCURVES,HLOOKUP(D$35,VOLCURVES,2,FALSE()),FALSE()),1)</f>
        <v>0.98</v>
      </c>
      <c r="F91" s="4" t="n">
        <f aca="false">(($C91+H91)*$E91)+B$17</f>
        <v>0.34255</v>
      </c>
      <c r="G91" s="65" t="n">
        <f aca="false">VLOOKUP($A91,GASDVOLCURVES,HLOOKUP(D$36,GASDVOLCURVES,2,FALSE()),FALSE())+$B$18</f>
        <v>0.55</v>
      </c>
      <c r="H91" s="4" t="n">
        <f aca="false">IF($B$20=1,VLOOKUP($A91,skewtable,HLOOKUP(ROUND(I91-BM91,1),skewtable,2,FALSE()),FALSE())/100,0)</f>
        <v>0</v>
      </c>
      <c r="I91" s="66" t="e">
        <f aca="false">IF($B$10=1,($BM91*$B$23)-$B$14,$B$22)</f>
        <v>#DIV/0!</v>
      </c>
      <c r="J91" s="67" t="e">
        <f aca="false">I91-BM91+$B$24</f>
        <v>#DIV/0!</v>
      </c>
      <c r="K91" s="67"/>
      <c r="L91" s="183"/>
      <c r="M91" s="183"/>
      <c r="N91" s="63" t="n">
        <f aca="false">IF(N$35="nymex",0,VLOOKUP($A91,curvesettle,HLOOKUP(N$35,curvesettle,2,FALSE())))</f>
        <v>0.025</v>
      </c>
      <c r="O91" s="65" t="n">
        <f aca="false">IF(ISNUMBER(VLOOKUP($A91,VOLCURVES,HLOOKUP(N$35,VOLCURVES,2,FALSE()),FALSE())),VLOOKUP($A91,VOLCURVES,HLOOKUP(N$35,VOLCURVES,2,FALSE()),FALSE()),1)</f>
        <v>1</v>
      </c>
      <c r="P91" s="184" t="n">
        <f aca="false">(($C91+R91)*O91)+$D$17</f>
        <v>0.2475</v>
      </c>
      <c r="Q91" s="65" t="n">
        <f aca="false">VLOOKUP($A91,GASDVOLCURVES,HLOOKUP(N$36,GASDVOLCURVES,2,FALSE()),FALSE())+$D$18</f>
        <v>0.55</v>
      </c>
      <c r="R91" s="4" t="n">
        <f aca="false">IF($D$20=1,VLOOKUP($A91,skewtable,HLOOKUP(ROUND(S91-BY91,1),skewtable,2,FALSE()),FALSE())/100,0)</f>
        <v>0</v>
      </c>
      <c r="S91" s="66" t="e">
        <f aca="false">IF(B$10=1,($BY91*$D$23)-$D$14,$D$22)</f>
        <v>#DIV/0!</v>
      </c>
      <c r="T91" s="67" t="e">
        <f aca="false">S91-$BY91+$D$24</f>
        <v>#DIV/0!</v>
      </c>
      <c r="U91" s="0"/>
      <c r="V91" s="0"/>
      <c r="W91" s="0"/>
      <c r="X91" s="63" t="n">
        <f aca="false">IF(X$35="nymex",0,VLOOKUP($A91,curvesettle,HLOOKUP(X$35,curvesettle,2,FALSE())))</f>
        <v>0.26</v>
      </c>
      <c r="Y91" s="65" t="n">
        <f aca="false">IF(ISNUMBER(VLOOKUP($A91,VOLCURVES,HLOOKUP(X$35,VOLCURVES,2,FALSE()),FALSE())),VLOOKUP($A91,VOLCURVES,HLOOKUP(X$35,VOLCURVES,2,FALSE()),FALSE()),1)</f>
        <v>1</v>
      </c>
      <c r="Z91" s="184" t="n">
        <f aca="false">(($C91+AB91)*Y91)+$F$17</f>
        <v>0.2475</v>
      </c>
      <c r="AA91" s="65" t="n">
        <f aca="false">VLOOKUP($A91,GASDVOLCURVES,HLOOKUP(X$36,GASDVOLCURVES,2,FALSE()),FALSE())+$F$18</f>
        <v>0.6</v>
      </c>
      <c r="AB91" s="4" t="n">
        <f aca="false">IF($F$20=1,VLOOKUP($A91,skewtable,HLOOKUP(ROUND(AC91-CK91,1),skewtable,2,FALSE()),FALSE())/100,0)</f>
        <v>0</v>
      </c>
      <c r="AC91" s="66" t="e">
        <f aca="false">IF($B$10=1,($CK91*$F$23)-$F$14,$F$22)</f>
        <v>#DIV/0!</v>
      </c>
      <c r="AD91" s="67" t="e">
        <f aca="false">AC91-$CK91+$F$24</f>
        <v>#DIV/0!</v>
      </c>
      <c r="AE91" s="0"/>
      <c r="AF91" s="0"/>
      <c r="AG91" s="0"/>
      <c r="AH91" s="63" t="n">
        <f aca="false">IF(AH$35="nymex",0,VLOOKUP($A91,curvesettle,HLOOKUP(AH$35,curvesettle,2,FALSE())))</f>
        <v>0.37</v>
      </c>
      <c r="AI91" s="65" t="n">
        <f aca="false">IF(ISNUMBER(VLOOKUP($A91,VOLCURVES,HLOOKUP(AH$35,VOLCURVES,2,FALSE()),FALSE())),VLOOKUP($A91,VOLCURVES,HLOOKUP(AH$35,VOLCURVES,2,FALSE()),FALSE()),1)</f>
        <v>1</v>
      </c>
      <c r="AJ91" s="184" t="n">
        <f aca="false">(($C91+AL91)*AI91)+$H$17</f>
        <v>0.2475</v>
      </c>
      <c r="AK91" s="65" t="n">
        <f aca="false">VLOOKUP($A91,GASDVOLCURVES,HLOOKUP(AH$36,GASDVOLCURVES,2,FALSE()),FALSE())+$H$18</f>
        <v>1</v>
      </c>
      <c r="AL91" s="4" t="n">
        <f aca="false">IF($H$20=1,VLOOKUP($A91,skewtable,HLOOKUP(ROUND(AM91-CW91,1),skewtable,2,FALSE()),FALSE())/100,0)</f>
        <v>0</v>
      </c>
      <c r="AM91" s="66" t="e">
        <f aca="false">IF($B$10=1,($CW91*$H$23)-$H$14,$H$22)</f>
        <v>#DIV/0!</v>
      </c>
      <c r="AN91" s="67" t="e">
        <f aca="false">AM91-CW91+$H$24</f>
        <v>#DIV/0!</v>
      </c>
      <c r="AO91" s="0"/>
      <c r="AP91" s="0"/>
      <c r="AQ91" s="183"/>
      <c r="AR91" s="183"/>
      <c r="AU91" s="0"/>
      <c r="AV91" s="0"/>
      <c r="AW91" s="0"/>
      <c r="AX91" s="0"/>
      <c r="AY91" s="0"/>
      <c r="AZ91" s="0"/>
      <c r="BA91" s="0"/>
      <c r="BC91" s="64"/>
      <c r="BD91" s="64"/>
      <c r="BE91" s="4" t="n">
        <f aca="false">VLOOKUP($A91,STRADDLE,14,FALSE())</f>
        <v>0.0493228500878793</v>
      </c>
      <c r="BF91" s="72" t="n">
        <f aca="false">A92-A91</f>
        <v>30</v>
      </c>
      <c r="BG91" s="179" t="n">
        <f aca="false">A91+BG$35</f>
        <v>38869</v>
      </c>
      <c r="BH91" s="179" t="n">
        <f aca="false">A92-1</f>
        <v>38898</v>
      </c>
      <c r="BJ91" s="179" t="n">
        <f aca="true">IF(BJ$35=0,TODAY(),IF(BJ$36="NYMEX",VLOOKUP($A91,expiration,2,FALSE())+1,BG91))</f>
        <v>38864</v>
      </c>
      <c r="BK91" s="73"/>
      <c r="BL91" s="73" t="n">
        <f aca="false">IF($A91&gt;=BM$32,IF($A91&lt;=BM$33,$BF91,0),0)</f>
        <v>0</v>
      </c>
      <c r="BM91" s="73" t="e">
        <f aca="false">BO91/BL91</f>
        <v>#DIV/0!</v>
      </c>
      <c r="BN91" s="1" t="n">
        <f aca="false">BL91*($B91+B$15)</f>
        <v>0</v>
      </c>
      <c r="BO91" s="47" t="n">
        <f aca="false">IF(ISNUMBER(((BN91/BL91)+B$16+$D91+$B$14)*BL91),((BN91/BL91)+B$16+$D91+$B$14)*BL91,0)</f>
        <v>0</v>
      </c>
      <c r="BP91" s="76" t="n">
        <f aca="false">IF($BL91=0,0,OSTRIP($BM91,$I91,$BJ91-$B$2,$BG91-$BJ91,$BH91-$BJ91,$B$10,$BE91,$F91,$G91,$B$23,$J91,$BQ$34,0))</f>
        <v>0</v>
      </c>
      <c r="BQ91" s="76" t="n">
        <f aca="false">IF($BL91=0,0,OSTRIP($BM91,$I91,$BJ91-$B$2,$BG91-$BJ91,$BH91-$BJ91,$B$10,$BE91,$F91,$G91,$B$23,$J91,$BQ$34,1))</f>
        <v>0</v>
      </c>
      <c r="BR91" s="76" t="n">
        <f aca="false">IF($BL91=0,0,OSTRIP($BM91,$I91,$BJ91-$B$2,$BG91-$BJ91,$BH91-$BJ91,$B$10,$BE91,$F91,$G91,$B$23,$J91,$BQ$34,BQ$35))</f>
        <v>0</v>
      </c>
      <c r="BS91" s="37" t="n">
        <f aca="false">BL91*BP91</f>
        <v>0</v>
      </c>
      <c r="BT91" s="37" t="n">
        <f aca="false">BL91*BQ91</f>
        <v>0</v>
      </c>
      <c r="BU91" s="37" t="n">
        <f aca="false">BL91*BR91</f>
        <v>0</v>
      </c>
      <c r="BV91" s="37" t="n">
        <f aca="false">BL91*G91</f>
        <v>0</v>
      </c>
      <c r="BX91" s="73" t="n">
        <f aca="false">IF($A91&gt;=BY$32,IF($A91&lt;=BY$33,$BF91,0),0)</f>
        <v>0</v>
      </c>
      <c r="BY91" s="186" t="e">
        <f aca="false">CA91/BX91</f>
        <v>#DIV/0!</v>
      </c>
      <c r="BZ91" s="1" t="n">
        <f aca="false">BX91*($B91+$D$15)</f>
        <v>0</v>
      </c>
      <c r="CA91" s="47" t="n">
        <f aca="false">IF(ISNUMBER(((BZ91/BX91)+$D$16+$N91+$D$14)*BX91),((BZ91/BX91)+$D$16+$N91+$D$14)*BX91,0)</f>
        <v>0</v>
      </c>
      <c r="CB91" s="76" t="n">
        <f aca="false">IF($BX91=0,0,OSTRIP($BY91,$S91,$BJ91-$B$2,$BG91-$BJ91,$BH91-$BJ91,$B$10,$BE91,$P91,$Q91,$D$23,$T91,$CC$34,0))</f>
        <v>0</v>
      </c>
      <c r="CC91" s="76" t="n">
        <f aca="false">IF($BX91=0,0,OSTRIP($BY91,$S91,$BJ91-$B$2,$BG91-$BJ91,$BH91-$BJ91,$B$10,$BE91,$P91,$Q91,$D$23,$T91,$CC$34,1))</f>
        <v>0</v>
      </c>
      <c r="CD91" s="76" t="n">
        <f aca="false">IF($BX91=0,0,OSTRIP($BY91,$S91,$BJ91-$B$2,$BG91-$BJ91,$BH91-$BJ91,$B$10,$BE91,$P91,$Q91,$D$23,$T91,$CC$34,CC$35))</f>
        <v>0</v>
      </c>
      <c r="CE91" s="37" t="n">
        <f aca="false">BX91*CB91</f>
        <v>0</v>
      </c>
      <c r="CF91" s="37" t="n">
        <f aca="false">BX91*CC91</f>
        <v>0</v>
      </c>
      <c r="CG91" s="37" t="n">
        <f aca="false">BX91*CD91</f>
        <v>0</v>
      </c>
      <c r="CH91" s="37" t="n">
        <f aca="false">BX91*Q91</f>
        <v>0</v>
      </c>
      <c r="CJ91" s="73" t="n">
        <f aca="false">IF($A91&gt;=CK$32,IF($A91&lt;=CK$33,$BF91,0),0)</f>
        <v>0</v>
      </c>
      <c r="CK91" s="186" t="e">
        <f aca="false">CM91/CJ91</f>
        <v>#DIV/0!</v>
      </c>
      <c r="CL91" s="1" t="n">
        <f aca="false">CJ91*($B91+$F$15)</f>
        <v>0</v>
      </c>
      <c r="CM91" s="47" t="n">
        <f aca="false">IF(ISNUMBER(((CL91/CJ91)+$F$16+$X91+$F$14)*CJ91),((CL91/CJ91)+$F$16+$X91+$F$14)*CJ91,0)</f>
        <v>0</v>
      </c>
      <c r="CN91" s="76" t="n">
        <f aca="false">IF($CJ91=0,0,OSTRIP($CK91,$AC91,$BJ91-$B$2,$BG91-$BJ91,$BH91-$BJ91,$B$10,$BE91,$Z91,$AA91,$F$23,$AD91,$CO$34,0))</f>
        <v>0</v>
      </c>
      <c r="CO91" s="76" t="n">
        <f aca="false">IF($CJ91=0,0,OSTRIP($CK91,$AC91,$BJ91-$B$2,$BG91-$BJ91,$BH91-$BJ91,$B$10,$BE91,$Z91,$AA91,$F$23,$AD91,$CO$34,1))</f>
        <v>0</v>
      </c>
      <c r="CP91" s="76" t="n">
        <f aca="false">IF($CJ91=0,0,OSTRIP($CK91,$AC91,$BJ91-$B$2,$BG91-$BJ91,$BH91-$BJ91,$B$10,$BE91,$Z91,$AA91,$F$23,$AD91,$CO$34,$CO$35))</f>
        <v>0</v>
      </c>
      <c r="CQ91" s="37" t="n">
        <f aca="false">CJ91*CN91</f>
        <v>0</v>
      </c>
      <c r="CR91" s="37" t="n">
        <f aca="false">CJ91*CO91</f>
        <v>0</v>
      </c>
      <c r="CS91" s="37" t="n">
        <f aca="false">CJ91*CP91</f>
        <v>0</v>
      </c>
      <c r="CT91" s="37" t="n">
        <f aca="false">CJ91*AA91</f>
        <v>0</v>
      </c>
      <c r="CV91" s="73" t="n">
        <f aca="false">IF($A91&gt;=CW$32,IF($A91&lt;=CW$33,$BF91,0),0)</f>
        <v>0</v>
      </c>
      <c r="CW91" s="186" t="e">
        <f aca="false">CY91/CV91</f>
        <v>#DIV/0!</v>
      </c>
      <c r="CX91" s="1" t="n">
        <f aca="false">CV91*($B91+$H$15)</f>
        <v>0</v>
      </c>
      <c r="CY91" s="47" t="n">
        <f aca="false">IF(ISNUMBER(((CX91/CV91)+$H$16+$AH91+$H$14)*CV91),((CX91/CV91)+$H$16+$AH91+$H$14)*CV91,0)</f>
        <v>0</v>
      </c>
      <c r="CZ91" s="76" t="n">
        <f aca="false">IF($CV91=0,0,OSTRIP($CW91,$AM91,$BJ91-$B$2,$BG91-$BJ91,$BH91-$BJ91,$B$10,$BE91,$AJ91,$AK91,$H$23,$AN91,$DA$34,0))</f>
        <v>0</v>
      </c>
      <c r="DA91" s="76" t="n">
        <f aca="false">IF($CV91=0,0,OSTRIP($CW91,$AM91,$BJ91-$B$2,$BG91-$BJ91,$BH91-$BJ91,$B$10,$BE91,$AJ91,$AK91,$H$23,$AN91,$DA$34,1))</f>
        <v>0</v>
      </c>
      <c r="DB91" s="76" t="n">
        <f aca="false">IF($CV91=0,0,OSTRIP($CW91,$AM91,$BJ91-$B$2,$BG91-$BJ91,$BH91-$BJ91,$B$10,$BE91,$AJ91,$AK91,$H$23,$AN91,$DA$34,DA$35))</f>
        <v>0</v>
      </c>
      <c r="DC91" s="37" t="n">
        <f aca="false">CV91*CZ91</f>
        <v>0</v>
      </c>
      <c r="DD91" s="37" t="n">
        <f aca="false">CV91*DA91</f>
        <v>0</v>
      </c>
      <c r="DE91" s="37" t="n">
        <f aca="false">CV91*DB91</f>
        <v>0</v>
      </c>
      <c r="DF91" s="37" t="n">
        <f aca="false">CV91*AK91</f>
        <v>0</v>
      </c>
    </row>
    <row r="92" customFormat="false" ht="12.75" hidden="false" customHeight="false" outlineLevel="0" collapsed="false">
      <c r="A92" s="62" t="n">
        <f aca="false">DATE(YEAR(A91),MONTH(A91)+1,1)</f>
        <v>38899</v>
      </c>
      <c r="B92" s="63" t="n">
        <f aca="false">VLOOKUP(A92,STRADDLE,5,FALSE())</f>
        <v>3.405</v>
      </c>
      <c r="C92" s="4" t="n">
        <f aca="false">VLOOKUP(A92,STRADDLE,8,FALSE())</f>
        <v>0.2475</v>
      </c>
      <c r="D92" s="63" t="n">
        <f aca="false">IF(D$35="nymex",0,VLOOKUP($A92,curvesettle,HLOOKUP(D$35,curvesettle,2,FALSE())))</f>
        <v>0.35</v>
      </c>
      <c r="E92" s="65" t="n">
        <f aca="false">IF(ISNUMBER(VLOOKUP($A92,VOLCURVES,HLOOKUP(D$35,VOLCURVES,2,FALSE()),FALSE())),VLOOKUP($A92,VOLCURVES,HLOOKUP(D$35,VOLCURVES,2,FALSE()),FALSE()),1)</f>
        <v>0.98</v>
      </c>
      <c r="F92" s="4" t="n">
        <f aca="false">(($C92+H92)*$E92)+B$17</f>
        <v>0.34255</v>
      </c>
      <c r="G92" s="65" t="n">
        <f aca="false">VLOOKUP($A92,GASDVOLCURVES,HLOOKUP(D$36,GASDVOLCURVES,2,FALSE()),FALSE())+$B$18</f>
        <v>0.6</v>
      </c>
      <c r="H92" s="4" t="n">
        <f aca="false">IF($B$20=1,VLOOKUP($A92,skewtable,HLOOKUP(ROUND(I92-BM92,1),skewtable,2,FALSE()),FALSE())/100,0)</f>
        <v>0</v>
      </c>
      <c r="I92" s="66" t="e">
        <f aca="false">IF($B$10=1,($BM92*$B$23)-$B$14,$B$22)</f>
        <v>#DIV/0!</v>
      </c>
      <c r="J92" s="67" t="e">
        <f aca="false">I92-BM92+$B$24</f>
        <v>#DIV/0!</v>
      </c>
      <c r="K92" s="67"/>
      <c r="L92" s="183"/>
      <c r="M92" s="183"/>
      <c r="N92" s="63" t="n">
        <f aca="false">IF(N$35="nymex",0,VLOOKUP($A92,curvesettle,HLOOKUP(N$35,curvesettle,2,FALSE())))</f>
        <v>0.0275</v>
      </c>
      <c r="O92" s="65" t="n">
        <f aca="false">IF(ISNUMBER(VLOOKUP($A92,VOLCURVES,HLOOKUP(N$35,VOLCURVES,2,FALSE()),FALSE())),VLOOKUP($A92,VOLCURVES,HLOOKUP(N$35,VOLCURVES,2,FALSE()),FALSE()),1)</f>
        <v>1</v>
      </c>
      <c r="P92" s="184" t="n">
        <f aca="false">(($C92+R92)*O92)+$D$17</f>
        <v>0.2475</v>
      </c>
      <c r="Q92" s="65" t="n">
        <f aca="false">VLOOKUP($A92,GASDVOLCURVES,HLOOKUP(N$36,GASDVOLCURVES,2,FALSE()),FALSE())+$D$18</f>
        <v>0.6</v>
      </c>
      <c r="R92" s="4" t="n">
        <f aca="false">IF($D$20=1,VLOOKUP($A92,skewtable,HLOOKUP(ROUND(S92-BY92,1),skewtable,2,FALSE()),FALSE())/100,0)</f>
        <v>0</v>
      </c>
      <c r="S92" s="66" t="e">
        <f aca="false">IF(B$10=1,($BY92*$D$23)-$D$14,$D$22)</f>
        <v>#DIV/0!</v>
      </c>
      <c r="T92" s="67" t="e">
        <f aca="false">S92-$BY92+$D$24</f>
        <v>#DIV/0!</v>
      </c>
      <c r="U92" s="0"/>
      <c r="V92" s="0"/>
      <c r="W92" s="0"/>
      <c r="X92" s="63" t="n">
        <f aca="false">IF(X$35="nymex",0,VLOOKUP($A92,curvesettle,HLOOKUP(X$35,curvesettle,2,FALSE())))</f>
        <v>0.26</v>
      </c>
      <c r="Y92" s="65" t="n">
        <f aca="false">IF(ISNUMBER(VLOOKUP($A92,VOLCURVES,HLOOKUP(X$35,VOLCURVES,2,FALSE()),FALSE())),VLOOKUP($A92,VOLCURVES,HLOOKUP(X$35,VOLCURVES,2,FALSE()),FALSE()),1)</f>
        <v>1</v>
      </c>
      <c r="Z92" s="184" t="n">
        <f aca="false">(($C92+AB92)*Y92)+$F$17</f>
        <v>0.2475</v>
      </c>
      <c r="AA92" s="65" t="n">
        <f aca="false">VLOOKUP($A92,GASDVOLCURVES,HLOOKUP(X$36,GASDVOLCURVES,2,FALSE()),FALSE())+$F$18</f>
        <v>0.6</v>
      </c>
      <c r="AB92" s="4" t="n">
        <f aca="false">IF($F$20=1,VLOOKUP($A92,skewtable,HLOOKUP(ROUND(AC92-CK92,1),skewtable,2,FALSE()),FALSE())/100,0)</f>
        <v>0</v>
      </c>
      <c r="AC92" s="66" t="e">
        <f aca="false">IF($B$10=1,($CK92*$F$23)-$F$14,$F$22)</f>
        <v>#DIV/0!</v>
      </c>
      <c r="AD92" s="67" t="e">
        <f aca="false">AC92-$CK92+$F$24</f>
        <v>#DIV/0!</v>
      </c>
      <c r="AE92" s="0"/>
      <c r="AF92" s="0"/>
      <c r="AG92" s="0"/>
      <c r="AH92" s="63" t="n">
        <f aca="false">IF(AH$35="nymex",0,VLOOKUP($A92,curvesettle,HLOOKUP(AH$35,curvesettle,2,FALSE())))</f>
        <v>0.41</v>
      </c>
      <c r="AI92" s="65" t="n">
        <f aca="false">IF(ISNUMBER(VLOOKUP($A92,VOLCURVES,HLOOKUP(AH$35,VOLCURVES,2,FALSE()),FALSE())),VLOOKUP($A92,VOLCURVES,HLOOKUP(AH$35,VOLCURVES,2,FALSE()),FALSE()),1)</f>
        <v>1</v>
      </c>
      <c r="AJ92" s="184" t="n">
        <f aca="false">(($C92+AL92)*AI92)+$H$17</f>
        <v>0.2475</v>
      </c>
      <c r="AK92" s="65" t="n">
        <f aca="false">VLOOKUP($A92,GASDVOLCURVES,HLOOKUP(AH$36,GASDVOLCURVES,2,FALSE()),FALSE())+$H$18</f>
        <v>1</v>
      </c>
      <c r="AL92" s="4" t="n">
        <f aca="false">IF($H$20=1,VLOOKUP($A92,skewtable,HLOOKUP(ROUND(AM92-CW92,1),skewtable,2,FALSE()),FALSE())/100,0)</f>
        <v>0</v>
      </c>
      <c r="AM92" s="66" t="e">
        <f aca="false">IF($B$10=1,($CW92*$H$23)-$H$14,$H$22)</f>
        <v>#DIV/0!</v>
      </c>
      <c r="AN92" s="67" t="e">
        <f aca="false">AM92-CW92+$H$24</f>
        <v>#DIV/0!</v>
      </c>
      <c r="AO92" s="0"/>
      <c r="AP92" s="0"/>
      <c r="AQ92" s="183"/>
      <c r="AR92" s="183"/>
      <c r="AU92" s="0"/>
      <c r="AV92" s="0"/>
      <c r="AW92" s="0"/>
      <c r="AX92" s="0"/>
      <c r="AY92" s="0"/>
      <c r="AZ92" s="0"/>
      <c r="BA92" s="0"/>
      <c r="BC92" s="64"/>
      <c r="BD92" s="64"/>
      <c r="BE92" s="4" t="n">
        <f aca="false">VLOOKUP($A92,STRADDLE,14,FALSE())</f>
        <v>0.04962340294637</v>
      </c>
      <c r="BF92" s="72" t="n">
        <f aca="false">A93-A92</f>
        <v>31</v>
      </c>
      <c r="BG92" s="179" t="n">
        <f aca="false">A92+BG$35</f>
        <v>38899</v>
      </c>
      <c r="BH92" s="179" t="n">
        <f aca="false">A93-1</f>
        <v>38929</v>
      </c>
      <c r="BJ92" s="179" t="n">
        <f aca="true">IF(BJ$35=0,TODAY(),IF(BJ$36="NYMEX",VLOOKUP($A92,expiration,2,FALSE())+1,BG92))</f>
        <v>38897</v>
      </c>
      <c r="BK92" s="73"/>
      <c r="BL92" s="73" t="n">
        <f aca="false">IF($A92&gt;=BM$32,IF($A92&lt;=BM$33,$BF92,0),0)</f>
        <v>0</v>
      </c>
      <c r="BM92" s="73" t="e">
        <f aca="false">BO92/BL92</f>
        <v>#DIV/0!</v>
      </c>
      <c r="BN92" s="1" t="n">
        <f aca="false">BL92*($B92+B$15)</f>
        <v>0</v>
      </c>
      <c r="BO92" s="47" t="n">
        <f aca="false">IF(ISNUMBER(((BN92/BL92)+B$16+$D92+$B$14)*BL92),((BN92/BL92)+B$16+$D92+$B$14)*BL92,0)</f>
        <v>0</v>
      </c>
      <c r="BP92" s="76" t="n">
        <f aca="false">IF($BL92=0,0,OSTRIP($BM92,$I92,$BJ92-$B$2,$BG92-$BJ92,$BH92-$BJ92,$B$10,$BE92,$F92,$G92,$B$23,$J92,$BQ$34,0))</f>
        <v>0</v>
      </c>
      <c r="BQ92" s="76" t="n">
        <f aca="false">IF($BL92=0,0,OSTRIP($BM92,$I92,$BJ92-$B$2,$BG92-$BJ92,$BH92-$BJ92,$B$10,$BE92,$F92,$G92,$B$23,$J92,$BQ$34,1))</f>
        <v>0</v>
      </c>
      <c r="BR92" s="76" t="n">
        <f aca="false">IF($BL92=0,0,OSTRIP($BM92,$I92,$BJ92-$B$2,$BG92-$BJ92,$BH92-$BJ92,$B$10,$BE92,$F92,$G92,$B$23,$J92,$BQ$34,BQ$35))</f>
        <v>0</v>
      </c>
      <c r="BS92" s="37" t="n">
        <f aca="false">BL92*BP92</f>
        <v>0</v>
      </c>
      <c r="BT92" s="37" t="n">
        <f aca="false">BL92*BQ92</f>
        <v>0</v>
      </c>
      <c r="BU92" s="37" t="n">
        <f aca="false">BL92*BR92</f>
        <v>0</v>
      </c>
      <c r="BV92" s="37" t="n">
        <f aca="false">BL92*G92</f>
        <v>0</v>
      </c>
      <c r="BX92" s="73" t="n">
        <f aca="false">IF($A92&gt;=BY$32,IF($A92&lt;=BY$33,$BF92,0),0)</f>
        <v>0</v>
      </c>
      <c r="BY92" s="186" t="e">
        <f aca="false">CA92/BX92</f>
        <v>#DIV/0!</v>
      </c>
      <c r="BZ92" s="1" t="n">
        <f aca="false">BX92*($B92+$D$15)</f>
        <v>0</v>
      </c>
      <c r="CA92" s="47" t="n">
        <f aca="false">IF(ISNUMBER(((BZ92/BX92)+$D$16+$N92+$D$14)*BX92),((BZ92/BX92)+$D$16+$N92+$D$14)*BX92,0)</f>
        <v>0</v>
      </c>
      <c r="CB92" s="76" t="n">
        <f aca="false">IF($BX92=0,0,OSTRIP($BY92,$S92,$BJ92-$B$2,$BG92-$BJ92,$BH92-$BJ92,$B$10,$BE92,$P92,$Q92,$D$23,$T92,$CC$34,0))</f>
        <v>0</v>
      </c>
      <c r="CC92" s="76" t="n">
        <f aca="false">IF($BX92=0,0,OSTRIP($BY92,$S92,$BJ92-$B$2,$BG92-$BJ92,$BH92-$BJ92,$B$10,$BE92,$P92,$Q92,$D$23,$T92,$CC$34,1))</f>
        <v>0</v>
      </c>
      <c r="CD92" s="76" t="n">
        <f aca="false">IF($BX92=0,0,OSTRIP($BY92,$S92,$BJ92-$B$2,$BG92-$BJ92,$BH92-$BJ92,$B$10,$BE92,$P92,$Q92,$D$23,$T92,$CC$34,CC$35))</f>
        <v>0</v>
      </c>
      <c r="CE92" s="37" t="n">
        <f aca="false">BX92*CB92</f>
        <v>0</v>
      </c>
      <c r="CF92" s="37" t="n">
        <f aca="false">BX92*CC92</f>
        <v>0</v>
      </c>
      <c r="CG92" s="37" t="n">
        <f aca="false">BX92*CD92</f>
        <v>0</v>
      </c>
      <c r="CH92" s="37" t="n">
        <f aca="false">BX92*Q92</f>
        <v>0</v>
      </c>
      <c r="CJ92" s="73" t="n">
        <f aca="false">IF($A92&gt;=CK$32,IF($A92&lt;=CK$33,$BF92,0),0)</f>
        <v>0</v>
      </c>
      <c r="CK92" s="186" t="e">
        <f aca="false">CM92/CJ92</f>
        <v>#DIV/0!</v>
      </c>
      <c r="CL92" s="1" t="n">
        <f aca="false">CJ92*($B92+$F$15)</f>
        <v>0</v>
      </c>
      <c r="CM92" s="47" t="n">
        <f aca="false">IF(ISNUMBER(((CL92/CJ92)+$F$16+$X92+$F$14)*CJ92),((CL92/CJ92)+$F$16+$X92+$F$14)*CJ92,0)</f>
        <v>0</v>
      </c>
      <c r="CN92" s="76" t="n">
        <f aca="false">IF($CJ92=0,0,OSTRIP($CK92,$AC92,$BJ92-$B$2,$BG92-$BJ92,$BH92-$BJ92,$B$10,$BE92,$Z92,$AA92,$F$23,$AD92,$CO$34,0))</f>
        <v>0</v>
      </c>
      <c r="CO92" s="76" t="n">
        <f aca="false">IF($CJ92=0,0,OSTRIP($CK92,$AC92,$BJ92-$B$2,$BG92-$BJ92,$BH92-$BJ92,$B$10,$BE92,$Z92,$AA92,$F$23,$AD92,$CO$34,1))</f>
        <v>0</v>
      </c>
      <c r="CP92" s="76" t="n">
        <f aca="false">IF($CJ92=0,0,OSTRIP($CK92,$AC92,$BJ92-$B$2,$BG92-$BJ92,$BH92-$BJ92,$B$10,$BE92,$Z92,$AA92,$F$23,$AD92,$CO$34,$CO$35))</f>
        <v>0</v>
      </c>
      <c r="CQ92" s="37" t="n">
        <f aca="false">CJ92*CN92</f>
        <v>0</v>
      </c>
      <c r="CR92" s="37" t="n">
        <f aca="false">CJ92*CO92</f>
        <v>0</v>
      </c>
      <c r="CS92" s="37" t="n">
        <f aca="false">CJ92*CP92</f>
        <v>0</v>
      </c>
      <c r="CT92" s="37" t="n">
        <f aca="false">CJ92*AA92</f>
        <v>0</v>
      </c>
      <c r="CV92" s="73" t="n">
        <f aca="false">IF($A92&gt;=CW$32,IF($A92&lt;=CW$33,$BF92,0),0)</f>
        <v>0</v>
      </c>
      <c r="CW92" s="186" t="e">
        <f aca="false">CY92/CV92</f>
        <v>#DIV/0!</v>
      </c>
      <c r="CX92" s="1" t="n">
        <f aca="false">CV92*($B92+$H$15)</f>
        <v>0</v>
      </c>
      <c r="CY92" s="47" t="n">
        <f aca="false">IF(ISNUMBER(((CX92/CV92)+$H$16+$AH92+$H$14)*CV92),((CX92/CV92)+$H$16+$AH92+$H$14)*CV92,0)</f>
        <v>0</v>
      </c>
      <c r="CZ92" s="76" t="n">
        <f aca="false">IF($CV92=0,0,OSTRIP($CW92,$AM92,$BJ92-$B$2,$BG92-$BJ92,$BH92-$BJ92,$B$10,$BE92,$AJ92,$AK92,$H$23,$AN92,$DA$34,0))</f>
        <v>0</v>
      </c>
      <c r="DA92" s="76" t="n">
        <f aca="false">IF($CV92=0,0,OSTRIP($CW92,$AM92,$BJ92-$B$2,$BG92-$BJ92,$BH92-$BJ92,$B$10,$BE92,$AJ92,$AK92,$H$23,$AN92,$DA$34,1))</f>
        <v>0</v>
      </c>
      <c r="DB92" s="76" t="n">
        <f aca="false">IF($CV92=0,0,OSTRIP($CW92,$AM92,$BJ92-$B$2,$BG92-$BJ92,$BH92-$BJ92,$B$10,$BE92,$AJ92,$AK92,$H$23,$AN92,$DA$34,DA$35))</f>
        <v>0</v>
      </c>
      <c r="DC92" s="37" t="n">
        <f aca="false">CV92*CZ92</f>
        <v>0</v>
      </c>
      <c r="DD92" s="37" t="n">
        <f aca="false">CV92*DA92</f>
        <v>0</v>
      </c>
      <c r="DE92" s="37" t="n">
        <f aca="false">CV92*DB92</f>
        <v>0</v>
      </c>
      <c r="DF92" s="37" t="n">
        <f aca="false">CV92*AK92</f>
        <v>0</v>
      </c>
    </row>
    <row r="93" customFormat="false" ht="12.75" hidden="false" customHeight="false" outlineLevel="0" collapsed="false">
      <c r="A93" s="62" t="n">
        <f aca="false">DATE(YEAR(A92),MONTH(A92)+1,1)</f>
        <v>38930</v>
      </c>
      <c r="B93" s="63" t="n">
        <f aca="false">VLOOKUP(A93,STRADDLE,5,FALSE())</f>
        <v>3.445</v>
      </c>
      <c r="C93" s="4" t="n">
        <f aca="false">VLOOKUP(A93,STRADDLE,8,FALSE())</f>
        <v>0.2475</v>
      </c>
      <c r="D93" s="63" t="n">
        <f aca="false">IF(D$35="nymex",0,VLOOKUP($A93,curvesettle,HLOOKUP(D$35,curvesettle,2,FALSE())))</f>
        <v>0.35</v>
      </c>
      <c r="E93" s="65" t="n">
        <f aca="false">IF(ISNUMBER(VLOOKUP($A93,VOLCURVES,HLOOKUP(D$35,VOLCURVES,2,FALSE()),FALSE())),VLOOKUP($A93,VOLCURVES,HLOOKUP(D$35,VOLCURVES,2,FALSE()),FALSE()),1)</f>
        <v>0.98</v>
      </c>
      <c r="F93" s="4" t="n">
        <f aca="false">(($C93+H93)*$E93)+B$17</f>
        <v>0.34255</v>
      </c>
      <c r="G93" s="65" t="n">
        <f aca="false">VLOOKUP($A93,GASDVOLCURVES,HLOOKUP(D$36,GASDVOLCURVES,2,FALSE()),FALSE())+$B$18</f>
        <v>0.65</v>
      </c>
      <c r="H93" s="4" t="n">
        <f aca="false">IF($B$20=1,VLOOKUP($A93,skewtable,HLOOKUP(ROUND(I93-BM93,1),skewtable,2,FALSE()),FALSE())/100,0)</f>
        <v>0</v>
      </c>
      <c r="I93" s="66" t="e">
        <f aca="false">IF($B$10=1,($BM93*$B$23)-$B$14,$B$22)</f>
        <v>#DIV/0!</v>
      </c>
      <c r="J93" s="67" t="e">
        <f aca="false">I93-BM93+$B$24</f>
        <v>#DIV/0!</v>
      </c>
      <c r="K93" s="67"/>
      <c r="L93" s="183"/>
      <c r="M93" s="183"/>
      <c r="N93" s="63" t="n">
        <f aca="false">IF(N$35="nymex",0,VLOOKUP($A93,curvesettle,HLOOKUP(N$35,curvesettle,2,FALSE())))</f>
        <v>0.03</v>
      </c>
      <c r="O93" s="65" t="n">
        <f aca="false">IF(ISNUMBER(VLOOKUP($A93,VOLCURVES,HLOOKUP(N$35,VOLCURVES,2,FALSE()),FALSE())),VLOOKUP($A93,VOLCURVES,HLOOKUP(N$35,VOLCURVES,2,FALSE()),FALSE()),1)</f>
        <v>1</v>
      </c>
      <c r="P93" s="184" t="n">
        <f aca="false">(($C93+R93)*O93)+$D$17</f>
        <v>0.2475</v>
      </c>
      <c r="Q93" s="65" t="n">
        <f aca="false">VLOOKUP($A93,GASDVOLCURVES,HLOOKUP(N$36,GASDVOLCURVES,2,FALSE()),FALSE())+$D$18</f>
        <v>0.65</v>
      </c>
      <c r="R93" s="4" t="n">
        <f aca="false">IF($D$20=1,VLOOKUP($A93,skewtable,HLOOKUP(ROUND(S93-BY93,1),skewtable,2,FALSE()),FALSE())/100,0)</f>
        <v>0</v>
      </c>
      <c r="S93" s="66" t="e">
        <f aca="false">IF(B$10=1,($BY93*$D$23)-$D$14,$D$22)</f>
        <v>#DIV/0!</v>
      </c>
      <c r="T93" s="67" t="e">
        <f aca="false">S93-$BY93+$D$24</f>
        <v>#DIV/0!</v>
      </c>
      <c r="U93" s="0"/>
      <c r="V93" s="0"/>
      <c r="W93" s="0"/>
      <c r="X93" s="63" t="n">
        <f aca="false">IF(X$35="nymex",0,VLOOKUP($A93,curvesettle,HLOOKUP(X$35,curvesettle,2,FALSE())))</f>
        <v>0.26</v>
      </c>
      <c r="Y93" s="65" t="n">
        <f aca="false">IF(ISNUMBER(VLOOKUP($A93,VOLCURVES,HLOOKUP(X$35,VOLCURVES,2,FALSE()),FALSE())),VLOOKUP($A93,VOLCURVES,HLOOKUP(X$35,VOLCURVES,2,FALSE()),FALSE()),1)</f>
        <v>1</v>
      </c>
      <c r="Z93" s="184" t="n">
        <f aca="false">(($C93+AB93)*Y93)+$F$17</f>
        <v>0.2475</v>
      </c>
      <c r="AA93" s="65" t="n">
        <f aca="false">VLOOKUP($A93,GASDVOLCURVES,HLOOKUP(X$36,GASDVOLCURVES,2,FALSE()),FALSE())+$F$18</f>
        <v>0.7</v>
      </c>
      <c r="AB93" s="4" t="n">
        <f aca="false">IF($F$20=1,VLOOKUP($A93,skewtable,HLOOKUP(ROUND(AC93-CK93,1),skewtable,2,FALSE()),FALSE())/100,0)</f>
        <v>0</v>
      </c>
      <c r="AC93" s="66" t="e">
        <f aca="false">IF($B$10=1,($CK93*$F$23)-$F$14,$F$22)</f>
        <v>#DIV/0!</v>
      </c>
      <c r="AD93" s="67" t="e">
        <f aca="false">AC93-$CK93+$F$24</f>
        <v>#DIV/0!</v>
      </c>
      <c r="AE93" s="0"/>
      <c r="AF93" s="0"/>
      <c r="AG93" s="0"/>
      <c r="AH93" s="63" t="n">
        <f aca="false">IF(AH$35="nymex",0,VLOOKUP($A93,curvesettle,HLOOKUP(AH$35,curvesettle,2,FALSE())))</f>
        <v>0.41</v>
      </c>
      <c r="AI93" s="65" t="n">
        <f aca="false">IF(ISNUMBER(VLOOKUP($A93,VOLCURVES,HLOOKUP(AH$35,VOLCURVES,2,FALSE()),FALSE())),VLOOKUP($A93,VOLCURVES,HLOOKUP(AH$35,VOLCURVES,2,FALSE()),FALSE()),1)</f>
        <v>1</v>
      </c>
      <c r="AJ93" s="184" t="n">
        <f aca="false">(($C93+AL93)*AI93)+$H$17</f>
        <v>0.2475</v>
      </c>
      <c r="AK93" s="65" t="n">
        <f aca="false">VLOOKUP($A93,GASDVOLCURVES,HLOOKUP(AH$36,GASDVOLCURVES,2,FALSE()),FALSE())+$H$18</f>
        <v>1.1</v>
      </c>
      <c r="AL93" s="4" t="n">
        <f aca="false">IF($H$20=1,VLOOKUP($A93,skewtable,HLOOKUP(ROUND(AM93-CW93,1),skewtable,2,FALSE()),FALSE())/100,0)</f>
        <v>0</v>
      </c>
      <c r="AM93" s="66" t="e">
        <f aca="false">IF($B$10=1,($CW93*$H$23)-$H$14,$H$22)</f>
        <v>#DIV/0!</v>
      </c>
      <c r="AN93" s="67" t="e">
        <f aca="false">AM93-CW93+$H$24</f>
        <v>#DIV/0!</v>
      </c>
      <c r="AO93" s="0"/>
      <c r="AP93" s="0"/>
      <c r="AQ93" s="183"/>
      <c r="AR93" s="183"/>
      <c r="AU93" s="0"/>
      <c r="AV93" s="0"/>
      <c r="AW93" s="0"/>
      <c r="AX93" s="0"/>
      <c r="AY93" s="0"/>
      <c r="AZ93" s="0"/>
      <c r="BA93" s="0"/>
      <c r="BC93" s="64"/>
      <c r="BD93" s="64"/>
      <c r="BE93" s="4" t="n">
        <f aca="false">VLOOKUP($A93,STRADDLE,14,FALSE())</f>
        <v>0.0499339742651683</v>
      </c>
      <c r="BF93" s="72" t="n">
        <f aca="false">A94-A93</f>
        <v>31</v>
      </c>
      <c r="BG93" s="179" t="n">
        <f aca="false">A93+BG$35</f>
        <v>38930</v>
      </c>
      <c r="BH93" s="179" t="n">
        <f aca="false">A94-1</f>
        <v>38960</v>
      </c>
      <c r="BJ93" s="179" t="n">
        <f aca="true">IF(BJ$35=0,TODAY(),IF(BJ$36="NYMEX",VLOOKUP($A93,expiration,2,FALSE())+1,BG93))</f>
        <v>38926</v>
      </c>
      <c r="BK93" s="73"/>
      <c r="BL93" s="73" t="n">
        <f aca="false">IF($A93&gt;=BM$32,IF($A93&lt;=BM$33,$BF93,0),0)</f>
        <v>0</v>
      </c>
      <c r="BM93" s="73" t="e">
        <f aca="false">BO93/BL93</f>
        <v>#DIV/0!</v>
      </c>
      <c r="BN93" s="1" t="n">
        <f aca="false">BL93*($B93+B$15)</f>
        <v>0</v>
      </c>
      <c r="BO93" s="47" t="n">
        <f aca="false">IF(ISNUMBER(((BN93/BL93)+B$16+$D93+$B$14)*BL93),((BN93/BL93)+B$16+$D93+$B$14)*BL93,0)</f>
        <v>0</v>
      </c>
      <c r="BP93" s="76" t="n">
        <f aca="false">IF($BL93=0,0,OSTRIP($BM93,$I93,$BJ93-$B$2,$BG93-$BJ93,$BH93-$BJ93,$B$10,$BE93,$F93,$G93,$B$23,$J93,$BQ$34,0))</f>
        <v>0</v>
      </c>
      <c r="BQ93" s="76" t="n">
        <f aca="false">IF($BL93=0,0,OSTRIP($BM93,$I93,$BJ93-$B$2,$BG93-$BJ93,$BH93-$BJ93,$B$10,$BE93,$F93,$G93,$B$23,$J93,$BQ$34,1))</f>
        <v>0</v>
      </c>
      <c r="BR93" s="76" t="n">
        <f aca="false">IF($BL93=0,0,OSTRIP($BM93,$I93,$BJ93-$B$2,$BG93-$BJ93,$BH93-$BJ93,$B$10,$BE93,$F93,$G93,$B$23,$J93,$BQ$34,BQ$35))</f>
        <v>0</v>
      </c>
      <c r="BS93" s="37" t="n">
        <f aca="false">BL93*BP93</f>
        <v>0</v>
      </c>
      <c r="BT93" s="37" t="n">
        <f aca="false">BL93*BQ93</f>
        <v>0</v>
      </c>
      <c r="BU93" s="37" t="n">
        <f aca="false">BL93*BR93</f>
        <v>0</v>
      </c>
      <c r="BV93" s="37" t="n">
        <f aca="false">BL93*G93</f>
        <v>0</v>
      </c>
      <c r="BX93" s="73" t="n">
        <f aca="false">IF($A93&gt;=BY$32,IF($A93&lt;=BY$33,$BF93,0),0)</f>
        <v>0</v>
      </c>
      <c r="BY93" s="186" t="e">
        <f aca="false">CA93/BX93</f>
        <v>#DIV/0!</v>
      </c>
      <c r="BZ93" s="1" t="n">
        <f aca="false">BX93*($B93+$D$15)</f>
        <v>0</v>
      </c>
      <c r="CA93" s="47" t="n">
        <f aca="false">IF(ISNUMBER(((BZ93/BX93)+$D$16+$N93+$D$14)*BX93),((BZ93/BX93)+$D$16+$N93+$D$14)*BX93,0)</f>
        <v>0</v>
      </c>
      <c r="CB93" s="76" t="n">
        <f aca="false">IF($BX93=0,0,OSTRIP($BY93,$S93,$BJ93-$B$2,$BG93-$BJ93,$BH93-$BJ93,$B$10,$BE93,$P93,$Q93,$D$23,$T93,$CC$34,0))</f>
        <v>0</v>
      </c>
      <c r="CC93" s="76" t="n">
        <f aca="false">IF($BX93=0,0,OSTRIP($BY93,$S93,$BJ93-$B$2,$BG93-$BJ93,$BH93-$BJ93,$B$10,$BE93,$P93,$Q93,$D$23,$T93,$CC$34,1))</f>
        <v>0</v>
      </c>
      <c r="CD93" s="76" t="n">
        <f aca="false">IF($BX93=0,0,OSTRIP($BY93,$S93,$BJ93-$B$2,$BG93-$BJ93,$BH93-$BJ93,$B$10,$BE93,$P93,$Q93,$D$23,$T93,$CC$34,CC$35))</f>
        <v>0</v>
      </c>
      <c r="CE93" s="37" t="n">
        <f aca="false">BX93*CB93</f>
        <v>0</v>
      </c>
      <c r="CF93" s="37" t="n">
        <f aca="false">BX93*CC93</f>
        <v>0</v>
      </c>
      <c r="CG93" s="37" t="n">
        <f aca="false">BX93*CD93</f>
        <v>0</v>
      </c>
      <c r="CH93" s="37" t="n">
        <f aca="false">BX93*Q93</f>
        <v>0</v>
      </c>
      <c r="CJ93" s="73" t="n">
        <f aca="false">IF($A93&gt;=CK$32,IF($A93&lt;=CK$33,$BF93,0),0)</f>
        <v>0</v>
      </c>
      <c r="CK93" s="186" t="e">
        <f aca="false">CM93/CJ93</f>
        <v>#DIV/0!</v>
      </c>
      <c r="CL93" s="1" t="n">
        <f aca="false">CJ93*($B93+$F$15)</f>
        <v>0</v>
      </c>
      <c r="CM93" s="47" t="n">
        <f aca="false">IF(ISNUMBER(((CL93/CJ93)+$F$16+$X93+$F$14)*CJ93),((CL93/CJ93)+$F$16+$X93+$F$14)*CJ93,0)</f>
        <v>0</v>
      </c>
      <c r="CN93" s="76" t="n">
        <f aca="false">IF($CJ93=0,0,OSTRIP($CK93,$AC93,$BJ93-$B$2,$BG93-$BJ93,$BH93-$BJ93,$B$10,$BE93,$Z93,$AA93,$F$23,$AD93,$CO$34,0))</f>
        <v>0</v>
      </c>
      <c r="CO93" s="76" t="n">
        <f aca="false">IF($CJ93=0,0,OSTRIP($CK93,$AC93,$BJ93-$B$2,$BG93-$BJ93,$BH93-$BJ93,$B$10,$BE93,$Z93,$AA93,$F$23,$AD93,$CO$34,1))</f>
        <v>0</v>
      </c>
      <c r="CP93" s="76" t="n">
        <f aca="false">IF($CJ93=0,0,OSTRIP($CK93,$AC93,$BJ93-$B$2,$BG93-$BJ93,$BH93-$BJ93,$B$10,$BE93,$Z93,$AA93,$F$23,$AD93,$CO$34,$CO$35))</f>
        <v>0</v>
      </c>
      <c r="CQ93" s="37" t="n">
        <f aca="false">CJ93*CN93</f>
        <v>0</v>
      </c>
      <c r="CR93" s="37" t="n">
        <f aca="false">CJ93*CO93</f>
        <v>0</v>
      </c>
      <c r="CS93" s="37" t="n">
        <f aca="false">CJ93*CP93</f>
        <v>0</v>
      </c>
      <c r="CT93" s="37" t="n">
        <f aca="false">CJ93*AA93</f>
        <v>0</v>
      </c>
      <c r="CV93" s="73" t="n">
        <f aca="false">IF($A93&gt;=CW$32,IF($A93&lt;=CW$33,$BF93,0),0)</f>
        <v>0</v>
      </c>
      <c r="CW93" s="186" t="e">
        <f aca="false">CY93/CV93</f>
        <v>#DIV/0!</v>
      </c>
      <c r="CX93" s="1" t="n">
        <f aca="false">CV93*($B93+$H$15)</f>
        <v>0</v>
      </c>
      <c r="CY93" s="47" t="n">
        <f aca="false">IF(ISNUMBER(((CX93/CV93)+$H$16+$AH93+$H$14)*CV93),((CX93/CV93)+$H$16+$AH93+$H$14)*CV93,0)</f>
        <v>0</v>
      </c>
      <c r="CZ93" s="76" t="n">
        <f aca="false">IF($CV93=0,0,OSTRIP($CW93,$AM93,$BJ93-$B$2,$BG93-$BJ93,$BH93-$BJ93,$B$10,$BE93,$AJ93,$AK93,$H$23,$AN93,$DA$34,0))</f>
        <v>0</v>
      </c>
      <c r="DA93" s="76" t="n">
        <f aca="false">IF($CV93=0,0,OSTRIP($CW93,$AM93,$BJ93-$B$2,$BG93-$BJ93,$BH93-$BJ93,$B$10,$BE93,$AJ93,$AK93,$H$23,$AN93,$DA$34,1))</f>
        <v>0</v>
      </c>
      <c r="DB93" s="76" t="n">
        <f aca="false">IF($CV93=0,0,OSTRIP($CW93,$AM93,$BJ93-$B$2,$BG93-$BJ93,$BH93-$BJ93,$B$10,$BE93,$AJ93,$AK93,$H$23,$AN93,$DA$34,DA$35))</f>
        <v>0</v>
      </c>
      <c r="DC93" s="37" t="n">
        <f aca="false">CV93*CZ93</f>
        <v>0</v>
      </c>
      <c r="DD93" s="37" t="n">
        <f aca="false">CV93*DA93</f>
        <v>0</v>
      </c>
      <c r="DE93" s="37" t="n">
        <f aca="false">CV93*DB93</f>
        <v>0</v>
      </c>
      <c r="DF93" s="37" t="n">
        <f aca="false">CV93*AK93</f>
        <v>0</v>
      </c>
    </row>
    <row r="94" customFormat="false" ht="12.75" hidden="false" customHeight="false" outlineLevel="0" collapsed="false">
      <c r="A94" s="62" t="n">
        <f aca="false">DATE(YEAR(A93),MONTH(A93)+1,1)</f>
        <v>38961</v>
      </c>
      <c r="B94" s="63" t="n">
        <f aca="false">VLOOKUP(A94,STRADDLE,5,FALSE())</f>
        <v>3.44</v>
      </c>
      <c r="C94" s="4" t="n">
        <f aca="false">VLOOKUP(A94,STRADDLE,8,FALSE())</f>
        <v>0.2475</v>
      </c>
      <c r="D94" s="63" t="n">
        <f aca="false">IF(D$35="nymex",0,VLOOKUP($A94,curvesettle,HLOOKUP(D$35,curvesettle,2,FALSE())))</f>
        <v>0.315</v>
      </c>
      <c r="E94" s="65" t="n">
        <f aca="false">IF(ISNUMBER(VLOOKUP($A94,VOLCURVES,HLOOKUP(D$35,VOLCURVES,2,FALSE()),FALSE())),VLOOKUP($A94,VOLCURVES,HLOOKUP(D$35,VOLCURVES,2,FALSE()),FALSE()),1)</f>
        <v>0.98</v>
      </c>
      <c r="F94" s="4" t="n">
        <f aca="false">(($C94+H94)*$E94)+B$17</f>
        <v>0.34255</v>
      </c>
      <c r="G94" s="65" t="n">
        <f aca="false">VLOOKUP($A94,GASDVOLCURVES,HLOOKUP(D$36,GASDVOLCURVES,2,FALSE()),FALSE())+$B$18</f>
        <v>0.65</v>
      </c>
      <c r="H94" s="4" t="n">
        <f aca="false">IF($B$20=1,VLOOKUP($A94,skewtable,HLOOKUP(ROUND(I94-BM94,1),skewtable,2,FALSE()),FALSE())/100,0)</f>
        <v>0</v>
      </c>
      <c r="I94" s="66" t="e">
        <f aca="false">IF($B$10=1,($BM94*$B$23)-$B$14,$B$22)</f>
        <v>#DIV/0!</v>
      </c>
      <c r="J94" s="67" t="e">
        <f aca="false">I94-BM94+$B$24</f>
        <v>#DIV/0!</v>
      </c>
      <c r="K94" s="67"/>
      <c r="L94" s="183"/>
      <c r="M94" s="183"/>
      <c r="N94" s="63" t="n">
        <f aca="false">IF(N$35="nymex",0,VLOOKUP($A94,curvesettle,HLOOKUP(N$35,curvesettle,2,FALSE())))</f>
        <v>0.0225</v>
      </c>
      <c r="O94" s="65" t="n">
        <f aca="false">IF(ISNUMBER(VLOOKUP($A94,VOLCURVES,HLOOKUP(N$35,VOLCURVES,2,FALSE()),FALSE())),VLOOKUP($A94,VOLCURVES,HLOOKUP(N$35,VOLCURVES,2,FALSE()),FALSE()),1)</f>
        <v>1</v>
      </c>
      <c r="P94" s="184" t="n">
        <f aca="false">(($C94+R94)*O94)+$D$17</f>
        <v>0.2475</v>
      </c>
      <c r="Q94" s="65" t="n">
        <f aca="false">VLOOKUP($A94,GASDVOLCURVES,HLOOKUP(N$36,GASDVOLCURVES,2,FALSE()),FALSE())+$D$18</f>
        <v>0.65</v>
      </c>
      <c r="R94" s="4" t="n">
        <f aca="false">IF($D$20=1,VLOOKUP($A94,skewtable,HLOOKUP(ROUND(S94-BY94,1),skewtable,2,FALSE()),FALSE())/100,0)</f>
        <v>0</v>
      </c>
      <c r="S94" s="66" t="e">
        <f aca="false">IF(B$10=1,($BY94*$D$23)-$D$14,$D$22)</f>
        <v>#DIV/0!</v>
      </c>
      <c r="T94" s="67" t="e">
        <f aca="false">S94-$BY94+$D$24</f>
        <v>#DIV/0!</v>
      </c>
      <c r="U94" s="0"/>
      <c r="V94" s="0"/>
      <c r="W94" s="0"/>
      <c r="X94" s="63" t="n">
        <f aca="false">IF(X$35="nymex",0,VLOOKUP($A94,curvesettle,HLOOKUP(X$35,curvesettle,2,FALSE())))</f>
        <v>0.26</v>
      </c>
      <c r="Y94" s="65" t="n">
        <f aca="false">IF(ISNUMBER(VLOOKUP($A94,VOLCURVES,HLOOKUP(X$35,VOLCURVES,2,FALSE()),FALSE())),VLOOKUP($A94,VOLCURVES,HLOOKUP(X$35,VOLCURVES,2,FALSE()),FALSE()),1)</f>
        <v>1</v>
      </c>
      <c r="Z94" s="184" t="n">
        <f aca="false">(($C94+AB94)*Y94)+$F$17</f>
        <v>0.2475</v>
      </c>
      <c r="AA94" s="65" t="n">
        <f aca="false">VLOOKUP($A94,GASDVOLCURVES,HLOOKUP(X$36,GASDVOLCURVES,2,FALSE()),FALSE())+$F$18</f>
        <v>0.65</v>
      </c>
      <c r="AB94" s="4" t="n">
        <f aca="false">IF($F$20=1,VLOOKUP($A94,skewtable,HLOOKUP(ROUND(AC94-CK94,1),skewtable,2,FALSE()),FALSE())/100,0)</f>
        <v>0</v>
      </c>
      <c r="AC94" s="66" t="e">
        <f aca="false">IF($B$10=1,($CK94*$F$23)-$F$14,$F$22)</f>
        <v>#DIV/0!</v>
      </c>
      <c r="AD94" s="67" t="e">
        <f aca="false">AC94-$CK94+$F$24</f>
        <v>#DIV/0!</v>
      </c>
      <c r="AE94" s="0"/>
      <c r="AF94" s="0"/>
      <c r="AG94" s="0"/>
      <c r="AH94" s="63" t="n">
        <f aca="false">IF(AH$35="nymex",0,VLOOKUP($A94,curvesettle,HLOOKUP(AH$35,curvesettle,2,FALSE())))</f>
        <v>0.36</v>
      </c>
      <c r="AI94" s="65" t="n">
        <f aca="false">IF(ISNUMBER(VLOOKUP($A94,VOLCURVES,HLOOKUP(AH$35,VOLCURVES,2,FALSE()),FALSE())),VLOOKUP($A94,VOLCURVES,HLOOKUP(AH$35,VOLCURVES,2,FALSE()),FALSE()),1)</f>
        <v>1</v>
      </c>
      <c r="AJ94" s="184" t="n">
        <f aca="false">(($C94+AL94)*AI94)+$H$17</f>
        <v>0.2475</v>
      </c>
      <c r="AK94" s="65" t="n">
        <f aca="false">VLOOKUP($A94,GASDVOLCURVES,HLOOKUP(AH$36,GASDVOLCURVES,2,FALSE()),FALSE())+$H$18</f>
        <v>1.1</v>
      </c>
      <c r="AL94" s="4" t="n">
        <f aca="false">IF($H$20=1,VLOOKUP($A94,skewtable,HLOOKUP(ROUND(AM94-CW94,1),skewtable,2,FALSE()),FALSE())/100,0)</f>
        <v>0</v>
      </c>
      <c r="AM94" s="66" t="e">
        <f aca="false">IF($B$10=1,($CW94*$H$23)-$H$14,$H$22)</f>
        <v>#DIV/0!</v>
      </c>
      <c r="AN94" s="67" t="e">
        <f aca="false">AM94-CW94+$H$24</f>
        <v>#DIV/0!</v>
      </c>
      <c r="AO94" s="0"/>
      <c r="AP94" s="0"/>
      <c r="AQ94" s="183"/>
      <c r="AR94" s="183"/>
      <c r="AU94" s="0"/>
      <c r="AV94" s="0"/>
      <c r="AW94" s="0"/>
      <c r="AX94" s="0"/>
      <c r="AY94" s="0"/>
      <c r="AZ94" s="0"/>
      <c r="BA94" s="0"/>
      <c r="BC94" s="64"/>
      <c r="BD94" s="64"/>
      <c r="BE94" s="4" t="n">
        <f aca="false">VLOOKUP($A94,STRADDLE,14,FALSE())</f>
        <v>0.0502445456161724</v>
      </c>
      <c r="BF94" s="72" t="n">
        <f aca="false">A95-A94</f>
        <v>30</v>
      </c>
      <c r="BG94" s="179" t="n">
        <f aca="false">A94+BG$35</f>
        <v>38961</v>
      </c>
      <c r="BH94" s="179" t="n">
        <f aca="false">A95-1</f>
        <v>38990</v>
      </c>
      <c r="BJ94" s="179" t="n">
        <f aca="true">IF(BJ$35=0,TODAY(),IF(BJ$36="NYMEX",VLOOKUP($A94,expiration,2,FALSE())+1,BG94))</f>
        <v>38959</v>
      </c>
      <c r="BK94" s="73"/>
      <c r="BL94" s="73" t="n">
        <f aca="false">IF($A94&gt;=BM$32,IF($A94&lt;=BM$33,$BF94,0),0)</f>
        <v>0</v>
      </c>
      <c r="BM94" s="73" t="e">
        <f aca="false">BO94/BL94</f>
        <v>#DIV/0!</v>
      </c>
      <c r="BN94" s="1" t="n">
        <f aca="false">BL94*($B94+B$15)</f>
        <v>0</v>
      </c>
      <c r="BO94" s="47" t="n">
        <f aca="false">IF(ISNUMBER(((BN94/BL94)+B$16+$D94+$B$14)*BL94),((BN94/BL94)+B$16+$D94+$B$14)*BL94,0)</f>
        <v>0</v>
      </c>
      <c r="BP94" s="76" t="n">
        <f aca="false">IF($BL94=0,0,OSTRIP($BM94,$I94,$BJ94-$B$2,$BG94-$BJ94,$BH94-$BJ94,$B$10,$BE94,$F94,$G94,$B$23,$J94,$BQ$34,0))</f>
        <v>0</v>
      </c>
      <c r="BQ94" s="76" t="n">
        <f aca="false">IF($BL94=0,0,OSTRIP($BM94,$I94,$BJ94-$B$2,$BG94-$BJ94,$BH94-$BJ94,$B$10,$BE94,$F94,$G94,$B$23,$J94,$BQ$34,1))</f>
        <v>0</v>
      </c>
      <c r="BR94" s="76" t="n">
        <f aca="false">IF($BL94=0,0,OSTRIP($BM94,$I94,$BJ94-$B$2,$BG94-$BJ94,$BH94-$BJ94,$B$10,$BE94,$F94,$G94,$B$23,$J94,$BQ$34,BQ$35))</f>
        <v>0</v>
      </c>
      <c r="BS94" s="37" t="n">
        <f aca="false">BL94*BP94</f>
        <v>0</v>
      </c>
      <c r="BT94" s="37" t="n">
        <f aca="false">BL94*BQ94</f>
        <v>0</v>
      </c>
      <c r="BU94" s="37" t="n">
        <f aca="false">BL94*BR94</f>
        <v>0</v>
      </c>
      <c r="BV94" s="37" t="n">
        <f aca="false">BL94*G94</f>
        <v>0</v>
      </c>
      <c r="BX94" s="73" t="n">
        <f aca="false">IF($A94&gt;=BY$32,IF($A94&lt;=BY$33,$BF94,0),0)</f>
        <v>0</v>
      </c>
      <c r="BY94" s="186" t="e">
        <f aca="false">CA94/BX94</f>
        <v>#DIV/0!</v>
      </c>
      <c r="BZ94" s="1" t="n">
        <f aca="false">BX94*($B94+$D$15)</f>
        <v>0</v>
      </c>
      <c r="CA94" s="47" t="n">
        <f aca="false">IF(ISNUMBER(((BZ94/BX94)+$D$16+$N94+$D$14)*BX94),((BZ94/BX94)+$D$16+$N94+$D$14)*BX94,0)</f>
        <v>0</v>
      </c>
      <c r="CB94" s="76" t="n">
        <f aca="false">IF($BX94=0,0,OSTRIP($BY94,$S94,$BJ94-$B$2,$BG94-$BJ94,$BH94-$BJ94,$B$10,$BE94,$P94,$Q94,$D$23,$T94,$CC$34,0))</f>
        <v>0</v>
      </c>
      <c r="CC94" s="76" t="n">
        <f aca="false">IF($BX94=0,0,OSTRIP($BY94,$S94,$BJ94-$B$2,$BG94-$BJ94,$BH94-$BJ94,$B$10,$BE94,$P94,$Q94,$D$23,$T94,$CC$34,1))</f>
        <v>0</v>
      </c>
      <c r="CD94" s="76" t="n">
        <f aca="false">IF($BX94=0,0,OSTRIP($BY94,$S94,$BJ94-$B$2,$BG94-$BJ94,$BH94-$BJ94,$B$10,$BE94,$P94,$Q94,$D$23,$T94,$CC$34,CC$35))</f>
        <v>0</v>
      </c>
      <c r="CE94" s="37" t="n">
        <f aca="false">BX94*CB94</f>
        <v>0</v>
      </c>
      <c r="CF94" s="37" t="n">
        <f aca="false">BX94*CC94</f>
        <v>0</v>
      </c>
      <c r="CG94" s="37" t="n">
        <f aca="false">BX94*CD94</f>
        <v>0</v>
      </c>
      <c r="CH94" s="37" t="n">
        <f aca="false">BX94*Q94</f>
        <v>0</v>
      </c>
      <c r="CJ94" s="73" t="n">
        <f aca="false">IF($A94&gt;=CK$32,IF($A94&lt;=CK$33,$BF94,0),0)</f>
        <v>0</v>
      </c>
      <c r="CK94" s="186" t="e">
        <f aca="false">CM94/CJ94</f>
        <v>#DIV/0!</v>
      </c>
      <c r="CL94" s="1" t="n">
        <f aca="false">CJ94*($B94+$F$15)</f>
        <v>0</v>
      </c>
      <c r="CM94" s="47" t="n">
        <f aca="false">IF(ISNUMBER(((CL94/CJ94)+$F$16+$X94+$F$14)*CJ94),((CL94/CJ94)+$F$16+$X94+$F$14)*CJ94,0)</f>
        <v>0</v>
      </c>
      <c r="CN94" s="76" t="n">
        <f aca="false">IF($CJ94=0,0,OSTRIP($CK94,$AC94,$BJ94-$B$2,$BG94-$BJ94,$BH94-$BJ94,$B$10,$BE94,$Z94,$AA94,$F$23,$AD94,$CO$34,0))</f>
        <v>0</v>
      </c>
      <c r="CO94" s="76" t="n">
        <f aca="false">IF($CJ94=0,0,OSTRIP($CK94,$AC94,$BJ94-$B$2,$BG94-$BJ94,$BH94-$BJ94,$B$10,$BE94,$Z94,$AA94,$F$23,$AD94,$CO$34,1))</f>
        <v>0</v>
      </c>
      <c r="CP94" s="76" t="n">
        <f aca="false">IF($CJ94=0,0,OSTRIP($CK94,$AC94,$BJ94-$B$2,$BG94-$BJ94,$BH94-$BJ94,$B$10,$BE94,$Z94,$AA94,$F$23,$AD94,$CO$34,$CO$35))</f>
        <v>0</v>
      </c>
      <c r="CQ94" s="37" t="n">
        <f aca="false">CJ94*CN94</f>
        <v>0</v>
      </c>
      <c r="CR94" s="37" t="n">
        <f aca="false">CJ94*CO94</f>
        <v>0</v>
      </c>
      <c r="CS94" s="37" t="n">
        <f aca="false">CJ94*CP94</f>
        <v>0</v>
      </c>
      <c r="CT94" s="37" t="n">
        <f aca="false">CJ94*AA94</f>
        <v>0</v>
      </c>
      <c r="CV94" s="73" t="n">
        <f aca="false">IF($A94&gt;=CW$32,IF($A94&lt;=CW$33,$BF94,0),0)</f>
        <v>0</v>
      </c>
      <c r="CW94" s="186" t="e">
        <f aca="false">CY94/CV94</f>
        <v>#DIV/0!</v>
      </c>
      <c r="CX94" s="1" t="n">
        <f aca="false">CV94*($B94+$H$15)</f>
        <v>0</v>
      </c>
      <c r="CY94" s="47" t="n">
        <f aca="false">IF(ISNUMBER(((CX94/CV94)+$H$16+$AH94+$H$14)*CV94),((CX94/CV94)+$H$16+$AH94+$H$14)*CV94,0)</f>
        <v>0</v>
      </c>
      <c r="CZ94" s="76" t="n">
        <f aca="false">IF($CV94=0,0,OSTRIP($CW94,$AM94,$BJ94-$B$2,$BG94-$BJ94,$BH94-$BJ94,$B$10,$BE94,$AJ94,$AK94,$H$23,$AN94,$DA$34,0))</f>
        <v>0</v>
      </c>
      <c r="DA94" s="76" t="n">
        <f aca="false">IF($CV94=0,0,OSTRIP($CW94,$AM94,$BJ94-$B$2,$BG94-$BJ94,$BH94-$BJ94,$B$10,$BE94,$AJ94,$AK94,$H$23,$AN94,$DA$34,1))</f>
        <v>0</v>
      </c>
      <c r="DB94" s="76" t="n">
        <f aca="false">IF($CV94=0,0,OSTRIP($CW94,$AM94,$BJ94-$B$2,$BG94-$BJ94,$BH94-$BJ94,$B$10,$BE94,$AJ94,$AK94,$H$23,$AN94,$DA$34,DA$35))</f>
        <v>0</v>
      </c>
      <c r="DC94" s="37" t="n">
        <f aca="false">CV94*CZ94</f>
        <v>0</v>
      </c>
      <c r="DD94" s="37" t="n">
        <f aca="false">CV94*DA94</f>
        <v>0</v>
      </c>
      <c r="DE94" s="37" t="n">
        <f aca="false">CV94*DB94</f>
        <v>0</v>
      </c>
      <c r="DF94" s="37" t="n">
        <f aca="false">CV94*AK94</f>
        <v>0</v>
      </c>
    </row>
    <row r="95" customFormat="false" ht="12.75" hidden="false" customHeight="false" outlineLevel="0" collapsed="false">
      <c r="A95" s="62" t="n">
        <f aca="false">DATE(YEAR(A94),MONTH(A94)+1,1)</f>
        <v>38991</v>
      </c>
      <c r="B95" s="63" t="n">
        <f aca="false">VLOOKUP(A95,STRADDLE,5,FALSE())</f>
        <v>3.465</v>
      </c>
      <c r="C95" s="4" t="n">
        <f aca="false">VLOOKUP(A95,STRADDLE,8,FALSE())</f>
        <v>0.2475</v>
      </c>
      <c r="D95" s="63" t="n">
        <f aca="false">IF(D$35="nymex",0,VLOOKUP($A95,curvesettle,HLOOKUP(D$35,curvesettle,2,FALSE())))</f>
        <v>0.36</v>
      </c>
      <c r="E95" s="65" t="n">
        <f aca="false">IF(ISNUMBER(VLOOKUP($A95,VOLCURVES,HLOOKUP(D$35,VOLCURVES,2,FALSE()),FALSE())),VLOOKUP($A95,VOLCURVES,HLOOKUP(D$35,VOLCURVES,2,FALSE()),FALSE()),1)</f>
        <v>0.98</v>
      </c>
      <c r="F95" s="4" t="n">
        <f aca="false">(($C95+H95)*$E95)+B$17</f>
        <v>0.34255</v>
      </c>
      <c r="G95" s="65" t="n">
        <f aca="false">VLOOKUP($A95,GASDVOLCURVES,HLOOKUP(D$36,GASDVOLCURVES,2,FALSE()),FALSE())+$B$18</f>
        <v>0.7</v>
      </c>
      <c r="H95" s="4" t="n">
        <f aca="false">IF($B$20=1,VLOOKUP($A95,skewtable,HLOOKUP(ROUND(I95-BM95,1),skewtable,2,FALSE()),FALSE())/100,0)</f>
        <v>0</v>
      </c>
      <c r="I95" s="66" t="e">
        <f aca="false">IF($B$10=1,($BM95*$B$23)-$B$14,$B$22)</f>
        <v>#DIV/0!</v>
      </c>
      <c r="J95" s="67" t="e">
        <f aca="false">I95-BM95+$B$24</f>
        <v>#DIV/0!</v>
      </c>
      <c r="K95" s="67"/>
      <c r="L95" s="183"/>
      <c r="M95" s="183"/>
      <c r="N95" s="63" t="n">
        <f aca="false">IF(N$35="nymex",0,VLOOKUP($A95,curvesettle,HLOOKUP(N$35,curvesettle,2,FALSE())))</f>
        <v>0.0125</v>
      </c>
      <c r="O95" s="65" t="n">
        <f aca="false">IF(ISNUMBER(VLOOKUP($A95,VOLCURVES,HLOOKUP(N$35,VOLCURVES,2,FALSE()),FALSE())),VLOOKUP($A95,VOLCURVES,HLOOKUP(N$35,VOLCURVES,2,FALSE()),FALSE()),1)</f>
        <v>1</v>
      </c>
      <c r="P95" s="184" t="n">
        <f aca="false">(($C95+R95)*O95)+$D$17</f>
        <v>0.2475</v>
      </c>
      <c r="Q95" s="65" t="n">
        <f aca="false">VLOOKUP($A95,GASDVOLCURVES,HLOOKUP(N$36,GASDVOLCURVES,2,FALSE()),FALSE())+$D$18</f>
        <v>0.7</v>
      </c>
      <c r="R95" s="4" t="n">
        <f aca="false">IF($D$20=1,VLOOKUP($A95,skewtable,HLOOKUP(ROUND(S95-BY95,1),skewtable,2,FALSE()),FALSE())/100,0)</f>
        <v>0</v>
      </c>
      <c r="S95" s="66" t="e">
        <f aca="false">IF(B$10=1,($BY95*$D$23)-$D$14,$D$22)</f>
        <v>#DIV/0!</v>
      </c>
      <c r="T95" s="67" t="e">
        <f aca="false">S95-$BY95+$D$24</f>
        <v>#DIV/0!</v>
      </c>
      <c r="U95" s="0"/>
      <c r="V95" s="0"/>
      <c r="W95" s="0"/>
      <c r="X95" s="63" t="n">
        <f aca="false">IF(X$35="nymex",0,VLOOKUP($A95,curvesettle,HLOOKUP(X$35,curvesettle,2,FALSE())))</f>
        <v>0.26</v>
      </c>
      <c r="Y95" s="65" t="n">
        <f aca="false">IF(ISNUMBER(VLOOKUP($A95,VOLCURVES,HLOOKUP(X$35,VOLCURVES,2,FALSE()),FALSE())),VLOOKUP($A95,VOLCURVES,HLOOKUP(X$35,VOLCURVES,2,FALSE()),FALSE()),1)</f>
        <v>1</v>
      </c>
      <c r="Z95" s="184" t="n">
        <f aca="false">(($C95+AB95)*Y95)+$F$17</f>
        <v>0.2475</v>
      </c>
      <c r="AA95" s="65" t="n">
        <f aca="false">VLOOKUP($A95,GASDVOLCURVES,HLOOKUP(X$36,GASDVOLCURVES,2,FALSE()),FALSE())+$F$18</f>
        <v>0.7</v>
      </c>
      <c r="AB95" s="4" t="n">
        <f aca="false">IF($F$20=1,VLOOKUP($A95,skewtable,HLOOKUP(ROUND(AC95-CK95,1),skewtable,2,FALSE()),FALSE())/100,0)</f>
        <v>0</v>
      </c>
      <c r="AC95" s="66" t="e">
        <f aca="false">IF($B$10=1,($CK95*$F$23)-$F$14,$F$22)</f>
        <v>#DIV/0!</v>
      </c>
      <c r="AD95" s="67" t="e">
        <f aca="false">AC95-$CK95+$F$24</f>
        <v>#DIV/0!</v>
      </c>
      <c r="AE95" s="0"/>
      <c r="AF95" s="0"/>
      <c r="AG95" s="0"/>
      <c r="AH95" s="63" t="n">
        <f aca="false">IF(AH$35="nymex",0,VLOOKUP($A95,curvesettle,HLOOKUP(AH$35,curvesettle,2,FALSE())))</f>
        <v>0.4</v>
      </c>
      <c r="AI95" s="65" t="n">
        <f aca="false">IF(ISNUMBER(VLOOKUP($A95,VOLCURVES,HLOOKUP(AH$35,VOLCURVES,2,FALSE()),FALSE())),VLOOKUP($A95,VOLCURVES,HLOOKUP(AH$35,VOLCURVES,2,FALSE()),FALSE()),1)</f>
        <v>1</v>
      </c>
      <c r="AJ95" s="184" t="n">
        <f aca="false">(($C95+AL95)*AI95)+$H$17</f>
        <v>0.2475</v>
      </c>
      <c r="AK95" s="65" t="n">
        <f aca="false">VLOOKUP($A95,GASDVOLCURVES,HLOOKUP(AH$36,GASDVOLCURVES,2,FALSE()),FALSE())+$H$18</f>
        <v>1.15</v>
      </c>
      <c r="AL95" s="4" t="n">
        <f aca="false">IF($H$20=1,VLOOKUP($A95,skewtable,HLOOKUP(ROUND(AM95-CW95,1),skewtable,2,FALSE()),FALSE())/100,0)</f>
        <v>0</v>
      </c>
      <c r="AM95" s="66" t="e">
        <f aca="false">IF($B$10=1,($CW95*$H$23)-$H$14,$H$22)</f>
        <v>#DIV/0!</v>
      </c>
      <c r="AN95" s="67" t="e">
        <f aca="false">AM95-CW95+$H$24</f>
        <v>#DIV/0!</v>
      </c>
      <c r="AO95" s="0"/>
      <c r="AP95" s="0"/>
      <c r="AQ95" s="183"/>
      <c r="AR95" s="183"/>
      <c r="AU95" s="0"/>
      <c r="AV95" s="0"/>
      <c r="AW95" s="0"/>
      <c r="AX95" s="0"/>
      <c r="AY95" s="0"/>
      <c r="AZ95" s="0"/>
      <c r="BA95" s="0"/>
      <c r="BC95" s="64"/>
      <c r="BD95" s="64"/>
      <c r="BE95" s="4" t="n">
        <f aca="false">VLOOKUP($A95,STRADDLE,14,FALSE())</f>
        <v>0.0505450985671585</v>
      </c>
      <c r="BF95" s="72" t="n">
        <f aca="false">A96-A95</f>
        <v>31</v>
      </c>
      <c r="BG95" s="179" t="n">
        <f aca="false">A95+BG$35</f>
        <v>38991</v>
      </c>
      <c r="BH95" s="179" t="n">
        <f aca="false">A96-1</f>
        <v>39021</v>
      </c>
      <c r="BJ95" s="179" t="n">
        <f aca="true">IF(BJ$35=0,TODAY(),IF(BJ$36="NYMEX",VLOOKUP($A95,expiration,2,FALSE())+1,BG95))</f>
        <v>38988</v>
      </c>
      <c r="BK95" s="73"/>
      <c r="BL95" s="73" t="n">
        <f aca="false">IF($A95&gt;=BM$32,IF($A95&lt;=BM$33,$BF95,0),0)</f>
        <v>0</v>
      </c>
      <c r="BM95" s="73" t="e">
        <f aca="false">BO95/BL95</f>
        <v>#DIV/0!</v>
      </c>
      <c r="BN95" s="1" t="n">
        <f aca="false">BL95*($B95+B$15)</f>
        <v>0</v>
      </c>
      <c r="BO95" s="47" t="n">
        <f aca="false">IF(ISNUMBER(((BN95/BL95)+B$16+$D95+$B$14)*BL95),((BN95/BL95)+B$16+$D95+$B$14)*BL95,0)</f>
        <v>0</v>
      </c>
      <c r="BP95" s="76" t="n">
        <f aca="false">IF($BL95=0,0,OSTRIP($BM95,$I95,$BJ95-$B$2,$BG95-$BJ95,$BH95-$BJ95,$B$10,$BE95,$F95,$G95,$B$23,$J95,$BQ$34,0))</f>
        <v>0</v>
      </c>
      <c r="BQ95" s="76" t="n">
        <f aca="false">IF($BL95=0,0,OSTRIP($BM95,$I95,$BJ95-$B$2,$BG95-$BJ95,$BH95-$BJ95,$B$10,$BE95,$F95,$G95,$B$23,$J95,$BQ$34,1))</f>
        <v>0</v>
      </c>
      <c r="BR95" s="76" t="n">
        <f aca="false">IF($BL95=0,0,OSTRIP($BM95,$I95,$BJ95-$B$2,$BG95-$BJ95,$BH95-$BJ95,$B$10,$BE95,$F95,$G95,$B$23,$J95,$BQ$34,BQ$35))</f>
        <v>0</v>
      </c>
      <c r="BS95" s="37" t="n">
        <f aca="false">BL95*BP95</f>
        <v>0</v>
      </c>
      <c r="BT95" s="37" t="n">
        <f aca="false">BL95*BQ95</f>
        <v>0</v>
      </c>
      <c r="BU95" s="37" t="n">
        <f aca="false">BL95*BR95</f>
        <v>0</v>
      </c>
      <c r="BV95" s="37" t="n">
        <f aca="false">BL95*G95</f>
        <v>0</v>
      </c>
      <c r="BX95" s="73" t="n">
        <f aca="false">IF($A95&gt;=BY$32,IF($A95&lt;=BY$33,$BF95,0),0)</f>
        <v>0</v>
      </c>
      <c r="BY95" s="186" t="e">
        <f aca="false">CA95/BX95</f>
        <v>#DIV/0!</v>
      </c>
      <c r="BZ95" s="1" t="n">
        <f aca="false">BX95*($B95+$D$15)</f>
        <v>0</v>
      </c>
      <c r="CA95" s="47" t="n">
        <f aca="false">IF(ISNUMBER(((BZ95/BX95)+$D$16+$N95+$D$14)*BX95),((BZ95/BX95)+$D$16+$N95+$D$14)*BX95,0)</f>
        <v>0</v>
      </c>
      <c r="CB95" s="76" t="n">
        <f aca="false">IF($BX95=0,0,OSTRIP($BY95,$S95,$BJ95-$B$2,$BG95-$BJ95,$BH95-$BJ95,$B$10,$BE95,$P95,$Q95,$D$23,$T95,$CC$34,0))</f>
        <v>0</v>
      </c>
      <c r="CC95" s="76" t="n">
        <f aca="false">IF($BX95=0,0,OSTRIP($BY95,$S95,$BJ95-$B$2,$BG95-$BJ95,$BH95-$BJ95,$B$10,$BE95,$P95,$Q95,$D$23,$T95,$CC$34,1))</f>
        <v>0</v>
      </c>
      <c r="CD95" s="76" t="n">
        <f aca="false">IF($BX95=0,0,OSTRIP($BY95,$S95,$BJ95-$B$2,$BG95-$BJ95,$BH95-$BJ95,$B$10,$BE95,$P95,$Q95,$D$23,$T95,$CC$34,CC$35))</f>
        <v>0</v>
      </c>
      <c r="CE95" s="37" t="n">
        <f aca="false">BX95*CB95</f>
        <v>0</v>
      </c>
      <c r="CF95" s="37" t="n">
        <f aca="false">BX95*CC95</f>
        <v>0</v>
      </c>
      <c r="CG95" s="37" t="n">
        <f aca="false">BX95*CD95</f>
        <v>0</v>
      </c>
      <c r="CH95" s="37" t="n">
        <f aca="false">BX95*Q95</f>
        <v>0</v>
      </c>
      <c r="CJ95" s="73" t="n">
        <f aca="false">IF($A95&gt;=CK$32,IF($A95&lt;=CK$33,$BF95,0),0)</f>
        <v>0</v>
      </c>
      <c r="CK95" s="186" t="e">
        <f aca="false">CM95/CJ95</f>
        <v>#DIV/0!</v>
      </c>
      <c r="CL95" s="1" t="n">
        <f aca="false">CJ95*($B95+$F$15)</f>
        <v>0</v>
      </c>
      <c r="CM95" s="47" t="n">
        <f aca="false">IF(ISNUMBER(((CL95/CJ95)+$F$16+$X95+$F$14)*CJ95),((CL95/CJ95)+$F$16+$X95+$F$14)*CJ95,0)</f>
        <v>0</v>
      </c>
      <c r="CN95" s="76" t="n">
        <f aca="false">IF($CJ95=0,0,OSTRIP($CK95,$AC95,$BJ95-$B$2,$BG95-$BJ95,$BH95-$BJ95,$B$10,$BE95,$Z95,$AA95,$F$23,$AD95,$CO$34,0))</f>
        <v>0</v>
      </c>
      <c r="CO95" s="76" t="n">
        <f aca="false">IF($CJ95=0,0,OSTRIP($CK95,$AC95,$BJ95-$B$2,$BG95-$BJ95,$BH95-$BJ95,$B$10,$BE95,$Z95,$AA95,$F$23,$AD95,$CO$34,1))</f>
        <v>0</v>
      </c>
      <c r="CP95" s="76" t="n">
        <f aca="false">IF($CJ95=0,0,OSTRIP($CK95,$AC95,$BJ95-$B$2,$BG95-$BJ95,$BH95-$BJ95,$B$10,$BE95,$Z95,$AA95,$F$23,$AD95,$CO$34,$CO$35))</f>
        <v>0</v>
      </c>
      <c r="CQ95" s="37" t="n">
        <f aca="false">CJ95*CN95</f>
        <v>0</v>
      </c>
      <c r="CR95" s="37" t="n">
        <f aca="false">CJ95*CO95</f>
        <v>0</v>
      </c>
      <c r="CS95" s="37" t="n">
        <f aca="false">CJ95*CP95</f>
        <v>0</v>
      </c>
      <c r="CT95" s="37" t="n">
        <f aca="false">CJ95*AA95</f>
        <v>0</v>
      </c>
      <c r="CV95" s="73" t="n">
        <f aca="false">IF($A95&gt;=CW$32,IF($A95&lt;=CW$33,$BF95,0),0)</f>
        <v>0</v>
      </c>
      <c r="CW95" s="186" t="e">
        <f aca="false">CY95/CV95</f>
        <v>#DIV/0!</v>
      </c>
      <c r="CX95" s="1" t="n">
        <f aca="false">CV95*($B95+$H$15)</f>
        <v>0</v>
      </c>
      <c r="CY95" s="47" t="n">
        <f aca="false">IF(ISNUMBER(((CX95/CV95)+$H$16+$AH95+$H$14)*CV95),((CX95/CV95)+$H$16+$AH95+$H$14)*CV95,0)</f>
        <v>0</v>
      </c>
      <c r="CZ95" s="76" t="n">
        <f aca="false">IF($CV95=0,0,OSTRIP($CW95,$AM95,$BJ95-$B$2,$BG95-$BJ95,$BH95-$BJ95,$B$10,$BE95,$AJ95,$AK95,$H$23,$AN95,$DA$34,0))</f>
        <v>0</v>
      </c>
      <c r="DA95" s="76" t="n">
        <f aca="false">IF($CV95=0,0,OSTRIP($CW95,$AM95,$BJ95-$B$2,$BG95-$BJ95,$BH95-$BJ95,$B$10,$BE95,$AJ95,$AK95,$H$23,$AN95,$DA$34,1))</f>
        <v>0</v>
      </c>
      <c r="DB95" s="76" t="n">
        <f aca="false">IF($CV95=0,0,OSTRIP($CW95,$AM95,$BJ95-$B$2,$BG95-$BJ95,$BH95-$BJ95,$B$10,$BE95,$AJ95,$AK95,$H$23,$AN95,$DA$34,DA$35))</f>
        <v>0</v>
      </c>
      <c r="DC95" s="37" t="n">
        <f aca="false">CV95*CZ95</f>
        <v>0</v>
      </c>
      <c r="DD95" s="37" t="n">
        <f aca="false">CV95*DA95</f>
        <v>0</v>
      </c>
      <c r="DE95" s="37" t="n">
        <f aca="false">CV95*DB95</f>
        <v>0</v>
      </c>
      <c r="DF95" s="37" t="n">
        <f aca="false">CV95*AK95</f>
        <v>0</v>
      </c>
    </row>
    <row r="96" customFormat="false" ht="12.75" hidden="false" customHeight="false" outlineLevel="0" collapsed="false">
      <c r="A96" s="62" t="n">
        <f aca="false">DATE(YEAR(A95),MONTH(A95)+1,1)</f>
        <v>39022</v>
      </c>
      <c r="B96" s="63" t="n">
        <f aca="false">VLOOKUP(A96,STRADDLE,5,FALSE())</f>
        <v>3.617</v>
      </c>
      <c r="C96" s="4" t="n">
        <f aca="false">VLOOKUP(A96,STRADDLE,8,FALSE())</f>
        <v>0.2475</v>
      </c>
      <c r="D96" s="63" t="n">
        <f aca="false">IF(D$35="nymex",0,VLOOKUP($A96,curvesettle,HLOOKUP(D$35,curvesettle,2,FALSE())))</f>
        <v>0.46</v>
      </c>
      <c r="E96" s="65" t="n">
        <f aca="false">IF(ISNUMBER(VLOOKUP($A96,VOLCURVES,HLOOKUP(D$35,VOLCURVES,2,FALSE()),FALSE())),VLOOKUP($A96,VOLCURVES,HLOOKUP(D$35,VOLCURVES,2,FALSE()),FALSE()),1)</f>
        <v>1.1</v>
      </c>
      <c r="F96" s="4" t="n">
        <f aca="false">(($C96+H96)*$E96)+B$17</f>
        <v>0.37225</v>
      </c>
      <c r="G96" s="65" t="n">
        <f aca="false">VLOOKUP($A96,GASDVOLCURVES,HLOOKUP(D$36,GASDVOLCURVES,2,FALSE()),FALSE())+$B$18</f>
        <v>0.9</v>
      </c>
      <c r="H96" s="4" t="n">
        <f aca="false">IF($B$20=1,VLOOKUP($A96,skewtable,HLOOKUP(ROUND(I96-BM96,1),skewtable,2,FALSE()),FALSE())/100,0)</f>
        <v>0</v>
      </c>
      <c r="I96" s="66" t="e">
        <f aca="false">IF($B$10=1,($BM96*$B$23)-$B$14,$B$22)</f>
        <v>#DIV/0!</v>
      </c>
      <c r="J96" s="67" t="e">
        <f aca="false">I96-BM96+$B$24</f>
        <v>#DIV/0!</v>
      </c>
      <c r="K96" s="67"/>
      <c r="L96" s="183"/>
      <c r="M96" s="183"/>
      <c r="N96" s="63" t="n">
        <f aca="false">IF(N$35="nymex",0,VLOOKUP($A96,curvesettle,HLOOKUP(N$35,curvesettle,2,FALSE())))</f>
        <v>-0.0225</v>
      </c>
      <c r="O96" s="65" t="n">
        <f aca="false">IF(ISNUMBER(VLOOKUP($A96,VOLCURVES,HLOOKUP(N$35,VOLCURVES,2,FALSE()),FALSE())),VLOOKUP($A96,VOLCURVES,HLOOKUP(N$35,VOLCURVES,2,FALSE()),FALSE()),1)</f>
        <v>1</v>
      </c>
      <c r="P96" s="184" t="n">
        <f aca="false">(($C96+R96)*O96)+$D$17</f>
        <v>0.2475</v>
      </c>
      <c r="Q96" s="65" t="n">
        <f aca="false">VLOOKUP($A96,GASDVOLCURVES,HLOOKUP(N$36,GASDVOLCURVES,2,FALSE()),FALSE())+$D$18</f>
        <v>0.9</v>
      </c>
      <c r="R96" s="4" t="n">
        <f aca="false">IF($D$20=1,VLOOKUP($A96,skewtable,HLOOKUP(ROUND(S96-BY96,1),skewtable,2,FALSE()),FALSE())/100,0)</f>
        <v>0</v>
      </c>
      <c r="S96" s="66" t="e">
        <f aca="false">IF(B$10=1,($BY96*$D$23)-$D$14,$D$22)</f>
        <v>#DIV/0!</v>
      </c>
      <c r="T96" s="67" t="e">
        <f aca="false">S96-$BY96+$D$24</f>
        <v>#DIV/0!</v>
      </c>
      <c r="U96" s="0"/>
      <c r="V96" s="0"/>
      <c r="W96" s="0"/>
      <c r="X96" s="63" t="n">
        <f aca="false">IF(X$35="nymex",0,VLOOKUP($A96,curvesettle,HLOOKUP(X$35,curvesettle,2,FALSE())))</f>
        <v>0.24</v>
      </c>
      <c r="Y96" s="65" t="n">
        <f aca="false">IF(ISNUMBER(VLOOKUP($A96,VOLCURVES,HLOOKUP(X$35,VOLCURVES,2,FALSE()),FALSE())),VLOOKUP($A96,VOLCURVES,HLOOKUP(X$35,VOLCURVES,2,FALSE()),FALSE()),1)</f>
        <v>1</v>
      </c>
      <c r="Z96" s="184" t="n">
        <f aca="false">(($C96+AB96)*Y96)+$F$17</f>
        <v>0.2475</v>
      </c>
      <c r="AA96" s="65" t="n">
        <f aca="false">VLOOKUP($A96,GASDVOLCURVES,HLOOKUP(X$36,GASDVOLCURVES,2,FALSE()),FALSE())+$F$18</f>
        <v>0.9</v>
      </c>
      <c r="AB96" s="4" t="n">
        <f aca="false">IF($F$20=1,VLOOKUP($A96,skewtable,HLOOKUP(ROUND(AC96-CK96,1),skewtable,2,FALSE()),FALSE())/100,0)</f>
        <v>0</v>
      </c>
      <c r="AC96" s="66" t="e">
        <f aca="false">IF($B$10=1,($CK96*$F$23)-$F$14,$F$22)</f>
        <v>#DIV/0!</v>
      </c>
      <c r="AD96" s="67" t="e">
        <f aca="false">AC96-$CK96+$F$24</f>
        <v>#DIV/0!</v>
      </c>
      <c r="AE96" s="0"/>
      <c r="AF96" s="0"/>
      <c r="AG96" s="0"/>
      <c r="AH96" s="63" t="n">
        <f aca="false">IF(AH$35="nymex",0,VLOOKUP($A96,curvesettle,HLOOKUP(AH$35,curvesettle,2,FALSE())))</f>
        <v>0.65</v>
      </c>
      <c r="AI96" s="65" t="n">
        <f aca="false">IF(ISNUMBER(VLOOKUP($A96,VOLCURVES,HLOOKUP(AH$35,VOLCURVES,2,FALSE()),FALSE())),VLOOKUP($A96,VOLCURVES,HLOOKUP(AH$35,VOLCURVES,2,FALSE()),FALSE()),1)</f>
        <v>1.1</v>
      </c>
      <c r="AJ96" s="184" t="n">
        <f aca="false">(($C96+AL96)*AI96)+$H$17</f>
        <v>0.27225</v>
      </c>
      <c r="AK96" s="65" t="n">
        <f aca="false">VLOOKUP($A96,GASDVOLCURVES,HLOOKUP(AH$36,GASDVOLCURVES,2,FALSE()),FALSE())+$H$18</f>
        <v>1.45</v>
      </c>
      <c r="AL96" s="4" t="n">
        <f aca="false">IF($H$20=1,VLOOKUP($A96,skewtable,HLOOKUP(ROUND(AM96-CW96,1),skewtable,2,FALSE()),FALSE())/100,0)</f>
        <v>0</v>
      </c>
      <c r="AM96" s="66" t="e">
        <f aca="false">IF($B$10=1,($CW96*$H$23)-$H$14,$H$22)</f>
        <v>#DIV/0!</v>
      </c>
      <c r="AN96" s="67" t="e">
        <f aca="false">AM96-CW96+$H$24</f>
        <v>#DIV/0!</v>
      </c>
      <c r="AO96" s="0"/>
      <c r="AP96" s="0"/>
      <c r="AQ96" s="183"/>
      <c r="AR96" s="183"/>
      <c r="AU96" s="0"/>
      <c r="AV96" s="0"/>
      <c r="AW96" s="0"/>
      <c r="AX96" s="0"/>
      <c r="AY96" s="0"/>
      <c r="AZ96" s="0"/>
      <c r="BA96" s="0"/>
      <c r="BC96" s="64"/>
      <c r="BD96" s="64"/>
      <c r="BE96" s="4" t="n">
        <f aca="false">VLOOKUP($A96,STRADDLE,14,FALSE())</f>
        <v>0.0508556699815208</v>
      </c>
      <c r="BF96" s="72" t="n">
        <f aca="false">A97-A96</f>
        <v>30</v>
      </c>
      <c r="BG96" s="179" t="n">
        <f aca="false">A96+BG$35</f>
        <v>39022</v>
      </c>
      <c r="BH96" s="179" t="n">
        <f aca="false">A97-1</f>
        <v>39051</v>
      </c>
      <c r="BJ96" s="179" t="n">
        <f aca="true">IF(BJ$35=0,TODAY(),IF(BJ$36="NYMEX",VLOOKUP($A96,expiration,2,FALSE())+1,BG96))</f>
        <v>39018</v>
      </c>
      <c r="BK96" s="73"/>
      <c r="BL96" s="73" t="n">
        <f aca="false">IF($A96&gt;=BM$32,IF($A96&lt;=BM$33,$BF96,0),0)</f>
        <v>0</v>
      </c>
      <c r="BM96" s="73" t="e">
        <f aca="false">BO96/BL96</f>
        <v>#DIV/0!</v>
      </c>
      <c r="BN96" s="1" t="n">
        <f aca="false">BL96*($B96+B$15)</f>
        <v>0</v>
      </c>
      <c r="BO96" s="47" t="n">
        <f aca="false">IF(ISNUMBER(((BN96/BL96)+B$16+$D96+$B$14)*BL96),((BN96/BL96)+B$16+$D96+$B$14)*BL96,0)</f>
        <v>0</v>
      </c>
      <c r="BP96" s="76" t="n">
        <f aca="false">IF($BL96=0,0,OSTRIP($BM96,$I96,$BJ96-$B$2,$BG96-$BJ96,$BH96-$BJ96,$B$10,$BE96,$F96,$G96,$B$23,$J96,$BQ$34,0))</f>
        <v>0</v>
      </c>
      <c r="BQ96" s="76" t="n">
        <f aca="false">IF($BL96=0,0,OSTRIP($BM96,$I96,$BJ96-$B$2,$BG96-$BJ96,$BH96-$BJ96,$B$10,$BE96,$F96,$G96,$B$23,$J96,$BQ$34,1))</f>
        <v>0</v>
      </c>
      <c r="BR96" s="76" t="n">
        <f aca="false">IF($BL96=0,0,OSTRIP($BM96,$I96,$BJ96-$B$2,$BG96-$BJ96,$BH96-$BJ96,$B$10,$BE96,$F96,$G96,$B$23,$J96,$BQ$34,BQ$35))</f>
        <v>0</v>
      </c>
      <c r="BS96" s="37" t="n">
        <f aca="false">BL96*BP96</f>
        <v>0</v>
      </c>
      <c r="BT96" s="37" t="n">
        <f aca="false">BL96*BQ96</f>
        <v>0</v>
      </c>
      <c r="BU96" s="37" t="n">
        <f aca="false">BL96*BR96</f>
        <v>0</v>
      </c>
      <c r="BV96" s="37" t="n">
        <f aca="false">BL96*G96</f>
        <v>0</v>
      </c>
      <c r="BX96" s="73" t="n">
        <f aca="false">IF($A96&gt;=BY$32,IF($A96&lt;=BY$33,$BF96,0),0)</f>
        <v>0</v>
      </c>
      <c r="BY96" s="186" t="e">
        <f aca="false">CA96/BX96</f>
        <v>#DIV/0!</v>
      </c>
      <c r="BZ96" s="1" t="n">
        <f aca="false">BX96*($B96+$D$15)</f>
        <v>0</v>
      </c>
      <c r="CA96" s="47" t="n">
        <f aca="false">IF(ISNUMBER(((BZ96/BX96)+$D$16+$N96+$D$14)*BX96),((BZ96/BX96)+$D$16+$N96+$D$14)*BX96,0)</f>
        <v>0</v>
      </c>
      <c r="CB96" s="76" t="n">
        <f aca="false">IF($BX96=0,0,OSTRIP($BY96,$S96,$BJ96-$B$2,$BG96-$BJ96,$BH96-$BJ96,$B$10,$BE96,$P96,$Q96,$D$23,$T96,$CC$34,0))</f>
        <v>0</v>
      </c>
      <c r="CC96" s="76" t="n">
        <f aca="false">IF($BX96=0,0,OSTRIP($BY96,$S96,$BJ96-$B$2,$BG96-$BJ96,$BH96-$BJ96,$B$10,$BE96,$P96,$Q96,$D$23,$T96,$CC$34,1))</f>
        <v>0</v>
      </c>
      <c r="CD96" s="76" t="n">
        <f aca="false">IF($BX96=0,0,OSTRIP($BY96,$S96,$BJ96-$B$2,$BG96-$BJ96,$BH96-$BJ96,$B$10,$BE96,$P96,$Q96,$D$23,$T96,$CC$34,CC$35))</f>
        <v>0</v>
      </c>
      <c r="CE96" s="37" t="n">
        <f aca="false">BX96*CB96</f>
        <v>0</v>
      </c>
      <c r="CF96" s="37" t="n">
        <f aca="false">BX96*CC96</f>
        <v>0</v>
      </c>
      <c r="CG96" s="37" t="n">
        <f aca="false">BX96*CD96</f>
        <v>0</v>
      </c>
      <c r="CH96" s="37" t="n">
        <f aca="false">BX96*Q96</f>
        <v>0</v>
      </c>
      <c r="CJ96" s="73" t="n">
        <f aca="false">IF($A96&gt;=CK$32,IF($A96&lt;=CK$33,$BF96,0),0)</f>
        <v>0</v>
      </c>
      <c r="CK96" s="186" t="e">
        <f aca="false">CM96/CJ96</f>
        <v>#DIV/0!</v>
      </c>
      <c r="CL96" s="1" t="n">
        <f aca="false">CJ96*($B96+$F$15)</f>
        <v>0</v>
      </c>
      <c r="CM96" s="47" t="n">
        <f aca="false">IF(ISNUMBER(((CL96/CJ96)+$F$16+$X96+$F$14)*CJ96),((CL96/CJ96)+$F$16+$X96+$F$14)*CJ96,0)</f>
        <v>0</v>
      </c>
      <c r="CN96" s="76" t="n">
        <f aca="false">IF($CJ96=0,0,OSTRIP($CK96,$AC96,$BJ96-$B$2,$BG96-$BJ96,$BH96-$BJ96,$B$10,$BE96,$Z96,$AA96,$F$23,$AD96,$CO$34,0))</f>
        <v>0</v>
      </c>
      <c r="CO96" s="76" t="n">
        <f aca="false">IF($CJ96=0,0,OSTRIP($CK96,$AC96,$BJ96-$B$2,$BG96-$BJ96,$BH96-$BJ96,$B$10,$BE96,$Z96,$AA96,$F$23,$AD96,$CO$34,1))</f>
        <v>0</v>
      </c>
      <c r="CP96" s="76" t="n">
        <f aca="false">IF($CJ96=0,0,OSTRIP($CK96,$AC96,$BJ96-$B$2,$BG96-$BJ96,$BH96-$BJ96,$B$10,$BE96,$Z96,$AA96,$F$23,$AD96,$CO$34,$CO$35))</f>
        <v>0</v>
      </c>
      <c r="CQ96" s="37" t="n">
        <f aca="false">CJ96*CN96</f>
        <v>0</v>
      </c>
      <c r="CR96" s="37" t="n">
        <f aca="false">CJ96*CO96</f>
        <v>0</v>
      </c>
      <c r="CS96" s="37" t="n">
        <f aca="false">CJ96*CP96</f>
        <v>0</v>
      </c>
      <c r="CT96" s="37" t="n">
        <f aca="false">CJ96*AA96</f>
        <v>0</v>
      </c>
      <c r="CV96" s="73" t="n">
        <f aca="false">IF($A96&gt;=CW$32,IF($A96&lt;=CW$33,$BF96,0),0)</f>
        <v>0</v>
      </c>
      <c r="CW96" s="186" t="e">
        <f aca="false">CY96/CV96</f>
        <v>#DIV/0!</v>
      </c>
      <c r="CX96" s="1" t="n">
        <f aca="false">CV96*($B96+$H$15)</f>
        <v>0</v>
      </c>
      <c r="CY96" s="47" t="n">
        <f aca="false">IF(ISNUMBER(((CX96/CV96)+$H$16+$AH96+$H$14)*CV96),((CX96/CV96)+$H$16+$AH96+$H$14)*CV96,0)</f>
        <v>0</v>
      </c>
      <c r="CZ96" s="76" t="n">
        <f aca="false">IF($CV96=0,0,OSTRIP($CW96,$AM96,$BJ96-$B$2,$BG96-$BJ96,$BH96-$BJ96,$B$10,$BE96,$AJ96,$AK96,$H$23,$AN96,$DA$34,0))</f>
        <v>0</v>
      </c>
      <c r="DA96" s="76" t="n">
        <f aca="false">IF($CV96=0,0,OSTRIP($CW96,$AM96,$BJ96-$B$2,$BG96-$BJ96,$BH96-$BJ96,$B$10,$BE96,$AJ96,$AK96,$H$23,$AN96,$DA$34,1))</f>
        <v>0</v>
      </c>
      <c r="DB96" s="76" t="n">
        <f aca="false">IF($CV96=0,0,OSTRIP($CW96,$AM96,$BJ96-$B$2,$BG96-$BJ96,$BH96-$BJ96,$B$10,$BE96,$AJ96,$AK96,$H$23,$AN96,$DA$34,DA$35))</f>
        <v>0</v>
      </c>
      <c r="DC96" s="37" t="n">
        <f aca="false">CV96*CZ96</f>
        <v>0</v>
      </c>
      <c r="DD96" s="37" t="n">
        <f aca="false">CV96*DA96</f>
        <v>0</v>
      </c>
      <c r="DE96" s="37" t="n">
        <f aca="false">CV96*DB96</f>
        <v>0</v>
      </c>
      <c r="DF96" s="37" t="n">
        <f aca="false">CV96*AK96</f>
        <v>0</v>
      </c>
    </row>
    <row r="97" customFormat="false" ht="12.75" hidden="false" customHeight="false" outlineLevel="0" collapsed="false">
      <c r="A97" s="62" t="n">
        <f aca="false">DATE(YEAR(A96),MONTH(A96)+1,1)</f>
        <v>39052</v>
      </c>
      <c r="B97" s="63" t="n">
        <f aca="false">VLOOKUP(A97,STRADDLE,5,FALSE())</f>
        <v>3.76</v>
      </c>
      <c r="C97" s="4" t="n">
        <f aca="false">VLOOKUP(A97,STRADDLE,8,FALSE())</f>
        <v>0.2475</v>
      </c>
      <c r="D97" s="63" t="n">
        <f aca="false">IF(D$35="nymex",0,VLOOKUP($A97,curvesettle,HLOOKUP(D$35,curvesettle,2,FALSE())))</f>
        <v>0.77</v>
      </c>
      <c r="E97" s="65" t="n">
        <f aca="false">IF(ISNUMBER(VLOOKUP($A97,VOLCURVES,HLOOKUP(D$35,VOLCURVES,2,FALSE()),FALSE())),VLOOKUP($A97,VOLCURVES,HLOOKUP(D$35,VOLCURVES,2,FALSE()),FALSE()),1)</f>
        <v>1.1</v>
      </c>
      <c r="F97" s="4" t="n">
        <f aca="false">(($C97+H97)*$E97)+B$17</f>
        <v>0.37225</v>
      </c>
      <c r="G97" s="65" t="n">
        <f aca="false">VLOOKUP($A97,GASDVOLCURVES,HLOOKUP(D$36,GASDVOLCURVES,2,FALSE()),FALSE())+$B$18</f>
        <v>1.1</v>
      </c>
      <c r="H97" s="4" t="n">
        <f aca="false">IF($B$20=1,VLOOKUP($A97,skewtable,HLOOKUP(ROUND(I97-BM97,1),skewtable,2,FALSE()),FALSE())/100,0)</f>
        <v>0</v>
      </c>
      <c r="I97" s="66" t="e">
        <f aca="false">IF($B$10=1,($BM97*$B$23)-$B$14,$B$22)</f>
        <v>#DIV/0!</v>
      </c>
      <c r="J97" s="67" t="e">
        <f aca="false">I97-BM97+$B$24</f>
        <v>#DIV/0!</v>
      </c>
      <c r="K97" s="67"/>
      <c r="L97" s="183"/>
      <c r="M97" s="183"/>
      <c r="N97" s="63" t="n">
        <f aca="false">IF(N$35="nymex",0,VLOOKUP($A97,curvesettle,HLOOKUP(N$35,curvesettle,2,FALSE())))</f>
        <v>-0.045</v>
      </c>
      <c r="O97" s="65" t="n">
        <f aca="false">IF(ISNUMBER(VLOOKUP($A97,VOLCURVES,HLOOKUP(N$35,VOLCURVES,2,FALSE()),FALSE())),VLOOKUP($A97,VOLCURVES,HLOOKUP(N$35,VOLCURVES,2,FALSE()),FALSE()),1)</f>
        <v>1</v>
      </c>
      <c r="P97" s="184" t="n">
        <f aca="false">(($C97+R97)*O97)+$D$17</f>
        <v>0.2475</v>
      </c>
      <c r="Q97" s="65" t="n">
        <f aca="false">VLOOKUP($A97,GASDVOLCURVES,HLOOKUP(N$36,GASDVOLCURVES,2,FALSE()),FALSE())+$D$18</f>
        <v>1.1</v>
      </c>
      <c r="R97" s="4" t="n">
        <f aca="false">IF($D$20=1,VLOOKUP($A97,skewtable,HLOOKUP(ROUND(S97-BY97,1),skewtable,2,FALSE()),FALSE())/100,0)</f>
        <v>0</v>
      </c>
      <c r="S97" s="66" t="e">
        <f aca="false">IF(B$10=1,($BY97*$D$23)-$D$14,$D$22)</f>
        <v>#DIV/0!</v>
      </c>
      <c r="T97" s="67" t="e">
        <f aca="false">S97-$BY97+$D$24</f>
        <v>#DIV/0!</v>
      </c>
      <c r="U97" s="0"/>
      <c r="V97" s="0"/>
      <c r="W97" s="0"/>
      <c r="X97" s="63" t="n">
        <f aca="false">IF(X$35="nymex",0,VLOOKUP($A97,curvesettle,HLOOKUP(X$35,curvesettle,2,FALSE())))</f>
        <v>0.24</v>
      </c>
      <c r="Y97" s="65" t="n">
        <f aca="false">IF(ISNUMBER(VLOOKUP($A97,VOLCURVES,HLOOKUP(X$35,VOLCURVES,2,FALSE()),FALSE())),VLOOKUP($A97,VOLCURVES,HLOOKUP(X$35,VOLCURVES,2,FALSE()),FALSE()),1)</f>
        <v>1</v>
      </c>
      <c r="Z97" s="184" t="n">
        <f aca="false">(($C97+AB97)*Y97)+$F$17</f>
        <v>0.2475</v>
      </c>
      <c r="AA97" s="65" t="n">
        <f aca="false">VLOOKUP($A97,GASDVOLCURVES,HLOOKUP(X$36,GASDVOLCURVES,2,FALSE()),FALSE())+$F$18</f>
        <v>1.1</v>
      </c>
      <c r="AB97" s="4" t="n">
        <f aca="false">IF($F$20=1,VLOOKUP($A97,skewtable,HLOOKUP(ROUND(AC97-CK97,1),skewtable,2,FALSE()),FALSE())/100,0)</f>
        <v>0</v>
      </c>
      <c r="AC97" s="66" t="e">
        <f aca="false">IF($B$10=1,($CK97*$F$23)-$F$14,$F$22)</f>
        <v>#DIV/0!</v>
      </c>
      <c r="AD97" s="67" t="e">
        <f aca="false">AC97-$CK97+$F$24</f>
        <v>#DIV/0!</v>
      </c>
      <c r="AE97" s="0"/>
      <c r="AF97" s="0"/>
      <c r="AG97" s="0"/>
      <c r="AH97" s="63" t="n">
        <f aca="false">IF(AH$35="nymex",0,VLOOKUP($A97,curvesettle,HLOOKUP(AH$35,curvesettle,2,FALSE())))</f>
        <v>0.98</v>
      </c>
      <c r="AI97" s="65" t="n">
        <f aca="false">IF(ISNUMBER(VLOOKUP($A97,VOLCURVES,HLOOKUP(AH$35,VOLCURVES,2,FALSE()),FALSE())),VLOOKUP($A97,VOLCURVES,HLOOKUP(AH$35,VOLCURVES,2,FALSE()),FALSE()),1)</f>
        <v>1.02</v>
      </c>
      <c r="AJ97" s="184" t="n">
        <f aca="false">(($C97+AL97)*AI97)+$H$17</f>
        <v>0.25245</v>
      </c>
      <c r="AK97" s="65" t="n">
        <f aca="false">VLOOKUP($A97,GASDVOLCURVES,HLOOKUP(AH$36,GASDVOLCURVES,2,FALSE()),FALSE())+$H$18</f>
        <v>1.75</v>
      </c>
      <c r="AL97" s="4" t="n">
        <f aca="false">IF($H$20=1,VLOOKUP($A97,skewtable,HLOOKUP(ROUND(AM97-CW97,1),skewtable,2,FALSE()),FALSE())/100,0)</f>
        <v>0</v>
      </c>
      <c r="AM97" s="66" t="e">
        <f aca="false">IF($B$10=1,($CW97*$H$23)-$H$14,$H$22)</f>
        <v>#DIV/0!</v>
      </c>
      <c r="AN97" s="67" t="e">
        <f aca="false">AM97-CW97+$H$24</f>
        <v>#DIV/0!</v>
      </c>
      <c r="AO97" s="0"/>
      <c r="AP97" s="0"/>
      <c r="AQ97" s="183"/>
      <c r="AR97" s="183"/>
      <c r="AU97" s="0"/>
      <c r="AV97" s="0"/>
      <c r="AW97" s="0"/>
      <c r="AX97" s="0"/>
      <c r="AY97" s="0"/>
      <c r="AZ97" s="0"/>
      <c r="BA97" s="0"/>
      <c r="BC97" s="64"/>
      <c r="BD97" s="64"/>
      <c r="BE97" s="4" t="n">
        <f aca="false">VLOOKUP($A97,STRADDLE,14,FALSE())</f>
        <v>0.0511562229938121</v>
      </c>
      <c r="BF97" s="72" t="n">
        <f aca="false">A98-A97</f>
        <v>31</v>
      </c>
      <c r="BG97" s="179" t="n">
        <f aca="false">A97+BG$35</f>
        <v>39052</v>
      </c>
      <c r="BH97" s="179" t="n">
        <f aca="false">A98-1</f>
        <v>39082</v>
      </c>
      <c r="BJ97" s="179" t="n">
        <f aca="true">IF(BJ$35=0,TODAY(),IF(BJ$36="NYMEX",VLOOKUP($A97,expiration,2,FALSE())+1,BG97))</f>
        <v>39050</v>
      </c>
      <c r="BK97" s="73"/>
      <c r="BL97" s="73" t="n">
        <f aca="false">IF($A97&gt;=BM$32,IF($A97&lt;=BM$33,$BF97,0),0)</f>
        <v>0</v>
      </c>
      <c r="BM97" s="73" t="e">
        <f aca="false">BO97/BL97</f>
        <v>#DIV/0!</v>
      </c>
      <c r="BN97" s="1" t="n">
        <f aca="false">BL97*($B97+B$15)</f>
        <v>0</v>
      </c>
      <c r="BO97" s="47" t="n">
        <f aca="false">IF(ISNUMBER(((BN97/BL97)+B$16+$D97+$B$14)*BL97),((BN97/BL97)+B$16+$D97+$B$14)*BL97,0)</f>
        <v>0</v>
      </c>
      <c r="BP97" s="76" t="n">
        <f aca="false">IF($BL97=0,0,OSTRIP($BM97,$I97,$BJ97-$B$2,$BG97-$BJ97,$BH97-$BJ97,$B$10,$BE97,$F97,$G97,$B$23,$J97,$BQ$34,0))</f>
        <v>0</v>
      </c>
      <c r="BQ97" s="76" t="n">
        <f aca="false">IF($BL97=0,0,OSTRIP($BM97,$I97,$BJ97-$B$2,$BG97-$BJ97,$BH97-$BJ97,$B$10,$BE97,$F97,$G97,$B$23,$J97,$BQ$34,1))</f>
        <v>0</v>
      </c>
      <c r="BR97" s="76" t="n">
        <f aca="false">IF($BL97=0,0,OSTRIP($BM97,$I97,$BJ97-$B$2,$BG97-$BJ97,$BH97-$BJ97,$B$10,$BE97,$F97,$G97,$B$23,$J97,$BQ$34,BQ$35))</f>
        <v>0</v>
      </c>
      <c r="BS97" s="37" t="n">
        <f aca="false">BL97*BP97</f>
        <v>0</v>
      </c>
      <c r="BT97" s="37" t="n">
        <f aca="false">BL97*BQ97</f>
        <v>0</v>
      </c>
      <c r="BU97" s="37" t="n">
        <f aca="false">BL97*BR97</f>
        <v>0</v>
      </c>
      <c r="BV97" s="37" t="n">
        <f aca="false">BL97*G97</f>
        <v>0</v>
      </c>
      <c r="BX97" s="73" t="n">
        <f aca="false">IF($A97&gt;=BY$32,IF($A97&lt;=BY$33,$BF97,0),0)</f>
        <v>0</v>
      </c>
      <c r="BY97" s="186" t="e">
        <f aca="false">CA97/BX97</f>
        <v>#DIV/0!</v>
      </c>
      <c r="BZ97" s="1" t="n">
        <f aca="false">BX97*($B97+$D$15)</f>
        <v>0</v>
      </c>
      <c r="CA97" s="47" t="n">
        <f aca="false">IF(ISNUMBER(((BZ97/BX97)+$D$16+$N97+$D$14)*BX97),((BZ97/BX97)+$D$16+$N97+$D$14)*BX97,0)</f>
        <v>0</v>
      </c>
      <c r="CB97" s="76" t="n">
        <f aca="false">IF($BX97=0,0,OSTRIP($BY97,$S97,$BJ97-$B$2,$BG97-$BJ97,$BH97-$BJ97,$B$10,$BE97,$P97,$Q97,$D$23,$T97,$CC$34,0))</f>
        <v>0</v>
      </c>
      <c r="CC97" s="76" t="n">
        <f aca="false">IF($BX97=0,0,OSTRIP($BY97,$S97,$BJ97-$B$2,$BG97-$BJ97,$BH97-$BJ97,$B$10,$BE97,$P97,$Q97,$D$23,$T97,$CC$34,1))</f>
        <v>0</v>
      </c>
      <c r="CD97" s="76" t="n">
        <f aca="false">IF($BX97=0,0,OSTRIP($BY97,$S97,$BJ97-$B$2,$BG97-$BJ97,$BH97-$BJ97,$B$10,$BE97,$P97,$Q97,$D$23,$T97,$CC$34,CC$35))</f>
        <v>0</v>
      </c>
      <c r="CE97" s="37" t="n">
        <f aca="false">BX97*CB97</f>
        <v>0</v>
      </c>
      <c r="CF97" s="37" t="n">
        <f aca="false">BX97*CC97</f>
        <v>0</v>
      </c>
      <c r="CG97" s="37" t="n">
        <f aca="false">BX97*CD97</f>
        <v>0</v>
      </c>
      <c r="CH97" s="37" t="n">
        <f aca="false">BX97*Q97</f>
        <v>0</v>
      </c>
      <c r="CJ97" s="73" t="n">
        <f aca="false">IF($A97&gt;=CK$32,IF($A97&lt;=CK$33,$BF97,0),0)</f>
        <v>0</v>
      </c>
      <c r="CK97" s="186" t="e">
        <f aca="false">CM97/CJ97</f>
        <v>#DIV/0!</v>
      </c>
      <c r="CL97" s="1" t="n">
        <f aca="false">CJ97*($B97+$F$15)</f>
        <v>0</v>
      </c>
      <c r="CM97" s="47" t="n">
        <f aca="false">IF(ISNUMBER(((CL97/CJ97)+$F$16+$X97+$F$14)*CJ97),((CL97/CJ97)+$F$16+$X97+$F$14)*CJ97,0)</f>
        <v>0</v>
      </c>
      <c r="CN97" s="76" t="n">
        <f aca="false">IF($CJ97=0,0,OSTRIP($CK97,$AC97,$BJ97-$B$2,$BG97-$BJ97,$BH97-$BJ97,$B$10,$BE97,$Z97,$AA97,$F$23,$AD97,$CO$34,0))</f>
        <v>0</v>
      </c>
      <c r="CO97" s="76" t="n">
        <f aca="false">IF($CJ97=0,0,OSTRIP($CK97,$AC97,$BJ97-$B$2,$BG97-$BJ97,$BH97-$BJ97,$B$10,$BE97,$Z97,$AA97,$F$23,$AD97,$CO$34,1))</f>
        <v>0</v>
      </c>
      <c r="CP97" s="76" t="n">
        <f aca="false">IF($CJ97=0,0,OSTRIP($CK97,$AC97,$BJ97-$B$2,$BG97-$BJ97,$BH97-$BJ97,$B$10,$BE97,$Z97,$AA97,$F$23,$AD97,$CO$34,$CO$35))</f>
        <v>0</v>
      </c>
      <c r="CQ97" s="37" t="n">
        <f aca="false">CJ97*CN97</f>
        <v>0</v>
      </c>
      <c r="CR97" s="37" t="n">
        <f aca="false">CJ97*CO97</f>
        <v>0</v>
      </c>
      <c r="CS97" s="37" t="n">
        <f aca="false">CJ97*CP97</f>
        <v>0</v>
      </c>
      <c r="CT97" s="37" t="n">
        <f aca="false">CJ97*AA97</f>
        <v>0</v>
      </c>
      <c r="CV97" s="73" t="n">
        <f aca="false">IF($A97&gt;=CW$32,IF($A97&lt;=CW$33,$BF97,0),0)</f>
        <v>0</v>
      </c>
      <c r="CW97" s="186" t="e">
        <f aca="false">CY97/CV97</f>
        <v>#DIV/0!</v>
      </c>
      <c r="CX97" s="1" t="n">
        <f aca="false">CV97*($B97+$H$15)</f>
        <v>0</v>
      </c>
      <c r="CY97" s="47" t="n">
        <f aca="false">IF(ISNUMBER(((CX97/CV97)+$H$16+$AH97+$H$14)*CV97),((CX97/CV97)+$H$16+$AH97+$H$14)*CV97,0)</f>
        <v>0</v>
      </c>
      <c r="CZ97" s="76" t="n">
        <f aca="false">IF($CV97=0,0,OSTRIP($CW97,$AM97,$BJ97-$B$2,$BG97-$BJ97,$BH97-$BJ97,$B$10,$BE97,$AJ97,$AK97,$H$23,$AN97,$DA$34,0))</f>
        <v>0</v>
      </c>
      <c r="DA97" s="76" t="n">
        <f aca="false">IF($CV97=0,0,OSTRIP($CW97,$AM97,$BJ97-$B$2,$BG97-$BJ97,$BH97-$BJ97,$B$10,$BE97,$AJ97,$AK97,$H$23,$AN97,$DA$34,1))</f>
        <v>0</v>
      </c>
      <c r="DB97" s="76" t="n">
        <f aca="false">IF($CV97=0,0,OSTRIP($CW97,$AM97,$BJ97-$B$2,$BG97-$BJ97,$BH97-$BJ97,$B$10,$BE97,$AJ97,$AK97,$H$23,$AN97,$DA$34,DA$35))</f>
        <v>0</v>
      </c>
      <c r="DC97" s="37" t="n">
        <f aca="false">CV97*CZ97</f>
        <v>0</v>
      </c>
      <c r="DD97" s="37" t="n">
        <f aca="false">CV97*DA97</f>
        <v>0</v>
      </c>
      <c r="DE97" s="37" t="n">
        <f aca="false">CV97*DB97</f>
        <v>0</v>
      </c>
      <c r="DF97" s="37" t="n">
        <f aca="false">CV97*AK97</f>
        <v>0</v>
      </c>
    </row>
    <row r="98" customFormat="false" ht="12.75" hidden="false" customHeight="false" outlineLevel="0" collapsed="false">
      <c r="A98" s="62" t="n">
        <f aca="false">DATE(YEAR(A97),MONTH(A97)+1,1)</f>
        <v>39083</v>
      </c>
      <c r="B98" s="63" t="n">
        <f aca="false">VLOOKUP(A98,STRADDLE,5,FALSE())</f>
        <v>3.8125</v>
      </c>
      <c r="C98" s="4" t="n">
        <f aca="false">VLOOKUP(A98,STRADDLE,8,FALSE())</f>
        <v>0.2475</v>
      </c>
      <c r="D98" s="63" t="n">
        <f aca="false">IF(D$35="nymex",0,VLOOKUP($A98,curvesettle,HLOOKUP(D$35,curvesettle,2,FALSE())))</f>
        <v>1.04</v>
      </c>
      <c r="E98" s="65" t="n">
        <f aca="false">IF(ISNUMBER(VLOOKUP($A98,VOLCURVES,HLOOKUP(D$35,VOLCURVES,2,FALSE()),FALSE())),VLOOKUP($A98,VOLCURVES,HLOOKUP(D$35,VOLCURVES,2,FALSE()),FALSE()),1)</f>
        <v>1.1</v>
      </c>
      <c r="F98" s="4" t="n">
        <f aca="false">(($C98+H98)*$E98)+B$17</f>
        <v>0.37225</v>
      </c>
      <c r="G98" s="65" t="n">
        <f aca="false">VLOOKUP($A98,GASDVOLCURVES,HLOOKUP(D$36,GASDVOLCURVES,2,FALSE()),FALSE())+$B$18</f>
        <v>1.1</v>
      </c>
      <c r="H98" s="4" t="n">
        <f aca="false">IF($B$20=1,VLOOKUP($A98,skewtable,HLOOKUP(ROUND(I98-BM98,1),skewtable,2,FALSE()),FALSE())/100,0)</f>
        <v>0</v>
      </c>
      <c r="I98" s="66" t="e">
        <f aca="false">IF($B$10=1,($BM98*$B$23)-$B$14,$B$22)</f>
        <v>#DIV/0!</v>
      </c>
      <c r="J98" s="67" t="e">
        <f aca="false">I98-BM98+$B$24</f>
        <v>#DIV/0!</v>
      </c>
      <c r="K98" s="67"/>
      <c r="L98" s="183"/>
      <c r="M98" s="183"/>
      <c r="N98" s="63" t="n">
        <f aca="false">IF(N$35="nymex",0,VLOOKUP($A98,curvesettle,HLOOKUP(N$35,curvesettle,2,FALSE())))</f>
        <v>-0.0475</v>
      </c>
      <c r="O98" s="65" t="n">
        <f aca="false">IF(ISNUMBER(VLOOKUP($A98,VOLCURVES,HLOOKUP(N$35,VOLCURVES,2,FALSE()),FALSE())),VLOOKUP($A98,VOLCURVES,HLOOKUP(N$35,VOLCURVES,2,FALSE()),FALSE()),1)</f>
        <v>1</v>
      </c>
      <c r="P98" s="184" t="n">
        <f aca="false">(($C98+R98)*O98)+$D$17</f>
        <v>0.2475</v>
      </c>
      <c r="Q98" s="65" t="n">
        <f aca="false">VLOOKUP($A98,GASDVOLCURVES,HLOOKUP(N$36,GASDVOLCURVES,2,FALSE()),FALSE())+$D$18</f>
        <v>1.1</v>
      </c>
      <c r="R98" s="4" t="n">
        <f aca="false">IF($D$20=1,VLOOKUP($A98,skewtable,HLOOKUP(ROUND(S98-BY98,1),skewtable,2,FALSE()),FALSE())/100,0)</f>
        <v>0</v>
      </c>
      <c r="S98" s="66" t="e">
        <f aca="false">IF(B$10=1,($BY98*$D$23)-$D$14,$D$22)</f>
        <v>#DIV/0!</v>
      </c>
      <c r="T98" s="67" t="e">
        <f aca="false">S98-$BY98+$D$24</f>
        <v>#DIV/0!</v>
      </c>
      <c r="U98" s="0"/>
      <c r="V98" s="0"/>
      <c r="W98" s="0"/>
      <c r="X98" s="63" t="n">
        <f aca="false">IF(X$35="nymex",0,VLOOKUP($A98,curvesettle,HLOOKUP(X$35,curvesettle,2,FALSE())))</f>
        <v>0.24</v>
      </c>
      <c r="Y98" s="65" t="n">
        <f aca="false">IF(ISNUMBER(VLOOKUP($A98,VOLCURVES,HLOOKUP(X$35,VOLCURVES,2,FALSE()),FALSE())),VLOOKUP($A98,VOLCURVES,HLOOKUP(X$35,VOLCURVES,2,FALSE()),FALSE()),1)</f>
        <v>1</v>
      </c>
      <c r="Z98" s="184" t="n">
        <f aca="false">(($C98+AB98)*Y98)+$F$17</f>
        <v>0.2475</v>
      </c>
      <c r="AA98" s="65" t="n">
        <f aca="false">VLOOKUP($A98,GASDVOLCURVES,HLOOKUP(X$36,GASDVOLCURVES,2,FALSE()),FALSE())+$F$18</f>
        <v>1.1</v>
      </c>
      <c r="AB98" s="4" t="n">
        <f aca="false">IF($F$20=1,VLOOKUP($A98,skewtable,HLOOKUP(ROUND(AC98-CK98,1),skewtable,2,FALSE()),FALSE())/100,0)</f>
        <v>0</v>
      </c>
      <c r="AC98" s="66" t="e">
        <f aca="false">IF($B$10=1,($CK98*$F$23)-$F$14,$F$22)</f>
        <v>#DIV/0!</v>
      </c>
      <c r="AD98" s="67" t="e">
        <f aca="false">AC98-$CK98+$F$24</f>
        <v>#DIV/0!</v>
      </c>
      <c r="AE98" s="0"/>
      <c r="AF98" s="0"/>
      <c r="AG98" s="0"/>
      <c r="AH98" s="63" t="n">
        <f aca="false">IF(AH$35="nymex",0,VLOOKUP($A98,curvesettle,HLOOKUP(AH$35,curvesettle,2,FALSE())))</f>
        <v>1.6</v>
      </c>
      <c r="AI98" s="65" t="n">
        <f aca="false">IF(ISNUMBER(VLOOKUP($A98,VOLCURVES,HLOOKUP(AH$35,VOLCURVES,2,FALSE()),FALSE())),VLOOKUP($A98,VOLCURVES,HLOOKUP(AH$35,VOLCURVES,2,FALSE()),FALSE()),1)</f>
        <v>1.04</v>
      </c>
      <c r="AJ98" s="184" t="n">
        <f aca="false">(($C98+AL98)*AI98)+$H$17</f>
        <v>0.2574</v>
      </c>
      <c r="AK98" s="65" t="n">
        <f aca="false">VLOOKUP($A98,GASDVOLCURVES,HLOOKUP(AH$36,GASDVOLCURVES,2,FALSE()),FALSE())+$H$18</f>
        <v>1.95</v>
      </c>
      <c r="AL98" s="4" t="n">
        <f aca="false">IF($H$20=1,VLOOKUP($A98,skewtable,HLOOKUP(ROUND(AM98-CW98,1),skewtable,2,FALSE()),FALSE())/100,0)</f>
        <v>0</v>
      </c>
      <c r="AM98" s="66" t="e">
        <f aca="false">IF($B$10=1,($CW98*$H$23)-$H$14,$H$22)</f>
        <v>#DIV/0!</v>
      </c>
      <c r="AN98" s="67" t="e">
        <f aca="false">AM98-CW98+$H$24</f>
        <v>#DIV/0!</v>
      </c>
      <c r="AO98" s="0"/>
      <c r="AP98" s="0"/>
      <c r="AQ98" s="183"/>
      <c r="AR98" s="183"/>
      <c r="AU98" s="0"/>
      <c r="AV98" s="0"/>
      <c r="AW98" s="0"/>
      <c r="AX98" s="0"/>
      <c r="AY98" s="0"/>
      <c r="AZ98" s="0"/>
      <c r="BA98" s="0"/>
      <c r="BC98" s="64"/>
      <c r="BD98" s="64"/>
      <c r="BE98" s="4" t="n">
        <f aca="false">VLOOKUP($A98,STRADDLE,14,FALSE())</f>
        <v>0.051391857633718</v>
      </c>
      <c r="BF98" s="72" t="n">
        <f aca="false">A99-A98</f>
        <v>31</v>
      </c>
      <c r="BG98" s="179" t="n">
        <f aca="false">A98+BG$35</f>
        <v>39083</v>
      </c>
      <c r="BH98" s="179" t="n">
        <f aca="false">A99-1</f>
        <v>39113</v>
      </c>
      <c r="BJ98" s="179" t="n">
        <f aca="true">IF(BJ$35=0,TODAY(),IF(BJ$36="NYMEX",VLOOKUP($A98,expiration,2,FALSE())+1,BG98))</f>
        <v>39079</v>
      </c>
      <c r="BK98" s="73"/>
      <c r="BL98" s="73" t="n">
        <f aca="false">IF($A98&gt;=BM$32,IF($A98&lt;=BM$33,$BF98,0),0)</f>
        <v>0</v>
      </c>
      <c r="BM98" s="73" t="e">
        <f aca="false">BO98/BL98</f>
        <v>#DIV/0!</v>
      </c>
      <c r="BN98" s="1" t="n">
        <f aca="false">BL98*($B98+B$15)</f>
        <v>0</v>
      </c>
      <c r="BO98" s="47" t="n">
        <f aca="false">IF(ISNUMBER(((BN98/BL98)+B$16+$D98+$B$14)*BL98),((BN98/BL98)+B$16+$D98+$B$14)*BL98,0)</f>
        <v>0</v>
      </c>
      <c r="BP98" s="76" t="n">
        <f aca="false">IF($BL98=0,0,OSTRIP($BM98,$I98,$BJ98-$B$2,$BG98-$BJ98,$BH98-$BJ98,$B$10,$BE98,$F98,$G98,$B$23,$J98,$BQ$34,0))</f>
        <v>0</v>
      </c>
      <c r="BQ98" s="76" t="n">
        <f aca="false">IF($BL98=0,0,OSTRIP($BM98,$I98,$BJ98-$B$2,$BG98-$BJ98,$BH98-$BJ98,$B$10,$BE98,$F98,$G98,$B$23,$J98,$BQ$34,1))</f>
        <v>0</v>
      </c>
      <c r="BR98" s="76" t="n">
        <f aca="false">IF($BL98=0,0,OSTRIP($BM98,$I98,$BJ98-$B$2,$BG98-$BJ98,$BH98-$BJ98,$B$10,$BE98,$F98,$G98,$B$23,$J98,$BQ$34,BQ$35))</f>
        <v>0</v>
      </c>
      <c r="BS98" s="37" t="n">
        <f aca="false">BL98*BP98</f>
        <v>0</v>
      </c>
      <c r="BT98" s="37" t="n">
        <f aca="false">BL98*BQ98</f>
        <v>0</v>
      </c>
      <c r="BU98" s="37" t="n">
        <f aca="false">BL98*BR98</f>
        <v>0</v>
      </c>
      <c r="BV98" s="37" t="n">
        <f aca="false">BL98*G98</f>
        <v>0</v>
      </c>
      <c r="BX98" s="73" t="n">
        <f aca="false">IF($A98&gt;=BY$32,IF($A98&lt;=BY$33,$BF98,0),0)</f>
        <v>0</v>
      </c>
      <c r="BY98" s="186" t="e">
        <f aca="false">CA98/BX98</f>
        <v>#DIV/0!</v>
      </c>
      <c r="BZ98" s="1" t="n">
        <f aca="false">BX98*($B98+$D$15)</f>
        <v>0</v>
      </c>
      <c r="CA98" s="47" t="n">
        <f aca="false">IF(ISNUMBER(((BZ98/BX98)+$D$16+$N98+$D$14)*BX98),((BZ98/BX98)+$D$16+$N98+$D$14)*BX98,0)</f>
        <v>0</v>
      </c>
      <c r="CB98" s="76" t="n">
        <f aca="false">IF($BX98=0,0,OSTRIP($BY98,$S98,$BJ98-$B$2,$BG98-$BJ98,$BH98-$BJ98,$B$10,$BE98,$P98,$Q98,$D$23,$T98,$CC$34,0))</f>
        <v>0</v>
      </c>
      <c r="CC98" s="76" t="n">
        <f aca="false">IF($BX98=0,0,OSTRIP($BY98,$S98,$BJ98-$B$2,$BG98-$BJ98,$BH98-$BJ98,$B$10,$BE98,$P98,$Q98,$D$23,$T98,$CC$34,1))</f>
        <v>0</v>
      </c>
      <c r="CD98" s="76" t="n">
        <f aca="false">IF($BX98=0,0,OSTRIP($BY98,$S98,$BJ98-$B$2,$BG98-$BJ98,$BH98-$BJ98,$B$10,$BE98,$P98,$Q98,$D$23,$T98,$CC$34,CC$35))</f>
        <v>0</v>
      </c>
      <c r="CE98" s="37" t="n">
        <f aca="false">BX98*CB98</f>
        <v>0</v>
      </c>
      <c r="CF98" s="37" t="n">
        <f aca="false">BX98*CC98</f>
        <v>0</v>
      </c>
      <c r="CG98" s="37" t="n">
        <f aca="false">BX98*CD98</f>
        <v>0</v>
      </c>
      <c r="CH98" s="37" t="n">
        <f aca="false">BX98*Q98</f>
        <v>0</v>
      </c>
      <c r="CJ98" s="73" t="n">
        <f aca="false">IF($A98&gt;=CK$32,IF($A98&lt;=CK$33,$BF98,0),0)</f>
        <v>0</v>
      </c>
      <c r="CK98" s="186" t="e">
        <f aca="false">CM98/CJ98</f>
        <v>#DIV/0!</v>
      </c>
      <c r="CL98" s="1" t="n">
        <f aca="false">CJ98*($B98+$F$15)</f>
        <v>0</v>
      </c>
      <c r="CM98" s="47" t="n">
        <f aca="false">IF(ISNUMBER(((CL98/CJ98)+$F$16+$X98+$F$14)*CJ98),((CL98/CJ98)+$F$16+$X98+$F$14)*CJ98,0)</f>
        <v>0</v>
      </c>
      <c r="CN98" s="76" t="n">
        <f aca="false">IF($CJ98=0,0,OSTRIP($CK98,$AC98,$BJ98-$B$2,$BG98-$BJ98,$BH98-$BJ98,$B$10,$BE98,$Z98,$AA98,$F$23,$AD98,$CO$34,0))</f>
        <v>0</v>
      </c>
      <c r="CO98" s="76" t="n">
        <f aca="false">IF($CJ98=0,0,OSTRIP($CK98,$AC98,$BJ98-$B$2,$BG98-$BJ98,$BH98-$BJ98,$B$10,$BE98,$Z98,$AA98,$F$23,$AD98,$CO$34,1))</f>
        <v>0</v>
      </c>
      <c r="CP98" s="76" t="n">
        <f aca="false">IF($CJ98=0,0,OSTRIP($CK98,$AC98,$BJ98-$B$2,$BG98-$BJ98,$BH98-$BJ98,$B$10,$BE98,$Z98,$AA98,$F$23,$AD98,$CO$34,$CO$35))</f>
        <v>0</v>
      </c>
      <c r="CQ98" s="37" t="n">
        <f aca="false">CJ98*CN98</f>
        <v>0</v>
      </c>
      <c r="CR98" s="37" t="n">
        <f aca="false">CJ98*CO98</f>
        <v>0</v>
      </c>
      <c r="CS98" s="37" t="n">
        <f aca="false">CJ98*CP98</f>
        <v>0</v>
      </c>
      <c r="CT98" s="37" t="n">
        <f aca="false">CJ98*AA98</f>
        <v>0</v>
      </c>
      <c r="CV98" s="73" t="n">
        <f aca="false">IF($A98&gt;=CW$32,IF($A98&lt;=CW$33,$BF98,0),0)</f>
        <v>0</v>
      </c>
      <c r="CW98" s="186" t="e">
        <f aca="false">CY98/CV98</f>
        <v>#DIV/0!</v>
      </c>
      <c r="CX98" s="1" t="n">
        <f aca="false">CV98*($B98+$H$15)</f>
        <v>0</v>
      </c>
      <c r="CY98" s="47" t="n">
        <f aca="false">IF(ISNUMBER(((CX98/CV98)+$H$16+$AH98+$H$14)*CV98),((CX98/CV98)+$H$16+$AH98+$H$14)*CV98,0)</f>
        <v>0</v>
      </c>
      <c r="CZ98" s="76" t="n">
        <f aca="false">IF($CV98=0,0,OSTRIP($CW98,$AM98,$BJ98-$B$2,$BG98-$BJ98,$BH98-$BJ98,$B$10,$BE98,$AJ98,$AK98,$H$23,$AN98,$DA$34,0))</f>
        <v>0</v>
      </c>
      <c r="DA98" s="76" t="n">
        <f aca="false">IF($CV98=0,0,OSTRIP($CW98,$AM98,$BJ98-$B$2,$BG98-$BJ98,$BH98-$BJ98,$B$10,$BE98,$AJ98,$AK98,$H$23,$AN98,$DA$34,1))</f>
        <v>0</v>
      </c>
      <c r="DB98" s="76" t="n">
        <f aca="false">IF($CV98=0,0,OSTRIP($CW98,$AM98,$BJ98-$B$2,$BG98-$BJ98,$BH98-$BJ98,$B$10,$BE98,$AJ98,$AK98,$H$23,$AN98,$DA$34,DA$35))</f>
        <v>0</v>
      </c>
      <c r="DC98" s="37" t="n">
        <f aca="false">CV98*CZ98</f>
        <v>0</v>
      </c>
      <c r="DD98" s="37" t="n">
        <f aca="false">CV98*DA98</f>
        <v>0</v>
      </c>
      <c r="DE98" s="37" t="n">
        <f aca="false">CV98*DB98</f>
        <v>0</v>
      </c>
      <c r="DF98" s="37" t="n">
        <f aca="false">CV98*AK98</f>
        <v>0</v>
      </c>
    </row>
    <row r="99" customFormat="false" ht="12.75" hidden="false" customHeight="false" outlineLevel="0" collapsed="false">
      <c r="A99" s="62" t="n">
        <f aca="false">DATE(YEAR(A98),MONTH(A98)+1,1)</f>
        <v>39114</v>
      </c>
      <c r="B99" s="63" t="n">
        <f aca="false">VLOOKUP(A99,STRADDLE,5,FALSE())</f>
        <v>3.7275</v>
      </c>
      <c r="C99" s="4" t="n">
        <f aca="false">VLOOKUP(A99,STRADDLE,8,FALSE())</f>
        <v>0.2425</v>
      </c>
      <c r="D99" s="63" t="n">
        <f aca="false">IF(D$35="nymex",0,VLOOKUP($A99,curvesettle,HLOOKUP(D$35,curvesettle,2,FALSE())))</f>
        <v>1.04</v>
      </c>
      <c r="E99" s="65" t="n">
        <f aca="false">IF(ISNUMBER(VLOOKUP($A99,VOLCURVES,HLOOKUP(D$35,VOLCURVES,2,FALSE()),FALSE())),VLOOKUP($A99,VOLCURVES,HLOOKUP(D$35,VOLCURVES,2,FALSE()),FALSE()),1)</f>
        <v>1.1</v>
      </c>
      <c r="F99" s="4" t="n">
        <f aca="false">(($C99+H99)*$E99)+B$17</f>
        <v>0.36675</v>
      </c>
      <c r="G99" s="65" t="n">
        <f aca="false">VLOOKUP($A99,GASDVOLCURVES,HLOOKUP(D$36,GASDVOLCURVES,2,FALSE()),FALSE())+$B$18</f>
        <v>1.1</v>
      </c>
      <c r="H99" s="4" t="n">
        <f aca="false">IF($B$20=1,VLOOKUP($A99,skewtable,HLOOKUP(ROUND(I99-BM99,1),skewtable,2,FALSE()),FALSE())/100,0)</f>
        <v>0</v>
      </c>
      <c r="I99" s="66" t="e">
        <f aca="false">IF($B$10=1,($BM99*$B$23)-$B$14,$B$22)</f>
        <v>#DIV/0!</v>
      </c>
      <c r="J99" s="67" t="e">
        <f aca="false">I99-BM99+$B$24</f>
        <v>#DIV/0!</v>
      </c>
      <c r="K99" s="67"/>
      <c r="L99" s="183"/>
      <c r="M99" s="183"/>
      <c r="N99" s="63" t="n">
        <f aca="false">IF(N$35="nymex",0,VLOOKUP($A99,curvesettle,HLOOKUP(N$35,curvesettle,2,FALSE())))</f>
        <v>-0.03</v>
      </c>
      <c r="O99" s="65" t="n">
        <f aca="false">IF(ISNUMBER(VLOOKUP($A99,VOLCURVES,HLOOKUP(N$35,VOLCURVES,2,FALSE()),FALSE())),VLOOKUP($A99,VOLCURVES,HLOOKUP(N$35,VOLCURVES,2,FALSE()),FALSE()),1)</f>
        <v>1</v>
      </c>
      <c r="P99" s="184" t="n">
        <f aca="false">(($C99+R99)*O99)+$D$17</f>
        <v>0.2425</v>
      </c>
      <c r="Q99" s="65" t="n">
        <f aca="false">VLOOKUP($A99,GASDVOLCURVES,HLOOKUP(N$36,GASDVOLCURVES,2,FALSE()),FALSE())+$D$18</f>
        <v>1.1</v>
      </c>
      <c r="R99" s="4" t="n">
        <f aca="false">IF($D$20=1,VLOOKUP($A99,skewtable,HLOOKUP(ROUND(S99-BY99,1),skewtable,2,FALSE()),FALSE())/100,0)</f>
        <v>0</v>
      </c>
      <c r="S99" s="66" t="e">
        <f aca="false">IF(B$10=1,($BY99*$D$23)-$D$14,$D$22)</f>
        <v>#DIV/0!</v>
      </c>
      <c r="T99" s="67" t="e">
        <f aca="false">S99-$BY99+$D$24</f>
        <v>#DIV/0!</v>
      </c>
      <c r="U99" s="0"/>
      <c r="V99" s="0"/>
      <c r="W99" s="0"/>
      <c r="X99" s="63" t="n">
        <f aca="false">IF(X$35="nymex",0,VLOOKUP($A99,curvesettle,HLOOKUP(X$35,curvesettle,2,FALSE())))</f>
        <v>0.24</v>
      </c>
      <c r="Y99" s="65" t="n">
        <f aca="false">IF(ISNUMBER(VLOOKUP($A99,VOLCURVES,HLOOKUP(X$35,VOLCURVES,2,FALSE()),FALSE())),VLOOKUP($A99,VOLCURVES,HLOOKUP(X$35,VOLCURVES,2,FALSE()),FALSE()),1)</f>
        <v>1</v>
      </c>
      <c r="Z99" s="184" t="n">
        <f aca="false">(($C99+AB99)*Y99)+$F$17</f>
        <v>0.2425</v>
      </c>
      <c r="AA99" s="65" t="n">
        <f aca="false">VLOOKUP($A99,GASDVOLCURVES,HLOOKUP(X$36,GASDVOLCURVES,2,FALSE()),FALSE())+$F$18</f>
        <v>1.1</v>
      </c>
      <c r="AB99" s="4" t="n">
        <f aca="false">IF($F$20=1,VLOOKUP($A99,skewtable,HLOOKUP(ROUND(AC99-CK99,1),skewtable,2,FALSE()),FALSE())/100,0)</f>
        <v>0</v>
      </c>
      <c r="AC99" s="66" t="e">
        <f aca="false">IF($B$10=1,($CK99*$F$23)-$F$14,$F$22)</f>
        <v>#DIV/0!</v>
      </c>
      <c r="AD99" s="67" t="e">
        <f aca="false">AC99-$CK99+$F$24</f>
        <v>#DIV/0!</v>
      </c>
      <c r="AE99" s="0"/>
      <c r="AF99" s="0"/>
      <c r="AG99" s="0"/>
      <c r="AH99" s="63" t="n">
        <f aca="false">IF(AH$35="nymex",0,VLOOKUP($A99,curvesettle,HLOOKUP(AH$35,curvesettle,2,FALSE())))</f>
        <v>1.6</v>
      </c>
      <c r="AI99" s="65" t="n">
        <f aca="false">IF(ISNUMBER(VLOOKUP($A99,VOLCURVES,HLOOKUP(AH$35,VOLCURVES,2,FALSE()),FALSE())),VLOOKUP($A99,VOLCURVES,HLOOKUP(AH$35,VOLCURVES,2,FALSE()),FALSE()),1)</f>
        <v>1.04</v>
      </c>
      <c r="AJ99" s="184" t="n">
        <f aca="false">(($C99+AL99)*AI99)+$H$17</f>
        <v>0.2522</v>
      </c>
      <c r="AK99" s="65" t="n">
        <f aca="false">VLOOKUP($A99,GASDVOLCURVES,HLOOKUP(AH$36,GASDVOLCURVES,2,FALSE()),FALSE())+$H$18</f>
        <v>1.95</v>
      </c>
      <c r="AL99" s="4" t="n">
        <f aca="false">IF($H$20=1,VLOOKUP($A99,skewtable,HLOOKUP(ROUND(AM99-CW99,1),skewtable,2,FALSE()),FALSE())/100,0)</f>
        <v>0</v>
      </c>
      <c r="AM99" s="66" t="e">
        <f aca="false">IF($B$10=1,($CW99*$H$23)-$H$14,$H$22)</f>
        <v>#DIV/0!</v>
      </c>
      <c r="AN99" s="67" t="e">
        <f aca="false">AM99-CW99+$H$24</f>
        <v>#DIV/0!</v>
      </c>
      <c r="AO99" s="0"/>
      <c r="AP99" s="0"/>
      <c r="AQ99" s="183"/>
      <c r="AR99" s="183"/>
      <c r="AU99" s="0"/>
      <c r="AV99" s="0"/>
      <c r="AW99" s="0"/>
      <c r="AX99" s="0"/>
      <c r="AY99" s="0"/>
      <c r="AZ99" s="0"/>
      <c r="BA99" s="0"/>
      <c r="BC99" s="64"/>
      <c r="BD99" s="64"/>
      <c r="BE99" s="4" t="n">
        <f aca="false">VLOOKUP($A99,STRADDLE,14,FALSE())</f>
        <v>0.0515733712395421</v>
      </c>
      <c r="BF99" s="72" t="n">
        <f aca="false">A100-A99</f>
        <v>28</v>
      </c>
      <c r="BG99" s="179" t="n">
        <f aca="false">A99+BG$35</f>
        <v>39114</v>
      </c>
      <c r="BH99" s="179" t="n">
        <f aca="false">A100-1</f>
        <v>39141</v>
      </c>
      <c r="BJ99" s="179" t="n">
        <f aca="true">IF(BJ$35=0,TODAY(),IF(BJ$36="NYMEX",VLOOKUP($A99,expiration,2,FALSE())+1,BG99))</f>
        <v>39112</v>
      </c>
      <c r="BK99" s="73"/>
      <c r="BL99" s="73" t="n">
        <f aca="false">IF($A99&gt;=BM$32,IF($A99&lt;=BM$33,$BF99,0),0)</f>
        <v>0</v>
      </c>
      <c r="BM99" s="73" t="e">
        <f aca="false">BO99/BL99</f>
        <v>#DIV/0!</v>
      </c>
      <c r="BN99" s="1" t="n">
        <f aca="false">BL99*($B99+B$15)</f>
        <v>0</v>
      </c>
      <c r="BO99" s="47" t="n">
        <f aca="false">IF(ISNUMBER(((BN99/BL99)+B$16+$D99+$B$14)*BL99),((BN99/BL99)+B$16+$D99+$B$14)*BL99,0)</f>
        <v>0</v>
      </c>
      <c r="BP99" s="76" t="n">
        <f aca="false">IF($BL99=0,0,OSTRIP($BM99,$I99,$BJ99-$B$2,$BG99-$BJ99,$BH99-$BJ99,$B$10,$BE99,$F99,$G99,$B$23,$J99,$BQ$34,0))</f>
        <v>0</v>
      </c>
      <c r="BQ99" s="76" t="n">
        <f aca="false">IF($BL99=0,0,OSTRIP($BM99,$I99,$BJ99-$B$2,$BG99-$BJ99,$BH99-$BJ99,$B$10,$BE99,$F99,$G99,$B$23,$J99,$BQ$34,1))</f>
        <v>0</v>
      </c>
      <c r="BR99" s="76" t="n">
        <f aca="false">IF($BL99=0,0,OSTRIP($BM99,$I99,$BJ99-$B$2,$BG99-$BJ99,$BH99-$BJ99,$B$10,$BE99,$F99,$G99,$B$23,$J99,$BQ$34,BQ$35))</f>
        <v>0</v>
      </c>
      <c r="BS99" s="37" t="n">
        <f aca="false">BL99*BP99</f>
        <v>0</v>
      </c>
      <c r="BT99" s="37" t="n">
        <f aca="false">BL99*BQ99</f>
        <v>0</v>
      </c>
      <c r="BU99" s="37" t="n">
        <f aca="false">BL99*BR99</f>
        <v>0</v>
      </c>
      <c r="BV99" s="37" t="n">
        <f aca="false">BL99*G99</f>
        <v>0</v>
      </c>
      <c r="BX99" s="73" t="n">
        <f aca="false">IF($A99&gt;=BY$32,IF($A99&lt;=BY$33,$BF99,0),0)</f>
        <v>0</v>
      </c>
      <c r="BY99" s="186" t="e">
        <f aca="false">CA99/BX99</f>
        <v>#DIV/0!</v>
      </c>
      <c r="BZ99" s="1" t="n">
        <f aca="false">BX99*($B99+$D$15)</f>
        <v>0</v>
      </c>
      <c r="CA99" s="47" t="n">
        <f aca="false">IF(ISNUMBER(((BZ99/BX99)+$D$16+$N99+$D$14)*BX99),((BZ99/BX99)+$D$16+$N99+$D$14)*BX99,0)</f>
        <v>0</v>
      </c>
      <c r="CB99" s="76" t="n">
        <f aca="false">IF($BX99=0,0,OSTRIP($BY99,$S99,$BJ99-$B$2,$BG99-$BJ99,$BH99-$BJ99,$B$10,$BE99,$P99,$Q99,$D$23,$T99,$CC$34,0))</f>
        <v>0</v>
      </c>
      <c r="CC99" s="76" t="n">
        <f aca="false">IF($BX99=0,0,OSTRIP($BY99,$S99,$BJ99-$B$2,$BG99-$BJ99,$BH99-$BJ99,$B$10,$BE99,$P99,$Q99,$D$23,$T99,$CC$34,1))</f>
        <v>0</v>
      </c>
      <c r="CD99" s="76" t="n">
        <f aca="false">IF($BX99=0,0,OSTRIP($BY99,$S99,$BJ99-$B$2,$BG99-$BJ99,$BH99-$BJ99,$B$10,$BE99,$P99,$Q99,$D$23,$T99,$CC$34,CC$35))</f>
        <v>0</v>
      </c>
      <c r="CE99" s="37" t="n">
        <f aca="false">BX99*CB99</f>
        <v>0</v>
      </c>
      <c r="CF99" s="37" t="n">
        <f aca="false">BX99*CC99</f>
        <v>0</v>
      </c>
      <c r="CG99" s="37" t="n">
        <f aca="false">BX99*CD99</f>
        <v>0</v>
      </c>
      <c r="CH99" s="37" t="n">
        <f aca="false">BX99*Q99</f>
        <v>0</v>
      </c>
      <c r="CJ99" s="73" t="n">
        <f aca="false">IF($A99&gt;=CK$32,IF($A99&lt;=CK$33,$BF99,0),0)</f>
        <v>0</v>
      </c>
      <c r="CK99" s="186" t="e">
        <f aca="false">CM99/CJ99</f>
        <v>#DIV/0!</v>
      </c>
      <c r="CL99" s="1" t="n">
        <f aca="false">CJ99*($B99+$F$15)</f>
        <v>0</v>
      </c>
      <c r="CM99" s="47" t="n">
        <f aca="false">IF(ISNUMBER(((CL99/CJ99)+$F$16+$X99+$F$14)*CJ99),((CL99/CJ99)+$F$16+$X99+$F$14)*CJ99,0)</f>
        <v>0</v>
      </c>
      <c r="CN99" s="76" t="n">
        <f aca="false">IF($CJ99=0,0,OSTRIP($CK99,$AC99,$BJ99-$B$2,$BG99-$BJ99,$BH99-$BJ99,$B$10,$BE99,$Z99,$AA99,$F$23,$AD99,$CO$34,0))</f>
        <v>0</v>
      </c>
      <c r="CO99" s="76" t="n">
        <f aca="false">IF($CJ99=0,0,OSTRIP($CK99,$AC99,$BJ99-$B$2,$BG99-$BJ99,$BH99-$BJ99,$B$10,$BE99,$Z99,$AA99,$F$23,$AD99,$CO$34,1))</f>
        <v>0</v>
      </c>
      <c r="CP99" s="76" t="n">
        <f aca="false">IF($CJ99=0,0,OSTRIP($CK99,$AC99,$BJ99-$B$2,$BG99-$BJ99,$BH99-$BJ99,$B$10,$BE99,$Z99,$AA99,$F$23,$AD99,$CO$34,$CO$35))</f>
        <v>0</v>
      </c>
      <c r="CQ99" s="37" t="n">
        <f aca="false">CJ99*CN99</f>
        <v>0</v>
      </c>
      <c r="CR99" s="37" t="n">
        <f aca="false">CJ99*CO99</f>
        <v>0</v>
      </c>
      <c r="CS99" s="37" t="n">
        <f aca="false">CJ99*CP99</f>
        <v>0</v>
      </c>
      <c r="CT99" s="37" t="n">
        <f aca="false">CJ99*AA99</f>
        <v>0</v>
      </c>
      <c r="CV99" s="73" t="n">
        <f aca="false">IF($A99&gt;=CW$32,IF($A99&lt;=CW$33,$BF99,0),0)</f>
        <v>0</v>
      </c>
      <c r="CW99" s="186" t="e">
        <f aca="false">CY99/CV99</f>
        <v>#DIV/0!</v>
      </c>
      <c r="CX99" s="1" t="n">
        <f aca="false">CV99*($B99+$H$15)</f>
        <v>0</v>
      </c>
      <c r="CY99" s="47" t="n">
        <f aca="false">IF(ISNUMBER(((CX99/CV99)+$H$16+$AH99+$H$14)*CV99),((CX99/CV99)+$H$16+$AH99+$H$14)*CV99,0)</f>
        <v>0</v>
      </c>
      <c r="CZ99" s="76" t="n">
        <f aca="false">IF($CV99=0,0,OSTRIP($CW99,$AM99,$BJ99-$B$2,$BG99-$BJ99,$BH99-$BJ99,$B$10,$BE99,$AJ99,$AK99,$H$23,$AN99,$DA$34,0))</f>
        <v>0</v>
      </c>
      <c r="DA99" s="76" t="n">
        <f aca="false">IF($CV99=0,0,OSTRIP($CW99,$AM99,$BJ99-$B$2,$BG99-$BJ99,$BH99-$BJ99,$B$10,$BE99,$AJ99,$AK99,$H$23,$AN99,$DA$34,1))</f>
        <v>0</v>
      </c>
      <c r="DB99" s="76" t="n">
        <f aca="false">IF($CV99=0,0,OSTRIP($CW99,$AM99,$BJ99-$B$2,$BG99-$BJ99,$BH99-$BJ99,$B$10,$BE99,$AJ99,$AK99,$H$23,$AN99,$DA$34,DA$35))</f>
        <v>0</v>
      </c>
      <c r="DC99" s="37" t="n">
        <f aca="false">CV99*CZ99</f>
        <v>0</v>
      </c>
      <c r="DD99" s="37" t="n">
        <f aca="false">CV99*DA99</f>
        <v>0</v>
      </c>
      <c r="DE99" s="37" t="n">
        <f aca="false">CV99*DB99</f>
        <v>0</v>
      </c>
      <c r="DF99" s="37" t="n">
        <f aca="false">CV99*AK99</f>
        <v>0</v>
      </c>
    </row>
    <row r="100" customFormat="false" ht="12.75" hidden="false" customHeight="false" outlineLevel="0" collapsed="false">
      <c r="A100" s="62" t="n">
        <f aca="false">DATE(YEAR(A99),MONTH(A99)+1,1)</f>
        <v>39142</v>
      </c>
      <c r="B100" s="63" t="n">
        <f aca="false">VLOOKUP(A100,STRADDLE,5,FALSE())</f>
        <v>3.5975</v>
      </c>
      <c r="C100" s="4" t="n">
        <f aca="false">VLOOKUP(A100,STRADDLE,8,FALSE())</f>
        <v>0.24</v>
      </c>
      <c r="D100" s="63" t="n">
        <f aca="false">IF(D$35="nymex",0,VLOOKUP($A100,curvesettle,HLOOKUP(D$35,curvesettle,2,FALSE())))</f>
        <v>0.54</v>
      </c>
      <c r="E100" s="65" t="n">
        <f aca="false">IF(ISNUMBER(VLOOKUP($A100,VOLCURVES,HLOOKUP(D$35,VOLCURVES,2,FALSE()),FALSE())),VLOOKUP($A100,VOLCURVES,HLOOKUP(D$35,VOLCURVES,2,FALSE()),FALSE()),1)</f>
        <v>1.1</v>
      </c>
      <c r="F100" s="4" t="n">
        <f aca="false">(($C100+H100)*$E100)+B$17</f>
        <v>0.364</v>
      </c>
      <c r="G100" s="65" t="n">
        <f aca="false">VLOOKUP($A100,GASDVOLCURVES,HLOOKUP(D$36,GASDVOLCURVES,2,FALSE()),FALSE())+$B$18</f>
        <v>0.85</v>
      </c>
      <c r="H100" s="4" t="n">
        <f aca="false">IF($B$20=1,VLOOKUP($A100,skewtable,HLOOKUP(ROUND(I100-BM100,1),skewtable,2,FALSE()),FALSE())/100,0)</f>
        <v>0</v>
      </c>
      <c r="I100" s="66" t="e">
        <f aca="false">IF($B$10=1,($BM100*$B$23)-$B$14,$B$22)</f>
        <v>#DIV/0!</v>
      </c>
      <c r="J100" s="67" t="e">
        <f aca="false">I100-BM100+$B$24</f>
        <v>#DIV/0!</v>
      </c>
      <c r="K100" s="67"/>
      <c r="L100" s="183"/>
      <c r="M100" s="183"/>
      <c r="N100" s="63" t="n">
        <f aca="false">IF(N$35="nymex",0,VLOOKUP($A100,curvesettle,HLOOKUP(N$35,curvesettle,2,FALSE())))</f>
        <v>-0.0175</v>
      </c>
      <c r="O100" s="65" t="n">
        <f aca="false">IF(ISNUMBER(VLOOKUP($A100,VOLCURVES,HLOOKUP(N$35,VOLCURVES,2,FALSE()),FALSE())),VLOOKUP($A100,VOLCURVES,HLOOKUP(N$35,VOLCURVES,2,FALSE()),FALSE()),1)</f>
        <v>1</v>
      </c>
      <c r="P100" s="184" t="n">
        <f aca="false">(($C100+R100)*O100)+$D$17</f>
        <v>0.24</v>
      </c>
      <c r="Q100" s="65" t="n">
        <f aca="false">VLOOKUP($A100,GASDVOLCURVES,HLOOKUP(N$36,GASDVOLCURVES,2,FALSE()),FALSE())+$D$18</f>
        <v>0.85</v>
      </c>
      <c r="R100" s="4" t="n">
        <f aca="false">IF($D$20=1,VLOOKUP($A100,skewtable,HLOOKUP(ROUND(S100-BY100,1),skewtable,2,FALSE()),FALSE())/100,0)</f>
        <v>0</v>
      </c>
      <c r="S100" s="66" t="e">
        <f aca="false">IF(B$10=1,($BY100*$D$23)-$D$14,$D$22)</f>
        <v>#DIV/0!</v>
      </c>
      <c r="T100" s="67" t="e">
        <f aca="false">S100-$BY100+$D$24</f>
        <v>#DIV/0!</v>
      </c>
      <c r="U100" s="0"/>
      <c r="V100" s="0"/>
      <c r="W100" s="0"/>
      <c r="X100" s="63" t="n">
        <f aca="false">IF(X$35="nymex",0,VLOOKUP($A100,curvesettle,HLOOKUP(X$35,curvesettle,2,FALSE())))</f>
        <v>0.24</v>
      </c>
      <c r="Y100" s="65" t="n">
        <f aca="false">IF(ISNUMBER(VLOOKUP($A100,VOLCURVES,HLOOKUP(X$35,VOLCURVES,2,FALSE()),FALSE())),VLOOKUP($A100,VOLCURVES,HLOOKUP(X$35,VOLCURVES,2,FALSE()),FALSE()),1)</f>
        <v>1</v>
      </c>
      <c r="Z100" s="184" t="n">
        <f aca="false">(($C100+AB100)*Y100)+$F$17</f>
        <v>0.24</v>
      </c>
      <c r="AA100" s="65" t="n">
        <f aca="false">VLOOKUP($A100,GASDVOLCURVES,HLOOKUP(X$36,GASDVOLCURVES,2,FALSE()),FALSE())+$F$18</f>
        <v>0.85</v>
      </c>
      <c r="AB100" s="4" t="n">
        <f aca="false">IF($F$20=1,VLOOKUP($A100,skewtable,HLOOKUP(ROUND(AC100-CK100,1),skewtable,2,FALSE()),FALSE())/100,0)</f>
        <v>0</v>
      </c>
      <c r="AC100" s="66" t="e">
        <f aca="false">IF($B$10=1,($CK100*$F$23)-$F$14,$F$22)</f>
        <v>#DIV/0!</v>
      </c>
      <c r="AD100" s="67" t="e">
        <f aca="false">AC100-$CK100+$F$24</f>
        <v>#DIV/0!</v>
      </c>
      <c r="AE100" s="0"/>
      <c r="AF100" s="0"/>
      <c r="AG100" s="0"/>
      <c r="AH100" s="63" t="n">
        <f aca="false">IF(AH$35="nymex",0,VLOOKUP($A100,curvesettle,HLOOKUP(AH$35,curvesettle,2,FALSE())))</f>
        <v>0.64</v>
      </c>
      <c r="AI100" s="65" t="n">
        <f aca="false">IF(ISNUMBER(VLOOKUP($A100,VOLCURVES,HLOOKUP(AH$35,VOLCURVES,2,FALSE()),FALSE())),VLOOKUP($A100,VOLCURVES,HLOOKUP(AH$35,VOLCURVES,2,FALSE()),FALSE()),1)</f>
        <v>1.04</v>
      </c>
      <c r="AJ100" s="184" t="n">
        <f aca="false">(($C100+AL100)*AI100)+$H$17</f>
        <v>0.2496</v>
      </c>
      <c r="AK100" s="65" t="n">
        <f aca="false">VLOOKUP($A100,GASDVOLCURVES,HLOOKUP(AH$36,GASDVOLCURVES,2,FALSE()),FALSE())+$H$18</f>
        <v>1.5</v>
      </c>
      <c r="AL100" s="4" t="n">
        <f aca="false">IF($H$20=1,VLOOKUP($A100,skewtable,HLOOKUP(ROUND(AM100-CW100,1),skewtable,2,FALSE()),FALSE())/100,0)</f>
        <v>0</v>
      </c>
      <c r="AM100" s="66" t="e">
        <f aca="false">IF($B$10=1,($CW100*$H$23)-$H$14,$H$22)</f>
        <v>#DIV/0!</v>
      </c>
      <c r="AN100" s="67" t="e">
        <f aca="false">AM100-CW100+$H$24</f>
        <v>#DIV/0!</v>
      </c>
      <c r="AO100" s="0"/>
      <c r="AP100" s="0"/>
      <c r="AQ100" s="183"/>
      <c r="AR100" s="183"/>
      <c r="AU100" s="0"/>
      <c r="AV100" s="0"/>
      <c r="AW100" s="0"/>
      <c r="AX100" s="0"/>
      <c r="AY100" s="0"/>
      <c r="AZ100" s="0"/>
      <c r="BA100" s="0"/>
      <c r="BC100" s="64"/>
      <c r="BD100" s="64"/>
      <c r="BE100" s="4" t="n">
        <f aca="false">VLOOKUP($A100,STRADDLE,14,FALSE())</f>
        <v>0.0517373190219916</v>
      </c>
      <c r="BF100" s="72" t="n">
        <f aca="false">A101-A100</f>
        <v>31</v>
      </c>
      <c r="BG100" s="179" t="n">
        <f aca="false">A100+BG$35</f>
        <v>39142</v>
      </c>
      <c r="BH100" s="179" t="n">
        <f aca="false">A101-1</f>
        <v>39172</v>
      </c>
      <c r="BJ100" s="179" t="n">
        <f aca="true">IF(BJ$35=0,TODAY(),IF(BJ$36="NYMEX",VLOOKUP($A100,expiration,2,FALSE())+1,BG100))</f>
        <v>39140</v>
      </c>
      <c r="BK100" s="73"/>
      <c r="BL100" s="73" t="n">
        <f aca="false">IF($A100&gt;=BM$32,IF($A100&lt;=BM$33,$BF100,0),0)</f>
        <v>0</v>
      </c>
      <c r="BM100" s="73" t="e">
        <f aca="false">BO100/BL100</f>
        <v>#DIV/0!</v>
      </c>
      <c r="BN100" s="1" t="n">
        <f aca="false">BL100*($B100+B$15)</f>
        <v>0</v>
      </c>
      <c r="BO100" s="47" t="n">
        <f aca="false">IF(ISNUMBER(((BN100/BL100)+B$16+$D100+$B$14)*BL100),((BN100/BL100)+B$16+$D100+$B$14)*BL100,0)</f>
        <v>0</v>
      </c>
      <c r="BP100" s="76" t="n">
        <f aca="false">IF($BL100=0,0,OSTRIP($BM100,$I100,$BJ100-$B$2,$BG100-$BJ100,$BH100-$BJ100,$B$10,$BE100,$F100,$G100,$B$23,$J100,$BQ$34,0))</f>
        <v>0</v>
      </c>
      <c r="BQ100" s="76" t="n">
        <f aca="false">IF($BL100=0,0,OSTRIP($BM100,$I100,$BJ100-$B$2,$BG100-$BJ100,$BH100-$BJ100,$B$10,$BE100,$F100,$G100,$B$23,$J100,$BQ$34,1))</f>
        <v>0</v>
      </c>
      <c r="BR100" s="76" t="n">
        <f aca="false">IF($BL100=0,0,OSTRIP($BM100,$I100,$BJ100-$B$2,$BG100-$BJ100,$BH100-$BJ100,$B$10,$BE100,$F100,$G100,$B$23,$J100,$BQ$34,BQ$35))</f>
        <v>0</v>
      </c>
      <c r="BS100" s="37" t="n">
        <f aca="false">BL100*BP100</f>
        <v>0</v>
      </c>
      <c r="BT100" s="37" t="n">
        <f aca="false">BL100*BQ100</f>
        <v>0</v>
      </c>
      <c r="BU100" s="37" t="n">
        <f aca="false">BL100*BR100</f>
        <v>0</v>
      </c>
      <c r="BV100" s="37" t="n">
        <f aca="false">BL100*G100</f>
        <v>0</v>
      </c>
      <c r="BX100" s="73" t="n">
        <f aca="false">IF($A100&gt;=BY$32,IF($A100&lt;=BY$33,$BF100,0),0)</f>
        <v>0</v>
      </c>
      <c r="BY100" s="186" t="e">
        <f aca="false">CA100/BX100</f>
        <v>#DIV/0!</v>
      </c>
      <c r="BZ100" s="1" t="n">
        <f aca="false">BX100*($B100+$D$15)</f>
        <v>0</v>
      </c>
      <c r="CA100" s="47" t="n">
        <f aca="false">IF(ISNUMBER(((BZ100/BX100)+$D$16+$N100+$D$14)*BX100),((BZ100/BX100)+$D$16+$N100+$D$14)*BX100,0)</f>
        <v>0</v>
      </c>
      <c r="CB100" s="76" t="n">
        <f aca="false">IF($BX100=0,0,OSTRIP($BY100,$S100,$BJ100-$B$2,$BG100-$BJ100,$BH100-$BJ100,$B$10,$BE100,$P100,$Q100,$D$23,$T100,$CC$34,0))</f>
        <v>0</v>
      </c>
      <c r="CC100" s="76" t="n">
        <f aca="false">IF($BX100=0,0,OSTRIP($BY100,$S100,$BJ100-$B$2,$BG100-$BJ100,$BH100-$BJ100,$B$10,$BE100,$P100,$Q100,$D$23,$T100,$CC$34,1))</f>
        <v>0</v>
      </c>
      <c r="CD100" s="76" t="n">
        <f aca="false">IF($BX100=0,0,OSTRIP($BY100,$S100,$BJ100-$B$2,$BG100-$BJ100,$BH100-$BJ100,$B$10,$BE100,$P100,$Q100,$D$23,$T100,$CC$34,CC$35))</f>
        <v>0</v>
      </c>
      <c r="CE100" s="37" t="n">
        <f aca="false">BX100*CB100</f>
        <v>0</v>
      </c>
      <c r="CF100" s="37" t="n">
        <f aca="false">BX100*CC100</f>
        <v>0</v>
      </c>
      <c r="CG100" s="37" t="n">
        <f aca="false">BX100*CD100</f>
        <v>0</v>
      </c>
      <c r="CH100" s="37" t="n">
        <f aca="false">BX100*Q100</f>
        <v>0</v>
      </c>
      <c r="CJ100" s="73" t="n">
        <f aca="false">IF($A100&gt;=CK$32,IF($A100&lt;=CK$33,$BF100,0),0)</f>
        <v>0</v>
      </c>
      <c r="CK100" s="186" t="e">
        <f aca="false">CM100/CJ100</f>
        <v>#DIV/0!</v>
      </c>
      <c r="CL100" s="1" t="n">
        <f aca="false">CJ100*($B100+$F$15)</f>
        <v>0</v>
      </c>
      <c r="CM100" s="47" t="n">
        <f aca="false">IF(ISNUMBER(((CL100/CJ100)+$F$16+$X100+$F$14)*CJ100),((CL100/CJ100)+$F$16+$X100+$F$14)*CJ100,0)</f>
        <v>0</v>
      </c>
      <c r="CN100" s="76" t="n">
        <f aca="false">IF($CJ100=0,0,OSTRIP($CK100,$AC100,$BJ100-$B$2,$BG100-$BJ100,$BH100-$BJ100,$B$10,$BE100,$Z100,$AA100,$F$23,$AD100,$CO$34,0))</f>
        <v>0</v>
      </c>
      <c r="CO100" s="76" t="n">
        <f aca="false">IF($CJ100=0,0,OSTRIP($CK100,$AC100,$BJ100-$B$2,$BG100-$BJ100,$BH100-$BJ100,$B$10,$BE100,$Z100,$AA100,$F$23,$AD100,$CO$34,1))</f>
        <v>0</v>
      </c>
      <c r="CP100" s="76" t="n">
        <f aca="false">IF($CJ100=0,0,OSTRIP($CK100,$AC100,$BJ100-$B$2,$BG100-$BJ100,$BH100-$BJ100,$B$10,$BE100,$Z100,$AA100,$F$23,$AD100,$CO$34,$CO$35))</f>
        <v>0</v>
      </c>
      <c r="CQ100" s="37" t="n">
        <f aca="false">CJ100*CN100</f>
        <v>0</v>
      </c>
      <c r="CR100" s="37" t="n">
        <f aca="false">CJ100*CO100</f>
        <v>0</v>
      </c>
      <c r="CS100" s="37" t="n">
        <f aca="false">CJ100*CP100</f>
        <v>0</v>
      </c>
      <c r="CT100" s="37" t="n">
        <f aca="false">CJ100*AA100</f>
        <v>0</v>
      </c>
      <c r="CV100" s="73" t="n">
        <f aca="false">IF($A100&gt;=CW$32,IF($A100&lt;=CW$33,$BF100,0),0)</f>
        <v>0</v>
      </c>
      <c r="CW100" s="186" t="e">
        <f aca="false">CY100/CV100</f>
        <v>#DIV/0!</v>
      </c>
      <c r="CX100" s="1" t="n">
        <f aca="false">CV100*($B100+$H$15)</f>
        <v>0</v>
      </c>
      <c r="CY100" s="47" t="n">
        <f aca="false">IF(ISNUMBER(((CX100/CV100)+$H$16+$AH100+$H$14)*CV100),((CX100/CV100)+$H$16+$AH100+$H$14)*CV100,0)</f>
        <v>0</v>
      </c>
      <c r="CZ100" s="76" t="n">
        <f aca="false">IF($CV100=0,0,OSTRIP($CW100,$AM100,$BJ100-$B$2,$BG100-$BJ100,$BH100-$BJ100,$B$10,$BE100,$AJ100,$AK100,$H$23,$AN100,$DA$34,0))</f>
        <v>0</v>
      </c>
      <c r="DA100" s="76" t="n">
        <f aca="false">IF($CV100=0,0,OSTRIP($CW100,$AM100,$BJ100-$B$2,$BG100-$BJ100,$BH100-$BJ100,$B$10,$BE100,$AJ100,$AK100,$H$23,$AN100,$DA$34,1))</f>
        <v>0</v>
      </c>
      <c r="DB100" s="76" t="n">
        <f aca="false">IF($CV100=0,0,OSTRIP($CW100,$AM100,$BJ100-$B$2,$BG100-$BJ100,$BH100-$BJ100,$B$10,$BE100,$AJ100,$AK100,$H$23,$AN100,$DA$34,DA$35))</f>
        <v>0</v>
      </c>
      <c r="DC100" s="37" t="n">
        <f aca="false">CV100*CZ100</f>
        <v>0</v>
      </c>
      <c r="DD100" s="37" t="n">
        <f aca="false">CV100*DA100</f>
        <v>0</v>
      </c>
      <c r="DE100" s="37" t="n">
        <f aca="false">CV100*DB100</f>
        <v>0</v>
      </c>
      <c r="DF100" s="37" t="n">
        <f aca="false">CV100*AK100</f>
        <v>0</v>
      </c>
    </row>
    <row r="101" customFormat="false" ht="12.75" hidden="false" customHeight="false" outlineLevel="0" collapsed="false">
      <c r="A101" s="62" t="n">
        <f aca="false">DATE(YEAR(A100),MONTH(A100)+1,1)</f>
        <v>39173</v>
      </c>
      <c r="B101" s="63" t="n">
        <f aca="false">VLOOKUP(A101,STRADDLE,5,FALSE())</f>
        <v>3.4125</v>
      </c>
      <c r="C101" s="4" t="n">
        <f aca="false">VLOOKUP(A101,STRADDLE,8,FALSE())</f>
        <v>0.24</v>
      </c>
      <c r="D101" s="63" t="n">
        <f aca="false">IF(D$35="nymex",0,VLOOKUP($A101,curvesettle,HLOOKUP(D$35,curvesettle,2,FALSE())))</f>
        <v>0.36</v>
      </c>
      <c r="E101" s="65" t="n">
        <f aca="false">IF(ISNUMBER(VLOOKUP($A101,VOLCURVES,HLOOKUP(D$35,VOLCURVES,2,FALSE()),FALSE())),VLOOKUP($A101,VOLCURVES,HLOOKUP(D$35,VOLCURVES,2,FALSE()),FALSE()),1)</f>
        <v>0.98</v>
      </c>
      <c r="F101" s="4" t="n">
        <f aca="false">(($C101+H101)*$E101)+B$17</f>
        <v>0.3352</v>
      </c>
      <c r="G101" s="65" t="n">
        <f aca="false">VLOOKUP($A101,GASDVOLCURVES,HLOOKUP(D$36,GASDVOLCURVES,2,FALSE()),FALSE())+$B$18</f>
        <v>0.5</v>
      </c>
      <c r="H101" s="4" t="n">
        <f aca="false">IF($B$20=1,VLOOKUP($A101,skewtable,HLOOKUP(ROUND(I101-BM101,1),skewtable,2,FALSE()),FALSE())/100,0)</f>
        <v>0</v>
      </c>
      <c r="I101" s="66" t="e">
        <f aca="false">IF($B$10=1,($BM101*$B$23)-$B$14,$B$22)</f>
        <v>#DIV/0!</v>
      </c>
      <c r="J101" s="67" t="e">
        <f aca="false">I101-BM101+$B$24</f>
        <v>#DIV/0!</v>
      </c>
      <c r="K101" s="67"/>
      <c r="L101" s="183"/>
      <c r="M101" s="183"/>
      <c r="N101" s="63" t="n">
        <f aca="false">IF(N$35="nymex",0,VLOOKUP($A101,curvesettle,HLOOKUP(N$35,curvesettle,2,FALSE())))</f>
        <v>0.02</v>
      </c>
      <c r="O101" s="65" t="n">
        <f aca="false">IF(ISNUMBER(VLOOKUP($A101,VOLCURVES,HLOOKUP(N$35,VOLCURVES,2,FALSE()),FALSE())),VLOOKUP($A101,VOLCURVES,HLOOKUP(N$35,VOLCURVES,2,FALSE()),FALSE()),1)</f>
        <v>1</v>
      </c>
      <c r="P101" s="184" t="n">
        <f aca="false">(($C101+R101)*O101)+$D$17</f>
        <v>0.24</v>
      </c>
      <c r="Q101" s="65" t="n">
        <f aca="false">VLOOKUP($A101,GASDVOLCURVES,HLOOKUP(N$36,GASDVOLCURVES,2,FALSE()),FALSE())+$D$18</f>
        <v>0.5</v>
      </c>
      <c r="R101" s="4" t="n">
        <f aca="false">IF($D$20=1,VLOOKUP($A101,skewtable,HLOOKUP(ROUND(S101-BY101,1),skewtable,2,FALSE()),FALSE())/100,0)</f>
        <v>0</v>
      </c>
      <c r="S101" s="66" t="e">
        <f aca="false">IF(B$10=1,($BY101*$D$23)-$D$14,$D$22)</f>
        <v>#DIV/0!</v>
      </c>
      <c r="T101" s="67" t="e">
        <f aca="false">S101-$BY101+$D$24</f>
        <v>#DIV/0!</v>
      </c>
      <c r="U101" s="0"/>
      <c r="V101" s="0"/>
      <c r="W101" s="0"/>
      <c r="X101" s="63" t="n">
        <f aca="false">IF(X$35="nymex",0,VLOOKUP($A101,curvesettle,HLOOKUP(X$35,curvesettle,2,FALSE())))</f>
        <v>0.26</v>
      </c>
      <c r="Y101" s="65" t="n">
        <f aca="false">IF(ISNUMBER(VLOOKUP($A101,VOLCURVES,HLOOKUP(X$35,VOLCURVES,2,FALSE()),FALSE())),VLOOKUP($A101,VOLCURVES,HLOOKUP(X$35,VOLCURVES,2,FALSE()),FALSE()),1)</f>
        <v>1</v>
      </c>
      <c r="Z101" s="184" t="n">
        <f aca="false">(($C101+AB101)*Y101)+$F$17</f>
        <v>0.24</v>
      </c>
      <c r="AA101" s="65" t="n">
        <f aca="false">VLOOKUP($A101,GASDVOLCURVES,HLOOKUP(X$36,GASDVOLCURVES,2,FALSE()),FALSE())+$F$18</f>
        <v>0.55</v>
      </c>
      <c r="AB101" s="4" t="n">
        <f aca="false">IF($F$20=1,VLOOKUP($A101,skewtable,HLOOKUP(ROUND(AC101-CK101,1),skewtable,2,FALSE()),FALSE())/100,0)</f>
        <v>0</v>
      </c>
      <c r="AC101" s="66" t="e">
        <f aca="false">IF($B$10=1,($CK101*$F$23)-$F$14,$F$22)</f>
        <v>#DIV/0!</v>
      </c>
      <c r="AD101" s="67" t="e">
        <f aca="false">AC101-$CK101+$F$24</f>
        <v>#DIV/0!</v>
      </c>
      <c r="AE101" s="0"/>
      <c r="AF101" s="0"/>
      <c r="AG101" s="0"/>
      <c r="AH101" s="63" t="n">
        <f aca="false">IF(AH$35="nymex",0,VLOOKUP($A101,curvesettle,HLOOKUP(AH$35,curvesettle,2,FALSE())))</f>
        <v>0.38</v>
      </c>
      <c r="AI101" s="65" t="n">
        <f aca="false">IF(ISNUMBER(VLOOKUP($A101,VOLCURVES,HLOOKUP(AH$35,VOLCURVES,2,FALSE()),FALSE())),VLOOKUP($A101,VOLCURVES,HLOOKUP(AH$35,VOLCURVES,2,FALSE()),FALSE()),1)</f>
        <v>1</v>
      </c>
      <c r="AJ101" s="184" t="n">
        <f aca="false">(($C101+AL101)*AI101)+$H$17</f>
        <v>0.24</v>
      </c>
      <c r="AK101" s="65" t="n">
        <f aca="false">VLOOKUP($A101,GASDVOLCURVES,HLOOKUP(AH$36,GASDVOLCURVES,2,FALSE()),FALSE())+$H$18</f>
        <v>0.95</v>
      </c>
      <c r="AL101" s="4" t="n">
        <f aca="false">IF($H$20=1,VLOOKUP($A101,skewtable,HLOOKUP(ROUND(AM101-CW101,1),skewtable,2,FALSE()),FALSE())/100,0)</f>
        <v>0</v>
      </c>
      <c r="AM101" s="66" t="e">
        <f aca="false">IF($B$10=1,($CW101*$H$23)-$H$14,$H$22)</f>
        <v>#DIV/0!</v>
      </c>
      <c r="AN101" s="67" t="e">
        <f aca="false">AM101-CW101+$H$24</f>
        <v>#DIV/0!</v>
      </c>
      <c r="AO101" s="0"/>
      <c r="AP101" s="0"/>
      <c r="AQ101" s="183"/>
      <c r="AR101" s="183"/>
      <c r="AU101" s="0"/>
      <c r="AV101" s="0"/>
      <c r="AW101" s="0"/>
      <c r="AX101" s="0"/>
      <c r="AY101" s="0"/>
      <c r="AZ101" s="0"/>
      <c r="BA101" s="0"/>
      <c r="BC101" s="64"/>
      <c r="BD101" s="64"/>
      <c r="BE101" s="4" t="n">
        <f aca="false">VLOOKUP($A101,STRADDLE,14,FALSE())</f>
        <v>0.0519188326487345</v>
      </c>
      <c r="BF101" s="72" t="n">
        <f aca="false">A102-A101</f>
        <v>30</v>
      </c>
      <c r="BG101" s="179" t="n">
        <f aca="false">A101+BG$35</f>
        <v>39173</v>
      </c>
      <c r="BH101" s="179" t="n">
        <f aca="false">A102-1</f>
        <v>39202</v>
      </c>
      <c r="BJ101" s="179" t="n">
        <f aca="true">IF(BJ$35=0,TODAY(),IF(BJ$36="NYMEX",VLOOKUP($A101,expiration,2,FALSE())+1,BG101))</f>
        <v>39170</v>
      </c>
      <c r="BK101" s="73"/>
      <c r="BL101" s="73" t="n">
        <f aca="false">IF($A101&gt;=BM$32,IF($A101&lt;=BM$33,$BF101,0),0)</f>
        <v>0</v>
      </c>
      <c r="BM101" s="73" t="e">
        <f aca="false">BO101/BL101</f>
        <v>#DIV/0!</v>
      </c>
      <c r="BN101" s="1" t="n">
        <f aca="false">BL101*($B101+B$15)</f>
        <v>0</v>
      </c>
      <c r="BO101" s="47" t="n">
        <f aca="false">IF(ISNUMBER(((BN101/BL101)+B$16+$D101+$B$14)*BL101),((BN101/BL101)+B$16+$D101+$B$14)*BL101,0)</f>
        <v>0</v>
      </c>
      <c r="BP101" s="76" t="n">
        <f aca="false">IF($BL101=0,0,OSTRIP($BM101,$I101,$BJ101-$B$2,$BG101-$BJ101,$BH101-$BJ101,$B$10,$BE101,$F101,$G101,$B$23,$J101,$BQ$34,0))</f>
        <v>0</v>
      </c>
      <c r="BQ101" s="76" t="n">
        <f aca="false">IF($BL101=0,0,OSTRIP($BM101,$I101,$BJ101-$B$2,$BG101-$BJ101,$BH101-$BJ101,$B$10,$BE101,$F101,$G101,$B$23,$J101,$BQ$34,1))</f>
        <v>0</v>
      </c>
      <c r="BR101" s="76" t="n">
        <f aca="false">IF($BL101=0,0,OSTRIP($BM101,$I101,$BJ101-$B$2,$BG101-$BJ101,$BH101-$BJ101,$B$10,$BE101,$F101,$G101,$B$23,$J101,$BQ$34,BQ$35))</f>
        <v>0</v>
      </c>
      <c r="BS101" s="37" t="n">
        <f aca="false">BL101*BP101</f>
        <v>0</v>
      </c>
      <c r="BT101" s="37" t="n">
        <f aca="false">BL101*BQ101</f>
        <v>0</v>
      </c>
      <c r="BU101" s="37" t="n">
        <f aca="false">BL101*BR101</f>
        <v>0</v>
      </c>
      <c r="BV101" s="37" t="n">
        <f aca="false">BL101*G101</f>
        <v>0</v>
      </c>
      <c r="BX101" s="73" t="n">
        <f aca="false">IF($A101&gt;=BY$32,IF($A101&lt;=BY$33,$BF101,0),0)</f>
        <v>0</v>
      </c>
      <c r="BY101" s="186" t="e">
        <f aca="false">CA101/BX101</f>
        <v>#DIV/0!</v>
      </c>
      <c r="BZ101" s="1" t="n">
        <f aca="false">BX101*($B101+$D$15)</f>
        <v>0</v>
      </c>
      <c r="CA101" s="47" t="n">
        <f aca="false">IF(ISNUMBER(((BZ101/BX101)+$D$16+$N101+$D$14)*BX101),((BZ101/BX101)+$D$16+$N101+$D$14)*BX101,0)</f>
        <v>0</v>
      </c>
      <c r="CB101" s="76" t="n">
        <f aca="false">IF($BX101=0,0,OSTRIP($BY101,$S101,$BJ101-$B$2,$BG101-$BJ101,$BH101-$BJ101,$B$10,$BE101,$P101,$Q101,$D$23,$T101,$CC$34,0))</f>
        <v>0</v>
      </c>
      <c r="CC101" s="76" t="n">
        <f aca="false">IF($BX101=0,0,OSTRIP($BY101,$S101,$BJ101-$B$2,$BG101-$BJ101,$BH101-$BJ101,$B$10,$BE101,$P101,$Q101,$D$23,$T101,$CC$34,1))</f>
        <v>0</v>
      </c>
      <c r="CD101" s="76" t="n">
        <f aca="false">IF($BX101=0,0,OSTRIP($BY101,$S101,$BJ101-$B$2,$BG101-$BJ101,$BH101-$BJ101,$B$10,$BE101,$P101,$Q101,$D$23,$T101,$CC$34,CC$35))</f>
        <v>0</v>
      </c>
      <c r="CE101" s="37" t="n">
        <f aca="false">BX101*CB101</f>
        <v>0</v>
      </c>
      <c r="CF101" s="37" t="n">
        <f aca="false">BX101*CC101</f>
        <v>0</v>
      </c>
      <c r="CG101" s="37" t="n">
        <f aca="false">BX101*CD101</f>
        <v>0</v>
      </c>
      <c r="CH101" s="37" t="n">
        <f aca="false">BX101*Q101</f>
        <v>0</v>
      </c>
      <c r="CJ101" s="73" t="n">
        <f aca="false">IF($A101&gt;=CK$32,IF($A101&lt;=CK$33,$BF101,0),0)</f>
        <v>0</v>
      </c>
      <c r="CK101" s="186" t="e">
        <f aca="false">CM101/CJ101</f>
        <v>#DIV/0!</v>
      </c>
      <c r="CL101" s="1" t="n">
        <f aca="false">CJ101*($B101+$F$15)</f>
        <v>0</v>
      </c>
      <c r="CM101" s="47" t="n">
        <f aca="false">IF(ISNUMBER(((CL101/CJ101)+$F$16+$X101+$F$14)*CJ101),((CL101/CJ101)+$F$16+$X101+$F$14)*CJ101,0)</f>
        <v>0</v>
      </c>
      <c r="CN101" s="76" t="n">
        <f aca="false">IF($CJ101=0,0,OSTRIP($CK101,$AC101,$BJ101-$B$2,$BG101-$BJ101,$BH101-$BJ101,$B$10,$BE101,$Z101,$AA101,$F$23,$AD101,$CO$34,0))</f>
        <v>0</v>
      </c>
      <c r="CO101" s="76" t="n">
        <f aca="false">IF($CJ101=0,0,OSTRIP($CK101,$AC101,$BJ101-$B$2,$BG101-$BJ101,$BH101-$BJ101,$B$10,$BE101,$Z101,$AA101,$F$23,$AD101,$CO$34,1))</f>
        <v>0</v>
      </c>
      <c r="CP101" s="76" t="n">
        <f aca="false">IF($CJ101=0,0,OSTRIP($CK101,$AC101,$BJ101-$B$2,$BG101-$BJ101,$BH101-$BJ101,$B$10,$BE101,$Z101,$AA101,$F$23,$AD101,$CO$34,$CO$35))</f>
        <v>0</v>
      </c>
      <c r="CQ101" s="37" t="n">
        <f aca="false">CJ101*CN101</f>
        <v>0</v>
      </c>
      <c r="CR101" s="37" t="n">
        <f aca="false">CJ101*CO101</f>
        <v>0</v>
      </c>
      <c r="CS101" s="37" t="n">
        <f aca="false">CJ101*CP101</f>
        <v>0</v>
      </c>
      <c r="CT101" s="37" t="n">
        <f aca="false">CJ101*AA101</f>
        <v>0</v>
      </c>
      <c r="CV101" s="73" t="n">
        <f aca="false">IF($A101&gt;=CW$32,IF($A101&lt;=CW$33,$BF101,0),0)</f>
        <v>0</v>
      </c>
      <c r="CW101" s="186" t="e">
        <f aca="false">CY101/CV101</f>
        <v>#DIV/0!</v>
      </c>
      <c r="CX101" s="1" t="n">
        <f aca="false">CV101*($B101+$H$15)</f>
        <v>0</v>
      </c>
      <c r="CY101" s="47" t="n">
        <f aca="false">IF(ISNUMBER(((CX101/CV101)+$H$16+$AH101+$H$14)*CV101),((CX101/CV101)+$H$16+$AH101+$H$14)*CV101,0)</f>
        <v>0</v>
      </c>
      <c r="CZ101" s="76" t="n">
        <f aca="false">IF($CV101=0,0,OSTRIP($CW101,$AM101,$BJ101-$B$2,$BG101-$BJ101,$BH101-$BJ101,$B$10,$BE101,$AJ101,$AK101,$H$23,$AN101,$DA$34,0))</f>
        <v>0</v>
      </c>
      <c r="DA101" s="76" t="n">
        <f aca="false">IF($CV101=0,0,OSTRIP($CW101,$AM101,$BJ101-$B$2,$BG101-$BJ101,$BH101-$BJ101,$B$10,$BE101,$AJ101,$AK101,$H$23,$AN101,$DA$34,1))</f>
        <v>0</v>
      </c>
      <c r="DB101" s="76" t="n">
        <f aca="false">IF($CV101=0,0,OSTRIP($CW101,$AM101,$BJ101-$B$2,$BG101-$BJ101,$BH101-$BJ101,$B$10,$BE101,$AJ101,$AK101,$H$23,$AN101,$DA$34,DA$35))</f>
        <v>0</v>
      </c>
      <c r="DC101" s="37" t="n">
        <f aca="false">CV101*CZ101</f>
        <v>0</v>
      </c>
      <c r="DD101" s="37" t="n">
        <f aca="false">CV101*DA101</f>
        <v>0</v>
      </c>
      <c r="DE101" s="37" t="n">
        <f aca="false">CV101*DB101</f>
        <v>0</v>
      </c>
      <c r="DF101" s="37" t="n">
        <f aca="false">CV101*AK101</f>
        <v>0</v>
      </c>
    </row>
    <row r="102" customFormat="false" ht="12.75" hidden="false" customHeight="false" outlineLevel="0" collapsed="false">
      <c r="A102" s="62" t="n">
        <f aca="false">DATE(YEAR(A101),MONTH(A101)+1,1)</f>
        <v>39203</v>
      </c>
      <c r="B102" s="63" t="n">
        <f aca="false">VLOOKUP(A102,STRADDLE,5,FALSE())</f>
        <v>3.4075</v>
      </c>
      <c r="C102" s="4" t="n">
        <f aca="false">VLOOKUP(A102,STRADDLE,8,FALSE())</f>
        <v>0.24</v>
      </c>
      <c r="D102" s="63" t="n">
        <f aca="false">IF(D$35="nymex",0,VLOOKUP($A102,curvesettle,HLOOKUP(D$35,curvesettle,2,FALSE())))</f>
        <v>0.325</v>
      </c>
      <c r="E102" s="65" t="n">
        <f aca="false">IF(ISNUMBER(VLOOKUP($A102,VOLCURVES,HLOOKUP(D$35,VOLCURVES,2,FALSE()),FALSE())),VLOOKUP($A102,VOLCURVES,HLOOKUP(D$35,VOLCURVES,2,FALSE()),FALSE()),1)</f>
        <v>0.98</v>
      </c>
      <c r="F102" s="4" t="n">
        <f aca="false">(($C102+H102)*$E102)+B$17</f>
        <v>0.3352</v>
      </c>
      <c r="G102" s="65" t="n">
        <f aca="false">VLOOKUP($A102,GASDVOLCURVES,HLOOKUP(D$36,GASDVOLCURVES,2,FALSE()),FALSE())+$B$18</f>
        <v>0.55</v>
      </c>
      <c r="H102" s="4" t="n">
        <f aca="false">IF($B$20=1,VLOOKUP($A102,skewtable,HLOOKUP(ROUND(I102-BM102,1),skewtable,2,FALSE()),FALSE())/100,0)</f>
        <v>0</v>
      </c>
      <c r="I102" s="66" t="e">
        <f aca="false">IF($B$10=1,($BM102*$B$23)-$B$14,$B$22)</f>
        <v>#DIV/0!</v>
      </c>
      <c r="J102" s="67" t="e">
        <f aca="false">I102-BM102+$B$24</f>
        <v>#DIV/0!</v>
      </c>
      <c r="K102" s="67"/>
      <c r="L102" s="183"/>
      <c r="M102" s="183"/>
      <c r="N102" s="63" t="n">
        <f aca="false">IF(N$35="nymex",0,VLOOKUP($A102,curvesettle,HLOOKUP(N$35,curvesettle,2,FALSE())))</f>
        <v>0.02</v>
      </c>
      <c r="O102" s="65" t="n">
        <f aca="false">IF(ISNUMBER(VLOOKUP($A102,VOLCURVES,HLOOKUP(N$35,VOLCURVES,2,FALSE()),FALSE())),VLOOKUP($A102,VOLCURVES,HLOOKUP(N$35,VOLCURVES,2,FALSE()),FALSE()),1)</f>
        <v>1</v>
      </c>
      <c r="P102" s="184" t="n">
        <f aca="false">(($C102+R102)*O102)+$D$17</f>
        <v>0.24</v>
      </c>
      <c r="Q102" s="65" t="n">
        <f aca="false">VLOOKUP($A102,GASDVOLCURVES,HLOOKUP(N$36,GASDVOLCURVES,2,FALSE()),FALSE())+$D$18</f>
        <v>0.55</v>
      </c>
      <c r="R102" s="4" t="n">
        <f aca="false">IF($D$20=1,VLOOKUP($A102,skewtable,HLOOKUP(ROUND(S102-BY102,1),skewtable,2,FALSE()),FALSE())/100,0)</f>
        <v>0</v>
      </c>
      <c r="S102" s="66" t="e">
        <f aca="false">IF(B$10=1,($BY102*$D$23)-$D$14,$D$22)</f>
        <v>#DIV/0!</v>
      </c>
      <c r="T102" s="67" t="e">
        <f aca="false">S102-$BY102+$D$24</f>
        <v>#DIV/0!</v>
      </c>
      <c r="U102" s="0"/>
      <c r="V102" s="0"/>
      <c r="W102" s="0"/>
      <c r="X102" s="63" t="n">
        <f aca="false">IF(X$35="nymex",0,VLOOKUP($A102,curvesettle,HLOOKUP(X$35,curvesettle,2,FALSE())))</f>
        <v>0.26</v>
      </c>
      <c r="Y102" s="65" t="n">
        <f aca="false">IF(ISNUMBER(VLOOKUP($A102,VOLCURVES,HLOOKUP(X$35,VOLCURVES,2,FALSE()),FALSE())),VLOOKUP($A102,VOLCURVES,HLOOKUP(X$35,VOLCURVES,2,FALSE()),FALSE()),1)</f>
        <v>1</v>
      </c>
      <c r="Z102" s="184" t="n">
        <f aca="false">(($C102+AB102)*Y102)+$F$17</f>
        <v>0.24</v>
      </c>
      <c r="AA102" s="65" t="n">
        <f aca="false">VLOOKUP($A102,GASDVOLCURVES,HLOOKUP(X$36,GASDVOLCURVES,2,FALSE()),FALSE())+$F$18</f>
        <v>0.5</v>
      </c>
      <c r="AB102" s="4" t="n">
        <f aca="false">IF($F$20=1,VLOOKUP($A102,skewtable,HLOOKUP(ROUND(AC102-CK102,1),skewtable,2,FALSE()),FALSE())/100,0)</f>
        <v>0</v>
      </c>
      <c r="AC102" s="66" t="e">
        <f aca="false">IF($B$10=1,($CK102*$F$23)-$F$14,$F$22)</f>
        <v>#DIV/0!</v>
      </c>
      <c r="AD102" s="67" t="e">
        <f aca="false">AC102-$CK102+$F$24</f>
        <v>#DIV/0!</v>
      </c>
      <c r="AE102" s="0"/>
      <c r="AF102" s="0"/>
      <c r="AG102" s="0"/>
      <c r="AH102" s="63" t="n">
        <f aca="false">IF(AH$35="nymex",0,VLOOKUP($A102,curvesettle,HLOOKUP(AH$35,curvesettle,2,FALSE())))</f>
        <v>0.33</v>
      </c>
      <c r="AI102" s="65" t="n">
        <f aca="false">IF(ISNUMBER(VLOOKUP($A102,VOLCURVES,HLOOKUP(AH$35,VOLCURVES,2,FALSE()),FALSE())),VLOOKUP($A102,VOLCURVES,HLOOKUP(AH$35,VOLCURVES,2,FALSE()),FALSE()),1)</f>
        <v>1</v>
      </c>
      <c r="AJ102" s="184" t="n">
        <f aca="false">(($C102+AL102)*AI102)+$H$17</f>
        <v>0.24</v>
      </c>
      <c r="AK102" s="65" t="n">
        <f aca="false">VLOOKUP($A102,GASDVOLCURVES,HLOOKUP(AH$36,GASDVOLCURVES,2,FALSE()),FALSE())+$H$18</f>
        <v>1</v>
      </c>
      <c r="AL102" s="4" t="n">
        <f aca="false">IF($H$20=1,VLOOKUP($A102,skewtable,HLOOKUP(ROUND(AM102-CW102,1),skewtable,2,FALSE()),FALSE())/100,0)</f>
        <v>0</v>
      </c>
      <c r="AM102" s="66" t="e">
        <f aca="false">IF($B$10=1,($CW102*$H$23)-$H$14,$H$22)</f>
        <v>#DIV/0!</v>
      </c>
      <c r="AN102" s="67" t="e">
        <f aca="false">AM102-CW102+$H$24</f>
        <v>#DIV/0!</v>
      </c>
      <c r="AO102" s="0"/>
      <c r="AP102" s="0"/>
      <c r="AQ102" s="183"/>
      <c r="AR102" s="183"/>
      <c r="AU102" s="0"/>
      <c r="AV102" s="0"/>
      <c r="AW102" s="0"/>
      <c r="AX102" s="0"/>
      <c r="AY102" s="0"/>
      <c r="AZ102" s="0"/>
      <c r="BA102" s="0"/>
      <c r="BC102" s="64"/>
      <c r="BD102" s="64"/>
      <c r="BE102" s="4" t="n">
        <f aca="false">VLOOKUP($A102,STRADDLE,14,FALSE())</f>
        <v>0.0520944910076597</v>
      </c>
      <c r="BF102" s="72" t="n">
        <f aca="false">A103-A102</f>
        <v>31</v>
      </c>
      <c r="BG102" s="179" t="n">
        <f aca="false">A102+BG$35</f>
        <v>39203</v>
      </c>
      <c r="BH102" s="179" t="n">
        <f aca="false">A103-1</f>
        <v>39233</v>
      </c>
      <c r="BJ102" s="179" t="n">
        <f aca="true">IF(BJ$35=0,TODAY(),IF(BJ$36="NYMEX",VLOOKUP($A102,expiration,2,FALSE())+1,BG102))</f>
        <v>39199</v>
      </c>
      <c r="BK102" s="73"/>
      <c r="BL102" s="73" t="n">
        <f aca="false">IF($A102&gt;=BM$32,IF($A102&lt;=BM$33,$BF102,0),0)</f>
        <v>0</v>
      </c>
      <c r="BM102" s="73" t="e">
        <f aca="false">BO102/BL102</f>
        <v>#DIV/0!</v>
      </c>
      <c r="BN102" s="1" t="n">
        <f aca="false">BL102*($B102+B$15)</f>
        <v>0</v>
      </c>
      <c r="BO102" s="47" t="n">
        <f aca="false">IF(ISNUMBER(((BN102/BL102)+B$16+$D102+$B$14)*BL102),((BN102/BL102)+B$16+$D102+$B$14)*BL102,0)</f>
        <v>0</v>
      </c>
      <c r="BP102" s="76" t="n">
        <f aca="false">IF($BL102=0,0,OSTRIP($BM102,$I102,$BJ102-$B$2,$BG102-$BJ102,$BH102-$BJ102,$B$10,$BE102,$F102,$G102,$B$23,$J102,$BQ$34,0))</f>
        <v>0</v>
      </c>
      <c r="BQ102" s="76" t="n">
        <f aca="false">IF($BL102=0,0,OSTRIP($BM102,$I102,$BJ102-$B$2,$BG102-$BJ102,$BH102-$BJ102,$B$10,$BE102,$F102,$G102,$B$23,$J102,$BQ$34,1))</f>
        <v>0</v>
      </c>
      <c r="BR102" s="76" t="n">
        <f aca="false">IF($BL102=0,0,OSTRIP($BM102,$I102,$BJ102-$B$2,$BG102-$BJ102,$BH102-$BJ102,$B$10,$BE102,$F102,$G102,$B$23,$J102,$BQ$34,BQ$35))</f>
        <v>0</v>
      </c>
      <c r="BS102" s="37" t="n">
        <f aca="false">BL102*BP102</f>
        <v>0</v>
      </c>
      <c r="BT102" s="37" t="n">
        <f aca="false">BL102*BQ102</f>
        <v>0</v>
      </c>
      <c r="BU102" s="37" t="n">
        <f aca="false">BL102*BR102</f>
        <v>0</v>
      </c>
      <c r="BV102" s="37" t="n">
        <f aca="false">BL102*G102</f>
        <v>0</v>
      </c>
      <c r="BX102" s="73" t="n">
        <f aca="false">IF($A102&gt;=BY$32,IF($A102&lt;=BY$33,$BF102,0),0)</f>
        <v>0</v>
      </c>
      <c r="BY102" s="186" t="e">
        <f aca="false">CA102/BX102</f>
        <v>#DIV/0!</v>
      </c>
      <c r="BZ102" s="1" t="n">
        <f aca="false">BX102*($B102+$D$15)</f>
        <v>0</v>
      </c>
      <c r="CA102" s="47" t="n">
        <f aca="false">IF(ISNUMBER(((BZ102/BX102)+$D$16+$N102+$D$14)*BX102),((BZ102/BX102)+$D$16+$N102+$D$14)*BX102,0)</f>
        <v>0</v>
      </c>
      <c r="CB102" s="76" t="n">
        <f aca="false">IF($BX102=0,0,OSTRIP($BY102,$S102,$BJ102-$B$2,$BG102-$BJ102,$BH102-$BJ102,$B$10,$BE102,$P102,$Q102,$D$23,$T102,$CC$34,0))</f>
        <v>0</v>
      </c>
      <c r="CC102" s="76" t="n">
        <f aca="false">IF($BX102=0,0,OSTRIP($BY102,$S102,$BJ102-$B$2,$BG102-$BJ102,$BH102-$BJ102,$B$10,$BE102,$P102,$Q102,$D$23,$T102,$CC$34,1))</f>
        <v>0</v>
      </c>
      <c r="CD102" s="76" t="n">
        <f aca="false">IF($BX102=0,0,OSTRIP($BY102,$S102,$BJ102-$B$2,$BG102-$BJ102,$BH102-$BJ102,$B$10,$BE102,$P102,$Q102,$D$23,$T102,$CC$34,CC$35))</f>
        <v>0</v>
      </c>
      <c r="CE102" s="37" t="n">
        <f aca="false">BX102*CB102</f>
        <v>0</v>
      </c>
      <c r="CF102" s="37" t="n">
        <f aca="false">BX102*CC102</f>
        <v>0</v>
      </c>
      <c r="CG102" s="37" t="n">
        <f aca="false">BX102*CD102</f>
        <v>0</v>
      </c>
      <c r="CH102" s="37" t="n">
        <f aca="false">BX102*Q102</f>
        <v>0</v>
      </c>
      <c r="CJ102" s="73" t="n">
        <f aca="false">IF($A102&gt;=CK$32,IF($A102&lt;=CK$33,$BF102,0),0)</f>
        <v>0</v>
      </c>
      <c r="CK102" s="186" t="e">
        <f aca="false">CM102/CJ102</f>
        <v>#DIV/0!</v>
      </c>
      <c r="CL102" s="1" t="n">
        <f aca="false">CJ102*($B102+$F$15)</f>
        <v>0</v>
      </c>
      <c r="CM102" s="47" t="n">
        <f aca="false">IF(ISNUMBER(((CL102/CJ102)+$F$16+$X102+$F$14)*CJ102),((CL102/CJ102)+$F$16+$X102+$F$14)*CJ102,0)</f>
        <v>0</v>
      </c>
      <c r="CN102" s="76" t="n">
        <f aca="false">IF($CJ102=0,0,OSTRIP($CK102,$AC102,$BJ102-$B$2,$BG102-$BJ102,$BH102-$BJ102,$B$10,$BE102,$Z102,$AA102,$F$23,$AD102,$CO$34,0))</f>
        <v>0</v>
      </c>
      <c r="CO102" s="76" t="n">
        <f aca="false">IF($CJ102=0,0,OSTRIP($CK102,$AC102,$BJ102-$B$2,$BG102-$BJ102,$BH102-$BJ102,$B$10,$BE102,$Z102,$AA102,$F$23,$AD102,$CO$34,1))</f>
        <v>0</v>
      </c>
      <c r="CP102" s="76" t="n">
        <f aca="false">IF($CJ102=0,0,OSTRIP($CK102,$AC102,$BJ102-$B$2,$BG102-$BJ102,$BH102-$BJ102,$B$10,$BE102,$Z102,$AA102,$F$23,$AD102,$CO$34,$CO$35))</f>
        <v>0</v>
      </c>
      <c r="CQ102" s="37" t="n">
        <f aca="false">CJ102*CN102</f>
        <v>0</v>
      </c>
      <c r="CR102" s="37" t="n">
        <f aca="false">CJ102*CO102</f>
        <v>0</v>
      </c>
      <c r="CS102" s="37" t="n">
        <f aca="false">CJ102*CP102</f>
        <v>0</v>
      </c>
      <c r="CT102" s="37" t="n">
        <f aca="false">CJ102*AA102</f>
        <v>0</v>
      </c>
      <c r="CV102" s="73" t="n">
        <f aca="false">IF($A102&gt;=CW$32,IF($A102&lt;=CW$33,$BF102,0),0)</f>
        <v>0</v>
      </c>
      <c r="CW102" s="186" t="e">
        <f aca="false">CY102/CV102</f>
        <v>#DIV/0!</v>
      </c>
      <c r="CX102" s="1" t="n">
        <f aca="false">CV102*($B102+$H$15)</f>
        <v>0</v>
      </c>
      <c r="CY102" s="47" t="n">
        <f aca="false">IF(ISNUMBER(((CX102/CV102)+$H$16+$AH102+$H$14)*CV102),((CX102/CV102)+$H$16+$AH102+$H$14)*CV102,0)</f>
        <v>0</v>
      </c>
      <c r="CZ102" s="76" t="n">
        <f aca="false">IF($CV102=0,0,OSTRIP($CW102,$AM102,$BJ102-$B$2,$BG102-$BJ102,$BH102-$BJ102,$B$10,$BE102,$AJ102,$AK102,$H$23,$AN102,$DA$34,0))</f>
        <v>0</v>
      </c>
      <c r="DA102" s="76" t="n">
        <f aca="false">IF($CV102=0,0,OSTRIP($CW102,$AM102,$BJ102-$B$2,$BG102-$BJ102,$BH102-$BJ102,$B$10,$BE102,$AJ102,$AK102,$H$23,$AN102,$DA$34,1))</f>
        <v>0</v>
      </c>
      <c r="DB102" s="76" t="n">
        <f aca="false">IF($CV102=0,0,OSTRIP($CW102,$AM102,$BJ102-$B$2,$BG102-$BJ102,$BH102-$BJ102,$B$10,$BE102,$AJ102,$AK102,$H$23,$AN102,$DA$34,DA$35))</f>
        <v>0</v>
      </c>
      <c r="DC102" s="37" t="n">
        <f aca="false">CV102*CZ102</f>
        <v>0</v>
      </c>
      <c r="DD102" s="37" t="n">
        <f aca="false">CV102*DA102</f>
        <v>0</v>
      </c>
      <c r="DE102" s="37" t="n">
        <f aca="false">CV102*DB102</f>
        <v>0</v>
      </c>
      <c r="DF102" s="37" t="n">
        <f aca="false">CV102*AK102</f>
        <v>0</v>
      </c>
    </row>
    <row r="103" customFormat="false" ht="12.75" hidden="false" customHeight="false" outlineLevel="0" collapsed="false">
      <c r="A103" s="62" t="n">
        <f aca="false">DATE(YEAR(A102),MONTH(A102)+1,1)</f>
        <v>39234</v>
      </c>
      <c r="B103" s="63" t="n">
        <f aca="false">VLOOKUP(A103,STRADDLE,5,FALSE())</f>
        <v>3.4425</v>
      </c>
      <c r="C103" s="4" t="n">
        <f aca="false">VLOOKUP(A103,STRADDLE,8,FALSE())</f>
        <v>0.24</v>
      </c>
      <c r="D103" s="63" t="n">
        <f aca="false">IF(D$35="nymex",0,VLOOKUP($A103,curvesettle,HLOOKUP(D$35,curvesettle,2,FALSE())))</f>
        <v>0.335</v>
      </c>
      <c r="E103" s="65" t="n">
        <f aca="false">IF(ISNUMBER(VLOOKUP($A103,VOLCURVES,HLOOKUP(D$35,VOLCURVES,2,FALSE()),FALSE())),VLOOKUP($A103,VOLCURVES,HLOOKUP(D$35,VOLCURVES,2,FALSE()),FALSE()),1)</f>
        <v>0.98</v>
      </c>
      <c r="F103" s="4" t="n">
        <f aca="false">(($C103+H103)*$E103)+B$17</f>
        <v>0.3352</v>
      </c>
      <c r="G103" s="65" t="n">
        <f aca="false">VLOOKUP($A103,GASDVOLCURVES,HLOOKUP(D$36,GASDVOLCURVES,2,FALSE()),FALSE())+$B$18</f>
        <v>0.55</v>
      </c>
      <c r="H103" s="4" t="n">
        <f aca="false">IF($B$20=1,VLOOKUP($A103,skewtable,HLOOKUP(ROUND(I103-BM103,1),skewtable,2,FALSE()),FALSE())/100,0)</f>
        <v>0</v>
      </c>
      <c r="I103" s="66" t="e">
        <f aca="false">IF($B$10=1,($BM103*$B$23)-$B$14,$B$22)</f>
        <v>#DIV/0!</v>
      </c>
      <c r="J103" s="67" t="e">
        <f aca="false">I103-BM103+$B$24</f>
        <v>#DIV/0!</v>
      </c>
      <c r="K103" s="67"/>
      <c r="L103" s="183"/>
      <c r="M103" s="183"/>
      <c r="N103" s="63" t="n">
        <f aca="false">IF(N$35="nymex",0,VLOOKUP($A103,curvesettle,HLOOKUP(N$35,curvesettle,2,FALSE())))</f>
        <v>0.025</v>
      </c>
      <c r="O103" s="65" t="n">
        <f aca="false">IF(ISNUMBER(VLOOKUP($A103,VOLCURVES,HLOOKUP(N$35,VOLCURVES,2,FALSE()),FALSE())),VLOOKUP($A103,VOLCURVES,HLOOKUP(N$35,VOLCURVES,2,FALSE()),FALSE()),1)</f>
        <v>1</v>
      </c>
      <c r="P103" s="184" t="n">
        <f aca="false">(($C103+R103)*O103)+$D$17</f>
        <v>0.24</v>
      </c>
      <c r="Q103" s="65" t="n">
        <f aca="false">VLOOKUP($A103,GASDVOLCURVES,HLOOKUP(N$36,GASDVOLCURVES,2,FALSE()),FALSE())+$D$18</f>
        <v>0.55</v>
      </c>
      <c r="R103" s="4" t="n">
        <f aca="false">IF($D$20=1,VLOOKUP($A103,skewtable,HLOOKUP(ROUND(S103-BY103,1),skewtable,2,FALSE()),FALSE())/100,0)</f>
        <v>0</v>
      </c>
      <c r="S103" s="66" t="e">
        <f aca="false">IF(B$10=1,($BY103*$D$23)-$D$14,$D$22)</f>
        <v>#DIV/0!</v>
      </c>
      <c r="T103" s="67" t="e">
        <f aca="false">S103-$BY103+$D$24</f>
        <v>#DIV/0!</v>
      </c>
      <c r="U103" s="0"/>
      <c r="V103" s="0"/>
      <c r="W103" s="0"/>
      <c r="X103" s="63" t="n">
        <f aca="false">IF(X$35="nymex",0,VLOOKUP($A103,curvesettle,HLOOKUP(X$35,curvesettle,2,FALSE())))</f>
        <v>0.26</v>
      </c>
      <c r="Y103" s="65" t="n">
        <f aca="false">IF(ISNUMBER(VLOOKUP($A103,VOLCURVES,HLOOKUP(X$35,VOLCURVES,2,FALSE()),FALSE())),VLOOKUP($A103,VOLCURVES,HLOOKUP(X$35,VOLCURVES,2,FALSE()),FALSE()),1)</f>
        <v>1</v>
      </c>
      <c r="Z103" s="184" t="n">
        <f aca="false">(($C103+AB103)*Y103)+$F$17</f>
        <v>0.24</v>
      </c>
      <c r="AA103" s="65" t="n">
        <f aca="false">VLOOKUP($A103,GASDVOLCURVES,HLOOKUP(X$36,GASDVOLCURVES,2,FALSE()),FALSE())+$F$18</f>
        <v>0.6</v>
      </c>
      <c r="AB103" s="4" t="n">
        <f aca="false">IF($F$20=1,VLOOKUP($A103,skewtable,HLOOKUP(ROUND(AC103-CK103,1),skewtable,2,FALSE()),FALSE())/100,0)</f>
        <v>0</v>
      </c>
      <c r="AC103" s="66" t="e">
        <f aca="false">IF($B$10=1,($CK103*$F$23)-$F$14,$F$22)</f>
        <v>#DIV/0!</v>
      </c>
      <c r="AD103" s="67" t="e">
        <f aca="false">AC103-$CK103+$F$24</f>
        <v>#DIV/0!</v>
      </c>
      <c r="AE103" s="0"/>
      <c r="AF103" s="0"/>
      <c r="AG103" s="0"/>
      <c r="AH103" s="63" t="n">
        <f aca="false">IF(AH$35="nymex",0,VLOOKUP($A103,curvesettle,HLOOKUP(AH$35,curvesettle,2,FALSE())))</f>
        <v>0.37</v>
      </c>
      <c r="AI103" s="65" t="n">
        <f aca="false">IF(ISNUMBER(VLOOKUP($A103,VOLCURVES,HLOOKUP(AH$35,VOLCURVES,2,FALSE()),FALSE())),VLOOKUP($A103,VOLCURVES,HLOOKUP(AH$35,VOLCURVES,2,FALSE()),FALSE()),1)</f>
        <v>1</v>
      </c>
      <c r="AJ103" s="184" t="n">
        <f aca="false">(($C103+AL103)*AI103)+$H$17</f>
        <v>0.24</v>
      </c>
      <c r="AK103" s="65" t="n">
        <f aca="false">VLOOKUP($A103,GASDVOLCURVES,HLOOKUP(AH$36,GASDVOLCURVES,2,FALSE()),FALSE())+$H$18</f>
        <v>1</v>
      </c>
      <c r="AL103" s="4" t="n">
        <f aca="false">IF($H$20=1,VLOOKUP($A103,skewtable,HLOOKUP(ROUND(AM103-CW103,1),skewtable,2,FALSE()),FALSE())/100,0)</f>
        <v>0</v>
      </c>
      <c r="AM103" s="66" t="e">
        <f aca="false">IF($B$10=1,($CW103*$H$23)-$H$14,$H$22)</f>
        <v>#DIV/0!</v>
      </c>
      <c r="AN103" s="67" t="e">
        <f aca="false">AM103-CW103+$H$24</f>
        <v>#DIV/0!</v>
      </c>
      <c r="AO103" s="0"/>
      <c r="AP103" s="0"/>
      <c r="AQ103" s="183"/>
      <c r="AR103" s="183"/>
      <c r="AU103" s="0"/>
      <c r="AV103" s="0"/>
      <c r="AW103" s="0"/>
      <c r="AX103" s="0"/>
      <c r="AY103" s="0"/>
      <c r="AZ103" s="0"/>
      <c r="BA103" s="0"/>
      <c r="BC103" s="64"/>
      <c r="BD103" s="64"/>
      <c r="BE103" s="4" t="n">
        <f aca="false">VLOOKUP($A103,STRADDLE,14,FALSE())</f>
        <v>0.0522760046560284</v>
      </c>
      <c r="BF103" s="72" t="n">
        <f aca="false">A104-A103</f>
        <v>30</v>
      </c>
      <c r="BG103" s="179" t="n">
        <f aca="false">A103+BG$35</f>
        <v>39234</v>
      </c>
      <c r="BH103" s="179" t="n">
        <f aca="false">A104-1</f>
        <v>39263</v>
      </c>
      <c r="BJ103" s="179" t="n">
        <f aca="true">IF(BJ$35=0,TODAY(),IF(BJ$36="NYMEX",VLOOKUP($A103,expiration,2,FALSE())+1,BG103))</f>
        <v>39232</v>
      </c>
      <c r="BK103" s="73"/>
      <c r="BL103" s="73" t="n">
        <f aca="false">IF($A103&gt;=BM$32,IF($A103&lt;=BM$33,$BF103,0),0)</f>
        <v>0</v>
      </c>
      <c r="BM103" s="73" t="e">
        <f aca="false">BO103/BL103</f>
        <v>#DIV/0!</v>
      </c>
      <c r="BN103" s="1" t="n">
        <f aca="false">BL103*($B103+B$15)</f>
        <v>0</v>
      </c>
      <c r="BO103" s="47" t="n">
        <f aca="false">IF(ISNUMBER(((BN103/BL103)+B$16+$D103+$B$14)*BL103),((BN103/BL103)+B$16+$D103+$B$14)*BL103,0)</f>
        <v>0</v>
      </c>
      <c r="BP103" s="76" t="n">
        <f aca="false">IF($BL103=0,0,OSTRIP($BM103,$I103,$BJ103-$B$2,$BG103-$BJ103,$BH103-$BJ103,$B$10,$BE103,$F103,$G103,$B$23,$J103,$BQ$34,0))</f>
        <v>0</v>
      </c>
      <c r="BQ103" s="76" t="n">
        <f aca="false">IF($BL103=0,0,OSTRIP($BM103,$I103,$BJ103-$B$2,$BG103-$BJ103,$BH103-$BJ103,$B$10,$BE103,$F103,$G103,$B$23,$J103,$BQ$34,1))</f>
        <v>0</v>
      </c>
      <c r="BR103" s="76" t="n">
        <f aca="false">IF($BL103=0,0,OSTRIP($BM103,$I103,$BJ103-$B$2,$BG103-$BJ103,$BH103-$BJ103,$B$10,$BE103,$F103,$G103,$B$23,$J103,$BQ$34,BQ$35))</f>
        <v>0</v>
      </c>
      <c r="BS103" s="37" t="n">
        <f aca="false">BL103*BP103</f>
        <v>0</v>
      </c>
      <c r="BT103" s="37" t="n">
        <f aca="false">BL103*BQ103</f>
        <v>0</v>
      </c>
      <c r="BU103" s="37" t="n">
        <f aca="false">BL103*BR103</f>
        <v>0</v>
      </c>
      <c r="BV103" s="37" t="n">
        <f aca="false">BL103*G103</f>
        <v>0</v>
      </c>
      <c r="BX103" s="73" t="n">
        <f aca="false">IF($A103&gt;=BY$32,IF($A103&lt;=BY$33,$BF103,0),0)</f>
        <v>0</v>
      </c>
      <c r="BY103" s="186" t="e">
        <f aca="false">CA103/BX103</f>
        <v>#DIV/0!</v>
      </c>
      <c r="BZ103" s="1" t="n">
        <f aca="false">BX103*($B103+$D$15)</f>
        <v>0</v>
      </c>
      <c r="CA103" s="47" t="n">
        <f aca="false">IF(ISNUMBER(((BZ103/BX103)+$D$16+$N103+$D$14)*BX103),((BZ103/BX103)+$D$16+$N103+$D$14)*BX103,0)</f>
        <v>0</v>
      </c>
      <c r="CB103" s="76" t="n">
        <f aca="false">IF($BX103=0,0,OSTRIP($BY103,$S103,$BJ103-$B$2,$BG103-$BJ103,$BH103-$BJ103,$B$10,$BE103,$P103,$Q103,$D$23,$T103,$CC$34,0))</f>
        <v>0</v>
      </c>
      <c r="CC103" s="76" t="n">
        <f aca="false">IF($BX103=0,0,OSTRIP($BY103,$S103,$BJ103-$B$2,$BG103-$BJ103,$BH103-$BJ103,$B$10,$BE103,$P103,$Q103,$D$23,$T103,$CC$34,1))</f>
        <v>0</v>
      </c>
      <c r="CD103" s="76" t="n">
        <f aca="false">IF($BX103=0,0,OSTRIP($BY103,$S103,$BJ103-$B$2,$BG103-$BJ103,$BH103-$BJ103,$B$10,$BE103,$P103,$Q103,$D$23,$T103,$CC$34,CC$35))</f>
        <v>0</v>
      </c>
      <c r="CE103" s="37" t="n">
        <f aca="false">BX103*CB103</f>
        <v>0</v>
      </c>
      <c r="CF103" s="37" t="n">
        <f aca="false">BX103*CC103</f>
        <v>0</v>
      </c>
      <c r="CG103" s="37" t="n">
        <f aca="false">BX103*CD103</f>
        <v>0</v>
      </c>
      <c r="CH103" s="37" t="n">
        <f aca="false">BX103*Q103</f>
        <v>0</v>
      </c>
      <c r="CJ103" s="73" t="n">
        <f aca="false">IF($A103&gt;=CK$32,IF($A103&lt;=CK$33,$BF103,0),0)</f>
        <v>0</v>
      </c>
      <c r="CK103" s="186" t="e">
        <f aca="false">CM103/CJ103</f>
        <v>#DIV/0!</v>
      </c>
      <c r="CL103" s="1" t="n">
        <f aca="false">CJ103*($B103+$F$15)</f>
        <v>0</v>
      </c>
      <c r="CM103" s="47" t="n">
        <f aca="false">IF(ISNUMBER(((CL103/CJ103)+$F$16+$X103+$F$14)*CJ103),((CL103/CJ103)+$F$16+$X103+$F$14)*CJ103,0)</f>
        <v>0</v>
      </c>
      <c r="CN103" s="76" t="n">
        <f aca="false">IF($CJ103=0,0,OSTRIP($CK103,$AC103,$BJ103-$B$2,$BG103-$BJ103,$BH103-$BJ103,$B$10,$BE103,$Z103,$AA103,$F$23,$AD103,$CO$34,0))</f>
        <v>0</v>
      </c>
      <c r="CO103" s="76" t="n">
        <f aca="false">IF($CJ103=0,0,OSTRIP($CK103,$AC103,$BJ103-$B$2,$BG103-$BJ103,$BH103-$BJ103,$B$10,$BE103,$Z103,$AA103,$F$23,$AD103,$CO$34,1))</f>
        <v>0</v>
      </c>
      <c r="CP103" s="76" t="n">
        <f aca="false">IF($CJ103=0,0,OSTRIP($CK103,$AC103,$BJ103-$B$2,$BG103-$BJ103,$BH103-$BJ103,$B$10,$BE103,$Z103,$AA103,$F$23,$AD103,$CO$34,$CO$35))</f>
        <v>0</v>
      </c>
      <c r="CQ103" s="37" t="n">
        <f aca="false">CJ103*CN103</f>
        <v>0</v>
      </c>
      <c r="CR103" s="37" t="n">
        <f aca="false">CJ103*CO103</f>
        <v>0</v>
      </c>
      <c r="CS103" s="37" t="n">
        <f aca="false">CJ103*CP103</f>
        <v>0</v>
      </c>
      <c r="CT103" s="37" t="n">
        <f aca="false">CJ103*AA103</f>
        <v>0</v>
      </c>
      <c r="CV103" s="73" t="n">
        <f aca="false">IF($A103&gt;=CW$32,IF($A103&lt;=CW$33,$BF103,0),0)</f>
        <v>0</v>
      </c>
      <c r="CW103" s="186" t="e">
        <f aca="false">CY103/CV103</f>
        <v>#DIV/0!</v>
      </c>
      <c r="CX103" s="1" t="n">
        <f aca="false">CV103*($B103+$H$15)</f>
        <v>0</v>
      </c>
      <c r="CY103" s="47" t="n">
        <f aca="false">IF(ISNUMBER(((CX103/CV103)+$H$16+$AH103+$H$14)*CV103),((CX103/CV103)+$H$16+$AH103+$H$14)*CV103,0)</f>
        <v>0</v>
      </c>
      <c r="CZ103" s="76" t="n">
        <f aca="false">IF($CV103=0,0,OSTRIP($CW103,$AM103,$BJ103-$B$2,$BG103-$BJ103,$BH103-$BJ103,$B$10,$BE103,$AJ103,$AK103,$H$23,$AN103,$DA$34,0))</f>
        <v>0</v>
      </c>
      <c r="DA103" s="76" t="n">
        <f aca="false">IF($CV103=0,0,OSTRIP($CW103,$AM103,$BJ103-$B$2,$BG103-$BJ103,$BH103-$BJ103,$B$10,$BE103,$AJ103,$AK103,$H$23,$AN103,$DA$34,1))</f>
        <v>0</v>
      </c>
      <c r="DB103" s="76" t="n">
        <f aca="false">IF($CV103=0,0,OSTRIP($CW103,$AM103,$BJ103-$B$2,$BG103-$BJ103,$BH103-$BJ103,$B$10,$BE103,$AJ103,$AK103,$H$23,$AN103,$DA$34,DA$35))</f>
        <v>0</v>
      </c>
      <c r="DC103" s="37" t="n">
        <f aca="false">CV103*CZ103</f>
        <v>0</v>
      </c>
      <c r="DD103" s="37" t="n">
        <f aca="false">CV103*DA103</f>
        <v>0</v>
      </c>
      <c r="DE103" s="37" t="n">
        <f aca="false">CV103*DB103</f>
        <v>0</v>
      </c>
      <c r="DF103" s="37" t="n">
        <f aca="false">CV103*AK103</f>
        <v>0</v>
      </c>
    </row>
    <row r="104" customFormat="false" ht="12.75" hidden="false" customHeight="false" outlineLevel="0" collapsed="false">
      <c r="A104" s="62" t="n">
        <f aca="false">DATE(YEAR(A103),MONTH(A103)+1,1)</f>
        <v>39264</v>
      </c>
      <c r="B104" s="63" t="n">
        <f aca="false">VLOOKUP(A104,STRADDLE,5,FALSE())</f>
        <v>3.4825</v>
      </c>
      <c r="C104" s="4" t="n">
        <f aca="false">VLOOKUP(A104,STRADDLE,8,FALSE())</f>
        <v>0.24</v>
      </c>
      <c r="D104" s="63" t="n">
        <f aca="false">IF(D$35="nymex",0,VLOOKUP($A104,curvesettle,HLOOKUP(D$35,curvesettle,2,FALSE())))</f>
        <v>0.35</v>
      </c>
      <c r="E104" s="65" t="n">
        <f aca="false">IF(ISNUMBER(VLOOKUP($A104,VOLCURVES,HLOOKUP(D$35,VOLCURVES,2,FALSE()),FALSE())),VLOOKUP($A104,VOLCURVES,HLOOKUP(D$35,VOLCURVES,2,FALSE()),FALSE()),1)</f>
        <v>0.98</v>
      </c>
      <c r="F104" s="4" t="n">
        <f aca="false">(($C104+H104)*$E104)+B$17</f>
        <v>0.3352</v>
      </c>
      <c r="G104" s="65" t="n">
        <f aca="false">VLOOKUP($A104,GASDVOLCURVES,HLOOKUP(D$36,GASDVOLCURVES,2,FALSE()),FALSE())+$B$18</f>
        <v>0.6</v>
      </c>
      <c r="H104" s="4" t="n">
        <f aca="false">IF($B$20=1,VLOOKUP($A104,skewtable,HLOOKUP(ROUND(I104-BM104,1),skewtable,2,FALSE()),FALSE())/100,0)</f>
        <v>0</v>
      </c>
      <c r="I104" s="66" t="e">
        <f aca="false">IF($B$10=1,($BM104*$B$23)-$B$14,$B$22)</f>
        <v>#DIV/0!</v>
      </c>
      <c r="J104" s="67" t="e">
        <f aca="false">I104-BM104+$B$24</f>
        <v>#DIV/0!</v>
      </c>
      <c r="K104" s="67"/>
      <c r="L104" s="183"/>
      <c r="M104" s="183"/>
      <c r="N104" s="63" t="n">
        <f aca="false">IF(N$35="nymex",0,VLOOKUP($A104,curvesettle,HLOOKUP(N$35,curvesettle,2,FALSE())))</f>
        <v>0.0275</v>
      </c>
      <c r="O104" s="65" t="n">
        <f aca="false">IF(ISNUMBER(VLOOKUP($A104,VOLCURVES,HLOOKUP(N$35,VOLCURVES,2,FALSE()),FALSE())),VLOOKUP($A104,VOLCURVES,HLOOKUP(N$35,VOLCURVES,2,FALSE()),FALSE()),1)</f>
        <v>1</v>
      </c>
      <c r="P104" s="184" t="n">
        <f aca="false">(($C104+R104)*O104)+$D$17</f>
        <v>0.24</v>
      </c>
      <c r="Q104" s="65" t="n">
        <f aca="false">VLOOKUP($A104,GASDVOLCURVES,HLOOKUP(N$36,GASDVOLCURVES,2,FALSE()),FALSE())+$D$18</f>
        <v>0.6</v>
      </c>
      <c r="R104" s="4" t="n">
        <f aca="false">IF($D$20=1,VLOOKUP($A104,skewtable,HLOOKUP(ROUND(S104-BY104,1),skewtable,2,FALSE()),FALSE())/100,0)</f>
        <v>0</v>
      </c>
      <c r="S104" s="66" t="e">
        <f aca="false">IF(B$10=1,($BY104*$D$23)-$D$14,$D$22)</f>
        <v>#DIV/0!</v>
      </c>
      <c r="T104" s="67" t="e">
        <f aca="false">S104-$BY104+$D$24</f>
        <v>#DIV/0!</v>
      </c>
      <c r="U104" s="0"/>
      <c r="V104" s="0"/>
      <c r="W104" s="0"/>
      <c r="X104" s="63" t="n">
        <f aca="false">IF(X$35="nymex",0,VLOOKUP($A104,curvesettle,HLOOKUP(X$35,curvesettle,2,FALSE())))</f>
        <v>0.26</v>
      </c>
      <c r="Y104" s="65" t="n">
        <f aca="false">IF(ISNUMBER(VLOOKUP($A104,VOLCURVES,HLOOKUP(X$35,VOLCURVES,2,FALSE()),FALSE())),VLOOKUP($A104,VOLCURVES,HLOOKUP(X$35,VOLCURVES,2,FALSE()),FALSE()),1)</f>
        <v>1</v>
      </c>
      <c r="Z104" s="184" t="n">
        <f aca="false">(($C104+AB104)*Y104)+$F$17</f>
        <v>0.24</v>
      </c>
      <c r="AA104" s="65" t="n">
        <f aca="false">VLOOKUP($A104,GASDVOLCURVES,HLOOKUP(X$36,GASDVOLCURVES,2,FALSE()),FALSE())+$F$18</f>
        <v>0.6</v>
      </c>
      <c r="AB104" s="4" t="n">
        <f aca="false">IF($F$20=1,VLOOKUP($A104,skewtable,HLOOKUP(ROUND(AC104-CK104,1),skewtable,2,FALSE()),FALSE())/100,0)</f>
        <v>0</v>
      </c>
      <c r="AC104" s="66" t="e">
        <f aca="false">IF($B$10=1,($CK104*$F$23)-$F$14,$F$22)</f>
        <v>#DIV/0!</v>
      </c>
      <c r="AD104" s="67" t="e">
        <f aca="false">AC104-$CK104+$F$24</f>
        <v>#DIV/0!</v>
      </c>
      <c r="AE104" s="0"/>
      <c r="AF104" s="0"/>
      <c r="AG104" s="0"/>
      <c r="AH104" s="63" t="n">
        <f aca="false">IF(AH$35="nymex",0,VLOOKUP($A104,curvesettle,HLOOKUP(AH$35,curvesettle,2,FALSE())))</f>
        <v>0.41</v>
      </c>
      <c r="AI104" s="65" t="n">
        <f aca="false">IF(ISNUMBER(VLOOKUP($A104,VOLCURVES,HLOOKUP(AH$35,VOLCURVES,2,FALSE()),FALSE())),VLOOKUP($A104,VOLCURVES,HLOOKUP(AH$35,VOLCURVES,2,FALSE()),FALSE()),1)</f>
        <v>1</v>
      </c>
      <c r="AJ104" s="184" t="n">
        <f aca="false">(($C104+AL104)*AI104)+$H$17</f>
        <v>0.24</v>
      </c>
      <c r="AK104" s="65" t="n">
        <f aca="false">VLOOKUP($A104,GASDVOLCURVES,HLOOKUP(AH$36,GASDVOLCURVES,2,FALSE()),FALSE())+$H$18</f>
        <v>1</v>
      </c>
      <c r="AL104" s="4" t="n">
        <f aca="false">IF($H$20=1,VLOOKUP($A104,skewtable,HLOOKUP(ROUND(AM104-CW104,1),skewtable,2,FALSE()),FALSE())/100,0)</f>
        <v>0</v>
      </c>
      <c r="AM104" s="66" t="e">
        <f aca="false">IF($B$10=1,($CW104*$H$23)-$H$14,$H$22)</f>
        <v>#DIV/0!</v>
      </c>
      <c r="AN104" s="67" t="e">
        <f aca="false">AM104-CW104+$H$24</f>
        <v>#DIV/0!</v>
      </c>
      <c r="AO104" s="0"/>
      <c r="AP104" s="0"/>
      <c r="AQ104" s="183"/>
      <c r="AR104" s="183"/>
      <c r="AU104" s="0"/>
      <c r="AV104" s="0"/>
      <c r="AW104" s="0"/>
      <c r="AX104" s="0"/>
      <c r="AY104" s="0"/>
      <c r="AZ104" s="0"/>
      <c r="BA104" s="0"/>
      <c r="BC104" s="64"/>
      <c r="BD104" s="64"/>
      <c r="BE104" s="4" t="n">
        <f aca="false">VLOOKUP($A104,STRADDLE,14,FALSE())</f>
        <v>0.0524516630358791</v>
      </c>
      <c r="BF104" s="72" t="n">
        <f aca="false">A105-A104</f>
        <v>31</v>
      </c>
      <c r="BG104" s="179" t="n">
        <f aca="false">A104+BG$35</f>
        <v>39264</v>
      </c>
      <c r="BH104" s="179" t="n">
        <f aca="false">A105-1</f>
        <v>39294</v>
      </c>
      <c r="BJ104" s="179" t="n">
        <f aca="true">IF(BJ$35=0,TODAY(),IF(BJ$36="NYMEX",VLOOKUP($A104,expiration,2,FALSE())+1,BG104))</f>
        <v>39261</v>
      </c>
      <c r="BK104" s="73"/>
      <c r="BL104" s="73" t="n">
        <f aca="false">IF($A104&gt;=BM$32,IF($A104&lt;=BM$33,$BF104,0),0)</f>
        <v>0</v>
      </c>
      <c r="BM104" s="73" t="e">
        <f aca="false">BO104/BL104</f>
        <v>#DIV/0!</v>
      </c>
      <c r="BN104" s="1" t="n">
        <f aca="false">BL104*($B104+B$15)</f>
        <v>0</v>
      </c>
      <c r="BO104" s="47" t="n">
        <f aca="false">IF(ISNUMBER(((BN104/BL104)+B$16+$D104+$B$14)*BL104),((BN104/BL104)+B$16+$D104+$B$14)*BL104,0)</f>
        <v>0</v>
      </c>
      <c r="BP104" s="76" t="n">
        <f aca="false">IF($BL104=0,0,OSTRIP($BM104,$I104,$BJ104-$B$2,$BG104-$BJ104,$BH104-$BJ104,$B$10,$BE104,$F104,$G104,$B$23,$J104,$BQ$34,0))</f>
        <v>0</v>
      </c>
      <c r="BQ104" s="76" t="n">
        <f aca="false">IF($BL104=0,0,OSTRIP($BM104,$I104,$BJ104-$B$2,$BG104-$BJ104,$BH104-$BJ104,$B$10,$BE104,$F104,$G104,$B$23,$J104,$BQ$34,1))</f>
        <v>0</v>
      </c>
      <c r="BR104" s="76" t="n">
        <f aca="false">IF($BL104=0,0,OSTRIP($BM104,$I104,$BJ104-$B$2,$BG104-$BJ104,$BH104-$BJ104,$B$10,$BE104,$F104,$G104,$B$23,$J104,$BQ$34,BQ$35))</f>
        <v>0</v>
      </c>
      <c r="BS104" s="37" t="n">
        <f aca="false">BL104*BP104</f>
        <v>0</v>
      </c>
      <c r="BT104" s="37" t="n">
        <f aca="false">BL104*BQ104</f>
        <v>0</v>
      </c>
      <c r="BU104" s="37" t="n">
        <f aca="false">BL104*BR104</f>
        <v>0</v>
      </c>
      <c r="BV104" s="37" t="n">
        <f aca="false">BL104*G104</f>
        <v>0</v>
      </c>
      <c r="BX104" s="73" t="n">
        <f aca="false">IF($A104&gt;=BY$32,IF($A104&lt;=BY$33,$BF104,0),0)</f>
        <v>0</v>
      </c>
      <c r="BY104" s="186" t="e">
        <f aca="false">CA104/BX104</f>
        <v>#DIV/0!</v>
      </c>
      <c r="BZ104" s="1" t="n">
        <f aca="false">BX104*($B104+$D$15)</f>
        <v>0</v>
      </c>
      <c r="CA104" s="47" t="n">
        <f aca="false">IF(ISNUMBER(((BZ104/BX104)+$D$16+$N104+$D$14)*BX104),((BZ104/BX104)+$D$16+$N104+$D$14)*BX104,0)</f>
        <v>0</v>
      </c>
      <c r="CB104" s="76" t="n">
        <f aca="false">IF($BX104=0,0,OSTRIP($BY104,$S104,$BJ104-$B$2,$BG104-$BJ104,$BH104-$BJ104,$B$10,$BE104,$P104,$Q104,$D$23,$T104,$CC$34,0))</f>
        <v>0</v>
      </c>
      <c r="CC104" s="76" t="n">
        <f aca="false">IF($BX104=0,0,OSTRIP($BY104,$S104,$BJ104-$B$2,$BG104-$BJ104,$BH104-$BJ104,$B$10,$BE104,$P104,$Q104,$D$23,$T104,$CC$34,1))</f>
        <v>0</v>
      </c>
      <c r="CD104" s="76" t="n">
        <f aca="false">IF($BX104=0,0,OSTRIP($BY104,$S104,$BJ104-$B$2,$BG104-$BJ104,$BH104-$BJ104,$B$10,$BE104,$P104,$Q104,$D$23,$T104,$CC$34,CC$35))</f>
        <v>0</v>
      </c>
      <c r="CE104" s="37" t="n">
        <f aca="false">BX104*CB104</f>
        <v>0</v>
      </c>
      <c r="CF104" s="37" t="n">
        <f aca="false">BX104*CC104</f>
        <v>0</v>
      </c>
      <c r="CG104" s="37" t="n">
        <f aca="false">BX104*CD104</f>
        <v>0</v>
      </c>
      <c r="CH104" s="37" t="n">
        <f aca="false">BX104*Q104</f>
        <v>0</v>
      </c>
      <c r="CJ104" s="73" t="n">
        <f aca="false">IF($A104&gt;=CK$32,IF($A104&lt;=CK$33,$BF104,0),0)</f>
        <v>0</v>
      </c>
      <c r="CK104" s="186" t="e">
        <f aca="false">CM104/CJ104</f>
        <v>#DIV/0!</v>
      </c>
      <c r="CL104" s="1" t="n">
        <f aca="false">CJ104*($B104+$F$15)</f>
        <v>0</v>
      </c>
      <c r="CM104" s="47" t="n">
        <f aca="false">IF(ISNUMBER(((CL104/CJ104)+$F$16+$X104+$F$14)*CJ104),((CL104/CJ104)+$F$16+$X104+$F$14)*CJ104,0)</f>
        <v>0</v>
      </c>
      <c r="CN104" s="76" t="n">
        <f aca="false">IF($CJ104=0,0,OSTRIP($CK104,$AC104,$BJ104-$B$2,$BG104-$BJ104,$BH104-$BJ104,$B$10,$BE104,$Z104,$AA104,$F$23,$AD104,$CO$34,0))</f>
        <v>0</v>
      </c>
      <c r="CO104" s="76" t="n">
        <f aca="false">IF($CJ104=0,0,OSTRIP($CK104,$AC104,$BJ104-$B$2,$BG104-$BJ104,$BH104-$BJ104,$B$10,$BE104,$Z104,$AA104,$F$23,$AD104,$CO$34,1))</f>
        <v>0</v>
      </c>
      <c r="CP104" s="76" t="n">
        <f aca="false">IF($CJ104=0,0,OSTRIP($CK104,$AC104,$BJ104-$B$2,$BG104-$BJ104,$BH104-$BJ104,$B$10,$BE104,$Z104,$AA104,$F$23,$AD104,$CO$34,$CO$35))</f>
        <v>0</v>
      </c>
      <c r="CQ104" s="37" t="n">
        <f aca="false">CJ104*CN104</f>
        <v>0</v>
      </c>
      <c r="CR104" s="37" t="n">
        <f aca="false">CJ104*CO104</f>
        <v>0</v>
      </c>
      <c r="CS104" s="37" t="n">
        <f aca="false">CJ104*CP104</f>
        <v>0</v>
      </c>
      <c r="CT104" s="37" t="n">
        <f aca="false">CJ104*AA104</f>
        <v>0</v>
      </c>
      <c r="CV104" s="73" t="n">
        <f aca="false">IF($A104&gt;=CW$32,IF($A104&lt;=CW$33,$BF104,0),0)</f>
        <v>0</v>
      </c>
      <c r="CW104" s="186" t="e">
        <f aca="false">CY104/CV104</f>
        <v>#DIV/0!</v>
      </c>
      <c r="CX104" s="1" t="n">
        <f aca="false">CV104*($B104+$H$15)</f>
        <v>0</v>
      </c>
      <c r="CY104" s="47" t="n">
        <f aca="false">IF(ISNUMBER(((CX104/CV104)+$H$16+$AH104+$H$14)*CV104),((CX104/CV104)+$H$16+$AH104+$H$14)*CV104,0)</f>
        <v>0</v>
      </c>
      <c r="CZ104" s="76" t="n">
        <f aca="false">IF($CV104=0,0,OSTRIP($CW104,$AM104,$BJ104-$B$2,$BG104-$BJ104,$BH104-$BJ104,$B$10,$BE104,$AJ104,$AK104,$H$23,$AN104,$DA$34,0))</f>
        <v>0</v>
      </c>
      <c r="DA104" s="76" t="n">
        <f aca="false">IF($CV104=0,0,OSTRIP($CW104,$AM104,$BJ104-$B$2,$BG104-$BJ104,$BH104-$BJ104,$B$10,$BE104,$AJ104,$AK104,$H$23,$AN104,$DA$34,1))</f>
        <v>0</v>
      </c>
      <c r="DB104" s="76" t="n">
        <f aca="false">IF($CV104=0,0,OSTRIP($CW104,$AM104,$BJ104-$B$2,$BG104-$BJ104,$BH104-$BJ104,$B$10,$BE104,$AJ104,$AK104,$H$23,$AN104,$DA$34,DA$35))</f>
        <v>0</v>
      </c>
      <c r="DC104" s="37" t="n">
        <f aca="false">CV104*CZ104</f>
        <v>0</v>
      </c>
      <c r="DD104" s="37" t="n">
        <f aca="false">CV104*DA104</f>
        <v>0</v>
      </c>
      <c r="DE104" s="37" t="n">
        <f aca="false">CV104*DB104</f>
        <v>0</v>
      </c>
      <c r="DF104" s="37" t="n">
        <f aca="false">CV104*AK104</f>
        <v>0</v>
      </c>
    </row>
    <row r="105" customFormat="false" ht="12.75" hidden="false" customHeight="false" outlineLevel="0" collapsed="false">
      <c r="A105" s="62" t="n">
        <f aca="false">DATE(YEAR(A104),MONTH(A104)+1,1)</f>
        <v>39295</v>
      </c>
      <c r="B105" s="63" t="n">
        <f aca="false">VLOOKUP(A105,STRADDLE,5,FALSE())</f>
        <v>3.5225</v>
      </c>
      <c r="C105" s="4" t="n">
        <f aca="false">VLOOKUP(A105,STRADDLE,8,FALSE())</f>
        <v>0.24</v>
      </c>
      <c r="D105" s="63" t="n">
        <f aca="false">IF(D$35="nymex",0,VLOOKUP($A105,curvesettle,HLOOKUP(D$35,curvesettle,2,FALSE())))</f>
        <v>0.35</v>
      </c>
      <c r="E105" s="65" t="n">
        <f aca="false">IF(ISNUMBER(VLOOKUP($A105,VOLCURVES,HLOOKUP(D$35,VOLCURVES,2,FALSE()),FALSE())),VLOOKUP($A105,VOLCURVES,HLOOKUP(D$35,VOLCURVES,2,FALSE()),FALSE()),1)</f>
        <v>0.98</v>
      </c>
      <c r="F105" s="4" t="n">
        <f aca="false">(($C105+H105)*$E105)+B$17</f>
        <v>0.3352</v>
      </c>
      <c r="G105" s="65" t="n">
        <f aca="false">VLOOKUP($A105,GASDVOLCURVES,HLOOKUP(D$36,GASDVOLCURVES,2,FALSE()),FALSE())+$B$18</f>
        <v>0.65</v>
      </c>
      <c r="H105" s="4" t="n">
        <f aca="false">IF($B$20=1,VLOOKUP($A105,skewtable,HLOOKUP(ROUND(I105-BM105,1),skewtable,2,FALSE()),FALSE())/100,0)</f>
        <v>0</v>
      </c>
      <c r="I105" s="66" t="e">
        <f aca="false">IF($B$10=1,($BM105*$B$23)-$B$14,$B$22)</f>
        <v>#DIV/0!</v>
      </c>
      <c r="J105" s="67" t="e">
        <f aca="false">I105-BM105+$B$24</f>
        <v>#DIV/0!</v>
      </c>
      <c r="K105" s="67"/>
      <c r="L105" s="183"/>
      <c r="M105" s="183"/>
      <c r="N105" s="63" t="n">
        <f aca="false">IF(N$35="nymex",0,VLOOKUP($A105,curvesettle,HLOOKUP(N$35,curvesettle,2,FALSE())))</f>
        <v>0.03</v>
      </c>
      <c r="O105" s="65" t="n">
        <f aca="false">IF(ISNUMBER(VLOOKUP($A105,VOLCURVES,HLOOKUP(N$35,VOLCURVES,2,FALSE()),FALSE())),VLOOKUP($A105,VOLCURVES,HLOOKUP(N$35,VOLCURVES,2,FALSE()),FALSE()),1)</f>
        <v>1</v>
      </c>
      <c r="P105" s="184" t="n">
        <f aca="false">(($C105+R105)*O105)+$D$17</f>
        <v>0.24</v>
      </c>
      <c r="Q105" s="65" t="n">
        <f aca="false">VLOOKUP($A105,GASDVOLCURVES,HLOOKUP(N$36,GASDVOLCURVES,2,FALSE()),FALSE())+$D$18</f>
        <v>0.65</v>
      </c>
      <c r="R105" s="4" t="n">
        <f aca="false">IF($D$20=1,VLOOKUP($A105,skewtable,HLOOKUP(ROUND(S105-BY105,1),skewtable,2,FALSE()),FALSE())/100,0)</f>
        <v>0</v>
      </c>
      <c r="S105" s="66" t="e">
        <f aca="false">IF(B$10=1,($BY105*$D$23)-$D$14,$D$22)</f>
        <v>#DIV/0!</v>
      </c>
      <c r="T105" s="67" t="e">
        <f aca="false">S105-$BY105+$D$24</f>
        <v>#DIV/0!</v>
      </c>
      <c r="U105" s="0"/>
      <c r="V105" s="0"/>
      <c r="W105" s="0"/>
      <c r="X105" s="63" t="n">
        <f aca="false">IF(X$35="nymex",0,VLOOKUP($A105,curvesettle,HLOOKUP(X$35,curvesettle,2,FALSE())))</f>
        <v>0.26</v>
      </c>
      <c r="Y105" s="65" t="n">
        <f aca="false">IF(ISNUMBER(VLOOKUP($A105,VOLCURVES,HLOOKUP(X$35,VOLCURVES,2,FALSE()),FALSE())),VLOOKUP($A105,VOLCURVES,HLOOKUP(X$35,VOLCURVES,2,FALSE()),FALSE()),1)</f>
        <v>1</v>
      </c>
      <c r="Z105" s="184" t="n">
        <f aca="false">(($C105+AB105)*Y105)+$F$17</f>
        <v>0.24</v>
      </c>
      <c r="AA105" s="65" t="n">
        <f aca="false">VLOOKUP($A105,GASDVOLCURVES,HLOOKUP(X$36,GASDVOLCURVES,2,FALSE()),FALSE())+$F$18</f>
        <v>0.7</v>
      </c>
      <c r="AB105" s="4" t="n">
        <f aca="false">IF($F$20=1,VLOOKUP($A105,skewtable,HLOOKUP(ROUND(AC105-CK105,1),skewtable,2,FALSE()),FALSE())/100,0)</f>
        <v>0</v>
      </c>
      <c r="AC105" s="66" t="e">
        <f aca="false">IF($B$10=1,($CK105*$F$23)-$F$14,$F$22)</f>
        <v>#DIV/0!</v>
      </c>
      <c r="AD105" s="67" t="e">
        <f aca="false">AC105-$CK105+$F$24</f>
        <v>#DIV/0!</v>
      </c>
      <c r="AE105" s="0"/>
      <c r="AF105" s="0"/>
      <c r="AG105" s="0"/>
      <c r="AH105" s="63" t="n">
        <f aca="false">IF(AH$35="nymex",0,VLOOKUP($A105,curvesettle,HLOOKUP(AH$35,curvesettle,2,FALSE())))</f>
        <v>0.41</v>
      </c>
      <c r="AI105" s="65" t="n">
        <f aca="false">IF(ISNUMBER(VLOOKUP($A105,VOLCURVES,HLOOKUP(AH$35,VOLCURVES,2,FALSE()),FALSE())),VLOOKUP($A105,VOLCURVES,HLOOKUP(AH$35,VOLCURVES,2,FALSE()),FALSE()),1)</f>
        <v>1</v>
      </c>
      <c r="AJ105" s="184" t="n">
        <f aca="false">(($C105+AL105)*AI105)+$H$17</f>
        <v>0.24</v>
      </c>
      <c r="AK105" s="65" t="n">
        <f aca="false">VLOOKUP($A105,GASDVOLCURVES,HLOOKUP(AH$36,GASDVOLCURVES,2,FALSE()),FALSE())+$H$18</f>
        <v>1.1</v>
      </c>
      <c r="AL105" s="4" t="n">
        <f aca="false">IF($H$20=1,VLOOKUP($A105,skewtable,HLOOKUP(ROUND(AM105-CW105,1),skewtable,2,FALSE()),FALSE())/100,0)</f>
        <v>0</v>
      </c>
      <c r="AM105" s="66" t="e">
        <f aca="false">IF($B$10=1,($CW105*$H$23)-$H$14,$H$22)</f>
        <v>#DIV/0!</v>
      </c>
      <c r="AN105" s="67" t="e">
        <f aca="false">AM105-CW105+$H$24</f>
        <v>#DIV/0!</v>
      </c>
      <c r="AO105" s="0"/>
      <c r="AP105" s="0"/>
      <c r="AQ105" s="183"/>
      <c r="AR105" s="183"/>
      <c r="AU105" s="0"/>
      <c r="AV105" s="0"/>
      <c r="AW105" s="0"/>
      <c r="AX105" s="0"/>
      <c r="AY105" s="0"/>
      <c r="AZ105" s="0"/>
      <c r="BA105" s="0"/>
      <c r="BC105" s="64"/>
      <c r="BD105" s="64"/>
      <c r="BE105" s="4" t="n">
        <f aca="false">VLOOKUP($A105,STRADDLE,14,FALSE())</f>
        <v>0.0526331767058688</v>
      </c>
      <c r="BF105" s="72" t="n">
        <f aca="false">A106-A105</f>
        <v>31</v>
      </c>
      <c r="BG105" s="179" t="n">
        <f aca="false">A105+BG$35</f>
        <v>39295</v>
      </c>
      <c r="BH105" s="179" t="n">
        <f aca="false">A106-1</f>
        <v>39325</v>
      </c>
      <c r="BJ105" s="179" t="n">
        <f aca="true">IF(BJ$35=0,TODAY(),IF(BJ$36="NYMEX",VLOOKUP($A105,expiration,2,FALSE())+1,BG105))</f>
        <v>39291</v>
      </c>
      <c r="BK105" s="73"/>
      <c r="BL105" s="73" t="n">
        <f aca="false">IF($A105&gt;=BM$32,IF($A105&lt;=BM$33,$BF105,0),0)</f>
        <v>0</v>
      </c>
      <c r="BM105" s="73" t="e">
        <f aca="false">BO105/BL105</f>
        <v>#DIV/0!</v>
      </c>
      <c r="BN105" s="1" t="n">
        <f aca="false">BL105*($B105+B$15)</f>
        <v>0</v>
      </c>
      <c r="BO105" s="47" t="n">
        <f aca="false">IF(ISNUMBER(((BN105/BL105)+B$16+$D105+$B$14)*BL105),((BN105/BL105)+B$16+$D105+$B$14)*BL105,0)</f>
        <v>0</v>
      </c>
      <c r="BP105" s="76" t="n">
        <f aca="false">IF($BL105=0,0,OSTRIP($BM105,$I105,$BJ105-$B$2,$BG105-$BJ105,$BH105-$BJ105,$B$10,$BE105,$F105,$G105,$B$23,$J105,$BQ$34,0))</f>
        <v>0</v>
      </c>
      <c r="BQ105" s="76" t="n">
        <f aca="false">IF($BL105=0,0,OSTRIP($BM105,$I105,$BJ105-$B$2,$BG105-$BJ105,$BH105-$BJ105,$B$10,$BE105,$F105,$G105,$B$23,$J105,$BQ$34,1))</f>
        <v>0</v>
      </c>
      <c r="BR105" s="76" t="n">
        <f aca="false">IF($BL105=0,0,OSTRIP($BM105,$I105,$BJ105-$B$2,$BG105-$BJ105,$BH105-$BJ105,$B$10,$BE105,$F105,$G105,$B$23,$J105,$BQ$34,BQ$35))</f>
        <v>0</v>
      </c>
      <c r="BS105" s="37" t="n">
        <f aca="false">BL105*BP105</f>
        <v>0</v>
      </c>
      <c r="BT105" s="37" t="n">
        <f aca="false">BL105*BQ105</f>
        <v>0</v>
      </c>
      <c r="BU105" s="37" t="n">
        <f aca="false">BL105*BR105</f>
        <v>0</v>
      </c>
      <c r="BV105" s="37" t="n">
        <f aca="false">BL105*G105</f>
        <v>0</v>
      </c>
      <c r="BX105" s="73" t="n">
        <f aca="false">IF($A105&gt;=BY$32,IF($A105&lt;=BY$33,$BF105,0),0)</f>
        <v>0</v>
      </c>
      <c r="BY105" s="186" t="e">
        <f aca="false">CA105/BX105</f>
        <v>#DIV/0!</v>
      </c>
      <c r="BZ105" s="1" t="n">
        <f aca="false">BX105*($B105+$D$15)</f>
        <v>0</v>
      </c>
      <c r="CA105" s="47" t="n">
        <f aca="false">IF(ISNUMBER(((BZ105/BX105)+$D$16+$N105+$D$14)*BX105),((BZ105/BX105)+$D$16+$N105+$D$14)*BX105,0)</f>
        <v>0</v>
      </c>
      <c r="CB105" s="76" t="n">
        <f aca="false">IF($BX105=0,0,OSTRIP($BY105,$S105,$BJ105-$B$2,$BG105-$BJ105,$BH105-$BJ105,$B$10,$BE105,$P105,$Q105,$D$23,$T105,$CC$34,0))</f>
        <v>0</v>
      </c>
      <c r="CC105" s="76" t="n">
        <f aca="false">IF($BX105=0,0,OSTRIP($BY105,$S105,$BJ105-$B$2,$BG105-$BJ105,$BH105-$BJ105,$B$10,$BE105,$P105,$Q105,$D$23,$T105,$CC$34,1))</f>
        <v>0</v>
      </c>
      <c r="CD105" s="76" t="n">
        <f aca="false">IF($BX105=0,0,OSTRIP($BY105,$S105,$BJ105-$B$2,$BG105-$BJ105,$BH105-$BJ105,$B$10,$BE105,$P105,$Q105,$D$23,$T105,$CC$34,CC$35))</f>
        <v>0</v>
      </c>
      <c r="CE105" s="37" t="n">
        <f aca="false">BX105*CB105</f>
        <v>0</v>
      </c>
      <c r="CF105" s="37" t="n">
        <f aca="false">BX105*CC105</f>
        <v>0</v>
      </c>
      <c r="CG105" s="37" t="n">
        <f aca="false">BX105*CD105</f>
        <v>0</v>
      </c>
      <c r="CH105" s="37" t="n">
        <f aca="false">BX105*Q105</f>
        <v>0</v>
      </c>
      <c r="CJ105" s="73" t="n">
        <f aca="false">IF($A105&gt;=CK$32,IF($A105&lt;=CK$33,$BF105,0),0)</f>
        <v>0</v>
      </c>
      <c r="CK105" s="186" t="e">
        <f aca="false">CM105/CJ105</f>
        <v>#DIV/0!</v>
      </c>
      <c r="CL105" s="1" t="n">
        <f aca="false">CJ105*($B105+$F$15)</f>
        <v>0</v>
      </c>
      <c r="CM105" s="47" t="n">
        <f aca="false">IF(ISNUMBER(((CL105/CJ105)+$F$16+$X105+$F$14)*CJ105),((CL105/CJ105)+$F$16+$X105+$F$14)*CJ105,0)</f>
        <v>0</v>
      </c>
      <c r="CN105" s="76" t="n">
        <f aca="false">IF($CJ105=0,0,OSTRIP($CK105,$AC105,$BJ105-$B$2,$BG105-$BJ105,$BH105-$BJ105,$B$10,$BE105,$Z105,$AA105,$F$23,$AD105,$CO$34,0))</f>
        <v>0</v>
      </c>
      <c r="CO105" s="76" t="n">
        <f aca="false">IF($CJ105=0,0,OSTRIP($CK105,$AC105,$BJ105-$B$2,$BG105-$BJ105,$BH105-$BJ105,$B$10,$BE105,$Z105,$AA105,$F$23,$AD105,$CO$34,1))</f>
        <v>0</v>
      </c>
      <c r="CP105" s="76" t="n">
        <f aca="false">IF($CJ105=0,0,OSTRIP($CK105,$AC105,$BJ105-$B$2,$BG105-$BJ105,$BH105-$BJ105,$B$10,$BE105,$Z105,$AA105,$F$23,$AD105,$CO$34,$CO$35))</f>
        <v>0</v>
      </c>
      <c r="CQ105" s="37" t="n">
        <f aca="false">CJ105*CN105</f>
        <v>0</v>
      </c>
      <c r="CR105" s="37" t="n">
        <f aca="false">CJ105*CO105</f>
        <v>0</v>
      </c>
      <c r="CS105" s="37" t="n">
        <f aca="false">CJ105*CP105</f>
        <v>0</v>
      </c>
      <c r="CT105" s="37" t="n">
        <f aca="false">CJ105*AA105</f>
        <v>0</v>
      </c>
      <c r="CV105" s="73" t="n">
        <f aca="false">IF($A105&gt;=CW$32,IF($A105&lt;=CW$33,$BF105,0),0)</f>
        <v>0</v>
      </c>
      <c r="CW105" s="186" t="e">
        <f aca="false">CY105/CV105</f>
        <v>#DIV/0!</v>
      </c>
      <c r="CX105" s="1" t="n">
        <f aca="false">CV105*($B105+$H$15)</f>
        <v>0</v>
      </c>
      <c r="CY105" s="47" t="n">
        <f aca="false">IF(ISNUMBER(((CX105/CV105)+$H$16+$AH105+$H$14)*CV105),((CX105/CV105)+$H$16+$AH105+$H$14)*CV105,0)</f>
        <v>0</v>
      </c>
      <c r="CZ105" s="76" t="n">
        <f aca="false">IF($CV105=0,0,OSTRIP($CW105,$AM105,$BJ105-$B$2,$BG105-$BJ105,$BH105-$BJ105,$B$10,$BE105,$AJ105,$AK105,$H$23,$AN105,$DA$34,0))</f>
        <v>0</v>
      </c>
      <c r="DA105" s="76" t="n">
        <f aca="false">IF($CV105=0,0,OSTRIP($CW105,$AM105,$BJ105-$B$2,$BG105-$BJ105,$BH105-$BJ105,$B$10,$BE105,$AJ105,$AK105,$H$23,$AN105,$DA$34,1))</f>
        <v>0</v>
      </c>
      <c r="DB105" s="76" t="n">
        <f aca="false">IF($CV105=0,0,OSTRIP($CW105,$AM105,$BJ105-$B$2,$BG105-$BJ105,$BH105-$BJ105,$B$10,$BE105,$AJ105,$AK105,$H$23,$AN105,$DA$34,DA$35))</f>
        <v>0</v>
      </c>
      <c r="DC105" s="37" t="n">
        <f aca="false">CV105*CZ105</f>
        <v>0</v>
      </c>
      <c r="DD105" s="37" t="n">
        <f aca="false">CV105*DA105</f>
        <v>0</v>
      </c>
      <c r="DE105" s="37" t="n">
        <f aca="false">CV105*DB105</f>
        <v>0</v>
      </c>
      <c r="DF105" s="37" t="n">
        <f aca="false">CV105*AK105</f>
        <v>0</v>
      </c>
    </row>
    <row r="106" customFormat="false" ht="12.75" hidden="false" customHeight="false" outlineLevel="0" collapsed="false">
      <c r="A106" s="62" t="n">
        <f aca="false">DATE(YEAR(A105),MONTH(A105)+1,1)</f>
        <v>39326</v>
      </c>
      <c r="B106" s="63" t="n">
        <f aca="false">VLOOKUP(A106,STRADDLE,5,FALSE())</f>
        <v>3.5175</v>
      </c>
      <c r="C106" s="4" t="n">
        <f aca="false">VLOOKUP(A106,STRADDLE,8,FALSE())</f>
        <v>0.24</v>
      </c>
      <c r="D106" s="63" t="n">
        <f aca="false">IF(D$35="nymex",0,VLOOKUP($A106,curvesettle,HLOOKUP(D$35,curvesettle,2,FALSE())))</f>
        <v>0.315</v>
      </c>
      <c r="E106" s="65" t="n">
        <f aca="false">IF(ISNUMBER(VLOOKUP($A106,VOLCURVES,HLOOKUP(D$35,VOLCURVES,2,FALSE()),FALSE())),VLOOKUP($A106,VOLCURVES,HLOOKUP(D$35,VOLCURVES,2,FALSE()),FALSE()),1)</f>
        <v>0.98</v>
      </c>
      <c r="F106" s="4" t="n">
        <f aca="false">(($C106+H106)*$E106)+B$17</f>
        <v>0.3352</v>
      </c>
      <c r="G106" s="65" t="n">
        <f aca="false">VLOOKUP($A106,GASDVOLCURVES,HLOOKUP(D$36,GASDVOLCURVES,2,FALSE()),FALSE())+$B$18</f>
        <v>0.65</v>
      </c>
      <c r="H106" s="4" t="n">
        <f aca="false">IF($B$20=1,VLOOKUP($A106,skewtable,HLOOKUP(ROUND(I106-BM106,1),skewtable,2,FALSE()),FALSE())/100,0)</f>
        <v>0</v>
      </c>
      <c r="I106" s="66" t="e">
        <f aca="false">IF($B$10=1,($BM106*$B$23)-$B$14,$B$22)</f>
        <v>#DIV/0!</v>
      </c>
      <c r="J106" s="67" t="e">
        <f aca="false">I106-BM106+$B$24</f>
        <v>#DIV/0!</v>
      </c>
      <c r="K106" s="67"/>
      <c r="L106" s="183"/>
      <c r="M106" s="183"/>
      <c r="N106" s="63" t="n">
        <f aca="false">IF(N$35="nymex",0,VLOOKUP($A106,curvesettle,HLOOKUP(N$35,curvesettle,2,FALSE())))</f>
        <v>0.0225</v>
      </c>
      <c r="O106" s="65" t="n">
        <f aca="false">IF(ISNUMBER(VLOOKUP($A106,VOLCURVES,HLOOKUP(N$35,VOLCURVES,2,FALSE()),FALSE())),VLOOKUP($A106,VOLCURVES,HLOOKUP(N$35,VOLCURVES,2,FALSE()),FALSE()),1)</f>
        <v>1</v>
      </c>
      <c r="P106" s="184" t="n">
        <f aca="false">(($C106+R106)*O106)+$D$17</f>
        <v>0.24</v>
      </c>
      <c r="Q106" s="65" t="n">
        <f aca="false">VLOOKUP($A106,GASDVOLCURVES,HLOOKUP(N$36,GASDVOLCURVES,2,FALSE()),FALSE())+$D$18</f>
        <v>0.65</v>
      </c>
      <c r="R106" s="4" t="n">
        <f aca="false">IF($D$20=1,VLOOKUP($A106,skewtable,HLOOKUP(ROUND(S106-BY106,1),skewtable,2,FALSE()),FALSE())/100,0)</f>
        <v>0</v>
      </c>
      <c r="S106" s="66" t="e">
        <f aca="false">IF(B$10=1,($BY106*$D$23)-$D$14,$D$22)</f>
        <v>#DIV/0!</v>
      </c>
      <c r="T106" s="67" t="e">
        <f aca="false">S106-$BY106+$D$24</f>
        <v>#DIV/0!</v>
      </c>
      <c r="U106" s="0"/>
      <c r="V106" s="0"/>
      <c r="W106" s="0"/>
      <c r="X106" s="63" t="n">
        <f aca="false">IF(X$35="nymex",0,VLOOKUP($A106,curvesettle,HLOOKUP(X$35,curvesettle,2,FALSE())))</f>
        <v>0.26</v>
      </c>
      <c r="Y106" s="65" t="n">
        <f aca="false">IF(ISNUMBER(VLOOKUP($A106,VOLCURVES,HLOOKUP(X$35,VOLCURVES,2,FALSE()),FALSE())),VLOOKUP($A106,VOLCURVES,HLOOKUP(X$35,VOLCURVES,2,FALSE()),FALSE()),1)</f>
        <v>1</v>
      </c>
      <c r="Z106" s="184" t="n">
        <f aca="false">(($C106+AB106)*Y106)+$F$17</f>
        <v>0.24</v>
      </c>
      <c r="AA106" s="65" t="n">
        <f aca="false">VLOOKUP($A106,GASDVOLCURVES,HLOOKUP(X$36,GASDVOLCURVES,2,FALSE()),FALSE())+$F$18</f>
        <v>0.65</v>
      </c>
      <c r="AB106" s="4" t="n">
        <f aca="false">IF($F$20=1,VLOOKUP($A106,skewtable,HLOOKUP(ROUND(AC106-CK106,1),skewtable,2,FALSE()),FALSE())/100,0)</f>
        <v>0</v>
      </c>
      <c r="AC106" s="66" t="e">
        <f aca="false">IF($B$10=1,($CK106*$F$23)-$F$14,$F$22)</f>
        <v>#DIV/0!</v>
      </c>
      <c r="AD106" s="67" t="e">
        <f aca="false">AC106-$CK106+$F$24</f>
        <v>#DIV/0!</v>
      </c>
      <c r="AE106" s="0"/>
      <c r="AF106" s="0"/>
      <c r="AG106" s="0"/>
      <c r="AH106" s="63" t="n">
        <f aca="false">IF(AH$35="nymex",0,VLOOKUP($A106,curvesettle,HLOOKUP(AH$35,curvesettle,2,FALSE())))</f>
        <v>0.36</v>
      </c>
      <c r="AI106" s="65" t="n">
        <f aca="false">IF(ISNUMBER(VLOOKUP($A106,VOLCURVES,HLOOKUP(AH$35,VOLCURVES,2,FALSE()),FALSE())),VLOOKUP($A106,VOLCURVES,HLOOKUP(AH$35,VOLCURVES,2,FALSE()),FALSE()),1)</f>
        <v>1</v>
      </c>
      <c r="AJ106" s="184" t="n">
        <f aca="false">(($C106+AL106)*AI106)+$H$17</f>
        <v>0.24</v>
      </c>
      <c r="AK106" s="65" t="n">
        <f aca="false">VLOOKUP($A106,GASDVOLCURVES,HLOOKUP(AH$36,GASDVOLCURVES,2,FALSE()),FALSE())+$H$18</f>
        <v>1.1</v>
      </c>
      <c r="AL106" s="4" t="n">
        <f aca="false">IF($H$20=1,VLOOKUP($A106,skewtable,HLOOKUP(ROUND(AM106-CW106,1),skewtable,2,FALSE()),FALSE())/100,0)</f>
        <v>0</v>
      </c>
      <c r="AM106" s="66" t="e">
        <f aca="false">IF($B$10=1,($CW106*$H$23)-$H$14,$H$22)</f>
        <v>#DIV/0!</v>
      </c>
      <c r="AN106" s="67" t="e">
        <f aca="false">AM106-CW106+$H$24</f>
        <v>#DIV/0!</v>
      </c>
      <c r="AO106" s="0"/>
      <c r="AP106" s="0"/>
      <c r="AQ106" s="183"/>
      <c r="AR106" s="183"/>
      <c r="AU106" s="0"/>
      <c r="AV106" s="0"/>
      <c r="AW106" s="0"/>
      <c r="AX106" s="0"/>
      <c r="AY106" s="0"/>
      <c r="AZ106" s="0"/>
      <c r="BA106" s="0"/>
      <c r="BC106" s="64"/>
      <c r="BD106" s="64"/>
      <c r="BE106" s="4" t="n">
        <f aca="false">VLOOKUP($A106,STRADDLE,14,FALSE())</f>
        <v>0.0528146903868447</v>
      </c>
      <c r="BF106" s="72" t="n">
        <f aca="false">A107-A106</f>
        <v>30</v>
      </c>
      <c r="BG106" s="179" t="n">
        <f aca="false">A106+BG$35</f>
        <v>39326</v>
      </c>
      <c r="BH106" s="179" t="n">
        <f aca="false">A107-1</f>
        <v>39355</v>
      </c>
      <c r="BJ106" s="179" t="n">
        <f aca="true">IF(BJ$35=0,TODAY(),IF(BJ$36="NYMEX",VLOOKUP($A106,expiration,2,FALSE())+1,BG106))</f>
        <v>39324</v>
      </c>
      <c r="BK106" s="73"/>
      <c r="BL106" s="73" t="n">
        <f aca="false">IF($A106&gt;=BM$32,IF($A106&lt;=BM$33,$BF106,0),0)</f>
        <v>0</v>
      </c>
      <c r="BM106" s="73" t="e">
        <f aca="false">BO106/BL106</f>
        <v>#DIV/0!</v>
      </c>
      <c r="BN106" s="1" t="n">
        <f aca="false">BL106*($B106+B$15)</f>
        <v>0</v>
      </c>
      <c r="BO106" s="47" t="n">
        <f aca="false">IF(ISNUMBER(((BN106/BL106)+B$16+$D106+$B$14)*BL106),((BN106/BL106)+B$16+$D106+$B$14)*BL106,0)</f>
        <v>0</v>
      </c>
      <c r="BP106" s="76" t="n">
        <f aca="false">IF($BL106=0,0,OSTRIP($BM106,$I106,$BJ106-$B$2,$BG106-$BJ106,$BH106-$BJ106,$B$10,$BE106,$F106,$G106,$B$23,$J106,$BQ$34,0))</f>
        <v>0</v>
      </c>
      <c r="BQ106" s="76" t="n">
        <f aca="false">IF($BL106=0,0,OSTRIP($BM106,$I106,$BJ106-$B$2,$BG106-$BJ106,$BH106-$BJ106,$B$10,$BE106,$F106,$G106,$B$23,$J106,$BQ$34,1))</f>
        <v>0</v>
      </c>
      <c r="BR106" s="76" t="n">
        <f aca="false">IF($BL106=0,0,OSTRIP($BM106,$I106,$BJ106-$B$2,$BG106-$BJ106,$BH106-$BJ106,$B$10,$BE106,$F106,$G106,$B$23,$J106,$BQ$34,BQ$35))</f>
        <v>0</v>
      </c>
      <c r="BS106" s="37" t="n">
        <f aca="false">BL106*BP106</f>
        <v>0</v>
      </c>
      <c r="BT106" s="37" t="n">
        <f aca="false">BL106*BQ106</f>
        <v>0</v>
      </c>
      <c r="BU106" s="37" t="n">
        <f aca="false">BL106*BR106</f>
        <v>0</v>
      </c>
      <c r="BV106" s="37" t="n">
        <f aca="false">BL106*G106</f>
        <v>0</v>
      </c>
      <c r="BX106" s="73" t="n">
        <f aca="false">IF($A106&gt;=BY$32,IF($A106&lt;=BY$33,$BF106,0),0)</f>
        <v>0</v>
      </c>
      <c r="BY106" s="186" t="e">
        <f aca="false">CA106/BX106</f>
        <v>#DIV/0!</v>
      </c>
      <c r="BZ106" s="1" t="n">
        <f aca="false">BX106*($B106+$D$15)</f>
        <v>0</v>
      </c>
      <c r="CA106" s="47" t="n">
        <f aca="false">IF(ISNUMBER(((BZ106/BX106)+$D$16+$N106+$D$14)*BX106),((BZ106/BX106)+$D$16+$N106+$D$14)*BX106,0)</f>
        <v>0</v>
      </c>
      <c r="CB106" s="76" t="n">
        <f aca="false">IF($BX106=0,0,OSTRIP($BY106,$S106,$BJ106-$B$2,$BG106-$BJ106,$BH106-$BJ106,$B$10,$BE106,$P106,$Q106,$D$23,$T106,$CC$34,0))</f>
        <v>0</v>
      </c>
      <c r="CC106" s="76" t="n">
        <f aca="false">IF($BX106=0,0,OSTRIP($BY106,$S106,$BJ106-$B$2,$BG106-$BJ106,$BH106-$BJ106,$B$10,$BE106,$P106,$Q106,$D$23,$T106,$CC$34,1))</f>
        <v>0</v>
      </c>
      <c r="CD106" s="76" t="n">
        <f aca="false">IF($BX106=0,0,OSTRIP($BY106,$S106,$BJ106-$B$2,$BG106-$BJ106,$BH106-$BJ106,$B$10,$BE106,$P106,$Q106,$D$23,$T106,$CC$34,CC$35))</f>
        <v>0</v>
      </c>
      <c r="CE106" s="37" t="n">
        <f aca="false">BX106*CB106</f>
        <v>0</v>
      </c>
      <c r="CF106" s="37" t="n">
        <f aca="false">BX106*CC106</f>
        <v>0</v>
      </c>
      <c r="CG106" s="37" t="n">
        <f aca="false">BX106*CD106</f>
        <v>0</v>
      </c>
      <c r="CH106" s="37" t="n">
        <f aca="false">BX106*Q106</f>
        <v>0</v>
      </c>
      <c r="CJ106" s="73" t="n">
        <f aca="false">IF($A106&gt;=CK$32,IF($A106&lt;=CK$33,$BF106,0),0)</f>
        <v>0</v>
      </c>
      <c r="CK106" s="186" t="e">
        <f aca="false">CM106/CJ106</f>
        <v>#DIV/0!</v>
      </c>
      <c r="CL106" s="1" t="n">
        <f aca="false">CJ106*($B106+$F$15)</f>
        <v>0</v>
      </c>
      <c r="CM106" s="47" t="n">
        <f aca="false">IF(ISNUMBER(((CL106/CJ106)+$F$16+$X106+$F$14)*CJ106),((CL106/CJ106)+$F$16+$X106+$F$14)*CJ106,0)</f>
        <v>0</v>
      </c>
      <c r="CN106" s="76" t="n">
        <f aca="false">IF($CJ106=0,0,OSTRIP($CK106,$AC106,$BJ106-$B$2,$BG106-$BJ106,$BH106-$BJ106,$B$10,$BE106,$Z106,$AA106,$F$23,$AD106,$CO$34,0))</f>
        <v>0</v>
      </c>
      <c r="CO106" s="76" t="n">
        <f aca="false">IF($CJ106=0,0,OSTRIP($CK106,$AC106,$BJ106-$B$2,$BG106-$BJ106,$BH106-$BJ106,$B$10,$BE106,$Z106,$AA106,$F$23,$AD106,$CO$34,1))</f>
        <v>0</v>
      </c>
      <c r="CP106" s="76" t="n">
        <f aca="false">IF($CJ106=0,0,OSTRIP($CK106,$AC106,$BJ106-$B$2,$BG106-$BJ106,$BH106-$BJ106,$B$10,$BE106,$Z106,$AA106,$F$23,$AD106,$CO$34,$CO$35))</f>
        <v>0</v>
      </c>
      <c r="CQ106" s="37" t="n">
        <f aca="false">CJ106*CN106</f>
        <v>0</v>
      </c>
      <c r="CR106" s="37" t="n">
        <f aca="false">CJ106*CO106</f>
        <v>0</v>
      </c>
      <c r="CS106" s="37" t="n">
        <f aca="false">CJ106*CP106</f>
        <v>0</v>
      </c>
      <c r="CT106" s="37" t="n">
        <f aca="false">CJ106*AA106</f>
        <v>0</v>
      </c>
      <c r="CV106" s="73" t="n">
        <f aca="false">IF($A106&gt;=CW$32,IF($A106&lt;=CW$33,$BF106,0),0)</f>
        <v>0</v>
      </c>
      <c r="CW106" s="186" t="e">
        <f aca="false">CY106/CV106</f>
        <v>#DIV/0!</v>
      </c>
      <c r="CX106" s="1" t="n">
        <f aca="false">CV106*($B106+$H$15)</f>
        <v>0</v>
      </c>
      <c r="CY106" s="47" t="n">
        <f aca="false">IF(ISNUMBER(((CX106/CV106)+$H$16+$AH106+$H$14)*CV106),((CX106/CV106)+$H$16+$AH106+$H$14)*CV106,0)</f>
        <v>0</v>
      </c>
      <c r="CZ106" s="76" t="n">
        <f aca="false">IF($CV106=0,0,OSTRIP($CW106,$AM106,$BJ106-$B$2,$BG106-$BJ106,$BH106-$BJ106,$B$10,$BE106,$AJ106,$AK106,$H$23,$AN106,$DA$34,0))</f>
        <v>0</v>
      </c>
      <c r="DA106" s="76" t="n">
        <f aca="false">IF($CV106=0,0,OSTRIP($CW106,$AM106,$BJ106-$B$2,$BG106-$BJ106,$BH106-$BJ106,$B$10,$BE106,$AJ106,$AK106,$H$23,$AN106,$DA$34,1))</f>
        <v>0</v>
      </c>
      <c r="DB106" s="76" t="n">
        <f aca="false">IF($CV106=0,0,OSTRIP($CW106,$AM106,$BJ106-$B$2,$BG106-$BJ106,$BH106-$BJ106,$B$10,$BE106,$AJ106,$AK106,$H$23,$AN106,$DA$34,DA$35))</f>
        <v>0</v>
      </c>
      <c r="DC106" s="37" t="n">
        <f aca="false">CV106*CZ106</f>
        <v>0</v>
      </c>
      <c r="DD106" s="37" t="n">
        <f aca="false">CV106*DA106</f>
        <v>0</v>
      </c>
      <c r="DE106" s="37" t="n">
        <f aca="false">CV106*DB106</f>
        <v>0</v>
      </c>
      <c r="DF106" s="37" t="n">
        <f aca="false">CV106*AK106</f>
        <v>0</v>
      </c>
    </row>
    <row r="107" customFormat="false" ht="12.75" hidden="false" customHeight="false" outlineLevel="0" collapsed="false">
      <c r="A107" s="62" t="n">
        <f aca="false">DATE(YEAR(A106),MONTH(A106)+1,1)</f>
        <v>39356</v>
      </c>
      <c r="B107" s="63" t="n">
        <f aca="false">VLOOKUP(A107,STRADDLE,5,FALSE())</f>
        <v>3.5425</v>
      </c>
      <c r="C107" s="4" t="n">
        <f aca="false">VLOOKUP(A107,STRADDLE,8,FALSE())</f>
        <v>0.24</v>
      </c>
      <c r="D107" s="63" t="n">
        <f aca="false">IF(D$35="nymex",0,VLOOKUP($A107,curvesettle,HLOOKUP(D$35,curvesettle,2,FALSE())))</f>
        <v>0.36</v>
      </c>
      <c r="E107" s="65" t="n">
        <f aca="false">IF(ISNUMBER(VLOOKUP($A107,VOLCURVES,HLOOKUP(D$35,VOLCURVES,2,FALSE()),FALSE())),VLOOKUP($A107,VOLCURVES,HLOOKUP(D$35,VOLCURVES,2,FALSE()),FALSE()),1)</f>
        <v>0.98</v>
      </c>
      <c r="F107" s="4" t="n">
        <f aca="false">(($C107+H107)*$E107)+B$17</f>
        <v>0.3352</v>
      </c>
      <c r="G107" s="65" t="n">
        <f aca="false">VLOOKUP($A107,GASDVOLCURVES,HLOOKUP(D$36,GASDVOLCURVES,2,FALSE()),FALSE())+$B$18</f>
        <v>0.7</v>
      </c>
      <c r="H107" s="4" t="n">
        <f aca="false">IF($B$20=1,VLOOKUP($A107,skewtable,HLOOKUP(ROUND(I107-BM107,1),skewtable,2,FALSE()),FALSE())/100,0)</f>
        <v>0</v>
      </c>
      <c r="I107" s="66" t="e">
        <f aca="false">IF($B$10=1,($BM107*$B$23)-$B$14,$B$22)</f>
        <v>#DIV/0!</v>
      </c>
      <c r="J107" s="67" t="e">
        <f aca="false">I107-BM107+$B$24</f>
        <v>#DIV/0!</v>
      </c>
      <c r="K107" s="67"/>
      <c r="L107" s="183"/>
      <c r="M107" s="183"/>
      <c r="N107" s="63" t="n">
        <f aca="false">IF(N$35="nymex",0,VLOOKUP($A107,curvesettle,HLOOKUP(N$35,curvesettle,2,FALSE())))</f>
        <v>0.0125</v>
      </c>
      <c r="O107" s="65" t="n">
        <f aca="false">IF(ISNUMBER(VLOOKUP($A107,VOLCURVES,HLOOKUP(N$35,VOLCURVES,2,FALSE()),FALSE())),VLOOKUP($A107,VOLCURVES,HLOOKUP(N$35,VOLCURVES,2,FALSE()),FALSE()),1)</f>
        <v>1</v>
      </c>
      <c r="P107" s="184" t="n">
        <f aca="false">(($C107+R107)*O107)+$D$17</f>
        <v>0.24</v>
      </c>
      <c r="Q107" s="65" t="n">
        <f aca="false">VLOOKUP($A107,GASDVOLCURVES,HLOOKUP(N$36,GASDVOLCURVES,2,FALSE()),FALSE())+$D$18</f>
        <v>0.7</v>
      </c>
      <c r="R107" s="4" t="n">
        <f aca="false">IF($D$20=1,VLOOKUP($A107,skewtable,HLOOKUP(ROUND(S107-BY107,1),skewtable,2,FALSE()),FALSE())/100,0)</f>
        <v>0</v>
      </c>
      <c r="S107" s="66" t="e">
        <f aca="false">IF(B$10=1,($BY107*$D$23)-$D$14,$D$22)</f>
        <v>#DIV/0!</v>
      </c>
      <c r="T107" s="67" t="e">
        <f aca="false">S107-$BY107+$D$24</f>
        <v>#DIV/0!</v>
      </c>
      <c r="U107" s="0"/>
      <c r="V107" s="0"/>
      <c r="W107" s="0"/>
      <c r="X107" s="63" t="n">
        <f aca="false">IF(X$35="nymex",0,VLOOKUP($A107,curvesettle,HLOOKUP(X$35,curvesettle,2,FALSE())))</f>
        <v>0.26</v>
      </c>
      <c r="Y107" s="65" t="n">
        <f aca="false">IF(ISNUMBER(VLOOKUP($A107,VOLCURVES,HLOOKUP(X$35,VOLCURVES,2,FALSE()),FALSE())),VLOOKUP($A107,VOLCURVES,HLOOKUP(X$35,VOLCURVES,2,FALSE()),FALSE()),1)</f>
        <v>1</v>
      </c>
      <c r="Z107" s="184" t="n">
        <f aca="false">(($C107+AB107)*Y107)+$F$17</f>
        <v>0.24</v>
      </c>
      <c r="AA107" s="65" t="n">
        <f aca="false">VLOOKUP($A107,GASDVOLCURVES,HLOOKUP(X$36,GASDVOLCURVES,2,FALSE()),FALSE())+$F$18</f>
        <v>0.7</v>
      </c>
      <c r="AB107" s="4" t="n">
        <f aca="false">IF($F$20=1,VLOOKUP($A107,skewtable,HLOOKUP(ROUND(AC107-CK107,1),skewtable,2,FALSE()),FALSE())/100,0)</f>
        <v>0</v>
      </c>
      <c r="AC107" s="66" t="e">
        <f aca="false">IF($B$10=1,($CK107*$F$23)-$F$14,$F$22)</f>
        <v>#DIV/0!</v>
      </c>
      <c r="AD107" s="67" t="e">
        <f aca="false">AC107-$CK107+$F$24</f>
        <v>#DIV/0!</v>
      </c>
      <c r="AE107" s="0"/>
      <c r="AF107" s="0"/>
      <c r="AG107" s="0"/>
      <c r="AH107" s="63" t="n">
        <f aca="false">IF(AH$35="nymex",0,VLOOKUP($A107,curvesettle,HLOOKUP(AH$35,curvesettle,2,FALSE())))</f>
        <v>0.4</v>
      </c>
      <c r="AI107" s="65" t="n">
        <f aca="false">IF(ISNUMBER(VLOOKUP($A107,VOLCURVES,HLOOKUP(AH$35,VOLCURVES,2,FALSE()),FALSE())),VLOOKUP($A107,VOLCURVES,HLOOKUP(AH$35,VOLCURVES,2,FALSE()),FALSE()),1)</f>
        <v>1</v>
      </c>
      <c r="AJ107" s="184" t="n">
        <f aca="false">(($C107+AL107)*AI107)+$H$17</f>
        <v>0.24</v>
      </c>
      <c r="AK107" s="65" t="n">
        <f aca="false">VLOOKUP($A107,GASDVOLCURVES,HLOOKUP(AH$36,GASDVOLCURVES,2,FALSE()),FALSE())+$H$18</f>
        <v>1.15</v>
      </c>
      <c r="AL107" s="4" t="n">
        <f aca="false">IF($H$20=1,VLOOKUP($A107,skewtable,HLOOKUP(ROUND(AM107-CW107,1),skewtable,2,FALSE()),FALSE())/100,0)</f>
        <v>0</v>
      </c>
      <c r="AM107" s="66" t="e">
        <f aca="false">IF($B$10=1,($CW107*$H$23)-$H$14,$H$22)</f>
        <v>#DIV/0!</v>
      </c>
      <c r="AN107" s="67" t="e">
        <f aca="false">AM107-CW107+$H$24</f>
        <v>#DIV/0!</v>
      </c>
      <c r="AO107" s="0"/>
      <c r="AP107" s="0"/>
      <c r="AQ107" s="183"/>
      <c r="AR107" s="183"/>
      <c r="AU107" s="0"/>
      <c r="AV107" s="0"/>
      <c r="AW107" s="0"/>
      <c r="AX107" s="0"/>
      <c r="AY107" s="0"/>
      <c r="AZ107" s="0"/>
      <c r="BA107" s="0"/>
      <c r="BC107" s="64"/>
      <c r="BD107" s="64"/>
      <c r="BE107" s="4" t="n">
        <f aca="false">VLOOKUP($A107,STRADDLE,14,FALSE())</f>
        <v>0.0529903487982488</v>
      </c>
      <c r="BF107" s="72" t="n">
        <f aca="false">A108-A107</f>
        <v>31</v>
      </c>
      <c r="BG107" s="179" t="n">
        <f aca="false">A107+BG$35</f>
        <v>39356</v>
      </c>
      <c r="BH107" s="179" t="n">
        <f aca="false">A108-1</f>
        <v>39386</v>
      </c>
      <c r="BJ107" s="179" t="n">
        <f aca="true">IF(BJ$35=0,TODAY(),IF(BJ$36="NYMEX",VLOOKUP($A107,expiration,2,FALSE())+1,BG107))</f>
        <v>39352</v>
      </c>
      <c r="BK107" s="73"/>
      <c r="BL107" s="73" t="n">
        <f aca="false">IF($A107&gt;=BM$32,IF($A107&lt;=BM$33,$BF107,0),0)</f>
        <v>0</v>
      </c>
      <c r="BM107" s="73" t="e">
        <f aca="false">BO107/BL107</f>
        <v>#DIV/0!</v>
      </c>
      <c r="BN107" s="1" t="n">
        <f aca="false">BL107*($B107+B$15)</f>
        <v>0</v>
      </c>
      <c r="BO107" s="47" t="n">
        <f aca="false">IF(ISNUMBER(((BN107/BL107)+B$16+$D107+$B$14)*BL107),((BN107/BL107)+B$16+$D107+$B$14)*BL107,0)</f>
        <v>0</v>
      </c>
      <c r="BP107" s="76" t="n">
        <f aca="false">IF($BL107=0,0,OSTRIP($BM107,$I107,$BJ107-$B$2,$BG107-$BJ107,$BH107-$BJ107,$B$10,$BE107,$F107,$G107,$B$23,$J107,$BQ$34,0))</f>
        <v>0</v>
      </c>
      <c r="BQ107" s="76" t="n">
        <f aca="false">IF($BL107=0,0,OSTRIP($BM107,$I107,$BJ107-$B$2,$BG107-$BJ107,$BH107-$BJ107,$B$10,$BE107,$F107,$G107,$B$23,$J107,$BQ$34,1))</f>
        <v>0</v>
      </c>
      <c r="BR107" s="76" t="n">
        <f aca="false">IF($BL107=0,0,OSTRIP($BM107,$I107,$BJ107-$B$2,$BG107-$BJ107,$BH107-$BJ107,$B$10,$BE107,$F107,$G107,$B$23,$J107,$BQ$34,BQ$35))</f>
        <v>0</v>
      </c>
      <c r="BS107" s="37" t="n">
        <f aca="false">BL107*BP107</f>
        <v>0</v>
      </c>
      <c r="BT107" s="37" t="n">
        <f aca="false">BL107*BQ107</f>
        <v>0</v>
      </c>
      <c r="BU107" s="37" t="n">
        <f aca="false">BL107*BR107</f>
        <v>0</v>
      </c>
      <c r="BV107" s="37" t="n">
        <f aca="false">BL107*G107</f>
        <v>0</v>
      </c>
      <c r="BX107" s="73" t="n">
        <f aca="false">IF($A107&gt;=BY$32,IF($A107&lt;=BY$33,$BF107,0),0)</f>
        <v>0</v>
      </c>
      <c r="BY107" s="186" t="e">
        <f aca="false">CA107/BX107</f>
        <v>#DIV/0!</v>
      </c>
      <c r="BZ107" s="1" t="n">
        <f aca="false">BX107*($B107+$D$15)</f>
        <v>0</v>
      </c>
      <c r="CA107" s="47" t="n">
        <f aca="false">IF(ISNUMBER(((BZ107/BX107)+$D$16+$N107+$D$14)*BX107),((BZ107/BX107)+$D$16+$N107+$D$14)*BX107,0)</f>
        <v>0</v>
      </c>
      <c r="CB107" s="76" t="n">
        <f aca="false">IF($BX107=0,0,OSTRIP($BY107,$S107,$BJ107-$B$2,$BG107-$BJ107,$BH107-$BJ107,$B$10,$BE107,$P107,$Q107,$D$23,$T107,$CC$34,0))</f>
        <v>0</v>
      </c>
      <c r="CC107" s="76" t="n">
        <f aca="false">IF($BX107=0,0,OSTRIP($BY107,$S107,$BJ107-$B$2,$BG107-$BJ107,$BH107-$BJ107,$B$10,$BE107,$P107,$Q107,$D$23,$T107,$CC$34,1))</f>
        <v>0</v>
      </c>
      <c r="CD107" s="76" t="n">
        <f aca="false">IF($BX107=0,0,OSTRIP($BY107,$S107,$BJ107-$B$2,$BG107-$BJ107,$BH107-$BJ107,$B$10,$BE107,$P107,$Q107,$D$23,$T107,$CC$34,CC$35))</f>
        <v>0</v>
      </c>
      <c r="CE107" s="37" t="n">
        <f aca="false">BX107*CB107</f>
        <v>0</v>
      </c>
      <c r="CF107" s="37" t="n">
        <f aca="false">BX107*CC107</f>
        <v>0</v>
      </c>
      <c r="CG107" s="37" t="n">
        <f aca="false">BX107*CD107</f>
        <v>0</v>
      </c>
      <c r="CH107" s="37" t="n">
        <f aca="false">BX107*Q107</f>
        <v>0</v>
      </c>
      <c r="CJ107" s="73" t="n">
        <f aca="false">IF($A107&gt;=CK$32,IF($A107&lt;=CK$33,$BF107,0),0)</f>
        <v>0</v>
      </c>
      <c r="CK107" s="186" t="e">
        <f aca="false">CM107/CJ107</f>
        <v>#DIV/0!</v>
      </c>
      <c r="CL107" s="1" t="n">
        <f aca="false">CJ107*($B107+$F$15)</f>
        <v>0</v>
      </c>
      <c r="CM107" s="47" t="n">
        <f aca="false">IF(ISNUMBER(((CL107/CJ107)+$F$16+$X107+$F$14)*CJ107),((CL107/CJ107)+$F$16+$X107+$F$14)*CJ107,0)</f>
        <v>0</v>
      </c>
      <c r="CN107" s="76" t="n">
        <f aca="false">IF($CJ107=0,0,OSTRIP($CK107,$AC107,$BJ107-$B$2,$BG107-$BJ107,$BH107-$BJ107,$B$10,$BE107,$Z107,$AA107,$F$23,$AD107,$CO$34,0))</f>
        <v>0</v>
      </c>
      <c r="CO107" s="76" t="n">
        <f aca="false">IF($CJ107=0,0,OSTRIP($CK107,$AC107,$BJ107-$B$2,$BG107-$BJ107,$BH107-$BJ107,$B$10,$BE107,$Z107,$AA107,$F$23,$AD107,$CO$34,1))</f>
        <v>0</v>
      </c>
      <c r="CP107" s="76" t="n">
        <f aca="false">IF($CJ107=0,0,OSTRIP($CK107,$AC107,$BJ107-$B$2,$BG107-$BJ107,$BH107-$BJ107,$B$10,$BE107,$Z107,$AA107,$F$23,$AD107,$CO$34,$CO$35))</f>
        <v>0</v>
      </c>
      <c r="CQ107" s="37" t="n">
        <f aca="false">CJ107*CN107</f>
        <v>0</v>
      </c>
      <c r="CR107" s="37" t="n">
        <f aca="false">CJ107*CO107</f>
        <v>0</v>
      </c>
      <c r="CS107" s="37" t="n">
        <f aca="false">CJ107*CP107</f>
        <v>0</v>
      </c>
      <c r="CT107" s="37" t="n">
        <f aca="false">CJ107*AA107</f>
        <v>0</v>
      </c>
      <c r="CV107" s="73" t="n">
        <f aca="false">IF($A107&gt;=CW$32,IF($A107&lt;=CW$33,$BF107,0),0)</f>
        <v>0</v>
      </c>
      <c r="CW107" s="186" t="e">
        <f aca="false">CY107/CV107</f>
        <v>#DIV/0!</v>
      </c>
      <c r="CX107" s="1" t="n">
        <f aca="false">CV107*($B107+$H$15)</f>
        <v>0</v>
      </c>
      <c r="CY107" s="47" t="n">
        <f aca="false">IF(ISNUMBER(((CX107/CV107)+$H$16+$AH107+$H$14)*CV107),((CX107/CV107)+$H$16+$AH107+$H$14)*CV107,0)</f>
        <v>0</v>
      </c>
      <c r="CZ107" s="76" t="n">
        <f aca="false">IF($CV107=0,0,OSTRIP($CW107,$AM107,$BJ107-$B$2,$BG107-$BJ107,$BH107-$BJ107,$B$10,$BE107,$AJ107,$AK107,$H$23,$AN107,$DA$34,0))</f>
        <v>0</v>
      </c>
      <c r="DA107" s="76" t="n">
        <f aca="false">IF($CV107=0,0,OSTRIP($CW107,$AM107,$BJ107-$B$2,$BG107-$BJ107,$BH107-$BJ107,$B$10,$BE107,$AJ107,$AK107,$H$23,$AN107,$DA$34,1))</f>
        <v>0</v>
      </c>
      <c r="DB107" s="76" t="n">
        <f aca="false">IF($CV107=0,0,OSTRIP($CW107,$AM107,$BJ107-$B$2,$BG107-$BJ107,$BH107-$BJ107,$B$10,$BE107,$AJ107,$AK107,$H$23,$AN107,$DA$34,DA$35))</f>
        <v>0</v>
      </c>
      <c r="DC107" s="37" t="n">
        <f aca="false">CV107*CZ107</f>
        <v>0</v>
      </c>
      <c r="DD107" s="37" t="n">
        <f aca="false">CV107*DA107</f>
        <v>0</v>
      </c>
      <c r="DE107" s="37" t="n">
        <f aca="false">CV107*DB107</f>
        <v>0</v>
      </c>
      <c r="DF107" s="37" t="n">
        <f aca="false">CV107*AK107</f>
        <v>0</v>
      </c>
    </row>
    <row r="108" customFormat="false" ht="12.75" hidden="false" customHeight="false" outlineLevel="0" collapsed="false">
      <c r="A108" s="62" t="n">
        <f aca="false">DATE(YEAR(A107),MONTH(A107)+1,1)</f>
        <v>39387</v>
      </c>
      <c r="B108" s="63" t="n">
        <f aca="false">VLOOKUP(A108,STRADDLE,5,FALSE())</f>
        <v>3.6945</v>
      </c>
      <c r="C108" s="4" t="n">
        <f aca="false">VLOOKUP(A108,STRADDLE,8,FALSE())</f>
        <v>0.24</v>
      </c>
      <c r="D108" s="63" t="n">
        <f aca="false">IF(D$35="nymex",0,VLOOKUP($A108,curvesettle,HLOOKUP(D$35,curvesettle,2,FALSE())))</f>
        <v>0.46</v>
      </c>
      <c r="E108" s="65" t="n">
        <f aca="false">IF(ISNUMBER(VLOOKUP($A108,VOLCURVES,HLOOKUP(D$35,VOLCURVES,2,FALSE()),FALSE())),VLOOKUP($A108,VOLCURVES,HLOOKUP(D$35,VOLCURVES,2,FALSE()),FALSE()),1)</f>
        <v>1.1</v>
      </c>
      <c r="F108" s="4" t="n">
        <f aca="false">(($C108+H108)*$E108)+B$17</f>
        <v>0.364</v>
      </c>
      <c r="G108" s="65" t="n">
        <f aca="false">VLOOKUP($A108,GASDVOLCURVES,HLOOKUP(D$36,GASDVOLCURVES,2,FALSE()),FALSE())+$B$18</f>
        <v>0.9</v>
      </c>
      <c r="H108" s="4" t="n">
        <f aca="false">IF($B$20=1,VLOOKUP($A108,skewtable,HLOOKUP(ROUND(I108-BM108,1),skewtable,2,FALSE()),FALSE())/100,0)</f>
        <v>0</v>
      </c>
      <c r="I108" s="66" t="e">
        <f aca="false">IF($B$10=1,($BM108*$B$23)-$B$14,$B$22)</f>
        <v>#DIV/0!</v>
      </c>
      <c r="J108" s="67" t="e">
        <f aca="false">I108-BM108+$B$24</f>
        <v>#DIV/0!</v>
      </c>
      <c r="K108" s="67"/>
      <c r="L108" s="183"/>
      <c r="M108" s="183"/>
      <c r="N108" s="63" t="n">
        <f aca="false">IF(N$35="nymex",0,VLOOKUP($A108,curvesettle,HLOOKUP(N$35,curvesettle,2,FALSE())))</f>
        <v>-0.0225</v>
      </c>
      <c r="O108" s="65" t="n">
        <f aca="false">IF(ISNUMBER(VLOOKUP($A108,VOLCURVES,HLOOKUP(N$35,VOLCURVES,2,FALSE()),FALSE())),VLOOKUP($A108,VOLCURVES,HLOOKUP(N$35,VOLCURVES,2,FALSE()),FALSE()),1)</f>
        <v>1</v>
      </c>
      <c r="P108" s="184" t="n">
        <f aca="false">(($C108+R108)*O108)+$D$17</f>
        <v>0.24</v>
      </c>
      <c r="Q108" s="65" t="n">
        <f aca="false">VLOOKUP($A108,GASDVOLCURVES,HLOOKUP(N$36,GASDVOLCURVES,2,FALSE()),FALSE())+$D$18</f>
        <v>0.9</v>
      </c>
      <c r="R108" s="4" t="n">
        <f aca="false">IF($D$20=1,VLOOKUP($A108,skewtable,HLOOKUP(ROUND(S108-BY108,1),skewtable,2,FALSE()),FALSE())/100,0)</f>
        <v>0</v>
      </c>
      <c r="S108" s="66" t="e">
        <f aca="false">IF(B$10=1,($BY108*$D$23)-$D$14,$D$22)</f>
        <v>#DIV/0!</v>
      </c>
      <c r="T108" s="67" t="e">
        <f aca="false">S108-$BY108+$D$24</f>
        <v>#DIV/0!</v>
      </c>
      <c r="U108" s="0"/>
      <c r="V108" s="0"/>
      <c r="W108" s="0"/>
      <c r="X108" s="63" t="n">
        <f aca="false">IF(X$35="nymex",0,VLOOKUP($A108,curvesettle,HLOOKUP(X$35,curvesettle,2,FALSE())))</f>
        <v>0.24</v>
      </c>
      <c r="Y108" s="65" t="n">
        <f aca="false">IF(ISNUMBER(VLOOKUP($A108,VOLCURVES,HLOOKUP(X$35,VOLCURVES,2,FALSE()),FALSE())),VLOOKUP($A108,VOLCURVES,HLOOKUP(X$35,VOLCURVES,2,FALSE()),FALSE()),1)</f>
        <v>1</v>
      </c>
      <c r="Z108" s="184" t="n">
        <f aca="false">(($C108+AB108)*Y108)+$F$17</f>
        <v>0.24</v>
      </c>
      <c r="AA108" s="65" t="n">
        <f aca="false">VLOOKUP($A108,GASDVOLCURVES,HLOOKUP(X$36,GASDVOLCURVES,2,FALSE()),FALSE())+$F$18</f>
        <v>0.9</v>
      </c>
      <c r="AB108" s="4" t="n">
        <f aca="false">IF($F$20=1,VLOOKUP($A108,skewtable,HLOOKUP(ROUND(AC108-CK108,1),skewtable,2,FALSE()),FALSE())/100,0)</f>
        <v>0</v>
      </c>
      <c r="AC108" s="66" t="e">
        <f aca="false">IF($B$10=1,($CK108*$F$23)-$F$14,$F$22)</f>
        <v>#DIV/0!</v>
      </c>
      <c r="AD108" s="67" t="e">
        <f aca="false">AC108-$CK108+$F$24</f>
        <v>#DIV/0!</v>
      </c>
      <c r="AE108" s="0"/>
      <c r="AF108" s="0"/>
      <c r="AG108" s="0"/>
      <c r="AH108" s="63" t="n">
        <f aca="false">IF(AH$35="nymex",0,VLOOKUP($A108,curvesettle,HLOOKUP(AH$35,curvesettle,2,FALSE())))</f>
        <v>0.65</v>
      </c>
      <c r="AI108" s="65" t="n">
        <f aca="false">IF(ISNUMBER(VLOOKUP($A108,VOLCURVES,HLOOKUP(AH$35,VOLCURVES,2,FALSE()),FALSE())),VLOOKUP($A108,VOLCURVES,HLOOKUP(AH$35,VOLCURVES,2,FALSE()),FALSE()),1)</f>
        <v>1.1</v>
      </c>
      <c r="AJ108" s="184" t="n">
        <f aca="false">(($C108+AL108)*AI108)+$H$17</f>
        <v>0.264</v>
      </c>
      <c r="AK108" s="65" t="n">
        <f aca="false">VLOOKUP($A108,GASDVOLCURVES,HLOOKUP(AH$36,GASDVOLCURVES,2,FALSE()),FALSE())+$H$18</f>
        <v>1.45</v>
      </c>
      <c r="AL108" s="4" t="n">
        <f aca="false">IF($H$20=1,VLOOKUP($A108,skewtable,HLOOKUP(ROUND(AM108-CW108,1),skewtable,2,FALSE()),FALSE())/100,0)</f>
        <v>0</v>
      </c>
      <c r="AM108" s="66" t="e">
        <f aca="false">IF($B$10=1,($CW108*$H$23)-$H$14,$H$22)</f>
        <v>#DIV/0!</v>
      </c>
      <c r="AN108" s="67" t="e">
        <f aca="false">AM108-CW108+$H$24</f>
        <v>#DIV/0!</v>
      </c>
      <c r="AO108" s="0"/>
      <c r="AP108" s="0"/>
      <c r="AQ108" s="183"/>
      <c r="AR108" s="183"/>
      <c r="AU108" s="0"/>
      <c r="AV108" s="0"/>
      <c r="AW108" s="0"/>
      <c r="AX108" s="0"/>
      <c r="AY108" s="0"/>
      <c r="AZ108" s="0"/>
      <c r="BA108" s="0"/>
      <c r="BC108" s="64"/>
      <c r="BD108" s="64"/>
      <c r="BE108" s="4" t="n">
        <f aca="false">VLOOKUP($A108,STRADDLE,14,FALSE())</f>
        <v>0.0531718625008408</v>
      </c>
      <c r="BF108" s="72" t="n">
        <f aca="false">A109-A108</f>
        <v>30</v>
      </c>
      <c r="BG108" s="179" t="n">
        <f aca="false">A108+BG$35</f>
        <v>39387</v>
      </c>
      <c r="BH108" s="179" t="n">
        <f aca="false">A109-1</f>
        <v>39416</v>
      </c>
      <c r="BJ108" s="179" t="n">
        <f aca="true">IF(BJ$35=0,TODAY(),IF(BJ$36="NYMEX",VLOOKUP($A108,expiration,2,FALSE())+1,BG108))</f>
        <v>39385</v>
      </c>
      <c r="BK108" s="73"/>
      <c r="BL108" s="73" t="n">
        <f aca="false">IF($A108&gt;=BM$32,IF($A108&lt;=BM$33,$BF108,0),0)</f>
        <v>0</v>
      </c>
      <c r="BM108" s="73" t="e">
        <f aca="false">BO108/BL108</f>
        <v>#DIV/0!</v>
      </c>
      <c r="BN108" s="1" t="n">
        <f aca="false">BL108*($B108+B$15)</f>
        <v>0</v>
      </c>
      <c r="BO108" s="47" t="n">
        <f aca="false">IF(ISNUMBER(((BN108/BL108)+B$16+$D108+$B$14)*BL108),((BN108/BL108)+B$16+$D108+$B$14)*BL108,0)</f>
        <v>0</v>
      </c>
      <c r="BP108" s="76" t="n">
        <f aca="false">IF($BL108=0,0,OSTRIP($BM108,$I108,$BJ108-$B$2,$BG108-$BJ108,$BH108-$BJ108,$B$10,$BE108,$F108,$G108,$B$23,$J108,$BQ$34,0))</f>
        <v>0</v>
      </c>
      <c r="BQ108" s="76" t="n">
        <f aca="false">IF($BL108=0,0,OSTRIP($BM108,$I108,$BJ108-$B$2,$BG108-$BJ108,$BH108-$BJ108,$B$10,$BE108,$F108,$G108,$B$23,$J108,$BQ$34,1))</f>
        <v>0</v>
      </c>
      <c r="BR108" s="76" t="n">
        <f aca="false">IF($BL108=0,0,OSTRIP($BM108,$I108,$BJ108-$B$2,$BG108-$BJ108,$BH108-$BJ108,$B$10,$BE108,$F108,$G108,$B$23,$J108,$BQ$34,BQ$35))</f>
        <v>0</v>
      </c>
      <c r="BS108" s="37" t="n">
        <f aca="false">BL108*BP108</f>
        <v>0</v>
      </c>
      <c r="BT108" s="37" t="n">
        <f aca="false">BL108*BQ108</f>
        <v>0</v>
      </c>
      <c r="BU108" s="37" t="n">
        <f aca="false">BL108*BR108</f>
        <v>0</v>
      </c>
      <c r="BV108" s="37" t="n">
        <f aca="false">BL108*G108</f>
        <v>0</v>
      </c>
      <c r="BX108" s="73" t="n">
        <f aca="false">IF($A108&gt;=BY$32,IF($A108&lt;=BY$33,$BF108,0),0)</f>
        <v>0</v>
      </c>
      <c r="BY108" s="186" t="e">
        <f aca="false">CA108/BX108</f>
        <v>#DIV/0!</v>
      </c>
      <c r="BZ108" s="1" t="n">
        <f aca="false">BX108*($B108+$D$15)</f>
        <v>0</v>
      </c>
      <c r="CA108" s="47" t="n">
        <f aca="false">IF(ISNUMBER(((BZ108/BX108)+$D$16+$N108+$D$14)*BX108),((BZ108/BX108)+$D$16+$N108+$D$14)*BX108,0)</f>
        <v>0</v>
      </c>
      <c r="CB108" s="76" t="n">
        <f aca="false">IF($BX108=0,0,OSTRIP($BY108,$S108,$BJ108-$B$2,$BG108-$BJ108,$BH108-$BJ108,$B$10,$BE108,$P108,$Q108,$D$23,$T108,$CC$34,0))</f>
        <v>0</v>
      </c>
      <c r="CC108" s="76" t="n">
        <f aca="false">IF($BX108=0,0,OSTRIP($BY108,$S108,$BJ108-$B$2,$BG108-$BJ108,$BH108-$BJ108,$B$10,$BE108,$P108,$Q108,$D$23,$T108,$CC$34,1))</f>
        <v>0</v>
      </c>
      <c r="CD108" s="76" t="n">
        <f aca="false">IF($BX108=0,0,OSTRIP($BY108,$S108,$BJ108-$B$2,$BG108-$BJ108,$BH108-$BJ108,$B$10,$BE108,$P108,$Q108,$D$23,$T108,$CC$34,CC$35))</f>
        <v>0</v>
      </c>
      <c r="CE108" s="37" t="n">
        <f aca="false">BX108*CB108</f>
        <v>0</v>
      </c>
      <c r="CF108" s="37" t="n">
        <f aca="false">BX108*CC108</f>
        <v>0</v>
      </c>
      <c r="CG108" s="37" t="n">
        <f aca="false">BX108*CD108</f>
        <v>0</v>
      </c>
      <c r="CH108" s="37" t="n">
        <f aca="false">BX108*Q108</f>
        <v>0</v>
      </c>
      <c r="CJ108" s="73" t="n">
        <f aca="false">IF($A108&gt;=CK$32,IF($A108&lt;=CK$33,$BF108,0),0)</f>
        <v>0</v>
      </c>
      <c r="CK108" s="186" t="e">
        <f aca="false">CM108/CJ108</f>
        <v>#DIV/0!</v>
      </c>
      <c r="CL108" s="1" t="n">
        <f aca="false">CJ108*($B108+$F$15)</f>
        <v>0</v>
      </c>
      <c r="CM108" s="47" t="n">
        <f aca="false">IF(ISNUMBER(((CL108/CJ108)+$F$16+$X108+$F$14)*CJ108),((CL108/CJ108)+$F$16+$X108+$F$14)*CJ108,0)</f>
        <v>0</v>
      </c>
      <c r="CN108" s="76" t="n">
        <f aca="false">IF($CJ108=0,0,OSTRIP($CK108,$AC108,$BJ108-$B$2,$BG108-$BJ108,$BH108-$BJ108,$B$10,$BE108,$Z108,$AA108,$F$23,$AD108,$CO$34,0))</f>
        <v>0</v>
      </c>
      <c r="CO108" s="76" t="n">
        <f aca="false">IF($CJ108=0,0,OSTRIP($CK108,$AC108,$BJ108-$B$2,$BG108-$BJ108,$BH108-$BJ108,$B$10,$BE108,$Z108,$AA108,$F$23,$AD108,$CO$34,1))</f>
        <v>0</v>
      </c>
      <c r="CP108" s="76" t="n">
        <f aca="false">IF($CJ108=0,0,OSTRIP($CK108,$AC108,$BJ108-$B$2,$BG108-$BJ108,$BH108-$BJ108,$B$10,$BE108,$Z108,$AA108,$F$23,$AD108,$CO$34,$CO$35))</f>
        <v>0</v>
      </c>
      <c r="CQ108" s="37" t="n">
        <f aca="false">CJ108*CN108</f>
        <v>0</v>
      </c>
      <c r="CR108" s="37" t="n">
        <f aca="false">CJ108*CO108</f>
        <v>0</v>
      </c>
      <c r="CS108" s="37" t="n">
        <f aca="false">CJ108*CP108</f>
        <v>0</v>
      </c>
      <c r="CT108" s="37" t="n">
        <f aca="false">CJ108*AA108</f>
        <v>0</v>
      </c>
      <c r="CV108" s="73" t="n">
        <f aca="false">IF($A108&gt;=CW$32,IF($A108&lt;=CW$33,$BF108,0),0)</f>
        <v>0</v>
      </c>
      <c r="CW108" s="186" t="e">
        <f aca="false">CY108/CV108</f>
        <v>#DIV/0!</v>
      </c>
      <c r="CX108" s="1" t="n">
        <f aca="false">CV108*($B108+$H$15)</f>
        <v>0</v>
      </c>
      <c r="CY108" s="47" t="n">
        <f aca="false">IF(ISNUMBER(((CX108/CV108)+$H$16+$AH108+$H$14)*CV108),((CX108/CV108)+$H$16+$AH108+$H$14)*CV108,0)</f>
        <v>0</v>
      </c>
      <c r="CZ108" s="76" t="n">
        <f aca="false">IF($CV108=0,0,OSTRIP($CW108,$AM108,$BJ108-$B$2,$BG108-$BJ108,$BH108-$BJ108,$B$10,$BE108,$AJ108,$AK108,$H$23,$AN108,$DA$34,0))</f>
        <v>0</v>
      </c>
      <c r="DA108" s="76" t="n">
        <f aca="false">IF($CV108=0,0,OSTRIP($CW108,$AM108,$BJ108-$B$2,$BG108-$BJ108,$BH108-$BJ108,$B$10,$BE108,$AJ108,$AK108,$H$23,$AN108,$DA$34,1))</f>
        <v>0</v>
      </c>
      <c r="DB108" s="76" t="n">
        <f aca="false">IF($CV108=0,0,OSTRIP($CW108,$AM108,$BJ108-$B$2,$BG108-$BJ108,$BH108-$BJ108,$B$10,$BE108,$AJ108,$AK108,$H$23,$AN108,$DA$34,DA$35))</f>
        <v>0</v>
      </c>
      <c r="DC108" s="37" t="n">
        <f aca="false">CV108*CZ108</f>
        <v>0</v>
      </c>
      <c r="DD108" s="37" t="n">
        <f aca="false">CV108*DA108</f>
        <v>0</v>
      </c>
      <c r="DE108" s="37" t="n">
        <f aca="false">CV108*DB108</f>
        <v>0</v>
      </c>
      <c r="DF108" s="37" t="n">
        <f aca="false">CV108*AK108</f>
        <v>0</v>
      </c>
    </row>
    <row r="109" customFormat="false" ht="12.75" hidden="false" customHeight="false" outlineLevel="0" collapsed="false">
      <c r="A109" s="62" t="n">
        <f aca="false">DATE(YEAR(A108),MONTH(A108)+1,1)</f>
        <v>39417</v>
      </c>
      <c r="B109" s="63" t="n">
        <f aca="false">VLOOKUP(A109,STRADDLE,5,FALSE())</f>
        <v>3.8375</v>
      </c>
      <c r="C109" s="4" t="n">
        <f aca="false">VLOOKUP(A109,STRADDLE,8,FALSE())</f>
        <v>0.24</v>
      </c>
      <c r="D109" s="63" t="n">
        <f aca="false">IF(D$35="nymex",0,VLOOKUP($A109,curvesettle,HLOOKUP(D$35,curvesettle,2,FALSE())))</f>
        <v>0.77</v>
      </c>
      <c r="E109" s="65" t="n">
        <f aca="false">IF(ISNUMBER(VLOOKUP($A109,VOLCURVES,HLOOKUP(D$35,VOLCURVES,2,FALSE()),FALSE())),VLOOKUP($A109,VOLCURVES,HLOOKUP(D$35,VOLCURVES,2,FALSE()),FALSE()),1)</f>
        <v>1.1</v>
      </c>
      <c r="F109" s="4" t="n">
        <f aca="false">(($C109+H109)*$E109)+B$17</f>
        <v>0.364</v>
      </c>
      <c r="G109" s="65" t="n">
        <f aca="false">VLOOKUP($A109,GASDVOLCURVES,HLOOKUP(D$36,GASDVOLCURVES,2,FALSE()),FALSE())+$B$18</f>
        <v>1.1</v>
      </c>
      <c r="H109" s="4" t="n">
        <f aca="false">IF($B$20=1,VLOOKUP($A109,skewtable,HLOOKUP(ROUND(I109-BM109,1),skewtable,2,FALSE()),FALSE())/100,0)</f>
        <v>0</v>
      </c>
      <c r="I109" s="66" t="e">
        <f aca="false">IF($B$10=1,($BM109*$B$23)-$B$14,$B$22)</f>
        <v>#DIV/0!</v>
      </c>
      <c r="J109" s="67" t="e">
        <f aca="false">I109-BM109+$B$24</f>
        <v>#DIV/0!</v>
      </c>
      <c r="K109" s="67"/>
      <c r="L109" s="183"/>
      <c r="M109" s="183"/>
      <c r="N109" s="63" t="n">
        <f aca="false">IF(N$35="nymex",0,VLOOKUP($A109,curvesettle,HLOOKUP(N$35,curvesettle,2,FALSE())))</f>
        <v>-0.045</v>
      </c>
      <c r="O109" s="65" t="n">
        <f aca="false">IF(ISNUMBER(VLOOKUP($A109,VOLCURVES,HLOOKUP(N$35,VOLCURVES,2,FALSE()),FALSE())),VLOOKUP($A109,VOLCURVES,HLOOKUP(N$35,VOLCURVES,2,FALSE()),FALSE()),1)</f>
        <v>1</v>
      </c>
      <c r="P109" s="184" t="n">
        <f aca="false">(($C109+R109)*O109)+$D$17</f>
        <v>0.24</v>
      </c>
      <c r="Q109" s="65" t="n">
        <f aca="false">VLOOKUP($A109,GASDVOLCURVES,HLOOKUP(N$36,GASDVOLCURVES,2,FALSE()),FALSE())+$D$18</f>
        <v>1.1</v>
      </c>
      <c r="R109" s="4" t="n">
        <f aca="false">IF($D$20=1,VLOOKUP($A109,skewtable,HLOOKUP(ROUND(S109-BY109,1),skewtable,2,FALSE()),FALSE())/100,0)</f>
        <v>0</v>
      </c>
      <c r="S109" s="66" t="e">
        <f aca="false">IF(B$10=1,($BY109*$D$23)-$D$14,$D$22)</f>
        <v>#DIV/0!</v>
      </c>
      <c r="T109" s="67" t="e">
        <f aca="false">S109-$BY109+$D$24</f>
        <v>#DIV/0!</v>
      </c>
      <c r="U109" s="0"/>
      <c r="V109" s="0"/>
      <c r="W109" s="0"/>
      <c r="X109" s="63" t="n">
        <f aca="false">IF(X$35="nymex",0,VLOOKUP($A109,curvesettle,HLOOKUP(X$35,curvesettle,2,FALSE())))</f>
        <v>0.24</v>
      </c>
      <c r="Y109" s="65" t="n">
        <f aca="false">IF(ISNUMBER(VLOOKUP($A109,VOLCURVES,HLOOKUP(X$35,VOLCURVES,2,FALSE()),FALSE())),VLOOKUP($A109,VOLCURVES,HLOOKUP(X$35,VOLCURVES,2,FALSE()),FALSE()),1)</f>
        <v>1</v>
      </c>
      <c r="Z109" s="184" t="n">
        <f aca="false">(($C109+AB109)*Y109)+$F$17</f>
        <v>0.24</v>
      </c>
      <c r="AA109" s="65" t="n">
        <f aca="false">VLOOKUP($A109,GASDVOLCURVES,HLOOKUP(X$36,GASDVOLCURVES,2,FALSE()),FALSE())+$F$18</f>
        <v>1.1</v>
      </c>
      <c r="AB109" s="4" t="n">
        <f aca="false">IF($F$20=1,VLOOKUP($A109,skewtable,HLOOKUP(ROUND(AC109-CK109,1),skewtable,2,FALSE()),FALSE())/100,0)</f>
        <v>0</v>
      </c>
      <c r="AC109" s="66" t="e">
        <f aca="false">IF($B$10=1,($CK109*$F$23)-$F$14,$F$22)</f>
        <v>#DIV/0!</v>
      </c>
      <c r="AD109" s="67" t="e">
        <f aca="false">AC109-$CK109+$F$24</f>
        <v>#DIV/0!</v>
      </c>
      <c r="AE109" s="0"/>
      <c r="AF109" s="0"/>
      <c r="AG109" s="0"/>
      <c r="AH109" s="63" t="n">
        <f aca="false">IF(AH$35="nymex",0,VLOOKUP($A109,curvesettle,HLOOKUP(AH$35,curvesettle,2,FALSE())))</f>
        <v>0.98</v>
      </c>
      <c r="AI109" s="65" t="n">
        <f aca="false">IF(ISNUMBER(VLOOKUP($A109,VOLCURVES,HLOOKUP(AH$35,VOLCURVES,2,FALSE()),FALSE())),VLOOKUP($A109,VOLCURVES,HLOOKUP(AH$35,VOLCURVES,2,FALSE()),FALSE()),1)</f>
        <v>1.02</v>
      </c>
      <c r="AJ109" s="184" t="n">
        <f aca="false">(($C109+AL109)*AI109)+$H$17</f>
        <v>0.2448</v>
      </c>
      <c r="AK109" s="65" t="n">
        <f aca="false">VLOOKUP($A109,GASDVOLCURVES,HLOOKUP(AH$36,GASDVOLCURVES,2,FALSE()),FALSE())+$H$18</f>
        <v>1.75</v>
      </c>
      <c r="AL109" s="4" t="n">
        <f aca="false">IF($H$20=1,VLOOKUP($A109,skewtable,HLOOKUP(ROUND(AM109-CW109,1),skewtable,2,FALSE()),FALSE())/100,0)</f>
        <v>0</v>
      </c>
      <c r="AM109" s="66" t="e">
        <f aca="false">IF($B$10=1,($CW109*$H$23)-$H$14,$H$22)</f>
        <v>#DIV/0!</v>
      </c>
      <c r="AN109" s="67" t="e">
        <f aca="false">AM109-CW109+$H$24</f>
        <v>#DIV/0!</v>
      </c>
      <c r="AO109" s="0"/>
      <c r="AP109" s="0"/>
      <c r="AQ109" s="183"/>
      <c r="AR109" s="183"/>
      <c r="AU109" s="0"/>
      <c r="AV109" s="0"/>
      <c r="AW109" s="0"/>
      <c r="AX109" s="0"/>
      <c r="AY109" s="0"/>
      <c r="AZ109" s="0"/>
      <c r="BA109" s="0"/>
      <c r="BC109" s="64"/>
      <c r="BD109" s="64"/>
      <c r="BE109" s="4" t="n">
        <f aca="false">VLOOKUP($A109,STRADDLE,14,FALSE())</f>
        <v>0.0533475209331611</v>
      </c>
      <c r="BF109" s="72" t="n">
        <f aca="false">A110-A109</f>
        <v>31</v>
      </c>
      <c r="BG109" s="179" t="n">
        <f aca="false">A109+BG$35</f>
        <v>39417</v>
      </c>
      <c r="BH109" s="179" t="n">
        <f aca="false">A110-1</f>
        <v>39447</v>
      </c>
      <c r="BJ109" s="179" t="n">
        <f aca="true">IF(BJ$35=0,TODAY(),IF(BJ$36="NYMEX",VLOOKUP($A109,expiration,2,FALSE())+1,BG109))</f>
        <v>39415</v>
      </c>
      <c r="BK109" s="73"/>
      <c r="BL109" s="73" t="n">
        <f aca="false">IF($A109&gt;=BM$32,IF($A109&lt;=BM$33,$BF109,0),0)</f>
        <v>0</v>
      </c>
      <c r="BM109" s="73" t="e">
        <f aca="false">BO109/BL109</f>
        <v>#DIV/0!</v>
      </c>
      <c r="BN109" s="1" t="n">
        <f aca="false">BL109*($B109+B$15)</f>
        <v>0</v>
      </c>
      <c r="BO109" s="47" t="n">
        <f aca="false">IF(ISNUMBER(((BN109/BL109)+B$16+$D109+$B$14)*BL109),((BN109/BL109)+B$16+$D109+$B$14)*BL109,0)</f>
        <v>0</v>
      </c>
      <c r="BP109" s="76" t="n">
        <f aca="false">IF($BL109=0,0,OSTRIP($BM109,$I109,$BJ109-$B$2,$BG109-$BJ109,$BH109-$BJ109,$B$10,$BE109,$F109,$G109,$B$23,$J109,$BQ$34,0))</f>
        <v>0</v>
      </c>
      <c r="BQ109" s="76" t="n">
        <f aca="false">IF($BL109=0,0,OSTRIP($BM109,$I109,$BJ109-$B$2,$BG109-$BJ109,$BH109-$BJ109,$B$10,$BE109,$F109,$G109,$B$23,$J109,$BQ$34,1))</f>
        <v>0</v>
      </c>
      <c r="BR109" s="76" t="n">
        <f aca="false">IF($BL109=0,0,OSTRIP($BM109,$I109,$BJ109-$B$2,$BG109-$BJ109,$BH109-$BJ109,$B$10,$BE109,$F109,$G109,$B$23,$J109,$BQ$34,BQ$35))</f>
        <v>0</v>
      </c>
      <c r="BS109" s="37" t="n">
        <f aca="false">BL109*BP109</f>
        <v>0</v>
      </c>
      <c r="BT109" s="37" t="n">
        <f aca="false">BL109*BQ109</f>
        <v>0</v>
      </c>
      <c r="BU109" s="37" t="n">
        <f aca="false">BL109*BR109</f>
        <v>0</v>
      </c>
      <c r="BV109" s="37" t="n">
        <f aca="false">BL109*G109</f>
        <v>0</v>
      </c>
      <c r="BX109" s="73" t="n">
        <f aca="false">IF($A109&gt;=BY$32,IF($A109&lt;=BY$33,$BF109,0),0)</f>
        <v>0</v>
      </c>
      <c r="BY109" s="186" t="e">
        <f aca="false">CA109/BX109</f>
        <v>#DIV/0!</v>
      </c>
      <c r="BZ109" s="1" t="n">
        <f aca="false">BX109*($B109+$D$15)</f>
        <v>0</v>
      </c>
      <c r="CA109" s="47" t="n">
        <f aca="false">IF(ISNUMBER(((BZ109/BX109)+$D$16+$N109+$D$14)*BX109),((BZ109/BX109)+$D$16+$N109+$D$14)*BX109,0)</f>
        <v>0</v>
      </c>
      <c r="CB109" s="76" t="n">
        <f aca="false">IF($BX109=0,0,OSTRIP($BY109,$S109,$BJ109-$B$2,$BG109-$BJ109,$BH109-$BJ109,$B$10,$BE109,$P109,$Q109,$D$23,$T109,$CC$34,0))</f>
        <v>0</v>
      </c>
      <c r="CC109" s="76" t="n">
        <f aca="false">IF($BX109=0,0,OSTRIP($BY109,$S109,$BJ109-$B$2,$BG109-$BJ109,$BH109-$BJ109,$B$10,$BE109,$P109,$Q109,$D$23,$T109,$CC$34,1))</f>
        <v>0</v>
      </c>
      <c r="CD109" s="76" t="n">
        <f aca="false">IF($BX109=0,0,OSTRIP($BY109,$S109,$BJ109-$B$2,$BG109-$BJ109,$BH109-$BJ109,$B$10,$BE109,$P109,$Q109,$D$23,$T109,$CC$34,CC$35))</f>
        <v>0</v>
      </c>
      <c r="CE109" s="37" t="n">
        <f aca="false">BX109*CB109</f>
        <v>0</v>
      </c>
      <c r="CF109" s="37" t="n">
        <f aca="false">BX109*CC109</f>
        <v>0</v>
      </c>
      <c r="CG109" s="37" t="n">
        <f aca="false">BX109*CD109</f>
        <v>0</v>
      </c>
      <c r="CH109" s="37" t="n">
        <f aca="false">BX109*Q109</f>
        <v>0</v>
      </c>
      <c r="CJ109" s="73" t="n">
        <f aca="false">IF($A109&gt;=CK$32,IF($A109&lt;=CK$33,$BF109,0),0)</f>
        <v>0</v>
      </c>
      <c r="CK109" s="186" t="e">
        <f aca="false">CM109/CJ109</f>
        <v>#DIV/0!</v>
      </c>
      <c r="CL109" s="1" t="n">
        <f aca="false">CJ109*($B109+$F$15)</f>
        <v>0</v>
      </c>
      <c r="CM109" s="47" t="n">
        <f aca="false">IF(ISNUMBER(((CL109/CJ109)+$F$16+$X109+$F$14)*CJ109),((CL109/CJ109)+$F$16+$X109+$F$14)*CJ109,0)</f>
        <v>0</v>
      </c>
      <c r="CN109" s="76" t="n">
        <f aca="false">IF($CJ109=0,0,OSTRIP($CK109,$AC109,$BJ109-$B$2,$BG109-$BJ109,$BH109-$BJ109,$B$10,$BE109,$Z109,$AA109,$F$23,$AD109,$CO$34,0))</f>
        <v>0</v>
      </c>
      <c r="CO109" s="76" t="n">
        <f aca="false">IF($CJ109=0,0,OSTRIP($CK109,$AC109,$BJ109-$B$2,$BG109-$BJ109,$BH109-$BJ109,$B$10,$BE109,$Z109,$AA109,$F$23,$AD109,$CO$34,1))</f>
        <v>0</v>
      </c>
      <c r="CP109" s="76" t="n">
        <f aca="false">IF($CJ109=0,0,OSTRIP($CK109,$AC109,$BJ109-$B$2,$BG109-$BJ109,$BH109-$BJ109,$B$10,$BE109,$Z109,$AA109,$F$23,$AD109,$CO$34,$CO$35))</f>
        <v>0</v>
      </c>
      <c r="CQ109" s="37" t="n">
        <f aca="false">CJ109*CN109</f>
        <v>0</v>
      </c>
      <c r="CR109" s="37" t="n">
        <f aca="false">CJ109*CO109</f>
        <v>0</v>
      </c>
      <c r="CS109" s="37" t="n">
        <f aca="false">CJ109*CP109</f>
        <v>0</v>
      </c>
      <c r="CT109" s="37" t="n">
        <f aca="false">CJ109*AA109</f>
        <v>0</v>
      </c>
      <c r="CV109" s="73" t="n">
        <f aca="false">IF($A109&gt;=CW$32,IF($A109&lt;=CW$33,$BF109,0),0)</f>
        <v>0</v>
      </c>
      <c r="CW109" s="186" t="e">
        <f aca="false">CY109/CV109</f>
        <v>#DIV/0!</v>
      </c>
      <c r="CX109" s="1" t="n">
        <f aca="false">CV109*($B109+$H$15)</f>
        <v>0</v>
      </c>
      <c r="CY109" s="47" t="n">
        <f aca="false">IF(ISNUMBER(((CX109/CV109)+$H$16+$AH109+$H$14)*CV109),((CX109/CV109)+$H$16+$AH109+$H$14)*CV109,0)</f>
        <v>0</v>
      </c>
      <c r="CZ109" s="76" t="n">
        <f aca="false">IF($CV109=0,0,OSTRIP($CW109,$AM109,$BJ109-$B$2,$BG109-$BJ109,$BH109-$BJ109,$B$10,$BE109,$AJ109,$AK109,$H$23,$AN109,$DA$34,0))</f>
        <v>0</v>
      </c>
      <c r="DA109" s="76" t="n">
        <f aca="false">IF($CV109=0,0,OSTRIP($CW109,$AM109,$BJ109-$B$2,$BG109-$BJ109,$BH109-$BJ109,$B$10,$BE109,$AJ109,$AK109,$H$23,$AN109,$DA$34,1))</f>
        <v>0</v>
      </c>
      <c r="DB109" s="76" t="n">
        <f aca="false">IF($CV109=0,0,OSTRIP($CW109,$AM109,$BJ109-$B$2,$BG109-$BJ109,$BH109-$BJ109,$B$10,$BE109,$AJ109,$AK109,$H$23,$AN109,$DA$34,DA$35))</f>
        <v>0</v>
      </c>
      <c r="DC109" s="37" t="n">
        <f aca="false">CV109*CZ109</f>
        <v>0</v>
      </c>
      <c r="DD109" s="37" t="n">
        <f aca="false">CV109*DA109</f>
        <v>0</v>
      </c>
      <c r="DE109" s="37" t="n">
        <f aca="false">CV109*DB109</f>
        <v>0</v>
      </c>
      <c r="DF109" s="37" t="n">
        <f aca="false">CV109*AK109</f>
        <v>0</v>
      </c>
    </row>
    <row r="110" customFormat="false" ht="12.75" hidden="false" customHeight="false" outlineLevel="0" collapsed="false">
      <c r="A110" s="62" t="n">
        <f aca="false">DATE(YEAR(A109),MONTH(A109)+1,1)</f>
        <v>39448</v>
      </c>
      <c r="B110" s="63" t="n">
        <f aca="false">VLOOKUP(A110,STRADDLE,5,FALSE())</f>
        <v>3.8875</v>
      </c>
      <c r="C110" s="4" t="n">
        <f aca="false">VLOOKUP(A110,STRADDLE,8,FALSE())</f>
        <v>0.24</v>
      </c>
      <c r="D110" s="63" t="n">
        <f aca="false">IF(D$35="nymex",0,VLOOKUP($A110,curvesettle,HLOOKUP(D$35,curvesettle,2,FALSE())))</f>
        <v>1.04</v>
      </c>
      <c r="E110" s="65" t="n">
        <f aca="false">IF(ISNUMBER(VLOOKUP($A110,VOLCURVES,HLOOKUP(D$35,VOLCURVES,2,FALSE()),FALSE())),VLOOKUP($A110,VOLCURVES,HLOOKUP(D$35,VOLCURVES,2,FALSE()),FALSE()),1)</f>
        <v>1.1</v>
      </c>
      <c r="F110" s="4" t="n">
        <f aca="false">(($C110+H110)*$E110)+B$17</f>
        <v>0.364</v>
      </c>
      <c r="G110" s="65" t="n">
        <f aca="false">VLOOKUP($A110,GASDVOLCURVES,HLOOKUP(D$36,GASDVOLCURVES,2,FALSE()),FALSE())+$B$18</f>
        <v>1.1</v>
      </c>
      <c r="H110" s="4" t="n">
        <f aca="false">IF($B$20=1,VLOOKUP($A110,skewtable,HLOOKUP(ROUND(I110-BM110,1),skewtable,2,FALSE()),FALSE())/100,0)</f>
        <v>0</v>
      </c>
      <c r="I110" s="66" t="e">
        <f aca="false">IF($B$10=1,($BM110*$B$23)-$B$14,$B$22)</f>
        <v>#DIV/0!</v>
      </c>
      <c r="J110" s="67" t="e">
        <f aca="false">I110-BM110+$B$24</f>
        <v>#DIV/0!</v>
      </c>
      <c r="K110" s="67"/>
      <c r="L110" s="183"/>
      <c r="M110" s="183"/>
      <c r="N110" s="63" t="n">
        <f aca="false">IF(N$35="nymex",0,VLOOKUP($A110,curvesettle,HLOOKUP(N$35,curvesettle,2,FALSE())))</f>
        <v>-0.0475</v>
      </c>
      <c r="O110" s="65" t="n">
        <f aca="false">IF(ISNUMBER(VLOOKUP($A110,VOLCURVES,HLOOKUP(N$35,VOLCURVES,2,FALSE()),FALSE())),VLOOKUP($A110,VOLCURVES,HLOOKUP(N$35,VOLCURVES,2,FALSE()),FALSE()),1)</f>
        <v>1</v>
      </c>
      <c r="P110" s="184" t="n">
        <f aca="false">(($C110+R110)*O110)+$D$17</f>
        <v>0.24</v>
      </c>
      <c r="Q110" s="65" t="n">
        <f aca="false">VLOOKUP($A110,GASDVOLCURVES,HLOOKUP(N$36,GASDVOLCURVES,2,FALSE()),FALSE())+$D$18</f>
        <v>1.1</v>
      </c>
      <c r="R110" s="4" t="n">
        <f aca="false">IF($D$20=1,VLOOKUP($A110,skewtable,HLOOKUP(ROUND(S110-BY110,1),skewtable,2,FALSE()),FALSE())/100,0)</f>
        <v>0</v>
      </c>
      <c r="S110" s="66" t="e">
        <f aca="false">IF(B$10=1,($BY110*$D$23)-$D$14,$D$22)</f>
        <v>#DIV/0!</v>
      </c>
      <c r="T110" s="67" t="e">
        <f aca="false">S110-$BY110+$D$24</f>
        <v>#DIV/0!</v>
      </c>
      <c r="U110" s="0"/>
      <c r="V110" s="0"/>
      <c r="W110" s="0"/>
      <c r="X110" s="63" t="n">
        <f aca="false">IF(X$35="nymex",0,VLOOKUP($A110,curvesettle,HLOOKUP(X$35,curvesettle,2,FALSE())))</f>
        <v>0.24</v>
      </c>
      <c r="Y110" s="65" t="n">
        <f aca="false">IF(ISNUMBER(VLOOKUP($A110,VOLCURVES,HLOOKUP(X$35,VOLCURVES,2,FALSE()),FALSE())),VLOOKUP($A110,VOLCURVES,HLOOKUP(X$35,VOLCURVES,2,FALSE()),FALSE()),1)</f>
        <v>1</v>
      </c>
      <c r="Z110" s="184" t="n">
        <f aca="false">(($C110+AB110)*Y110)+$F$17</f>
        <v>0.24</v>
      </c>
      <c r="AA110" s="65" t="n">
        <f aca="false">VLOOKUP($A110,GASDVOLCURVES,HLOOKUP(X$36,GASDVOLCURVES,2,FALSE()),FALSE())+$F$18</f>
        <v>1.1</v>
      </c>
      <c r="AB110" s="4" t="n">
        <f aca="false">IF($F$20=1,VLOOKUP($A110,skewtable,HLOOKUP(ROUND(AC110-CK110,1),skewtable,2,FALSE()),FALSE())/100,0)</f>
        <v>0</v>
      </c>
      <c r="AC110" s="66" t="e">
        <f aca="false">IF($B$10=1,($CK110*$F$23)-$F$14,$F$22)</f>
        <v>#DIV/0!</v>
      </c>
      <c r="AD110" s="67" t="e">
        <f aca="false">AC110-$CK110+$F$24</f>
        <v>#DIV/0!</v>
      </c>
      <c r="AE110" s="0"/>
      <c r="AF110" s="0"/>
      <c r="AG110" s="0"/>
      <c r="AH110" s="63" t="n">
        <f aca="false">IF(AH$35="nymex",0,VLOOKUP($A110,curvesettle,HLOOKUP(AH$35,curvesettle,2,FALSE())))</f>
        <v>1.6</v>
      </c>
      <c r="AI110" s="65" t="n">
        <f aca="false">IF(ISNUMBER(VLOOKUP($A110,VOLCURVES,HLOOKUP(AH$35,VOLCURVES,2,FALSE()),FALSE())),VLOOKUP($A110,VOLCURVES,HLOOKUP(AH$35,VOLCURVES,2,FALSE()),FALSE()),1)</f>
        <v>1.04</v>
      </c>
      <c r="AJ110" s="184" t="n">
        <f aca="false">(($C110+AL110)*AI110)+$H$17</f>
        <v>0.2496</v>
      </c>
      <c r="AK110" s="65" t="n">
        <f aca="false">VLOOKUP($A110,GASDVOLCURVES,HLOOKUP(AH$36,GASDVOLCURVES,2,FALSE()),FALSE())+$H$18</f>
        <v>1.95</v>
      </c>
      <c r="AL110" s="4" t="n">
        <f aca="false">IF($H$20=1,VLOOKUP($A110,skewtable,HLOOKUP(ROUND(AM110-CW110,1),skewtable,2,FALSE()),FALSE())/100,0)</f>
        <v>0</v>
      </c>
      <c r="AM110" s="66" t="e">
        <f aca="false">IF($B$10=1,($CW110*$H$23)-$H$14,$H$22)</f>
        <v>#DIV/0!</v>
      </c>
      <c r="AN110" s="67" t="e">
        <f aca="false">AM110-CW110+$H$24</f>
        <v>#DIV/0!</v>
      </c>
      <c r="AO110" s="0"/>
      <c r="AP110" s="0"/>
      <c r="AQ110" s="183"/>
      <c r="AR110" s="183"/>
      <c r="AU110" s="0"/>
      <c r="AV110" s="0"/>
      <c r="AW110" s="0"/>
      <c r="AX110" s="0"/>
      <c r="AY110" s="0"/>
      <c r="AZ110" s="0"/>
      <c r="BA110" s="0"/>
      <c r="BC110" s="64"/>
      <c r="BD110" s="64"/>
      <c r="BE110" s="4" t="n">
        <f aca="false">VLOOKUP($A110,STRADDLE,14,FALSE())</f>
        <v>0.0535290346573647</v>
      </c>
      <c r="BF110" s="72" t="n">
        <f aca="false">A111-A110</f>
        <v>31</v>
      </c>
      <c r="BG110" s="179" t="n">
        <f aca="false">A110+BG$35</f>
        <v>39448</v>
      </c>
      <c r="BH110" s="179" t="n">
        <f aca="false">A111-1</f>
        <v>39478</v>
      </c>
      <c r="BJ110" s="179" t="n">
        <f aca="true">IF(BJ$35=0,TODAY(),IF(BJ$36="NYMEX",VLOOKUP($A110,expiration,2,FALSE())+1,BG110))</f>
        <v>39444</v>
      </c>
      <c r="BK110" s="73"/>
      <c r="BL110" s="73" t="n">
        <f aca="false">IF($A110&gt;=BM$32,IF($A110&lt;=BM$33,$BF110,0),0)</f>
        <v>0</v>
      </c>
      <c r="BM110" s="73" t="e">
        <f aca="false">BO110/BL110</f>
        <v>#DIV/0!</v>
      </c>
      <c r="BN110" s="1" t="n">
        <f aca="false">BL110*($B110+B$15)</f>
        <v>0</v>
      </c>
      <c r="BO110" s="47" t="n">
        <f aca="false">IF(ISNUMBER(((BN110/BL110)+B$16+$D110+$B$14)*BL110),((BN110/BL110)+B$16+$D110+$B$14)*BL110,0)</f>
        <v>0</v>
      </c>
      <c r="BP110" s="76" t="n">
        <f aca="false">IF($BL110=0,0,OSTRIP($BM110,$I110,$BJ110-$B$2,$BG110-$BJ110,$BH110-$BJ110,$B$10,$BE110,$F110,$G110,$B$23,$J110,$BQ$34,0))</f>
        <v>0</v>
      </c>
      <c r="BQ110" s="76" t="n">
        <f aca="false">IF($BL110=0,0,OSTRIP($BM110,$I110,$BJ110-$B$2,$BG110-$BJ110,$BH110-$BJ110,$B$10,$BE110,$F110,$G110,$B$23,$J110,$BQ$34,1))</f>
        <v>0</v>
      </c>
      <c r="BR110" s="76" t="n">
        <f aca="false">IF($BL110=0,0,OSTRIP($BM110,$I110,$BJ110-$B$2,$BG110-$BJ110,$BH110-$BJ110,$B$10,$BE110,$F110,$G110,$B$23,$J110,$BQ$34,BQ$35))</f>
        <v>0</v>
      </c>
      <c r="BS110" s="37" t="n">
        <f aca="false">BL110*BP110</f>
        <v>0</v>
      </c>
      <c r="BT110" s="37" t="n">
        <f aca="false">BL110*BQ110</f>
        <v>0</v>
      </c>
      <c r="BU110" s="37" t="n">
        <f aca="false">BL110*BR110</f>
        <v>0</v>
      </c>
      <c r="BV110" s="37" t="n">
        <f aca="false">BL110*G110</f>
        <v>0</v>
      </c>
      <c r="BX110" s="73" t="n">
        <f aca="false">IF($A110&gt;=BY$32,IF($A110&lt;=BY$33,$BF110,0),0)</f>
        <v>0</v>
      </c>
      <c r="BY110" s="186" t="e">
        <f aca="false">CA110/BX110</f>
        <v>#DIV/0!</v>
      </c>
      <c r="BZ110" s="1" t="n">
        <f aca="false">BX110*($B110+$D$15)</f>
        <v>0</v>
      </c>
      <c r="CA110" s="47" t="n">
        <f aca="false">IF(ISNUMBER(((BZ110/BX110)+$D$16+$N110+$D$14)*BX110),((BZ110/BX110)+$D$16+$N110+$D$14)*BX110,0)</f>
        <v>0</v>
      </c>
      <c r="CB110" s="76" t="n">
        <f aca="false">IF($BX110=0,0,OSTRIP($BY110,$S110,$BJ110-$B$2,$BG110-$BJ110,$BH110-$BJ110,$B$10,$BE110,$P110,$Q110,$D$23,$T110,$CC$34,0))</f>
        <v>0</v>
      </c>
      <c r="CC110" s="76" t="n">
        <f aca="false">IF($BX110=0,0,OSTRIP($BY110,$S110,$BJ110-$B$2,$BG110-$BJ110,$BH110-$BJ110,$B$10,$BE110,$P110,$Q110,$D$23,$T110,$CC$34,1))</f>
        <v>0</v>
      </c>
      <c r="CD110" s="76" t="n">
        <f aca="false">IF($BX110=0,0,OSTRIP($BY110,$S110,$BJ110-$B$2,$BG110-$BJ110,$BH110-$BJ110,$B$10,$BE110,$P110,$Q110,$D$23,$T110,$CC$34,CC$35))</f>
        <v>0</v>
      </c>
      <c r="CE110" s="37" t="n">
        <f aca="false">BX110*CB110</f>
        <v>0</v>
      </c>
      <c r="CF110" s="37" t="n">
        <f aca="false">BX110*CC110</f>
        <v>0</v>
      </c>
      <c r="CG110" s="37" t="n">
        <f aca="false">BX110*CD110</f>
        <v>0</v>
      </c>
      <c r="CH110" s="37" t="n">
        <f aca="false">BX110*Q110</f>
        <v>0</v>
      </c>
      <c r="CJ110" s="73" t="n">
        <f aca="false">IF($A110&gt;=CK$32,IF($A110&lt;=CK$33,$BF110,0),0)</f>
        <v>0</v>
      </c>
      <c r="CK110" s="186" t="e">
        <f aca="false">CM110/CJ110</f>
        <v>#DIV/0!</v>
      </c>
      <c r="CL110" s="1" t="n">
        <f aca="false">CJ110*($B110+$F$15)</f>
        <v>0</v>
      </c>
      <c r="CM110" s="47" t="n">
        <f aca="false">IF(ISNUMBER(((CL110/CJ110)+$F$16+$X110+$F$14)*CJ110),((CL110/CJ110)+$F$16+$X110+$F$14)*CJ110,0)</f>
        <v>0</v>
      </c>
      <c r="CN110" s="76" t="n">
        <f aca="false">IF($CJ110=0,0,OSTRIP($CK110,$AC110,$BJ110-$B$2,$BG110-$BJ110,$BH110-$BJ110,$B$10,$BE110,$Z110,$AA110,$F$23,$AD110,$CO$34,0))</f>
        <v>0</v>
      </c>
      <c r="CO110" s="76" t="n">
        <f aca="false">IF($CJ110=0,0,OSTRIP($CK110,$AC110,$BJ110-$B$2,$BG110-$BJ110,$BH110-$BJ110,$B$10,$BE110,$Z110,$AA110,$F$23,$AD110,$CO$34,1))</f>
        <v>0</v>
      </c>
      <c r="CP110" s="76" t="n">
        <f aca="false">IF($CJ110=0,0,OSTRIP($CK110,$AC110,$BJ110-$B$2,$BG110-$BJ110,$BH110-$BJ110,$B$10,$BE110,$Z110,$AA110,$F$23,$AD110,$CO$34,$CO$35))</f>
        <v>0</v>
      </c>
      <c r="CQ110" s="37" t="n">
        <f aca="false">CJ110*CN110</f>
        <v>0</v>
      </c>
      <c r="CR110" s="37" t="n">
        <f aca="false">CJ110*CO110</f>
        <v>0</v>
      </c>
      <c r="CS110" s="37" t="n">
        <f aca="false">CJ110*CP110</f>
        <v>0</v>
      </c>
      <c r="CT110" s="37" t="n">
        <f aca="false">CJ110*AA110</f>
        <v>0</v>
      </c>
      <c r="CV110" s="73" t="n">
        <f aca="false">IF($A110&gt;=CW$32,IF($A110&lt;=CW$33,$BF110,0),0)</f>
        <v>0</v>
      </c>
      <c r="CW110" s="186" t="e">
        <f aca="false">CY110/CV110</f>
        <v>#DIV/0!</v>
      </c>
      <c r="CX110" s="1" t="n">
        <f aca="false">CV110*($B110+$H$15)</f>
        <v>0</v>
      </c>
      <c r="CY110" s="47" t="n">
        <f aca="false">IF(ISNUMBER(((CX110/CV110)+$H$16+$AH110+$H$14)*CV110),((CX110/CV110)+$H$16+$AH110+$H$14)*CV110,0)</f>
        <v>0</v>
      </c>
      <c r="CZ110" s="76" t="n">
        <f aca="false">IF($CV110=0,0,OSTRIP($CW110,$AM110,$BJ110-$B$2,$BG110-$BJ110,$BH110-$BJ110,$B$10,$BE110,$AJ110,$AK110,$H$23,$AN110,$DA$34,0))</f>
        <v>0</v>
      </c>
      <c r="DA110" s="76" t="n">
        <f aca="false">IF($CV110=0,0,OSTRIP($CW110,$AM110,$BJ110-$B$2,$BG110-$BJ110,$BH110-$BJ110,$B$10,$BE110,$AJ110,$AK110,$H$23,$AN110,$DA$34,1))</f>
        <v>0</v>
      </c>
      <c r="DB110" s="76" t="n">
        <f aca="false">IF($CV110=0,0,OSTRIP($CW110,$AM110,$BJ110-$B$2,$BG110-$BJ110,$BH110-$BJ110,$B$10,$BE110,$AJ110,$AK110,$H$23,$AN110,$DA$34,DA$35))</f>
        <v>0</v>
      </c>
      <c r="DC110" s="37" t="n">
        <f aca="false">CV110*CZ110</f>
        <v>0</v>
      </c>
      <c r="DD110" s="37" t="n">
        <f aca="false">CV110*DA110</f>
        <v>0</v>
      </c>
      <c r="DE110" s="37" t="n">
        <f aca="false">CV110*DB110</f>
        <v>0</v>
      </c>
      <c r="DF110" s="37" t="n">
        <f aca="false">CV110*AK110</f>
        <v>0</v>
      </c>
    </row>
    <row r="111" customFormat="false" ht="12.75" hidden="false" customHeight="false" outlineLevel="0" collapsed="false">
      <c r="A111" s="62" t="n">
        <f aca="false">DATE(YEAR(A110),MONTH(A110)+1,1)</f>
        <v>39479</v>
      </c>
      <c r="B111" s="63" t="n">
        <f aca="false">VLOOKUP(A111,STRADDLE,5,FALSE())</f>
        <v>3.8025</v>
      </c>
      <c r="C111" s="4" t="n">
        <f aca="false">VLOOKUP(A111,STRADDLE,8,FALSE())</f>
        <v>0.24</v>
      </c>
      <c r="D111" s="63" t="n">
        <f aca="false">IF(D$35="nymex",0,VLOOKUP($A111,curvesettle,HLOOKUP(D$35,curvesettle,2,FALSE())))</f>
        <v>1.04</v>
      </c>
      <c r="E111" s="65" t="n">
        <f aca="false">IF(ISNUMBER(VLOOKUP($A111,VOLCURVES,HLOOKUP(D$35,VOLCURVES,2,FALSE()),FALSE())),VLOOKUP($A111,VOLCURVES,HLOOKUP(D$35,VOLCURVES,2,FALSE()),FALSE()),1)</f>
        <v>1.1</v>
      </c>
      <c r="F111" s="4" t="n">
        <f aca="false">(($C111+H111)*$E111)+B$17</f>
        <v>0.364</v>
      </c>
      <c r="G111" s="65" t="n">
        <f aca="false">VLOOKUP($A111,GASDVOLCURVES,HLOOKUP(D$36,GASDVOLCURVES,2,FALSE()),FALSE())+$B$18</f>
        <v>1.1</v>
      </c>
      <c r="H111" s="4" t="n">
        <f aca="false">IF($B$20=1,VLOOKUP($A111,skewtable,HLOOKUP(ROUND(I111-BM111,1),skewtable,2,FALSE()),FALSE())/100,0)</f>
        <v>0</v>
      </c>
      <c r="I111" s="66" t="e">
        <f aca="false">IF($B$10=1,($BM111*$B$23)-$B$14,$B$22)</f>
        <v>#DIV/0!</v>
      </c>
      <c r="J111" s="67" t="e">
        <f aca="false">I111-BM111+$B$24</f>
        <v>#DIV/0!</v>
      </c>
      <c r="K111" s="67"/>
      <c r="L111" s="183"/>
      <c r="M111" s="183"/>
      <c r="N111" s="63" t="n">
        <f aca="false">IF(N$35="nymex",0,VLOOKUP($A111,curvesettle,HLOOKUP(N$35,curvesettle,2,FALSE())))</f>
        <v>-0.03</v>
      </c>
      <c r="O111" s="65" t="n">
        <f aca="false">IF(ISNUMBER(VLOOKUP($A111,VOLCURVES,HLOOKUP(N$35,VOLCURVES,2,FALSE()),FALSE())),VLOOKUP($A111,VOLCURVES,HLOOKUP(N$35,VOLCURVES,2,FALSE()),FALSE()),1)</f>
        <v>1</v>
      </c>
      <c r="P111" s="184" t="n">
        <f aca="false">(($C111+R111)*O111)+$D$17</f>
        <v>0.24</v>
      </c>
      <c r="Q111" s="65" t="n">
        <f aca="false">VLOOKUP($A111,GASDVOLCURVES,HLOOKUP(N$36,GASDVOLCURVES,2,FALSE()),FALSE())+$D$18</f>
        <v>1.1</v>
      </c>
      <c r="R111" s="4" t="n">
        <f aca="false">IF($D$20=1,VLOOKUP($A111,skewtable,HLOOKUP(ROUND(S111-BY111,1),skewtable,2,FALSE()),FALSE())/100,0)</f>
        <v>0</v>
      </c>
      <c r="S111" s="66" t="e">
        <f aca="false">IF(B$10=1,($BY111*$D$23)-$D$14,$D$22)</f>
        <v>#DIV/0!</v>
      </c>
      <c r="T111" s="67" t="e">
        <f aca="false">S111-$BY111+$D$24</f>
        <v>#DIV/0!</v>
      </c>
      <c r="U111" s="0"/>
      <c r="V111" s="0"/>
      <c r="W111" s="0"/>
      <c r="X111" s="63" t="n">
        <f aca="false">IF(X$35="nymex",0,VLOOKUP($A111,curvesettle,HLOOKUP(X$35,curvesettle,2,FALSE())))</f>
        <v>0.24</v>
      </c>
      <c r="Y111" s="65" t="n">
        <f aca="false">IF(ISNUMBER(VLOOKUP($A111,VOLCURVES,HLOOKUP(X$35,VOLCURVES,2,FALSE()),FALSE())),VLOOKUP($A111,VOLCURVES,HLOOKUP(X$35,VOLCURVES,2,FALSE()),FALSE()),1)</f>
        <v>1</v>
      </c>
      <c r="Z111" s="184" t="n">
        <f aca="false">(($C111+AB111)*Y111)+$F$17</f>
        <v>0.24</v>
      </c>
      <c r="AA111" s="65" t="n">
        <f aca="false">VLOOKUP($A111,GASDVOLCURVES,HLOOKUP(X$36,GASDVOLCURVES,2,FALSE()),FALSE())+$F$18</f>
        <v>1.1</v>
      </c>
      <c r="AB111" s="4" t="n">
        <f aca="false">IF($F$20=1,VLOOKUP($A111,skewtable,HLOOKUP(ROUND(AC111-CK111,1),skewtable,2,FALSE()),FALSE())/100,0)</f>
        <v>0</v>
      </c>
      <c r="AC111" s="66" t="e">
        <f aca="false">IF($B$10=1,($CK111*$F$23)-$F$14,$F$22)</f>
        <v>#DIV/0!</v>
      </c>
      <c r="AD111" s="67" t="e">
        <f aca="false">AC111-$CK111+$F$24</f>
        <v>#DIV/0!</v>
      </c>
      <c r="AE111" s="0"/>
      <c r="AF111" s="0"/>
      <c r="AG111" s="0"/>
      <c r="AH111" s="63" t="n">
        <f aca="false">IF(AH$35="nymex",0,VLOOKUP($A111,curvesettle,HLOOKUP(AH$35,curvesettle,2,FALSE())))</f>
        <v>1.6</v>
      </c>
      <c r="AI111" s="65" t="n">
        <f aca="false">IF(ISNUMBER(VLOOKUP($A111,VOLCURVES,HLOOKUP(AH$35,VOLCURVES,2,FALSE()),FALSE())),VLOOKUP($A111,VOLCURVES,HLOOKUP(AH$35,VOLCURVES,2,FALSE()),FALSE()),1)</f>
        <v>1.04</v>
      </c>
      <c r="AJ111" s="184" t="n">
        <f aca="false">(($C111+AL111)*AI111)+$H$17</f>
        <v>0.2496</v>
      </c>
      <c r="AK111" s="65" t="n">
        <f aca="false">VLOOKUP($A111,GASDVOLCURVES,HLOOKUP(AH$36,GASDVOLCURVES,2,FALSE()),FALSE())+$H$18</f>
        <v>1.95</v>
      </c>
      <c r="AL111" s="4" t="n">
        <f aca="false">IF($H$20=1,VLOOKUP($A111,skewtable,HLOOKUP(ROUND(AM111-CW111,1),skewtable,2,FALSE()),FALSE())/100,0)</f>
        <v>0</v>
      </c>
      <c r="AM111" s="66" t="e">
        <f aca="false">IF($B$10=1,($CW111*$H$23)-$H$14,$H$22)</f>
        <v>#DIV/0!</v>
      </c>
      <c r="AN111" s="67" t="e">
        <f aca="false">AM111-CW111+$H$24</f>
        <v>#DIV/0!</v>
      </c>
      <c r="AO111" s="0"/>
      <c r="AP111" s="0"/>
      <c r="AQ111" s="183"/>
      <c r="AR111" s="183"/>
      <c r="AU111" s="0"/>
      <c r="AV111" s="0"/>
      <c r="AW111" s="0"/>
      <c r="AX111" s="0"/>
      <c r="AY111" s="0"/>
      <c r="AZ111" s="0"/>
      <c r="BA111" s="0"/>
      <c r="BC111" s="64"/>
      <c r="BD111" s="64"/>
      <c r="BE111" s="4" t="n">
        <f aca="false">VLOOKUP($A111,STRADDLE,14,FALSE())</f>
        <v>0.0537105483925497</v>
      </c>
      <c r="BF111" s="72" t="n">
        <f aca="false">A112-A111</f>
        <v>29</v>
      </c>
      <c r="BG111" s="179" t="n">
        <f aca="false">A111+BG$35</f>
        <v>39479</v>
      </c>
      <c r="BH111" s="179" t="n">
        <f aca="false">A112-1</f>
        <v>39507</v>
      </c>
      <c r="BJ111" s="179" t="n">
        <f aca="true">IF(BJ$35=0,TODAY(),IF(BJ$36="NYMEX",VLOOKUP($A111,expiration,2,FALSE())+1,BG111))</f>
        <v>39477</v>
      </c>
      <c r="BK111" s="73"/>
      <c r="BL111" s="73" t="n">
        <f aca="false">IF($A111&gt;=BM$32,IF($A111&lt;=BM$33,$BF111,0),0)</f>
        <v>0</v>
      </c>
      <c r="BM111" s="73" t="e">
        <f aca="false">BO111/BL111</f>
        <v>#DIV/0!</v>
      </c>
      <c r="BN111" s="1" t="n">
        <f aca="false">BL111*($B111+B$15)</f>
        <v>0</v>
      </c>
      <c r="BO111" s="47" t="n">
        <f aca="false">IF(ISNUMBER(((BN111/BL111)+B$16+$D111+$B$14)*BL111),((BN111/BL111)+B$16+$D111+$B$14)*BL111,0)</f>
        <v>0</v>
      </c>
      <c r="BP111" s="76" t="n">
        <f aca="false">IF($BL111=0,0,OSTRIP($BM111,$I111,$BJ111-$B$2,$BG111-$BJ111,$BH111-$BJ111,$B$10,$BE111,$F111,$G111,$B$23,$J111,$BQ$34,0))</f>
        <v>0</v>
      </c>
      <c r="BQ111" s="76" t="n">
        <f aca="false">IF($BL111=0,0,OSTRIP($BM111,$I111,$BJ111-$B$2,$BG111-$BJ111,$BH111-$BJ111,$B$10,$BE111,$F111,$G111,$B$23,$J111,$BQ$34,1))</f>
        <v>0</v>
      </c>
      <c r="BR111" s="76" t="n">
        <f aca="false">IF($BL111=0,0,OSTRIP($BM111,$I111,$BJ111-$B$2,$BG111-$BJ111,$BH111-$BJ111,$B$10,$BE111,$F111,$G111,$B$23,$J111,$BQ$34,BQ$35))</f>
        <v>0</v>
      </c>
      <c r="BS111" s="37" t="n">
        <f aca="false">BL111*BP111</f>
        <v>0</v>
      </c>
      <c r="BT111" s="37" t="n">
        <f aca="false">BL111*BQ111</f>
        <v>0</v>
      </c>
      <c r="BU111" s="37" t="n">
        <f aca="false">BL111*BR111</f>
        <v>0</v>
      </c>
      <c r="BV111" s="37" t="n">
        <f aca="false">BL111*G111</f>
        <v>0</v>
      </c>
      <c r="BX111" s="73" t="n">
        <f aca="false">IF($A111&gt;=BY$32,IF($A111&lt;=BY$33,$BF111,0),0)</f>
        <v>0</v>
      </c>
      <c r="BY111" s="186" t="e">
        <f aca="false">CA111/BX111</f>
        <v>#DIV/0!</v>
      </c>
      <c r="BZ111" s="1" t="n">
        <f aca="false">BX111*($B111+$D$15)</f>
        <v>0</v>
      </c>
      <c r="CA111" s="47" t="n">
        <f aca="false">IF(ISNUMBER(((BZ111/BX111)+$D$16+$N111+$D$14)*BX111),((BZ111/BX111)+$D$16+$N111+$D$14)*BX111,0)</f>
        <v>0</v>
      </c>
      <c r="CB111" s="76" t="n">
        <f aca="false">IF($BX111=0,0,OSTRIP($BY111,$S111,$BJ111-$B$2,$BG111-$BJ111,$BH111-$BJ111,$B$10,$BE111,$P111,$Q111,$D$23,$T111,$CC$34,0))</f>
        <v>0</v>
      </c>
      <c r="CC111" s="76" t="n">
        <f aca="false">IF($BX111=0,0,OSTRIP($BY111,$S111,$BJ111-$B$2,$BG111-$BJ111,$BH111-$BJ111,$B$10,$BE111,$P111,$Q111,$D$23,$T111,$CC$34,1))</f>
        <v>0</v>
      </c>
      <c r="CD111" s="76" t="n">
        <f aca="false">IF($BX111=0,0,OSTRIP($BY111,$S111,$BJ111-$B$2,$BG111-$BJ111,$BH111-$BJ111,$B$10,$BE111,$P111,$Q111,$D$23,$T111,$CC$34,CC$35))</f>
        <v>0</v>
      </c>
      <c r="CE111" s="37" t="n">
        <f aca="false">BX111*CB111</f>
        <v>0</v>
      </c>
      <c r="CF111" s="37" t="n">
        <f aca="false">BX111*CC111</f>
        <v>0</v>
      </c>
      <c r="CG111" s="37" t="n">
        <f aca="false">BX111*CD111</f>
        <v>0</v>
      </c>
      <c r="CH111" s="37" t="n">
        <f aca="false">BX111*Q111</f>
        <v>0</v>
      </c>
      <c r="CJ111" s="73" t="n">
        <f aca="false">IF($A111&gt;=CK$32,IF($A111&lt;=CK$33,$BF111,0),0)</f>
        <v>0</v>
      </c>
      <c r="CK111" s="186" t="e">
        <f aca="false">CM111/CJ111</f>
        <v>#DIV/0!</v>
      </c>
      <c r="CL111" s="1" t="n">
        <f aca="false">CJ111*($B111+$F$15)</f>
        <v>0</v>
      </c>
      <c r="CM111" s="47" t="n">
        <f aca="false">IF(ISNUMBER(((CL111/CJ111)+$F$16+$X111+$F$14)*CJ111),((CL111/CJ111)+$F$16+$X111+$F$14)*CJ111,0)</f>
        <v>0</v>
      </c>
      <c r="CN111" s="76" t="n">
        <f aca="false">IF($CJ111=0,0,OSTRIP($CK111,$AC111,$BJ111-$B$2,$BG111-$BJ111,$BH111-$BJ111,$B$10,$BE111,$Z111,$AA111,$F$23,$AD111,$CO$34,0))</f>
        <v>0</v>
      </c>
      <c r="CO111" s="76" t="n">
        <f aca="false">IF($CJ111=0,0,OSTRIP($CK111,$AC111,$BJ111-$B$2,$BG111-$BJ111,$BH111-$BJ111,$B$10,$BE111,$Z111,$AA111,$F$23,$AD111,$CO$34,1))</f>
        <v>0</v>
      </c>
      <c r="CP111" s="76" t="n">
        <f aca="false">IF($CJ111=0,0,OSTRIP($CK111,$AC111,$BJ111-$B$2,$BG111-$BJ111,$BH111-$BJ111,$B$10,$BE111,$Z111,$AA111,$F$23,$AD111,$CO$34,$CO$35))</f>
        <v>0</v>
      </c>
      <c r="CQ111" s="37" t="n">
        <f aca="false">CJ111*CN111</f>
        <v>0</v>
      </c>
      <c r="CR111" s="37" t="n">
        <f aca="false">CJ111*CO111</f>
        <v>0</v>
      </c>
      <c r="CS111" s="37" t="n">
        <f aca="false">CJ111*CP111</f>
        <v>0</v>
      </c>
      <c r="CT111" s="37" t="n">
        <f aca="false">CJ111*AA111</f>
        <v>0</v>
      </c>
      <c r="CV111" s="73" t="n">
        <f aca="false">IF($A111&gt;=CW$32,IF($A111&lt;=CW$33,$BF111,0),0)</f>
        <v>0</v>
      </c>
      <c r="CW111" s="186" t="e">
        <f aca="false">CY111/CV111</f>
        <v>#DIV/0!</v>
      </c>
      <c r="CX111" s="1" t="n">
        <f aca="false">CV111*($B111+$H$15)</f>
        <v>0</v>
      </c>
      <c r="CY111" s="47" t="n">
        <f aca="false">IF(ISNUMBER(((CX111/CV111)+$H$16+$AH111+$H$14)*CV111),((CX111/CV111)+$H$16+$AH111+$H$14)*CV111,0)</f>
        <v>0</v>
      </c>
      <c r="CZ111" s="76" t="n">
        <f aca="false">IF($CV111=0,0,OSTRIP($CW111,$AM111,$BJ111-$B$2,$BG111-$BJ111,$BH111-$BJ111,$B$10,$BE111,$AJ111,$AK111,$H$23,$AN111,$DA$34,0))</f>
        <v>0</v>
      </c>
      <c r="DA111" s="76" t="n">
        <f aca="false">IF($CV111=0,0,OSTRIP($CW111,$AM111,$BJ111-$B$2,$BG111-$BJ111,$BH111-$BJ111,$B$10,$BE111,$AJ111,$AK111,$H$23,$AN111,$DA$34,1))</f>
        <v>0</v>
      </c>
      <c r="DB111" s="76" t="n">
        <f aca="false">IF($CV111=0,0,OSTRIP($CW111,$AM111,$BJ111-$B$2,$BG111-$BJ111,$BH111-$BJ111,$B$10,$BE111,$AJ111,$AK111,$H$23,$AN111,$DA$34,DA$35))</f>
        <v>0</v>
      </c>
      <c r="DC111" s="37" t="n">
        <f aca="false">CV111*CZ111</f>
        <v>0</v>
      </c>
      <c r="DD111" s="37" t="n">
        <f aca="false">CV111*DA111</f>
        <v>0</v>
      </c>
      <c r="DE111" s="37" t="n">
        <f aca="false">CV111*DB111</f>
        <v>0</v>
      </c>
      <c r="DF111" s="37" t="n">
        <f aca="false">CV111*AK111</f>
        <v>0</v>
      </c>
    </row>
    <row r="112" customFormat="false" ht="12.75" hidden="false" customHeight="false" outlineLevel="0" collapsed="false">
      <c r="A112" s="62" t="n">
        <f aca="false">DATE(YEAR(A111),MONTH(A111)+1,1)</f>
        <v>39508</v>
      </c>
      <c r="B112" s="63" t="n">
        <f aca="false">VLOOKUP(A112,STRADDLE,5,FALSE())</f>
        <v>3.6725</v>
      </c>
      <c r="C112" s="4" t="n">
        <f aca="false">VLOOKUP(A112,STRADDLE,8,FALSE())</f>
        <v>0.235</v>
      </c>
      <c r="D112" s="63" t="n">
        <f aca="false">IF(D$35="nymex",0,VLOOKUP($A112,curvesettle,HLOOKUP(D$35,curvesettle,2,FALSE())))</f>
        <v>0.54</v>
      </c>
      <c r="E112" s="65" t="n">
        <f aca="false">IF(ISNUMBER(VLOOKUP($A112,VOLCURVES,HLOOKUP(D$35,VOLCURVES,2,FALSE()),FALSE())),VLOOKUP($A112,VOLCURVES,HLOOKUP(D$35,VOLCURVES,2,FALSE()),FALSE()),1)</f>
        <v>1.1</v>
      </c>
      <c r="F112" s="4" t="n">
        <f aca="false">(($C112+H112)*$E112)+B$17</f>
        <v>0.3585</v>
      </c>
      <c r="G112" s="65" t="n">
        <f aca="false">VLOOKUP($A112,GASDVOLCURVES,HLOOKUP(D$36,GASDVOLCURVES,2,FALSE()),FALSE())+$B$18</f>
        <v>0.85</v>
      </c>
      <c r="H112" s="4" t="n">
        <f aca="false">IF($B$20=1,VLOOKUP($A112,skewtable,HLOOKUP(ROUND(I112-BM112,1),skewtable,2,FALSE()),FALSE())/100,0)</f>
        <v>0</v>
      </c>
      <c r="I112" s="66" t="e">
        <f aca="false">IF($B$10=1,($BM112*$B$23)-$B$14,$B$22)</f>
        <v>#DIV/0!</v>
      </c>
      <c r="J112" s="67" t="e">
        <f aca="false">I112-BM112+$B$24</f>
        <v>#DIV/0!</v>
      </c>
      <c r="K112" s="67"/>
      <c r="L112" s="183"/>
      <c r="M112" s="183"/>
      <c r="N112" s="63" t="n">
        <f aca="false">IF(N$35="nymex",0,VLOOKUP($A112,curvesettle,HLOOKUP(N$35,curvesettle,2,FALSE())))</f>
        <v>-0.0175</v>
      </c>
      <c r="O112" s="65" t="n">
        <f aca="false">IF(ISNUMBER(VLOOKUP($A112,VOLCURVES,HLOOKUP(N$35,VOLCURVES,2,FALSE()),FALSE())),VLOOKUP($A112,VOLCURVES,HLOOKUP(N$35,VOLCURVES,2,FALSE()),FALSE()),1)</f>
        <v>1</v>
      </c>
      <c r="P112" s="184" t="n">
        <f aca="false">(($C112+R112)*O112)+$D$17</f>
        <v>0.235</v>
      </c>
      <c r="Q112" s="65" t="n">
        <f aca="false">VLOOKUP($A112,GASDVOLCURVES,HLOOKUP(N$36,GASDVOLCURVES,2,FALSE()),FALSE())+$D$18</f>
        <v>0.85</v>
      </c>
      <c r="R112" s="4" t="n">
        <f aca="false">IF($D$20=1,VLOOKUP($A112,skewtable,HLOOKUP(ROUND(S112-BY112,1),skewtable,2,FALSE()),FALSE())/100,0)</f>
        <v>0</v>
      </c>
      <c r="S112" s="66" t="e">
        <f aca="false">IF(B$10=1,($BY112*$D$23)-$D$14,$D$22)</f>
        <v>#DIV/0!</v>
      </c>
      <c r="T112" s="67" t="e">
        <f aca="false">S112-$BY112+$D$24</f>
        <v>#DIV/0!</v>
      </c>
      <c r="U112" s="0"/>
      <c r="V112" s="0"/>
      <c r="W112" s="0"/>
      <c r="X112" s="63" t="n">
        <f aca="false">IF(X$35="nymex",0,VLOOKUP($A112,curvesettle,HLOOKUP(X$35,curvesettle,2,FALSE())))</f>
        <v>0.24</v>
      </c>
      <c r="Y112" s="65" t="n">
        <f aca="false">IF(ISNUMBER(VLOOKUP($A112,VOLCURVES,HLOOKUP(X$35,VOLCURVES,2,FALSE()),FALSE())),VLOOKUP($A112,VOLCURVES,HLOOKUP(X$35,VOLCURVES,2,FALSE()),FALSE()),1)</f>
        <v>1</v>
      </c>
      <c r="Z112" s="184" t="n">
        <f aca="false">(($C112+AB112)*Y112)+$F$17</f>
        <v>0.235</v>
      </c>
      <c r="AA112" s="65" t="n">
        <f aca="false">VLOOKUP($A112,GASDVOLCURVES,HLOOKUP(X$36,GASDVOLCURVES,2,FALSE()),FALSE())+$F$18</f>
        <v>0.85</v>
      </c>
      <c r="AB112" s="4" t="n">
        <f aca="false">IF($F$20=1,VLOOKUP($A112,skewtable,HLOOKUP(ROUND(AC112-CK112,1),skewtable,2,FALSE()),FALSE())/100,0)</f>
        <v>0</v>
      </c>
      <c r="AC112" s="66" t="e">
        <f aca="false">IF($B$10=1,($CK112*$F$23)-$F$14,$F$22)</f>
        <v>#DIV/0!</v>
      </c>
      <c r="AD112" s="67" t="e">
        <f aca="false">AC112-$CK112+$F$24</f>
        <v>#DIV/0!</v>
      </c>
      <c r="AE112" s="0"/>
      <c r="AF112" s="0"/>
      <c r="AG112" s="0"/>
      <c r="AH112" s="63" t="n">
        <f aca="false">IF(AH$35="nymex",0,VLOOKUP($A112,curvesettle,HLOOKUP(AH$35,curvesettle,2,FALSE())))</f>
        <v>0.64</v>
      </c>
      <c r="AI112" s="65" t="n">
        <f aca="false">IF(ISNUMBER(VLOOKUP($A112,VOLCURVES,HLOOKUP(AH$35,VOLCURVES,2,FALSE()),FALSE())),VLOOKUP($A112,VOLCURVES,HLOOKUP(AH$35,VOLCURVES,2,FALSE()),FALSE()),1)</f>
        <v>1.04</v>
      </c>
      <c r="AJ112" s="184" t="n">
        <f aca="false">(($C112+AL112)*AI112)+$H$17</f>
        <v>0.2444</v>
      </c>
      <c r="AK112" s="65" t="n">
        <f aca="false">VLOOKUP($A112,GASDVOLCURVES,HLOOKUP(AH$36,GASDVOLCURVES,2,FALSE()),FALSE())+$H$18</f>
        <v>1.5</v>
      </c>
      <c r="AL112" s="4" t="n">
        <f aca="false">IF($H$20=1,VLOOKUP($A112,skewtable,HLOOKUP(ROUND(AM112-CW112,1),skewtable,2,FALSE()),FALSE())/100,0)</f>
        <v>0</v>
      </c>
      <c r="AM112" s="66" t="e">
        <f aca="false">IF($B$10=1,($CW112*$H$23)-$H$14,$H$22)</f>
        <v>#DIV/0!</v>
      </c>
      <c r="AN112" s="67" t="e">
        <f aca="false">AM112-CW112+$H$24</f>
        <v>#DIV/0!</v>
      </c>
      <c r="AO112" s="0"/>
      <c r="AP112" s="0"/>
      <c r="AQ112" s="183"/>
      <c r="AR112" s="183"/>
      <c r="AU112" s="0"/>
      <c r="AV112" s="0"/>
      <c r="AW112" s="0"/>
      <c r="AX112" s="0"/>
      <c r="AY112" s="0"/>
      <c r="AZ112" s="0"/>
      <c r="BA112" s="0"/>
      <c r="BC112" s="64"/>
      <c r="BD112" s="64"/>
      <c r="BE112" s="4" t="n">
        <f aca="false">VLOOKUP($A112,STRADDLE,14,FALSE())</f>
        <v>0.0538803515741155</v>
      </c>
      <c r="BF112" s="72" t="n">
        <f aca="false">A113-A112</f>
        <v>31</v>
      </c>
      <c r="BG112" s="179" t="n">
        <f aca="false">A112+BG$35</f>
        <v>39508</v>
      </c>
      <c r="BH112" s="179" t="n">
        <f aca="false">A113-1</f>
        <v>39538</v>
      </c>
      <c r="BJ112" s="179" t="n">
        <f aca="true">IF(BJ$35=0,TODAY(),IF(BJ$36="NYMEX",VLOOKUP($A112,expiration,2,FALSE())+1,BG112))</f>
        <v>39506</v>
      </c>
      <c r="BK112" s="73"/>
      <c r="BL112" s="73" t="n">
        <f aca="false">IF($A112&gt;=BM$32,IF($A112&lt;=BM$33,$BF112,0),0)</f>
        <v>0</v>
      </c>
      <c r="BM112" s="73" t="e">
        <f aca="false">BO112/BL112</f>
        <v>#DIV/0!</v>
      </c>
      <c r="BN112" s="1" t="n">
        <f aca="false">BL112*($B112+B$15)</f>
        <v>0</v>
      </c>
      <c r="BO112" s="47" t="n">
        <f aca="false">IF(ISNUMBER(((BN112/BL112)+B$16+$D112+$B$14)*BL112),((BN112/BL112)+B$16+$D112+$B$14)*BL112,0)</f>
        <v>0</v>
      </c>
      <c r="BP112" s="76" t="n">
        <f aca="false">IF($BL112=0,0,OSTRIP($BM112,$I112,$BJ112-$B$2,$BG112-$BJ112,$BH112-$BJ112,$B$10,$BE112,$F112,$G112,$B$23,$J112,$BQ$34,0))</f>
        <v>0</v>
      </c>
      <c r="BQ112" s="76" t="n">
        <f aca="false">IF($BL112=0,0,OSTRIP($BM112,$I112,$BJ112-$B$2,$BG112-$BJ112,$BH112-$BJ112,$B$10,$BE112,$F112,$G112,$B$23,$J112,$BQ$34,1))</f>
        <v>0</v>
      </c>
      <c r="BR112" s="76" t="n">
        <f aca="false">IF($BL112=0,0,OSTRIP($BM112,$I112,$BJ112-$B$2,$BG112-$BJ112,$BH112-$BJ112,$B$10,$BE112,$F112,$G112,$B$23,$J112,$BQ$34,BQ$35))</f>
        <v>0</v>
      </c>
      <c r="BS112" s="37" t="n">
        <f aca="false">BL112*BP112</f>
        <v>0</v>
      </c>
      <c r="BT112" s="37" t="n">
        <f aca="false">BL112*BQ112</f>
        <v>0</v>
      </c>
      <c r="BU112" s="37" t="n">
        <f aca="false">BL112*BR112</f>
        <v>0</v>
      </c>
      <c r="BV112" s="37" t="n">
        <f aca="false">BL112*G112</f>
        <v>0</v>
      </c>
      <c r="BX112" s="73" t="n">
        <f aca="false">IF($A112&gt;=BY$32,IF($A112&lt;=BY$33,$BF112,0),0)</f>
        <v>0</v>
      </c>
      <c r="BY112" s="186" t="e">
        <f aca="false">CA112/BX112</f>
        <v>#DIV/0!</v>
      </c>
      <c r="BZ112" s="1" t="n">
        <f aca="false">BX112*($B112+$D$15)</f>
        <v>0</v>
      </c>
      <c r="CA112" s="47" t="n">
        <f aca="false">IF(ISNUMBER(((BZ112/BX112)+$D$16+$N112+$D$14)*BX112),((BZ112/BX112)+$D$16+$N112+$D$14)*BX112,0)</f>
        <v>0</v>
      </c>
      <c r="CB112" s="76" t="n">
        <f aca="false">IF($BX112=0,0,OSTRIP($BY112,$S112,$BJ112-$B$2,$BG112-$BJ112,$BH112-$BJ112,$B$10,$BE112,$P112,$Q112,$D$23,$T112,$CC$34,0))</f>
        <v>0</v>
      </c>
      <c r="CC112" s="76" t="n">
        <f aca="false">IF($BX112=0,0,OSTRIP($BY112,$S112,$BJ112-$B$2,$BG112-$BJ112,$BH112-$BJ112,$B$10,$BE112,$P112,$Q112,$D$23,$T112,$CC$34,1))</f>
        <v>0</v>
      </c>
      <c r="CD112" s="76" t="n">
        <f aca="false">IF($BX112=0,0,OSTRIP($BY112,$S112,$BJ112-$B$2,$BG112-$BJ112,$BH112-$BJ112,$B$10,$BE112,$P112,$Q112,$D$23,$T112,$CC$34,CC$35))</f>
        <v>0</v>
      </c>
      <c r="CE112" s="37" t="n">
        <f aca="false">BX112*CB112</f>
        <v>0</v>
      </c>
      <c r="CF112" s="37" t="n">
        <f aca="false">BX112*CC112</f>
        <v>0</v>
      </c>
      <c r="CG112" s="37" t="n">
        <f aca="false">BX112*CD112</f>
        <v>0</v>
      </c>
      <c r="CH112" s="37" t="n">
        <f aca="false">BX112*Q112</f>
        <v>0</v>
      </c>
      <c r="CJ112" s="73" t="n">
        <f aca="false">IF($A112&gt;=CK$32,IF($A112&lt;=CK$33,$BF112,0),0)</f>
        <v>0</v>
      </c>
      <c r="CK112" s="186" t="e">
        <f aca="false">CM112/CJ112</f>
        <v>#DIV/0!</v>
      </c>
      <c r="CL112" s="1" t="n">
        <f aca="false">CJ112*($B112+$F$15)</f>
        <v>0</v>
      </c>
      <c r="CM112" s="47" t="n">
        <f aca="false">IF(ISNUMBER(((CL112/CJ112)+$F$16+$X112+$F$14)*CJ112),((CL112/CJ112)+$F$16+$X112+$F$14)*CJ112,0)</f>
        <v>0</v>
      </c>
      <c r="CN112" s="76" t="n">
        <f aca="false">IF($CJ112=0,0,OSTRIP($CK112,$AC112,$BJ112-$B$2,$BG112-$BJ112,$BH112-$BJ112,$B$10,$BE112,$Z112,$AA112,$F$23,$AD112,$CO$34,0))</f>
        <v>0</v>
      </c>
      <c r="CO112" s="76" t="n">
        <f aca="false">IF($CJ112=0,0,OSTRIP($CK112,$AC112,$BJ112-$B$2,$BG112-$BJ112,$BH112-$BJ112,$B$10,$BE112,$Z112,$AA112,$F$23,$AD112,$CO$34,1))</f>
        <v>0</v>
      </c>
      <c r="CP112" s="76" t="n">
        <f aca="false">IF($CJ112=0,0,OSTRIP($CK112,$AC112,$BJ112-$B$2,$BG112-$BJ112,$BH112-$BJ112,$B$10,$BE112,$Z112,$AA112,$F$23,$AD112,$CO$34,$CO$35))</f>
        <v>0</v>
      </c>
      <c r="CQ112" s="37" t="n">
        <f aca="false">CJ112*CN112</f>
        <v>0</v>
      </c>
      <c r="CR112" s="37" t="n">
        <f aca="false">CJ112*CO112</f>
        <v>0</v>
      </c>
      <c r="CS112" s="37" t="n">
        <f aca="false">CJ112*CP112</f>
        <v>0</v>
      </c>
      <c r="CT112" s="37" t="n">
        <f aca="false">CJ112*AA112</f>
        <v>0</v>
      </c>
      <c r="CV112" s="73" t="n">
        <f aca="false">IF($A112&gt;=CW$32,IF($A112&lt;=CW$33,$BF112,0),0)</f>
        <v>0</v>
      </c>
      <c r="CW112" s="186" t="e">
        <f aca="false">CY112/CV112</f>
        <v>#DIV/0!</v>
      </c>
      <c r="CX112" s="1" t="n">
        <f aca="false">CV112*($B112+$H$15)</f>
        <v>0</v>
      </c>
      <c r="CY112" s="47" t="n">
        <f aca="false">IF(ISNUMBER(((CX112/CV112)+$H$16+$AH112+$H$14)*CV112),((CX112/CV112)+$H$16+$AH112+$H$14)*CV112,0)</f>
        <v>0</v>
      </c>
      <c r="CZ112" s="76" t="n">
        <f aca="false">IF($CV112=0,0,OSTRIP($CW112,$AM112,$BJ112-$B$2,$BG112-$BJ112,$BH112-$BJ112,$B$10,$BE112,$AJ112,$AK112,$H$23,$AN112,$DA$34,0))</f>
        <v>0</v>
      </c>
      <c r="DA112" s="76" t="n">
        <f aca="false">IF($CV112=0,0,OSTRIP($CW112,$AM112,$BJ112-$B$2,$BG112-$BJ112,$BH112-$BJ112,$B$10,$BE112,$AJ112,$AK112,$H$23,$AN112,$DA$34,1))</f>
        <v>0</v>
      </c>
      <c r="DB112" s="76" t="n">
        <f aca="false">IF($CV112=0,0,OSTRIP($CW112,$AM112,$BJ112-$B$2,$BG112-$BJ112,$BH112-$BJ112,$B$10,$BE112,$AJ112,$AK112,$H$23,$AN112,$DA$34,DA$35))</f>
        <v>0</v>
      </c>
      <c r="DC112" s="37" t="n">
        <f aca="false">CV112*CZ112</f>
        <v>0</v>
      </c>
      <c r="DD112" s="37" t="n">
        <f aca="false">CV112*DA112</f>
        <v>0</v>
      </c>
      <c r="DE112" s="37" t="n">
        <f aca="false">CV112*DB112</f>
        <v>0</v>
      </c>
      <c r="DF112" s="37" t="n">
        <f aca="false">CV112*AK112</f>
        <v>0</v>
      </c>
    </row>
    <row r="113" customFormat="false" ht="12.75" hidden="false" customHeight="false" outlineLevel="0" collapsed="false">
      <c r="A113" s="62" t="n">
        <f aca="false">DATE(YEAR(A112),MONTH(A112)+1,1)</f>
        <v>39539</v>
      </c>
      <c r="B113" s="63" t="n">
        <f aca="false">VLOOKUP(A113,STRADDLE,5,FALSE())</f>
        <v>3.4875</v>
      </c>
      <c r="C113" s="4" t="n">
        <f aca="false">VLOOKUP(A113,STRADDLE,8,FALSE())</f>
        <v>0.23</v>
      </c>
      <c r="D113" s="63" t="n">
        <f aca="false">IF(D$35="nymex",0,VLOOKUP($A113,curvesettle,HLOOKUP(D$35,curvesettle,2,FALSE())))</f>
        <v>0.36</v>
      </c>
      <c r="E113" s="65" t="n">
        <f aca="false">IF(ISNUMBER(VLOOKUP($A113,VOLCURVES,HLOOKUP(D$35,VOLCURVES,2,FALSE()),FALSE())),VLOOKUP($A113,VOLCURVES,HLOOKUP(D$35,VOLCURVES,2,FALSE()),FALSE()),1)</f>
        <v>0.98</v>
      </c>
      <c r="F113" s="4" t="n">
        <f aca="false">(($C113+H113)*$E113)+B$17</f>
        <v>0.3254</v>
      </c>
      <c r="G113" s="65" t="n">
        <f aca="false">VLOOKUP($A113,GASDVOLCURVES,HLOOKUP(D$36,GASDVOLCURVES,2,FALSE()),FALSE())+$B$18</f>
        <v>0.5</v>
      </c>
      <c r="H113" s="4" t="n">
        <f aca="false">IF($B$20=1,VLOOKUP($A113,skewtable,HLOOKUP(ROUND(I113-BM113,1),skewtable,2,FALSE()),FALSE())/100,0)</f>
        <v>0</v>
      </c>
      <c r="I113" s="66" t="e">
        <f aca="false">IF($B$10=1,($BM113*$B$23)-$B$14,$B$22)</f>
        <v>#DIV/0!</v>
      </c>
      <c r="J113" s="67" t="e">
        <f aca="false">I113-BM113+$B$24</f>
        <v>#DIV/0!</v>
      </c>
      <c r="K113" s="67"/>
      <c r="L113" s="183"/>
      <c r="M113" s="183"/>
      <c r="N113" s="63" t="n">
        <f aca="false">IF(N$35="nymex",0,VLOOKUP($A113,curvesettle,HLOOKUP(N$35,curvesettle,2,FALSE())))</f>
        <v>0.02</v>
      </c>
      <c r="O113" s="65" t="n">
        <f aca="false">IF(ISNUMBER(VLOOKUP($A113,VOLCURVES,HLOOKUP(N$35,VOLCURVES,2,FALSE()),FALSE())),VLOOKUP($A113,VOLCURVES,HLOOKUP(N$35,VOLCURVES,2,FALSE()),FALSE()),1)</f>
        <v>1</v>
      </c>
      <c r="P113" s="184" t="n">
        <f aca="false">(($C113+R113)*O113)+$D$17</f>
        <v>0.23</v>
      </c>
      <c r="Q113" s="65" t="n">
        <f aca="false">VLOOKUP($A113,GASDVOLCURVES,HLOOKUP(N$36,GASDVOLCURVES,2,FALSE()),FALSE())+$D$18</f>
        <v>0.5</v>
      </c>
      <c r="R113" s="4" t="n">
        <f aca="false">IF($D$20=1,VLOOKUP($A113,skewtable,HLOOKUP(ROUND(S113-BY113,1),skewtable,2,FALSE()),FALSE())/100,0)</f>
        <v>0</v>
      </c>
      <c r="S113" s="66" t="e">
        <f aca="false">IF(B$10=1,($BY113*$D$23)-$D$14,$D$22)</f>
        <v>#DIV/0!</v>
      </c>
      <c r="T113" s="67" t="e">
        <f aca="false">S113-$BY113+$D$24</f>
        <v>#DIV/0!</v>
      </c>
      <c r="U113" s="0"/>
      <c r="V113" s="0"/>
      <c r="W113" s="0"/>
      <c r="X113" s="63" t="n">
        <f aca="false">IF(X$35="nymex",0,VLOOKUP($A113,curvesettle,HLOOKUP(X$35,curvesettle,2,FALSE())))</f>
        <v>0.26</v>
      </c>
      <c r="Y113" s="65" t="n">
        <f aca="false">IF(ISNUMBER(VLOOKUP($A113,VOLCURVES,HLOOKUP(X$35,VOLCURVES,2,FALSE()),FALSE())),VLOOKUP($A113,VOLCURVES,HLOOKUP(X$35,VOLCURVES,2,FALSE()),FALSE()),1)</f>
        <v>1</v>
      </c>
      <c r="Z113" s="184" t="n">
        <f aca="false">(($C113+AB113)*Y113)+$F$17</f>
        <v>0.23</v>
      </c>
      <c r="AA113" s="65" t="n">
        <f aca="false">VLOOKUP($A113,GASDVOLCURVES,HLOOKUP(X$36,GASDVOLCURVES,2,FALSE()),FALSE())+$F$18</f>
        <v>0.55</v>
      </c>
      <c r="AB113" s="4" t="n">
        <f aca="false">IF($F$20=1,VLOOKUP($A113,skewtable,HLOOKUP(ROUND(AC113-CK113,1),skewtable,2,FALSE()),FALSE())/100,0)</f>
        <v>0</v>
      </c>
      <c r="AC113" s="66" t="e">
        <f aca="false">IF($B$10=1,($CK113*$F$23)-$F$14,$F$22)</f>
        <v>#DIV/0!</v>
      </c>
      <c r="AD113" s="67" t="e">
        <f aca="false">AC113-$CK113+$F$24</f>
        <v>#DIV/0!</v>
      </c>
      <c r="AE113" s="0"/>
      <c r="AF113" s="0"/>
      <c r="AG113" s="0"/>
      <c r="AH113" s="63" t="n">
        <f aca="false">IF(AH$35="nymex",0,VLOOKUP($A113,curvesettle,HLOOKUP(AH$35,curvesettle,2,FALSE())))</f>
        <v>0.38</v>
      </c>
      <c r="AI113" s="65" t="n">
        <f aca="false">IF(ISNUMBER(VLOOKUP($A113,VOLCURVES,HLOOKUP(AH$35,VOLCURVES,2,FALSE()),FALSE())),VLOOKUP($A113,VOLCURVES,HLOOKUP(AH$35,VOLCURVES,2,FALSE()),FALSE()),1)</f>
        <v>1</v>
      </c>
      <c r="AJ113" s="184" t="n">
        <f aca="false">(($C113+AL113)*AI113)+$H$17</f>
        <v>0.23</v>
      </c>
      <c r="AK113" s="65" t="n">
        <f aca="false">VLOOKUP($A113,GASDVOLCURVES,HLOOKUP(AH$36,GASDVOLCURVES,2,FALSE()),FALSE())+$H$18</f>
        <v>0.95</v>
      </c>
      <c r="AL113" s="4" t="n">
        <f aca="false">IF($H$20=1,VLOOKUP($A113,skewtable,HLOOKUP(ROUND(AM113-CW113,1),skewtable,2,FALSE()),FALSE())/100,0)</f>
        <v>0</v>
      </c>
      <c r="AM113" s="66" t="e">
        <f aca="false">IF($B$10=1,($CW113*$H$23)-$H$14,$H$22)</f>
        <v>#DIV/0!</v>
      </c>
      <c r="AN113" s="67" t="e">
        <f aca="false">AM113-CW113+$H$24</f>
        <v>#DIV/0!</v>
      </c>
      <c r="AO113" s="0"/>
      <c r="AP113" s="0"/>
      <c r="AQ113" s="183"/>
      <c r="AR113" s="183"/>
      <c r="AU113" s="0"/>
      <c r="AV113" s="0"/>
      <c r="AW113" s="0"/>
      <c r="AX113" s="0"/>
      <c r="AY113" s="0"/>
      <c r="AZ113" s="0"/>
      <c r="BA113" s="0"/>
      <c r="BC113" s="64"/>
      <c r="BD113" s="64"/>
      <c r="BE113" s="4" t="n">
        <f aca="false">VLOOKUP($A113,STRADDLE,14,FALSE())</f>
        <v>0.0540618653305529</v>
      </c>
      <c r="BF113" s="72" t="n">
        <f aca="false">A114-A113</f>
        <v>30</v>
      </c>
      <c r="BG113" s="179" t="n">
        <f aca="false">A113+BG$35</f>
        <v>39539</v>
      </c>
      <c r="BH113" s="179" t="n">
        <f aca="false">A114-1</f>
        <v>39568</v>
      </c>
      <c r="BJ113" s="179" t="n">
        <f aca="true">IF(BJ$35=0,TODAY(),IF(BJ$36="NYMEX",VLOOKUP($A113,expiration,2,FALSE())+1,BG113))</f>
        <v>39535</v>
      </c>
      <c r="BK113" s="73"/>
      <c r="BL113" s="73" t="n">
        <f aca="false">IF($A113&gt;=BM$32,IF($A113&lt;=BM$33,$BF113,0),0)</f>
        <v>0</v>
      </c>
      <c r="BM113" s="73" t="e">
        <f aca="false">BO113/BL113</f>
        <v>#DIV/0!</v>
      </c>
      <c r="BN113" s="1" t="n">
        <f aca="false">BL113*($B113+B$15)</f>
        <v>0</v>
      </c>
      <c r="BO113" s="47" t="n">
        <f aca="false">IF(ISNUMBER(((BN113/BL113)+B$16+$D113+$B$14)*BL113),((BN113/BL113)+B$16+$D113+$B$14)*BL113,0)</f>
        <v>0</v>
      </c>
      <c r="BP113" s="76" t="n">
        <f aca="false">IF($BL113=0,0,OSTRIP($BM113,$I113,$BJ113-$B$2,$BG113-$BJ113,$BH113-$BJ113,$B$10,$BE113,$F113,$G113,$B$23,$J113,$BQ$34,0))</f>
        <v>0</v>
      </c>
      <c r="BQ113" s="76" t="n">
        <f aca="false">IF($BL113=0,0,OSTRIP($BM113,$I113,$BJ113-$B$2,$BG113-$BJ113,$BH113-$BJ113,$B$10,$BE113,$F113,$G113,$B$23,$J113,$BQ$34,1))</f>
        <v>0</v>
      </c>
      <c r="BR113" s="76" t="n">
        <f aca="false">IF($BL113=0,0,OSTRIP($BM113,$I113,$BJ113-$B$2,$BG113-$BJ113,$BH113-$BJ113,$B$10,$BE113,$F113,$G113,$B$23,$J113,$BQ$34,BQ$35))</f>
        <v>0</v>
      </c>
      <c r="BS113" s="37" t="n">
        <f aca="false">BL113*BP113</f>
        <v>0</v>
      </c>
      <c r="BT113" s="37" t="n">
        <f aca="false">BL113*BQ113</f>
        <v>0</v>
      </c>
      <c r="BU113" s="37" t="n">
        <f aca="false">BL113*BR113</f>
        <v>0</v>
      </c>
      <c r="BV113" s="37" t="n">
        <f aca="false">BL113*G113</f>
        <v>0</v>
      </c>
      <c r="BX113" s="73" t="n">
        <f aca="false">IF($A113&gt;=BY$32,IF($A113&lt;=BY$33,$BF113,0),0)</f>
        <v>0</v>
      </c>
      <c r="BY113" s="186" t="e">
        <f aca="false">CA113/BX113</f>
        <v>#DIV/0!</v>
      </c>
      <c r="BZ113" s="1" t="n">
        <f aca="false">BX113*($B113+$D$15)</f>
        <v>0</v>
      </c>
      <c r="CA113" s="47" t="n">
        <f aca="false">IF(ISNUMBER(((BZ113/BX113)+$D$16+$N113+$D$14)*BX113),((BZ113/BX113)+$D$16+$N113+$D$14)*BX113,0)</f>
        <v>0</v>
      </c>
      <c r="CB113" s="76" t="n">
        <f aca="false">IF($BX113=0,0,OSTRIP($BY113,$S113,$BJ113-$B$2,$BG113-$BJ113,$BH113-$BJ113,$B$10,$BE113,$P113,$Q113,$D$23,$T113,$CC$34,0))</f>
        <v>0</v>
      </c>
      <c r="CC113" s="76" t="n">
        <f aca="false">IF($BX113=0,0,OSTRIP($BY113,$S113,$BJ113-$B$2,$BG113-$BJ113,$BH113-$BJ113,$B$10,$BE113,$P113,$Q113,$D$23,$T113,$CC$34,1))</f>
        <v>0</v>
      </c>
      <c r="CD113" s="76" t="n">
        <f aca="false">IF($BX113=0,0,OSTRIP($BY113,$S113,$BJ113-$B$2,$BG113-$BJ113,$BH113-$BJ113,$B$10,$BE113,$P113,$Q113,$D$23,$T113,$CC$34,CC$35))</f>
        <v>0</v>
      </c>
      <c r="CE113" s="37" t="n">
        <f aca="false">BX113*CB113</f>
        <v>0</v>
      </c>
      <c r="CF113" s="37" t="n">
        <f aca="false">BX113*CC113</f>
        <v>0</v>
      </c>
      <c r="CG113" s="37" t="n">
        <f aca="false">BX113*CD113</f>
        <v>0</v>
      </c>
      <c r="CH113" s="37" t="n">
        <f aca="false">BX113*Q113</f>
        <v>0</v>
      </c>
      <c r="CJ113" s="73" t="n">
        <f aca="false">IF($A113&gt;=CK$32,IF($A113&lt;=CK$33,$BF113,0),0)</f>
        <v>0</v>
      </c>
      <c r="CK113" s="186" t="e">
        <f aca="false">CM113/CJ113</f>
        <v>#DIV/0!</v>
      </c>
      <c r="CL113" s="1" t="n">
        <f aca="false">CJ113*($B113+$F$15)</f>
        <v>0</v>
      </c>
      <c r="CM113" s="47" t="n">
        <f aca="false">IF(ISNUMBER(((CL113/CJ113)+$F$16+$X113+$F$14)*CJ113),((CL113/CJ113)+$F$16+$X113+$F$14)*CJ113,0)</f>
        <v>0</v>
      </c>
      <c r="CN113" s="76" t="n">
        <f aca="false">IF($CJ113=0,0,OSTRIP($CK113,$AC113,$BJ113-$B$2,$BG113-$BJ113,$BH113-$BJ113,$B$10,$BE113,$Z113,$AA113,$F$23,$AD113,$CO$34,0))</f>
        <v>0</v>
      </c>
      <c r="CO113" s="76" t="n">
        <f aca="false">IF($CJ113=0,0,OSTRIP($CK113,$AC113,$BJ113-$B$2,$BG113-$BJ113,$BH113-$BJ113,$B$10,$BE113,$Z113,$AA113,$F$23,$AD113,$CO$34,1))</f>
        <v>0</v>
      </c>
      <c r="CP113" s="76" t="n">
        <f aca="false">IF($CJ113=0,0,OSTRIP($CK113,$AC113,$BJ113-$B$2,$BG113-$BJ113,$BH113-$BJ113,$B$10,$BE113,$Z113,$AA113,$F$23,$AD113,$CO$34,$CO$35))</f>
        <v>0</v>
      </c>
      <c r="CQ113" s="37" t="n">
        <f aca="false">CJ113*CN113</f>
        <v>0</v>
      </c>
      <c r="CR113" s="37" t="n">
        <f aca="false">CJ113*CO113</f>
        <v>0</v>
      </c>
      <c r="CS113" s="37" t="n">
        <f aca="false">CJ113*CP113</f>
        <v>0</v>
      </c>
      <c r="CT113" s="37" t="n">
        <f aca="false">CJ113*AA113</f>
        <v>0</v>
      </c>
      <c r="CV113" s="73" t="n">
        <f aca="false">IF($A113&gt;=CW$32,IF($A113&lt;=CW$33,$BF113,0),0)</f>
        <v>0</v>
      </c>
      <c r="CW113" s="186" t="e">
        <f aca="false">CY113/CV113</f>
        <v>#DIV/0!</v>
      </c>
      <c r="CX113" s="1" t="n">
        <f aca="false">CV113*($B113+$H$15)</f>
        <v>0</v>
      </c>
      <c r="CY113" s="47" t="n">
        <f aca="false">IF(ISNUMBER(((CX113/CV113)+$H$16+$AH113+$H$14)*CV113),((CX113/CV113)+$H$16+$AH113+$H$14)*CV113,0)</f>
        <v>0</v>
      </c>
      <c r="CZ113" s="76" t="n">
        <f aca="false">IF($CV113=0,0,OSTRIP($CW113,$AM113,$BJ113-$B$2,$BG113-$BJ113,$BH113-$BJ113,$B$10,$BE113,$AJ113,$AK113,$H$23,$AN113,$DA$34,0))</f>
        <v>0</v>
      </c>
      <c r="DA113" s="76" t="n">
        <f aca="false">IF($CV113=0,0,OSTRIP($CW113,$AM113,$BJ113-$B$2,$BG113-$BJ113,$BH113-$BJ113,$B$10,$BE113,$AJ113,$AK113,$H$23,$AN113,$DA$34,1))</f>
        <v>0</v>
      </c>
      <c r="DB113" s="76" t="n">
        <f aca="false">IF($CV113=0,0,OSTRIP($CW113,$AM113,$BJ113-$B$2,$BG113-$BJ113,$BH113-$BJ113,$B$10,$BE113,$AJ113,$AK113,$H$23,$AN113,$DA$34,DA$35))</f>
        <v>0</v>
      </c>
      <c r="DC113" s="37" t="n">
        <f aca="false">CV113*CZ113</f>
        <v>0</v>
      </c>
      <c r="DD113" s="37" t="n">
        <f aca="false">CV113*DA113</f>
        <v>0</v>
      </c>
      <c r="DE113" s="37" t="n">
        <f aca="false">CV113*DB113</f>
        <v>0</v>
      </c>
      <c r="DF113" s="37" t="n">
        <f aca="false">CV113*AK113</f>
        <v>0</v>
      </c>
    </row>
    <row r="114" customFormat="false" ht="12.75" hidden="false" customHeight="false" outlineLevel="0" collapsed="false">
      <c r="A114" s="62" t="n">
        <f aca="false">DATE(YEAR(A113),MONTH(A113)+1,1)</f>
        <v>39569</v>
      </c>
      <c r="B114" s="63" t="n">
        <f aca="false">VLOOKUP(A114,STRADDLE,5,FALSE())</f>
        <v>3.4825</v>
      </c>
      <c r="C114" s="4" t="n">
        <f aca="false">VLOOKUP(A114,STRADDLE,8,FALSE())</f>
        <v>0.23</v>
      </c>
      <c r="D114" s="63" t="n">
        <f aca="false">IF(D$35="nymex",0,VLOOKUP($A114,curvesettle,HLOOKUP(D$35,curvesettle,2,FALSE())))</f>
        <v>0.325</v>
      </c>
      <c r="E114" s="65" t="n">
        <f aca="false">IF(ISNUMBER(VLOOKUP($A114,VOLCURVES,HLOOKUP(D$35,VOLCURVES,2,FALSE()),FALSE())),VLOOKUP($A114,VOLCURVES,HLOOKUP(D$35,VOLCURVES,2,FALSE()),FALSE()),1)</f>
        <v>0.98</v>
      </c>
      <c r="F114" s="4" t="n">
        <f aca="false">(($C114+H114)*$E114)+B$17</f>
        <v>0.3254</v>
      </c>
      <c r="G114" s="65" t="n">
        <f aca="false">VLOOKUP($A114,GASDVOLCURVES,HLOOKUP(D$36,GASDVOLCURVES,2,FALSE()),FALSE())+$B$18</f>
        <v>0.55</v>
      </c>
      <c r="H114" s="4" t="n">
        <f aca="false">IF($B$20=1,VLOOKUP($A114,skewtable,HLOOKUP(ROUND(I114-BM114,1),skewtable,2,FALSE()),FALSE())/100,0)</f>
        <v>0</v>
      </c>
      <c r="I114" s="66" t="e">
        <f aca="false">IF($B$10=1,($BM114*$B$23)-$B$14,$B$22)</f>
        <v>#DIV/0!</v>
      </c>
      <c r="J114" s="67" t="e">
        <f aca="false">I114-BM114+$B$24</f>
        <v>#DIV/0!</v>
      </c>
      <c r="K114" s="67"/>
      <c r="L114" s="183"/>
      <c r="M114" s="183"/>
      <c r="N114" s="63" t="n">
        <f aca="false">IF(N$35="nymex",0,VLOOKUP($A114,curvesettle,HLOOKUP(N$35,curvesettle,2,FALSE())))</f>
        <v>0.02</v>
      </c>
      <c r="O114" s="65" t="n">
        <f aca="false">IF(ISNUMBER(VLOOKUP($A114,VOLCURVES,HLOOKUP(N$35,VOLCURVES,2,FALSE()),FALSE())),VLOOKUP($A114,VOLCURVES,HLOOKUP(N$35,VOLCURVES,2,FALSE()),FALSE()),1)</f>
        <v>1</v>
      </c>
      <c r="P114" s="184" t="n">
        <f aca="false">(($C114+R114)*O114)+$D$17</f>
        <v>0.23</v>
      </c>
      <c r="Q114" s="65" t="n">
        <f aca="false">VLOOKUP($A114,GASDVOLCURVES,HLOOKUP(N$36,GASDVOLCURVES,2,FALSE()),FALSE())+$D$18</f>
        <v>0.55</v>
      </c>
      <c r="R114" s="4" t="n">
        <f aca="false">IF($D$20=1,VLOOKUP($A114,skewtable,HLOOKUP(ROUND(S114-BY114,1),skewtable,2,FALSE()),FALSE())/100,0)</f>
        <v>0</v>
      </c>
      <c r="S114" s="66" t="e">
        <f aca="false">IF(B$10=1,($BY114*$D$23)-$D$14,$D$22)</f>
        <v>#DIV/0!</v>
      </c>
      <c r="T114" s="67" t="e">
        <f aca="false">S114-$BY114+$D$24</f>
        <v>#DIV/0!</v>
      </c>
      <c r="U114" s="0"/>
      <c r="V114" s="0"/>
      <c r="W114" s="0"/>
      <c r="X114" s="63" t="n">
        <f aca="false">IF(X$35="nymex",0,VLOOKUP($A114,curvesettle,HLOOKUP(X$35,curvesettle,2,FALSE())))</f>
        <v>0.26</v>
      </c>
      <c r="Y114" s="65" t="n">
        <f aca="false">IF(ISNUMBER(VLOOKUP($A114,VOLCURVES,HLOOKUP(X$35,VOLCURVES,2,FALSE()),FALSE())),VLOOKUP($A114,VOLCURVES,HLOOKUP(X$35,VOLCURVES,2,FALSE()),FALSE()),1)</f>
        <v>1</v>
      </c>
      <c r="Z114" s="184" t="n">
        <f aca="false">(($C114+AB114)*Y114)+$F$17</f>
        <v>0.23</v>
      </c>
      <c r="AA114" s="65" t="n">
        <f aca="false">VLOOKUP($A114,GASDVOLCURVES,HLOOKUP(X$36,GASDVOLCURVES,2,FALSE()),FALSE())+$F$18</f>
        <v>0.5</v>
      </c>
      <c r="AB114" s="4" t="n">
        <f aca="false">IF($F$20=1,VLOOKUP($A114,skewtable,HLOOKUP(ROUND(AC114-CK114,1),skewtable,2,FALSE()),FALSE())/100,0)</f>
        <v>0</v>
      </c>
      <c r="AC114" s="66" t="e">
        <f aca="false">IF($B$10=1,($CK114*$F$23)-$F$14,$F$22)</f>
        <v>#DIV/0!</v>
      </c>
      <c r="AD114" s="67" t="e">
        <f aca="false">AC114-$CK114+$F$24</f>
        <v>#DIV/0!</v>
      </c>
      <c r="AE114" s="0"/>
      <c r="AF114" s="0"/>
      <c r="AG114" s="0"/>
      <c r="AH114" s="63" t="n">
        <f aca="false">IF(AH$35="nymex",0,VLOOKUP($A114,curvesettle,HLOOKUP(AH$35,curvesettle,2,FALSE())))</f>
        <v>0.33</v>
      </c>
      <c r="AI114" s="65" t="n">
        <f aca="false">IF(ISNUMBER(VLOOKUP($A114,VOLCURVES,HLOOKUP(AH$35,VOLCURVES,2,FALSE()),FALSE())),VLOOKUP($A114,VOLCURVES,HLOOKUP(AH$35,VOLCURVES,2,FALSE()),FALSE()),1)</f>
        <v>1</v>
      </c>
      <c r="AJ114" s="184" t="n">
        <f aca="false">(($C114+AL114)*AI114)+$H$17</f>
        <v>0.23</v>
      </c>
      <c r="AK114" s="65" t="n">
        <f aca="false">VLOOKUP($A114,GASDVOLCURVES,HLOOKUP(AH$36,GASDVOLCURVES,2,FALSE()),FALSE())+$H$18</f>
        <v>1</v>
      </c>
      <c r="AL114" s="4" t="n">
        <f aca="false">IF($H$20=1,VLOOKUP($A114,skewtable,HLOOKUP(ROUND(AM114-CW114,1),skewtable,2,FALSE()),FALSE())/100,0)</f>
        <v>0</v>
      </c>
      <c r="AM114" s="66" t="e">
        <f aca="false">IF($B$10=1,($CW114*$H$23)-$H$14,$H$22)</f>
        <v>#DIV/0!</v>
      </c>
      <c r="AN114" s="67" t="e">
        <f aca="false">AM114-CW114+$H$24</f>
        <v>#DIV/0!</v>
      </c>
      <c r="AO114" s="0"/>
      <c r="AP114" s="0"/>
      <c r="AQ114" s="183"/>
      <c r="AR114" s="183"/>
      <c r="AU114" s="0"/>
      <c r="AV114" s="0"/>
      <c r="AW114" s="0"/>
      <c r="AX114" s="0"/>
      <c r="AY114" s="0"/>
      <c r="AZ114" s="0"/>
      <c r="BA114" s="0"/>
      <c r="BC114" s="64"/>
      <c r="BD114" s="64"/>
      <c r="BE114" s="4" t="n">
        <f aca="false">VLOOKUP($A114,STRADDLE,14,FALSE())</f>
        <v>0.0542375238149777</v>
      </c>
      <c r="BF114" s="72" t="n">
        <f aca="false">A115-A114</f>
        <v>31</v>
      </c>
      <c r="BG114" s="179" t="n">
        <f aca="false">A114+BG$35</f>
        <v>39569</v>
      </c>
      <c r="BH114" s="179" t="n">
        <f aca="false">A115-1</f>
        <v>39599</v>
      </c>
      <c r="BJ114" s="179" t="n">
        <f aca="true">IF(BJ$35=0,TODAY(),IF(BJ$36="NYMEX",VLOOKUP($A114,expiration,2,FALSE())+1,BG114))</f>
        <v>39567</v>
      </c>
      <c r="BK114" s="73"/>
      <c r="BL114" s="73" t="n">
        <f aca="false">IF($A114&gt;=BM$32,IF($A114&lt;=BM$33,$BF114,0),0)</f>
        <v>0</v>
      </c>
      <c r="BM114" s="73" t="e">
        <f aca="false">BO114/BL114</f>
        <v>#DIV/0!</v>
      </c>
      <c r="BN114" s="1" t="n">
        <f aca="false">BL114*($B114+B$15)</f>
        <v>0</v>
      </c>
      <c r="BO114" s="47" t="n">
        <f aca="false">IF(ISNUMBER(((BN114/BL114)+B$16+$D114+$B$14)*BL114),((BN114/BL114)+B$16+$D114+$B$14)*BL114,0)</f>
        <v>0</v>
      </c>
      <c r="BP114" s="76" t="n">
        <f aca="false">IF($BL114=0,0,OSTRIP($BM114,$I114,$BJ114-$B$2,$BG114-$BJ114,$BH114-$BJ114,$B$10,$BE114,$F114,$G114,$B$23,$J114,$BQ$34,0))</f>
        <v>0</v>
      </c>
      <c r="BQ114" s="76" t="n">
        <f aca="false">IF($BL114=0,0,OSTRIP($BM114,$I114,$BJ114-$B$2,$BG114-$BJ114,$BH114-$BJ114,$B$10,$BE114,$F114,$G114,$B$23,$J114,$BQ$34,1))</f>
        <v>0</v>
      </c>
      <c r="BR114" s="76" t="n">
        <f aca="false">IF($BL114=0,0,OSTRIP($BM114,$I114,$BJ114-$B$2,$BG114-$BJ114,$BH114-$BJ114,$B$10,$BE114,$F114,$G114,$B$23,$J114,$BQ$34,BQ$35))</f>
        <v>0</v>
      </c>
      <c r="BS114" s="37" t="n">
        <f aca="false">BL114*BP114</f>
        <v>0</v>
      </c>
      <c r="BT114" s="37" t="n">
        <f aca="false">BL114*BQ114</f>
        <v>0</v>
      </c>
      <c r="BU114" s="37" t="n">
        <f aca="false">BL114*BR114</f>
        <v>0</v>
      </c>
      <c r="BV114" s="37" t="n">
        <f aca="false">BL114*G114</f>
        <v>0</v>
      </c>
      <c r="BX114" s="73" t="n">
        <f aca="false">IF($A114&gt;=BY$32,IF($A114&lt;=BY$33,$BF114,0),0)</f>
        <v>0</v>
      </c>
      <c r="BY114" s="186" t="e">
        <f aca="false">CA114/BX114</f>
        <v>#DIV/0!</v>
      </c>
      <c r="BZ114" s="1" t="n">
        <f aca="false">BX114*($B114+$D$15)</f>
        <v>0</v>
      </c>
      <c r="CA114" s="47" t="n">
        <f aca="false">IF(ISNUMBER(((BZ114/BX114)+$D$16+$N114+$D$14)*BX114),((BZ114/BX114)+$D$16+$N114+$D$14)*BX114,0)</f>
        <v>0</v>
      </c>
      <c r="CB114" s="76" t="n">
        <f aca="false">IF($BX114=0,0,OSTRIP($BY114,$S114,$BJ114-$B$2,$BG114-$BJ114,$BH114-$BJ114,$B$10,$BE114,$P114,$Q114,$D$23,$T114,$CC$34,0))</f>
        <v>0</v>
      </c>
      <c r="CC114" s="76" t="n">
        <f aca="false">IF($BX114=0,0,OSTRIP($BY114,$S114,$BJ114-$B$2,$BG114-$BJ114,$BH114-$BJ114,$B$10,$BE114,$P114,$Q114,$D$23,$T114,$CC$34,1))</f>
        <v>0</v>
      </c>
      <c r="CD114" s="76" t="n">
        <f aca="false">IF($BX114=0,0,OSTRIP($BY114,$S114,$BJ114-$B$2,$BG114-$BJ114,$BH114-$BJ114,$B$10,$BE114,$P114,$Q114,$D$23,$T114,$CC$34,CC$35))</f>
        <v>0</v>
      </c>
      <c r="CE114" s="37" t="n">
        <f aca="false">BX114*CB114</f>
        <v>0</v>
      </c>
      <c r="CF114" s="37" t="n">
        <f aca="false">BX114*CC114</f>
        <v>0</v>
      </c>
      <c r="CG114" s="37" t="n">
        <f aca="false">BX114*CD114</f>
        <v>0</v>
      </c>
      <c r="CH114" s="37" t="n">
        <f aca="false">BX114*Q114</f>
        <v>0</v>
      </c>
      <c r="CJ114" s="73" t="n">
        <f aca="false">IF($A114&gt;=CK$32,IF($A114&lt;=CK$33,$BF114,0),0)</f>
        <v>0</v>
      </c>
      <c r="CK114" s="186" t="e">
        <f aca="false">CM114/CJ114</f>
        <v>#DIV/0!</v>
      </c>
      <c r="CL114" s="1" t="n">
        <f aca="false">CJ114*($B114+$F$15)</f>
        <v>0</v>
      </c>
      <c r="CM114" s="47" t="n">
        <f aca="false">IF(ISNUMBER(((CL114/CJ114)+$F$16+$X114+$F$14)*CJ114),((CL114/CJ114)+$F$16+$X114+$F$14)*CJ114,0)</f>
        <v>0</v>
      </c>
      <c r="CN114" s="76" t="n">
        <f aca="false">IF($CJ114=0,0,OSTRIP($CK114,$AC114,$BJ114-$B$2,$BG114-$BJ114,$BH114-$BJ114,$B$10,$BE114,$Z114,$AA114,$F$23,$AD114,$CO$34,0))</f>
        <v>0</v>
      </c>
      <c r="CO114" s="76" t="n">
        <f aca="false">IF($CJ114=0,0,OSTRIP($CK114,$AC114,$BJ114-$B$2,$BG114-$BJ114,$BH114-$BJ114,$B$10,$BE114,$Z114,$AA114,$F$23,$AD114,$CO$34,1))</f>
        <v>0</v>
      </c>
      <c r="CP114" s="76" t="n">
        <f aca="false">IF($CJ114=0,0,OSTRIP($CK114,$AC114,$BJ114-$B$2,$BG114-$BJ114,$BH114-$BJ114,$B$10,$BE114,$Z114,$AA114,$F$23,$AD114,$CO$34,$CO$35))</f>
        <v>0</v>
      </c>
      <c r="CQ114" s="37" t="n">
        <f aca="false">CJ114*CN114</f>
        <v>0</v>
      </c>
      <c r="CR114" s="37" t="n">
        <f aca="false">CJ114*CO114</f>
        <v>0</v>
      </c>
      <c r="CS114" s="37" t="n">
        <f aca="false">CJ114*CP114</f>
        <v>0</v>
      </c>
      <c r="CT114" s="37" t="n">
        <f aca="false">CJ114*AA114</f>
        <v>0</v>
      </c>
      <c r="CV114" s="73" t="n">
        <f aca="false">IF($A114&gt;=CW$32,IF($A114&lt;=CW$33,$BF114,0),0)</f>
        <v>0</v>
      </c>
      <c r="CW114" s="186" t="e">
        <f aca="false">CY114/CV114</f>
        <v>#DIV/0!</v>
      </c>
      <c r="CX114" s="1" t="n">
        <f aca="false">CV114*($B114+$H$15)</f>
        <v>0</v>
      </c>
      <c r="CY114" s="47" t="n">
        <f aca="false">IF(ISNUMBER(((CX114/CV114)+$H$16+$AH114+$H$14)*CV114),((CX114/CV114)+$H$16+$AH114+$H$14)*CV114,0)</f>
        <v>0</v>
      </c>
      <c r="CZ114" s="76" t="n">
        <f aca="false">IF($CV114=0,0,OSTRIP($CW114,$AM114,$BJ114-$B$2,$BG114-$BJ114,$BH114-$BJ114,$B$10,$BE114,$AJ114,$AK114,$H$23,$AN114,$DA$34,0))</f>
        <v>0</v>
      </c>
      <c r="DA114" s="76" t="n">
        <f aca="false">IF($CV114=0,0,OSTRIP($CW114,$AM114,$BJ114-$B$2,$BG114-$BJ114,$BH114-$BJ114,$B$10,$BE114,$AJ114,$AK114,$H$23,$AN114,$DA$34,1))</f>
        <v>0</v>
      </c>
      <c r="DB114" s="76" t="n">
        <f aca="false">IF($CV114=0,0,OSTRIP($CW114,$AM114,$BJ114-$B$2,$BG114-$BJ114,$BH114-$BJ114,$B$10,$BE114,$AJ114,$AK114,$H$23,$AN114,$DA$34,DA$35))</f>
        <v>0</v>
      </c>
      <c r="DC114" s="37" t="n">
        <f aca="false">CV114*CZ114</f>
        <v>0</v>
      </c>
      <c r="DD114" s="37" t="n">
        <f aca="false">CV114*DA114</f>
        <v>0</v>
      </c>
      <c r="DE114" s="37" t="n">
        <f aca="false">CV114*DB114</f>
        <v>0</v>
      </c>
      <c r="DF114" s="37" t="n">
        <f aca="false">CV114*AK114</f>
        <v>0</v>
      </c>
    </row>
    <row r="115" customFormat="false" ht="12.75" hidden="false" customHeight="false" outlineLevel="0" collapsed="false">
      <c r="A115" s="62" t="n">
        <f aca="false">DATE(YEAR(A114),MONTH(A114)+1,1)</f>
        <v>39600</v>
      </c>
      <c r="B115" s="63" t="n">
        <f aca="false">VLOOKUP(A115,STRADDLE,5,FALSE())</f>
        <v>3.5175</v>
      </c>
      <c r="C115" s="4" t="n">
        <f aca="false">VLOOKUP(A115,STRADDLE,8,FALSE())</f>
        <v>0.23</v>
      </c>
      <c r="D115" s="63" t="n">
        <f aca="false">IF(D$35="nymex",0,VLOOKUP($A115,curvesettle,HLOOKUP(D$35,curvesettle,2,FALSE())))</f>
        <v>0.335</v>
      </c>
      <c r="E115" s="65" t="n">
        <f aca="false">IF(ISNUMBER(VLOOKUP($A115,VOLCURVES,HLOOKUP(D$35,VOLCURVES,2,FALSE()),FALSE())),VLOOKUP($A115,VOLCURVES,HLOOKUP(D$35,VOLCURVES,2,FALSE()),FALSE()),1)</f>
        <v>0.98</v>
      </c>
      <c r="F115" s="4" t="n">
        <f aca="false">(($C115+H115)*$E115)+B$17</f>
        <v>0.3254</v>
      </c>
      <c r="G115" s="65" t="n">
        <f aca="false">VLOOKUP($A115,GASDVOLCURVES,HLOOKUP(D$36,GASDVOLCURVES,2,FALSE()),FALSE())+$B$18</f>
        <v>0.55</v>
      </c>
      <c r="H115" s="4" t="n">
        <f aca="false">IF($B$20=1,VLOOKUP($A115,skewtable,HLOOKUP(ROUND(I115-BM115,1),skewtable,2,FALSE()),FALSE())/100,0)</f>
        <v>0</v>
      </c>
      <c r="I115" s="66" t="e">
        <f aca="false">IF($B$10=1,($BM115*$B$23)-$B$14,$B$22)</f>
        <v>#DIV/0!</v>
      </c>
      <c r="J115" s="67" t="e">
        <f aca="false">I115-BM115+$B$24</f>
        <v>#DIV/0!</v>
      </c>
      <c r="K115" s="67"/>
      <c r="L115" s="183"/>
      <c r="M115" s="183"/>
      <c r="N115" s="63" t="n">
        <f aca="false">IF(N$35="nymex",0,VLOOKUP($A115,curvesettle,HLOOKUP(N$35,curvesettle,2,FALSE())))</f>
        <v>0.025</v>
      </c>
      <c r="O115" s="65" t="n">
        <f aca="false">IF(ISNUMBER(VLOOKUP($A115,VOLCURVES,HLOOKUP(N$35,VOLCURVES,2,FALSE()),FALSE())),VLOOKUP($A115,VOLCURVES,HLOOKUP(N$35,VOLCURVES,2,FALSE()),FALSE()),1)</f>
        <v>1</v>
      </c>
      <c r="P115" s="184" t="n">
        <f aca="false">(($C115+R115)*O115)+$D$17</f>
        <v>0.23</v>
      </c>
      <c r="Q115" s="65" t="n">
        <f aca="false">VLOOKUP($A115,GASDVOLCURVES,HLOOKUP(N$36,GASDVOLCURVES,2,FALSE()),FALSE())+$D$18</f>
        <v>0.55</v>
      </c>
      <c r="R115" s="4" t="n">
        <f aca="false">IF($D$20=1,VLOOKUP($A115,skewtable,HLOOKUP(ROUND(S115-BY115,1),skewtable,2,FALSE()),FALSE())/100,0)</f>
        <v>0</v>
      </c>
      <c r="S115" s="66" t="e">
        <f aca="false">IF(B$10=1,($BY115*$D$23)-$D$14,$D$22)</f>
        <v>#DIV/0!</v>
      </c>
      <c r="T115" s="67" t="e">
        <f aca="false">S115-$BY115+$D$24</f>
        <v>#DIV/0!</v>
      </c>
      <c r="U115" s="0"/>
      <c r="V115" s="0"/>
      <c r="W115" s="0"/>
      <c r="X115" s="63" t="n">
        <f aca="false">IF(X$35="nymex",0,VLOOKUP($A115,curvesettle,HLOOKUP(X$35,curvesettle,2,FALSE())))</f>
        <v>0.26</v>
      </c>
      <c r="Y115" s="65" t="n">
        <f aca="false">IF(ISNUMBER(VLOOKUP($A115,VOLCURVES,HLOOKUP(X$35,VOLCURVES,2,FALSE()),FALSE())),VLOOKUP($A115,VOLCURVES,HLOOKUP(X$35,VOLCURVES,2,FALSE()),FALSE()),1)</f>
        <v>1</v>
      </c>
      <c r="Z115" s="184" t="n">
        <f aca="false">(($C115+AB115)*Y115)+$F$17</f>
        <v>0.23</v>
      </c>
      <c r="AA115" s="65" t="n">
        <f aca="false">VLOOKUP($A115,GASDVOLCURVES,HLOOKUP(X$36,GASDVOLCURVES,2,FALSE()),FALSE())+$F$18</f>
        <v>0.6</v>
      </c>
      <c r="AB115" s="4" t="n">
        <f aca="false">IF($F$20=1,VLOOKUP($A115,skewtable,HLOOKUP(ROUND(AC115-CK115,1),skewtable,2,FALSE()),FALSE())/100,0)</f>
        <v>0</v>
      </c>
      <c r="AC115" s="66" t="e">
        <f aca="false">IF($B$10=1,($CK115*$F$23)-$F$14,$F$22)</f>
        <v>#DIV/0!</v>
      </c>
      <c r="AD115" s="67" t="e">
        <f aca="false">AC115-$CK115+$F$24</f>
        <v>#DIV/0!</v>
      </c>
      <c r="AE115" s="0"/>
      <c r="AF115" s="0"/>
      <c r="AG115" s="0"/>
      <c r="AH115" s="63" t="n">
        <f aca="false">IF(AH$35="nymex",0,VLOOKUP($A115,curvesettle,HLOOKUP(AH$35,curvesettle,2,FALSE())))</f>
        <v>0.37</v>
      </c>
      <c r="AI115" s="65" t="n">
        <f aca="false">IF(ISNUMBER(VLOOKUP($A115,VOLCURVES,HLOOKUP(AH$35,VOLCURVES,2,FALSE()),FALSE())),VLOOKUP($A115,VOLCURVES,HLOOKUP(AH$35,VOLCURVES,2,FALSE()),FALSE()),1)</f>
        <v>1</v>
      </c>
      <c r="AJ115" s="184" t="n">
        <f aca="false">(($C115+AL115)*AI115)+$H$17</f>
        <v>0.23</v>
      </c>
      <c r="AK115" s="65" t="n">
        <f aca="false">VLOOKUP($A115,GASDVOLCURVES,HLOOKUP(AH$36,GASDVOLCURVES,2,FALSE()),FALSE())+$H$18</f>
        <v>1</v>
      </c>
      <c r="AL115" s="4" t="n">
        <f aca="false">IF($H$20=1,VLOOKUP($A115,skewtable,HLOOKUP(ROUND(AM115-CW115,1),skewtable,2,FALSE()),FALSE())/100,0)</f>
        <v>0</v>
      </c>
      <c r="AM115" s="66" t="e">
        <f aca="false">IF($B$10=1,($CW115*$H$23)-$H$14,$H$22)</f>
        <v>#DIV/0!</v>
      </c>
      <c r="AN115" s="67" t="e">
        <f aca="false">AM115-CW115+$H$24</f>
        <v>#DIV/0!</v>
      </c>
      <c r="AO115" s="0"/>
      <c r="AP115" s="0"/>
      <c r="AQ115" s="183"/>
      <c r="AR115" s="183"/>
      <c r="AU115" s="0"/>
      <c r="AV115" s="0"/>
      <c r="AW115" s="0"/>
      <c r="AX115" s="0"/>
      <c r="AY115" s="0"/>
      <c r="AZ115" s="0"/>
      <c r="BA115" s="0"/>
      <c r="BC115" s="64"/>
      <c r="BD115" s="64"/>
      <c r="BE115" s="4" t="n">
        <f aca="false">VLOOKUP($A115,STRADDLE,14,FALSE())</f>
        <v>0.0544190375930174</v>
      </c>
      <c r="BF115" s="72" t="n">
        <f aca="false">A116-A115</f>
        <v>30</v>
      </c>
      <c r="BG115" s="179" t="n">
        <f aca="false">A115+BG$35</f>
        <v>39600</v>
      </c>
      <c r="BH115" s="179" t="n">
        <f aca="false">A116-1</f>
        <v>39629</v>
      </c>
      <c r="BJ115" s="179" t="n">
        <f aca="true">IF(BJ$35=0,TODAY(),IF(BJ$36="NYMEX",VLOOKUP($A115,expiration,2,FALSE())+1,BG115))</f>
        <v>39597</v>
      </c>
      <c r="BK115" s="73"/>
      <c r="BL115" s="73" t="n">
        <f aca="false">IF($A115&gt;=BM$32,IF($A115&lt;=BM$33,$BF115,0),0)</f>
        <v>0</v>
      </c>
      <c r="BM115" s="73" t="e">
        <f aca="false">BO115/BL115</f>
        <v>#DIV/0!</v>
      </c>
      <c r="BN115" s="1" t="n">
        <f aca="false">BL115*($B115+B$15)</f>
        <v>0</v>
      </c>
      <c r="BO115" s="47" t="n">
        <f aca="false">IF(ISNUMBER(((BN115/BL115)+B$16+$D115+$B$14)*BL115),((BN115/BL115)+B$16+$D115+$B$14)*BL115,0)</f>
        <v>0</v>
      </c>
      <c r="BP115" s="76" t="n">
        <f aca="false">IF($BL115=0,0,OSTRIP($BM115,$I115,$BJ115-$B$2,$BG115-$BJ115,$BH115-$BJ115,$B$10,$BE115,$F115,$G115,$B$23,$J115,$BQ$34,0))</f>
        <v>0</v>
      </c>
      <c r="BQ115" s="76" t="n">
        <f aca="false">IF($BL115=0,0,OSTRIP($BM115,$I115,$BJ115-$B$2,$BG115-$BJ115,$BH115-$BJ115,$B$10,$BE115,$F115,$G115,$B$23,$J115,$BQ$34,1))</f>
        <v>0</v>
      </c>
      <c r="BR115" s="76" t="n">
        <f aca="false">IF($BL115=0,0,OSTRIP($BM115,$I115,$BJ115-$B$2,$BG115-$BJ115,$BH115-$BJ115,$B$10,$BE115,$F115,$G115,$B$23,$J115,$BQ$34,BQ$35))</f>
        <v>0</v>
      </c>
      <c r="BS115" s="37" t="n">
        <f aca="false">BL115*BP115</f>
        <v>0</v>
      </c>
      <c r="BT115" s="37" t="n">
        <f aca="false">BL115*BQ115</f>
        <v>0</v>
      </c>
      <c r="BU115" s="37" t="n">
        <f aca="false">BL115*BR115</f>
        <v>0</v>
      </c>
      <c r="BV115" s="37" t="n">
        <f aca="false">BL115*G115</f>
        <v>0</v>
      </c>
      <c r="BX115" s="73" t="n">
        <f aca="false">IF($A115&gt;=BY$32,IF($A115&lt;=BY$33,$BF115,0),0)</f>
        <v>0</v>
      </c>
      <c r="BY115" s="186" t="e">
        <f aca="false">CA115/BX115</f>
        <v>#DIV/0!</v>
      </c>
      <c r="BZ115" s="1" t="n">
        <f aca="false">BX115*($B115+$D$15)</f>
        <v>0</v>
      </c>
      <c r="CA115" s="47" t="n">
        <f aca="false">IF(ISNUMBER(((BZ115/BX115)+$D$16+$N115+$D$14)*BX115),((BZ115/BX115)+$D$16+$N115+$D$14)*BX115,0)</f>
        <v>0</v>
      </c>
      <c r="CB115" s="76" t="n">
        <f aca="false">IF($BX115=0,0,OSTRIP($BY115,$S115,$BJ115-$B$2,$BG115-$BJ115,$BH115-$BJ115,$B$10,$BE115,$P115,$Q115,$D$23,$T115,$CC$34,0))</f>
        <v>0</v>
      </c>
      <c r="CC115" s="76" t="n">
        <f aca="false">IF($BX115=0,0,OSTRIP($BY115,$S115,$BJ115-$B$2,$BG115-$BJ115,$BH115-$BJ115,$B$10,$BE115,$P115,$Q115,$D$23,$T115,$CC$34,1))</f>
        <v>0</v>
      </c>
      <c r="CD115" s="76" t="n">
        <f aca="false">IF($BX115=0,0,OSTRIP($BY115,$S115,$BJ115-$B$2,$BG115-$BJ115,$BH115-$BJ115,$B$10,$BE115,$P115,$Q115,$D$23,$T115,$CC$34,CC$35))</f>
        <v>0</v>
      </c>
      <c r="CE115" s="37" t="n">
        <f aca="false">BX115*CB115</f>
        <v>0</v>
      </c>
      <c r="CF115" s="37" t="n">
        <f aca="false">BX115*CC115</f>
        <v>0</v>
      </c>
      <c r="CG115" s="37" t="n">
        <f aca="false">BX115*CD115</f>
        <v>0</v>
      </c>
      <c r="CH115" s="37" t="n">
        <f aca="false">BX115*Q115</f>
        <v>0</v>
      </c>
      <c r="CJ115" s="73" t="n">
        <f aca="false">IF($A115&gt;=CK$32,IF($A115&lt;=CK$33,$BF115,0),0)</f>
        <v>0</v>
      </c>
      <c r="CK115" s="186" t="e">
        <f aca="false">CM115/CJ115</f>
        <v>#DIV/0!</v>
      </c>
      <c r="CL115" s="1" t="n">
        <f aca="false">CJ115*($B115+$F$15)</f>
        <v>0</v>
      </c>
      <c r="CM115" s="47" t="n">
        <f aca="false">IF(ISNUMBER(((CL115/CJ115)+$F$16+$X115+$F$14)*CJ115),((CL115/CJ115)+$F$16+$X115+$F$14)*CJ115,0)</f>
        <v>0</v>
      </c>
      <c r="CN115" s="76" t="n">
        <f aca="false">IF($CJ115=0,0,OSTRIP($CK115,$AC115,$BJ115-$B$2,$BG115-$BJ115,$BH115-$BJ115,$B$10,$BE115,$Z115,$AA115,$F$23,$AD115,$CO$34,0))</f>
        <v>0</v>
      </c>
      <c r="CO115" s="76" t="n">
        <f aca="false">IF($CJ115=0,0,OSTRIP($CK115,$AC115,$BJ115-$B$2,$BG115-$BJ115,$BH115-$BJ115,$B$10,$BE115,$Z115,$AA115,$F$23,$AD115,$CO$34,1))</f>
        <v>0</v>
      </c>
      <c r="CP115" s="76" t="n">
        <f aca="false">IF($CJ115=0,0,OSTRIP($CK115,$AC115,$BJ115-$B$2,$BG115-$BJ115,$BH115-$BJ115,$B$10,$BE115,$Z115,$AA115,$F$23,$AD115,$CO$34,$CO$35))</f>
        <v>0</v>
      </c>
      <c r="CQ115" s="37" t="n">
        <f aca="false">CJ115*CN115</f>
        <v>0</v>
      </c>
      <c r="CR115" s="37" t="n">
        <f aca="false">CJ115*CO115</f>
        <v>0</v>
      </c>
      <c r="CS115" s="37" t="n">
        <f aca="false">CJ115*CP115</f>
        <v>0</v>
      </c>
      <c r="CT115" s="37" t="n">
        <f aca="false">CJ115*AA115</f>
        <v>0</v>
      </c>
      <c r="CV115" s="73" t="n">
        <f aca="false">IF($A115&gt;=CW$32,IF($A115&lt;=CW$33,$BF115,0),0)</f>
        <v>0</v>
      </c>
      <c r="CW115" s="186" t="e">
        <f aca="false">CY115/CV115</f>
        <v>#DIV/0!</v>
      </c>
      <c r="CX115" s="1" t="n">
        <f aca="false">CV115*($B115+$H$15)</f>
        <v>0</v>
      </c>
      <c r="CY115" s="47" t="n">
        <f aca="false">IF(ISNUMBER(((CX115/CV115)+$H$16+$AH115+$H$14)*CV115),((CX115/CV115)+$H$16+$AH115+$H$14)*CV115,0)</f>
        <v>0</v>
      </c>
      <c r="CZ115" s="76" t="n">
        <f aca="false">IF($CV115=0,0,OSTRIP($CW115,$AM115,$BJ115-$B$2,$BG115-$BJ115,$BH115-$BJ115,$B$10,$BE115,$AJ115,$AK115,$H$23,$AN115,$DA$34,0))</f>
        <v>0</v>
      </c>
      <c r="DA115" s="76" t="n">
        <f aca="false">IF($CV115=0,0,OSTRIP($CW115,$AM115,$BJ115-$B$2,$BG115-$BJ115,$BH115-$BJ115,$B$10,$BE115,$AJ115,$AK115,$H$23,$AN115,$DA$34,1))</f>
        <v>0</v>
      </c>
      <c r="DB115" s="76" t="n">
        <f aca="false">IF($CV115=0,0,OSTRIP($CW115,$AM115,$BJ115-$B$2,$BG115-$BJ115,$BH115-$BJ115,$B$10,$BE115,$AJ115,$AK115,$H$23,$AN115,$DA$34,DA$35))</f>
        <v>0</v>
      </c>
      <c r="DC115" s="37" t="n">
        <f aca="false">CV115*CZ115</f>
        <v>0</v>
      </c>
      <c r="DD115" s="37" t="n">
        <f aca="false">CV115*DA115</f>
        <v>0</v>
      </c>
      <c r="DE115" s="37" t="n">
        <f aca="false">CV115*DB115</f>
        <v>0</v>
      </c>
      <c r="DF115" s="37" t="n">
        <f aca="false">CV115*AK115</f>
        <v>0</v>
      </c>
    </row>
    <row r="116" customFormat="false" ht="12.75" hidden="false" customHeight="false" outlineLevel="0" collapsed="false">
      <c r="A116" s="62" t="n">
        <f aca="false">DATE(YEAR(A115),MONTH(A115)+1,1)</f>
        <v>39630</v>
      </c>
      <c r="B116" s="63" t="n">
        <f aca="false">VLOOKUP(A116,STRADDLE,5,FALSE())</f>
        <v>3.5575</v>
      </c>
      <c r="C116" s="4" t="n">
        <f aca="false">VLOOKUP(A116,STRADDLE,8,FALSE())</f>
        <v>0.23</v>
      </c>
      <c r="D116" s="63" t="n">
        <f aca="false">IF(D$35="nymex",0,VLOOKUP($A116,curvesettle,HLOOKUP(D$35,curvesettle,2,FALSE())))</f>
        <v>0.35</v>
      </c>
      <c r="E116" s="65" t="n">
        <f aca="false">IF(ISNUMBER(VLOOKUP($A116,VOLCURVES,HLOOKUP(D$35,VOLCURVES,2,FALSE()),FALSE())),VLOOKUP($A116,VOLCURVES,HLOOKUP(D$35,VOLCURVES,2,FALSE()),FALSE()),1)</f>
        <v>0.98</v>
      </c>
      <c r="F116" s="4" t="n">
        <f aca="false">(($C116+H116)*$E116)+B$17</f>
        <v>0.3254</v>
      </c>
      <c r="G116" s="65" t="n">
        <f aca="false">VLOOKUP($A116,GASDVOLCURVES,HLOOKUP(D$36,GASDVOLCURVES,2,FALSE()),FALSE())+$B$18</f>
        <v>0.6</v>
      </c>
      <c r="H116" s="4" t="n">
        <f aca="false">IF($B$20=1,VLOOKUP($A116,skewtable,HLOOKUP(ROUND(I116-BM116,1),skewtable,2,FALSE()),FALSE())/100,0)</f>
        <v>0</v>
      </c>
      <c r="I116" s="66" t="e">
        <f aca="false">IF($B$10=1,($BM116*$B$23)-$B$14,$B$22)</f>
        <v>#DIV/0!</v>
      </c>
      <c r="J116" s="67" t="e">
        <f aca="false">I116-BM116+$B$24</f>
        <v>#DIV/0!</v>
      </c>
      <c r="K116" s="67"/>
      <c r="L116" s="183"/>
      <c r="M116" s="183"/>
      <c r="N116" s="63" t="n">
        <f aca="false">IF(N$35="nymex",0,VLOOKUP($A116,curvesettle,HLOOKUP(N$35,curvesettle,2,FALSE())))</f>
        <v>0.0275</v>
      </c>
      <c r="O116" s="65" t="n">
        <f aca="false">IF(ISNUMBER(VLOOKUP($A116,VOLCURVES,HLOOKUP(N$35,VOLCURVES,2,FALSE()),FALSE())),VLOOKUP($A116,VOLCURVES,HLOOKUP(N$35,VOLCURVES,2,FALSE()),FALSE()),1)</f>
        <v>1</v>
      </c>
      <c r="P116" s="184" t="n">
        <f aca="false">(($C116+R116)*O116)+$D$17</f>
        <v>0.23</v>
      </c>
      <c r="Q116" s="65" t="n">
        <f aca="false">VLOOKUP($A116,GASDVOLCURVES,HLOOKUP(N$36,GASDVOLCURVES,2,FALSE()),FALSE())+$D$18</f>
        <v>0.6</v>
      </c>
      <c r="R116" s="4" t="n">
        <f aca="false">IF($D$20=1,VLOOKUP($A116,skewtable,HLOOKUP(ROUND(S116-BY116,1),skewtable,2,FALSE()),FALSE())/100,0)</f>
        <v>0</v>
      </c>
      <c r="S116" s="66" t="e">
        <f aca="false">IF(B$10=1,($BY116*$D$23)-$D$14,$D$22)</f>
        <v>#DIV/0!</v>
      </c>
      <c r="T116" s="67" t="e">
        <f aca="false">S116-$BY116+$D$24</f>
        <v>#DIV/0!</v>
      </c>
      <c r="U116" s="0"/>
      <c r="V116" s="0"/>
      <c r="W116" s="0"/>
      <c r="X116" s="63" t="n">
        <f aca="false">IF(X$35="nymex",0,VLOOKUP($A116,curvesettle,HLOOKUP(X$35,curvesettle,2,FALSE())))</f>
        <v>0.26</v>
      </c>
      <c r="Y116" s="65" t="n">
        <f aca="false">IF(ISNUMBER(VLOOKUP($A116,VOLCURVES,HLOOKUP(X$35,VOLCURVES,2,FALSE()),FALSE())),VLOOKUP($A116,VOLCURVES,HLOOKUP(X$35,VOLCURVES,2,FALSE()),FALSE()),1)</f>
        <v>1</v>
      </c>
      <c r="Z116" s="184" t="n">
        <f aca="false">(($C116+AB116)*Y116)+$F$17</f>
        <v>0.23</v>
      </c>
      <c r="AA116" s="65" t="n">
        <f aca="false">VLOOKUP($A116,GASDVOLCURVES,HLOOKUP(X$36,GASDVOLCURVES,2,FALSE()),FALSE())+$F$18</f>
        <v>0.6</v>
      </c>
      <c r="AB116" s="4" t="n">
        <f aca="false">IF($F$20=1,VLOOKUP($A116,skewtable,HLOOKUP(ROUND(AC116-CK116,1),skewtable,2,FALSE()),FALSE())/100,0)</f>
        <v>0</v>
      </c>
      <c r="AC116" s="66" t="e">
        <f aca="false">IF($B$10=1,($CK116*$F$23)-$F$14,$F$22)</f>
        <v>#DIV/0!</v>
      </c>
      <c r="AD116" s="67" t="e">
        <f aca="false">AC116-$CK116+$F$24</f>
        <v>#DIV/0!</v>
      </c>
      <c r="AE116" s="0"/>
      <c r="AF116" s="0"/>
      <c r="AG116" s="0"/>
      <c r="AH116" s="63" t="n">
        <f aca="false">IF(AH$35="nymex",0,VLOOKUP($A116,curvesettle,HLOOKUP(AH$35,curvesettle,2,FALSE())))</f>
        <v>0.41</v>
      </c>
      <c r="AI116" s="65" t="n">
        <f aca="false">IF(ISNUMBER(VLOOKUP($A116,VOLCURVES,HLOOKUP(AH$35,VOLCURVES,2,FALSE()),FALSE())),VLOOKUP($A116,VOLCURVES,HLOOKUP(AH$35,VOLCURVES,2,FALSE()),FALSE()),1)</f>
        <v>1</v>
      </c>
      <c r="AJ116" s="184" t="n">
        <f aca="false">(($C116+AL116)*AI116)+$H$17</f>
        <v>0.23</v>
      </c>
      <c r="AK116" s="65" t="n">
        <f aca="false">VLOOKUP($A116,GASDVOLCURVES,HLOOKUP(AH$36,GASDVOLCURVES,2,FALSE()),FALSE())+$H$18</f>
        <v>1</v>
      </c>
      <c r="AL116" s="4" t="n">
        <f aca="false">IF($H$20=1,VLOOKUP($A116,skewtable,HLOOKUP(ROUND(AM116-CW116,1),skewtable,2,FALSE()),FALSE())/100,0)</f>
        <v>0</v>
      </c>
      <c r="AM116" s="66" t="e">
        <f aca="false">IF($B$10=1,($CW116*$H$23)-$H$14,$H$22)</f>
        <v>#DIV/0!</v>
      </c>
      <c r="AN116" s="67" t="e">
        <f aca="false">AM116-CW116+$H$24</f>
        <v>#DIV/0!</v>
      </c>
      <c r="AO116" s="0"/>
      <c r="AP116" s="0"/>
      <c r="AQ116" s="183"/>
      <c r="AR116" s="183"/>
      <c r="AU116" s="0"/>
      <c r="AV116" s="0"/>
      <c r="AW116" s="0"/>
      <c r="AX116" s="0"/>
      <c r="AY116" s="0"/>
      <c r="AZ116" s="0"/>
      <c r="BA116" s="0"/>
      <c r="BC116" s="64"/>
      <c r="BD116" s="64"/>
      <c r="BE116" s="4" t="n">
        <f aca="false">VLOOKUP($A116,STRADDLE,14,FALSE())</f>
        <v>0.0545946960983459</v>
      </c>
      <c r="BF116" s="72" t="n">
        <f aca="false">A117-A116</f>
        <v>31</v>
      </c>
      <c r="BG116" s="179" t="n">
        <f aca="false">A116+BG$35</f>
        <v>39630</v>
      </c>
      <c r="BH116" s="179" t="n">
        <f aca="false">A117-1</f>
        <v>39660</v>
      </c>
      <c r="BJ116" s="179" t="n">
        <f aca="true">IF(BJ$35=0,TODAY(),IF(BJ$36="NYMEX",VLOOKUP($A116,expiration,2,FALSE())+1,BG116))</f>
        <v>39626</v>
      </c>
      <c r="BK116" s="73"/>
      <c r="BL116" s="73" t="n">
        <f aca="false">IF($A116&gt;=BM$32,IF($A116&lt;=BM$33,$BF116,0),0)</f>
        <v>0</v>
      </c>
      <c r="BM116" s="73" t="e">
        <f aca="false">BO116/BL116</f>
        <v>#DIV/0!</v>
      </c>
      <c r="BN116" s="1" t="n">
        <f aca="false">BL116*($B116+B$15)</f>
        <v>0</v>
      </c>
      <c r="BO116" s="47" t="n">
        <f aca="false">IF(ISNUMBER(((BN116/BL116)+B$16+$D116+$B$14)*BL116),((BN116/BL116)+B$16+$D116+$B$14)*BL116,0)</f>
        <v>0</v>
      </c>
      <c r="BP116" s="76" t="n">
        <f aca="false">IF($BL116=0,0,OSTRIP($BM116,$I116,$BJ116-$B$2,$BG116-$BJ116,$BH116-$BJ116,$B$10,$BE116,$F116,$G116,$B$23,$J116,$BQ$34,0))</f>
        <v>0</v>
      </c>
      <c r="BQ116" s="76" t="n">
        <f aca="false">IF($BL116=0,0,OSTRIP($BM116,$I116,$BJ116-$B$2,$BG116-$BJ116,$BH116-$BJ116,$B$10,$BE116,$F116,$G116,$B$23,$J116,$BQ$34,1))</f>
        <v>0</v>
      </c>
      <c r="BR116" s="76" t="n">
        <f aca="false">IF($BL116=0,0,OSTRIP($BM116,$I116,$BJ116-$B$2,$BG116-$BJ116,$BH116-$BJ116,$B$10,$BE116,$F116,$G116,$B$23,$J116,$BQ$34,BQ$35))</f>
        <v>0</v>
      </c>
      <c r="BS116" s="37" t="n">
        <f aca="false">BL116*BP116</f>
        <v>0</v>
      </c>
      <c r="BT116" s="37" t="n">
        <f aca="false">BL116*BQ116</f>
        <v>0</v>
      </c>
      <c r="BU116" s="37" t="n">
        <f aca="false">BL116*BR116</f>
        <v>0</v>
      </c>
      <c r="BV116" s="37" t="n">
        <f aca="false">BL116*G116</f>
        <v>0</v>
      </c>
      <c r="BX116" s="73" t="n">
        <f aca="false">IF($A116&gt;=BY$32,IF($A116&lt;=BY$33,$BF116,0),0)</f>
        <v>0</v>
      </c>
      <c r="BY116" s="186" t="e">
        <f aca="false">CA116/BX116</f>
        <v>#DIV/0!</v>
      </c>
      <c r="BZ116" s="1" t="n">
        <f aca="false">BX116*($B116+$D$15)</f>
        <v>0</v>
      </c>
      <c r="CA116" s="47" t="n">
        <f aca="false">IF(ISNUMBER(((BZ116/BX116)+$D$16+$N116+$D$14)*BX116),((BZ116/BX116)+$D$16+$N116+$D$14)*BX116,0)</f>
        <v>0</v>
      </c>
      <c r="CB116" s="76" t="n">
        <f aca="false">IF($BX116=0,0,OSTRIP($BY116,$S116,$BJ116-$B$2,$BG116-$BJ116,$BH116-$BJ116,$B$10,$BE116,$P116,$Q116,$D$23,$T116,$CC$34,0))</f>
        <v>0</v>
      </c>
      <c r="CC116" s="76" t="n">
        <f aca="false">IF($BX116=0,0,OSTRIP($BY116,$S116,$BJ116-$B$2,$BG116-$BJ116,$BH116-$BJ116,$B$10,$BE116,$P116,$Q116,$D$23,$T116,$CC$34,1))</f>
        <v>0</v>
      </c>
      <c r="CD116" s="76" t="n">
        <f aca="false">IF($BX116=0,0,OSTRIP($BY116,$S116,$BJ116-$B$2,$BG116-$BJ116,$BH116-$BJ116,$B$10,$BE116,$P116,$Q116,$D$23,$T116,$CC$34,CC$35))</f>
        <v>0</v>
      </c>
      <c r="CE116" s="37" t="n">
        <f aca="false">BX116*CB116</f>
        <v>0</v>
      </c>
      <c r="CF116" s="37" t="n">
        <f aca="false">BX116*CC116</f>
        <v>0</v>
      </c>
      <c r="CG116" s="37" t="n">
        <f aca="false">BX116*CD116</f>
        <v>0</v>
      </c>
      <c r="CH116" s="37" t="n">
        <f aca="false">BX116*Q116</f>
        <v>0</v>
      </c>
      <c r="CJ116" s="73" t="n">
        <f aca="false">IF($A116&gt;=CK$32,IF($A116&lt;=CK$33,$BF116,0),0)</f>
        <v>0</v>
      </c>
      <c r="CK116" s="186" t="e">
        <f aca="false">CM116/CJ116</f>
        <v>#DIV/0!</v>
      </c>
      <c r="CL116" s="1" t="n">
        <f aca="false">CJ116*($B116+$F$15)</f>
        <v>0</v>
      </c>
      <c r="CM116" s="47" t="n">
        <f aca="false">IF(ISNUMBER(((CL116/CJ116)+$F$16+$X116+$F$14)*CJ116),((CL116/CJ116)+$F$16+$X116+$F$14)*CJ116,0)</f>
        <v>0</v>
      </c>
      <c r="CN116" s="76" t="n">
        <f aca="false">IF($CJ116=0,0,OSTRIP($CK116,$AC116,$BJ116-$B$2,$BG116-$BJ116,$BH116-$BJ116,$B$10,$BE116,$Z116,$AA116,$F$23,$AD116,$CO$34,0))</f>
        <v>0</v>
      </c>
      <c r="CO116" s="76" t="n">
        <f aca="false">IF($CJ116=0,0,OSTRIP($CK116,$AC116,$BJ116-$B$2,$BG116-$BJ116,$BH116-$BJ116,$B$10,$BE116,$Z116,$AA116,$F$23,$AD116,$CO$34,1))</f>
        <v>0</v>
      </c>
      <c r="CP116" s="76" t="n">
        <f aca="false">IF($CJ116=0,0,OSTRIP($CK116,$AC116,$BJ116-$B$2,$BG116-$BJ116,$BH116-$BJ116,$B$10,$BE116,$Z116,$AA116,$F$23,$AD116,$CO$34,$CO$35))</f>
        <v>0</v>
      </c>
      <c r="CQ116" s="37" t="n">
        <f aca="false">CJ116*CN116</f>
        <v>0</v>
      </c>
      <c r="CR116" s="37" t="n">
        <f aca="false">CJ116*CO116</f>
        <v>0</v>
      </c>
      <c r="CS116" s="37" t="n">
        <f aca="false">CJ116*CP116</f>
        <v>0</v>
      </c>
      <c r="CT116" s="37" t="n">
        <f aca="false">CJ116*AA116</f>
        <v>0</v>
      </c>
      <c r="CV116" s="73" t="n">
        <f aca="false">IF($A116&gt;=CW$32,IF($A116&lt;=CW$33,$BF116,0),0)</f>
        <v>0</v>
      </c>
      <c r="CW116" s="186" t="e">
        <f aca="false">CY116/CV116</f>
        <v>#DIV/0!</v>
      </c>
      <c r="CX116" s="1" t="n">
        <f aca="false">CV116*($B116+$H$15)</f>
        <v>0</v>
      </c>
      <c r="CY116" s="47" t="n">
        <f aca="false">IF(ISNUMBER(((CX116/CV116)+$H$16+$AH116+$H$14)*CV116),((CX116/CV116)+$H$16+$AH116+$H$14)*CV116,0)</f>
        <v>0</v>
      </c>
      <c r="CZ116" s="76" t="n">
        <f aca="false">IF($CV116=0,0,OSTRIP($CW116,$AM116,$BJ116-$B$2,$BG116-$BJ116,$BH116-$BJ116,$B$10,$BE116,$AJ116,$AK116,$H$23,$AN116,$DA$34,0))</f>
        <v>0</v>
      </c>
      <c r="DA116" s="76" t="n">
        <f aca="false">IF($CV116=0,0,OSTRIP($CW116,$AM116,$BJ116-$B$2,$BG116-$BJ116,$BH116-$BJ116,$B$10,$BE116,$AJ116,$AK116,$H$23,$AN116,$DA$34,1))</f>
        <v>0</v>
      </c>
      <c r="DB116" s="76" t="n">
        <f aca="false">IF($CV116=0,0,OSTRIP($CW116,$AM116,$BJ116-$B$2,$BG116-$BJ116,$BH116-$BJ116,$B$10,$BE116,$AJ116,$AK116,$H$23,$AN116,$DA$34,DA$35))</f>
        <v>0</v>
      </c>
      <c r="DC116" s="37" t="n">
        <f aca="false">CV116*CZ116</f>
        <v>0</v>
      </c>
      <c r="DD116" s="37" t="n">
        <f aca="false">CV116*DA116</f>
        <v>0</v>
      </c>
      <c r="DE116" s="37" t="n">
        <f aca="false">CV116*DB116</f>
        <v>0</v>
      </c>
      <c r="DF116" s="37" t="n">
        <f aca="false">CV116*AK116</f>
        <v>0</v>
      </c>
    </row>
    <row r="117" customFormat="false" ht="12.75" hidden="false" customHeight="false" outlineLevel="0" collapsed="false">
      <c r="A117" s="62" t="n">
        <f aca="false">DATE(YEAR(A116),MONTH(A116)+1,1)</f>
        <v>39661</v>
      </c>
      <c r="B117" s="63" t="n">
        <f aca="false">VLOOKUP(A117,STRADDLE,5,FALSE())</f>
        <v>3.5975</v>
      </c>
      <c r="C117" s="4" t="n">
        <f aca="false">VLOOKUP(A117,STRADDLE,8,FALSE())</f>
        <v>0.23</v>
      </c>
      <c r="D117" s="63" t="n">
        <f aca="false">IF(D$35="nymex",0,VLOOKUP($A117,curvesettle,HLOOKUP(D$35,curvesettle,2,FALSE())))</f>
        <v>0.35</v>
      </c>
      <c r="E117" s="65" t="n">
        <f aca="false">IF(ISNUMBER(VLOOKUP($A117,VOLCURVES,HLOOKUP(D$35,VOLCURVES,2,FALSE()),FALSE())),VLOOKUP($A117,VOLCURVES,HLOOKUP(D$35,VOLCURVES,2,FALSE()),FALSE()),1)</f>
        <v>0.98</v>
      </c>
      <c r="F117" s="4" t="n">
        <f aca="false">(($C117+H117)*$E117)+B$17</f>
        <v>0.3254</v>
      </c>
      <c r="G117" s="65" t="n">
        <f aca="false">VLOOKUP($A117,GASDVOLCURVES,HLOOKUP(D$36,GASDVOLCURVES,2,FALSE()),FALSE())+$B$18</f>
        <v>0.65</v>
      </c>
      <c r="H117" s="4" t="n">
        <f aca="false">IF($B$20=1,VLOOKUP($A117,skewtable,HLOOKUP(ROUND(I117-BM117,1),skewtable,2,FALSE()),FALSE())/100,0)</f>
        <v>0</v>
      </c>
      <c r="I117" s="66" t="e">
        <f aca="false">IF($B$10=1,($BM117*$B$23)-$B$14,$B$22)</f>
        <v>#DIV/0!</v>
      </c>
      <c r="J117" s="67" t="e">
        <f aca="false">I117-BM117+$B$24</f>
        <v>#DIV/0!</v>
      </c>
      <c r="K117" s="67"/>
      <c r="L117" s="183"/>
      <c r="M117" s="183"/>
      <c r="N117" s="63" t="n">
        <f aca="false">IF(N$35="nymex",0,VLOOKUP($A117,curvesettle,HLOOKUP(N$35,curvesettle,2,FALSE())))</f>
        <v>0.03</v>
      </c>
      <c r="O117" s="65" t="n">
        <f aca="false">IF(ISNUMBER(VLOOKUP($A117,VOLCURVES,HLOOKUP(N$35,VOLCURVES,2,FALSE()),FALSE())),VLOOKUP($A117,VOLCURVES,HLOOKUP(N$35,VOLCURVES,2,FALSE()),FALSE()),1)</f>
        <v>1</v>
      </c>
      <c r="P117" s="184" t="n">
        <f aca="false">(($C117+R117)*O117)+$D$17</f>
        <v>0.23</v>
      </c>
      <c r="Q117" s="65" t="n">
        <f aca="false">VLOOKUP($A117,GASDVOLCURVES,HLOOKUP(N$36,GASDVOLCURVES,2,FALSE()),FALSE())+$D$18</f>
        <v>0.65</v>
      </c>
      <c r="R117" s="4" t="n">
        <f aca="false">IF($D$20=1,VLOOKUP($A117,skewtable,HLOOKUP(ROUND(S117-BY117,1),skewtable,2,FALSE()),FALSE())/100,0)</f>
        <v>0</v>
      </c>
      <c r="S117" s="66" t="e">
        <f aca="false">IF(B$10=1,($BY117*$D$23)-$D$14,$D$22)</f>
        <v>#DIV/0!</v>
      </c>
      <c r="T117" s="67" t="e">
        <f aca="false">S117-$BY117+$D$24</f>
        <v>#DIV/0!</v>
      </c>
      <c r="U117" s="0"/>
      <c r="V117" s="0"/>
      <c r="W117" s="0"/>
      <c r="X117" s="63" t="n">
        <f aca="false">IF(X$35="nymex",0,VLOOKUP($A117,curvesettle,HLOOKUP(X$35,curvesettle,2,FALSE())))</f>
        <v>0.26</v>
      </c>
      <c r="Y117" s="65" t="n">
        <f aca="false">IF(ISNUMBER(VLOOKUP($A117,VOLCURVES,HLOOKUP(X$35,VOLCURVES,2,FALSE()),FALSE())),VLOOKUP($A117,VOLCURVES,HLOOKUP(X$35,VOLCURVES,2,FALSE()),FALSE()),1)</f>
        <v>1</v>
      </c>
      <c r="Z117" s="184" t="n">
        <f aca="false">(($C117+AB117)*Y117)+$F$17</f>
        <v>0.23</v>
      </c>
      <c r="AA117" s="65" t="n">
        <f aca="false">VLOOKUP($A117,GASDVOLCURVES,HLOOKUP(X$36,GASDVOLCURVES,2,FALSE()),FALSE())+$F$18</f>
        <v>0.7</v>
      </c>
      <c r="AB117" s="4" t="n">
        <f aca="false">IF($F$20=1,VLOOKUP($A117,skewtable,HLOOKUP(ROUND(AC117-CK117,1),skewtable,2,FALSE()),FALSE())/100,0)</f>
        <v>0</v>
      </c>
      <c r="AC117" s="66" t="e">
        <f aca="false">IF($B$10=1,($CK117*$F$23)-$F$14,$F$22)</f>
        <v>#DIV/0!</v>
      </c>
      <c r="AD117" s="67" t="e">
        <f aca="false">AC117-$CK117+$F$24</f>
        <v>#DIV/0!</v>
      </c>
      <c r="AE117" s="0"/>
      <c r="AF117" s="0"/>
      <c r="AG117" s="0"/>
      <c r="AH117" s="63" t="n">
        <f aca="false">IF(AH$35="nymex",0,VLOOKUP($A117,curvesettle,HLOOKUP(AH$35,curvesettle,2,FALSE())))</f>
        <v>0.41</v>
      </c>
      <c r="AI117" s="65" t="n">
        <f aca="false">IF(ISNUMBER(VLOOKUP($A117,VOLCURVES,HLOOKUP(AH$35,VOLCURVES,2,FALSE()),FALSE())),VLOOKUP($A117,VOLCURVES,HLOOKUP(AH$35,VOLCURVES,2,FALSE()),FALSE()),1)</f>
        <v>1</v>
      </c>
      <c r="AJ117" s="184" t="n">
        <f aca="false">(($C117+AL117)*AI117)+$H$17</f>
        <v>0.23</v>
      </c>
      <c r="AK117" s="65" t="n">
        <f aca="false">VLOOKUP($A117,GASDVOLCURVES,HLOOKUP(AH$36,GASDVOLCURVES,2,FALSE()),FALSE())+$H$18</f>
        <v>1.1</v>
      </c>
      <c r="AL117" s="4" t="n">
        <f aca="false">IF($H$20=1,VLOOKUP($A117,skewtable,HLOOKUP(ROUND(AM117-CW117,1),skewtable,2,FALSE()),FALSE())/100,0)</f>
        <v>0</v>
      </c>
      <c r="AM117" s="66" t="e">
        <f aca="false">IF($B$10=1,($CW117*$H$23)-$H$14,$H$22)</f>
        <v>#DIV/0!</v>
      </c>
      <c r="AN117" s="67" t="e">
        <f aca="false">AM117-CW117+$H$24</f>
        <v>#DIV/0!</v>
      </c>
      <c r="AO117" s="0"/>
      <c r="AP117" s="0"/>
      <c r="AQ117" s="183"/>
      <c r="AR117" s="183"/>
      <c r="AU117" s="0"/>
      <c r="AV117" s="0"/>
      <c r="AW117" s="0"/>
      <c r="AX117" s="0"/>
      <c r="AY117" s="0"/>
      <c r="AZ117" s="0"/>
      <c r="BA117" s="0"/>
      <c r="BC117" s="64"/>
      <c r="BD117" s="64"/>
      <c r="BE117" s="4" t="n">
        <f aca="false">VLOOKUP($A117,STRADDLE,14,FALSE())</f>
        <v>0.0547762098979847</v>
      </c>
      <c r="BF117" s="72" t="n">
        <f aca="false">A118-A117</f>
        <v>31</v>
      </c>
      <c r="BG117" s="179" t="n">
        <f aca="false">A117+BG$35</f>
        <v>39661</v>
      </c>
      <c r="BH117" s="179" t="n">
        <f aca="false">A118-1</f>
        <v>39691</v>
      </c>
      <c r="BJ117" s="179" t="n">
        <f aca="true">IF(BJ$35=0,TODAY(),IF(BJ$36="NYMEX",VLOOKUP($A117,expiration,2,FALSE())+1,BG117))</f>
        <v>39659</v>
      </c>
      <c r="BK117" s="73"/>
      <c r="BL117" s="73" t="n">
        <f aca="false">IF($A117&gt;=BM$32,IF($A117&lt;=BM$33,$BF117,0),0)</f>
        <v>0</v>
      </c>
      <c r="BM117" s="73" t="e">
        <f aca="false">BO117/BL117</f>
        <v>#DIV/0!</v>
      </c>
      <c r="BN117" s="1" t="n">
        <f aca="false">BL117*($B117+B$15)</f>
        <v>0</v>
      </c>
      <c r="BO117" s="47" t="n">
        <f aca="false">IF(ISNUMBER(((BN117/BL117)+B$16+$D117+$B$14)*BL117),((BN117/BL117)+B$16+$D117+$B$14)*BL117,0)</f>
        <v>0</v>
      </c>
      <c r="BP117" s="76" t="n">
        <f aca="false">IF($BL117=0,0,OSTRIP($BM117,$I117,$BJ117-$B$2,$BG117-$BJ117,$BH117-$BJ117,$B$10,$BE117,$F117,$G117,$B$23,$J117,$BQ$34,0))</f>
        <v>0</v>
      </c>
      <c r="BQ117" s="76" t="n">
        <f aca="false">IF($BL117=0,0,OSTRIP($BM117,$I117,$BJ117-$B$2,$BG117-$BJ117,$BH117-$BJ117,$B$10,$BE117,$F117,$G117,$B$23,$J117,$BQ$34,1))</f>
        <v>0</v>
      </c>
      <c r="BR117" s="76" t="n">
        <f aca="false">IF($BL117=0,0,OSTRIP($BM117,$I117,$BJ117-$B$2,$BG117-$BJ117,$BH117-$BJ117,$B$10,$BE117,$F117,$G117,$B$23,$J117,$BQ$34,BQ$35))</f>
        <v>0</v>
      </c>
      <c r="BS117" s="37" t="n">
        <f aca="false">BL117*BP117</f>
        <v>0</v>
      </c>
      <c r="BT117" s="37" t="n">
        <f aca="false">BL117*BQ117</f>
        <v>0</v>
      </c>
      <c r="BU117" s="37" t="n">
        <f aca="false">BL117*BR117</f>
        <v>0</v>
      </c>
      <c r="BV117" s="37" t="n">
        <f aca="false">BL117*G117</f>
        <v>0</v>
      </c>
      <c r="BX117" s="73" t="n">
        <f aca="false">IF($A117&gt;=BY$32,IF($A117&lt;=BY$33,$BF117,0),0)</f>
        <v>0</v>
      </c>
      <c r="BY117" s="186" t="e">
        <f aca="false">CA117/BX117</f>
        <v>#DIV/0!</v>
      </c>
      <c r="BZ117" s="1" t="n">
        <f aca="false">BX117*($B117+$D$15)</f>
        <v>0</v>
      </c>
      <c r="CA117" s="47" t="n">
        <f aca="false">IF(ISNUMBER(((BZ117/BX117)+$D$16+$N117+$D$14)*BX117),((BZ117/BX117)+$D$16+$N117+$D$14)*BX117,0)</f>
        <v>0</v>
      </c>
      <c r="CB117" s="76" t="n">
        <f aca="false">IF($BX117=0,0,OSTRIP($BY117,$S117,$BJ117-$B$2,$BG117-$BJ117,$BH117-$BJ117,$B$10,$BE117,$P117,$Q117,$D$23,$T117,$CC$34,0))</f>
        <v>0</v>
      </c>
      <c r="CC117" s="76" t="n">
        <f aca="false">IF($BX117=0,0,OSTRIP($BY117,$S117,$BJ117-$B$2,$BG117-$BJ117,$BH117-$BJ117,$B$10,$BE117,$P117,$Q117,$D$23,$T117,$CC$34,1))</f>
        <v>0</v>
      </c>
      <c r="CD117" s="76" t="n">
        <f aca="false">IF($BX117=0,0,OSTRIP($BY117,$S117,$BJ117-$B$2,$BG117-$BJ117,$BH117-$BJ117,$B$10,$BE117,$P117,$Q117,$D$23,$T117,$CC$34,CC$35))</f>
        <v>0</v>
      </c>
      <c r="CE117" s="37" t="n">
        <f aca="false">BX117*CB117</f>
        <v>0</v>
      </c>
      <c r="CF117" s="37" t="n">
        <f aca="false">BX117*CC117</f>
        <v>0</v>
      </c>
      <c r="CG117" s="37" t="n">
        <f aca="false">BX117*CD117</f>
        <v>0</v>
      </c>
      <c r="CH117" s="37" t="n">
        <f aca="false">BX117*Q117</f>
        <v>0</v>
      </c>
      <c r="CJ117" s="73" t="n">
        <f aca="false">IF($A117&gt;=CK$32,IF($A117&lt;=CK$33,$BF117,0),0)</f>
        <v>0</v>
      </c>
      <c r="CK117" s="186" t="e">
        <f aca="false">CM117/CJ117</f>
        <v>#DIV/0!</v>
      </c>
      <c r="CL117" s="1" t="n">
        <f aca="false">CJ117*($B117+$F$15)</f>
        <v>0</v>
      </c>
      <c r="CM117" s="47" t="n">
        <f aca="false">IF(ISNUMBER(((CL117/CJ117)+$F$16+$X117+$F$14)*CJ117),((CL117/CJ117)+$F$16+$X117+$F$14)*CJ117,0)</f>
        <v>0</v>
      </c>
      <c r="CN117" s="76" t="n">
        <f aca="false">IF($CJ117=0,0,OSTRIP($CK117,$AC117,$BJ117-$B$2,$BG117-$BJ117,$BH117-$BJ117,$B$10,$BE117,$Z117,$AA117,$F$23,$AD117,$CO$34,0))</f>
        <v>0</v>
      </c>
      <c r="CO117" s="76" t="n">
        <f aca="false">IF($CJ117=0,0,OSTRIP($CK117,$AC117,$BJ117-$B$2,$BG117-$BJ117,$BH117-$BJ117,$B$10,$BE117,$Z117,$AA117,$F$23,$AD117,$CO$34,1))</f>
        <v>0</v>
      </c>
      <c r="CP117" s="76" t="n">
        <f aca="false">IF($CJ117=0,0,OSTRIP($CK117,$AC117,$BJ117-$B$2,$BG117-$BJ117,$BH117-$BJ117,$B$10,$BE117,$Z117,$AA117,$F$23,$AD117,$CO$34,$CO$35))</f>
        <v>0</v>
      </c>
      <c r="CQ117" s="37" t="n">
        <f aca="false">CJ117*CN117</f>
        <v>0</v>
      </c>
      <c r="CR117" s="37" t="n">
        <f aca="false">CJ117*CO117</f>
        <v>0</v>
      </c>
      <c r="CS117" s="37" t="n">
        <f aca="false">CJ117*CP117</f>
        <v>0</v>
      </c>
      <c r="CT117" s="37" t="n">
        <f aca="false">CJ117*AA117</f>
        <v>0</v>
      </c>
      <c r="CV117" s="73" t="n">
        <f aca="false">IF($A117&gt;=CW$32,IF($A117&lt;=CW$33,$BF117,0),0)</f>
        <v>0</v>
      </c>
      <c r="CW117" s="186" t="e">
        <f aca="false">CY117/CV117</f>
        <v>#DIV/0!</v>
      </c>
      <c r="CX117" s="1" t="n">
        <f aca="false">CV117*($B117+$H$15)</f>
        <v>0</v>
      </c>
      <c r="CY117" s="47" t="n">
        <f aca="false">IF(ISNUMBER(((CX117/CV117)+$H$16+$AH117+$H$14)*CV117),((CX117/CV117)+$H$16+$AH117+$H$14)*CV117,0)</f>
        <v>0</v>
      </c>
      <c r="CZ117" s="76" t="n">
        <f aca="false">IF($CV117=0,0,OSTRIP($CW117,$AM117,$BJ117-$B$2,$BG117-$BJ117,$BH117-$BJ117,$B$10,$BE117,$AJ117,$AK117,$H$23,$AN117,$DA$34,0))</f>
        <v>0</v>
      </c>
      <c r="DA117" s="76" t="n">
        <f aca="false">IF($CV117=0,0,OSTRIP($CW117,$AM117,$BJ117-$B$2,$BG117-$BJ117,$BH117-$BJ117,$B$10,$BE117,$AJ117,$AK117,$H$23,$AN117,$DA$34,1))</f>
        <v>0</v>
      </c>
      <c r="DB117" s="76" t="n">
        <f aca="false">IF($CV117=0,0,OSTRIP($CW117,$AM117,$BJ117-$B$2,$BG117-$BJ117,$BH117-$BJ117,$B$10,$BE117,$AJ117,$AK117,$H$23,$AN117,$DA$34,DA$35))</f>
        <v>0</v>
      </c>
      <c r="DC117" s="37" t="n">
        <f aca="false">CV117*CZ117</f>
        <v>0</v>
      </c>
      <c r="DD117" s="37" t="n">
        <f aca="false">CV117*DA117</f>
        <v>0</v>
      </c>
      <c r="DE117" s="37" t="n">
        <f aca="false">CV117*DB117</f>
        <v>0</v>
      </c>
      <c r="DF117" s="37" t="n">
        <f aca="false">CV117*AK117</f>
        <v>0</v>
      </c>
    </row>
    <row r="118" customFormat="false" ht="12.75" hidden="false" customHeight="false" outlineLevel="0" collapsed="false">
      <c r="A118" s="62" t="n">
        <f aca="false">DATE(YEAR(A117),MONTH(A117)+1,1)</f>
        <v>39692</v>
      </c>
      <c r="B118" s="63" t="n">
        <f aca="false">VLOOKUP(A118,STRADDLE,5,FALSE())</f>
        <v>3.5925</v>
      </c>
      <c r="C118" s="4" t="n">
        <f aca="false">VLOOKUP(A118,STRADDLE,8,FALSE())</f>
        <v>0.23</v>
      </c>
      <c r="D118" s="63" t="n">
        <f aca="false">IF(D$35="nymex",0,VLOOKUP($A118,curvesettle,HLOOKUP(D$35,curvesettle,2,FALSE())))</f>
        <v>0.315</v>
      </c>
      <c r="E118" s="65" t="n">
        <f aca="false">IF(ISNUMBER(VLOOKUP($A118,VOLCURVES,HLOOKUP(D$35,VOLCURVES,2,FALSE()),FALSE())),VLOOKUP($A118,VOLCURVES,HLOOKUP(D$35,VOLCURVES,2,FALSE()),FALSE()),1)</f>
        <v>0.98</v>
      </c>
      <c r="F118" s="4" t="n">
        <f aca="false">(($C118+H118)*$E118)+B$17</f>
        <v>0.3254</v>
      </c>
      <c r="G118" s="65" t="n">
        <f aca="false">VLOOKUP($A118,GASDVOLCURVES,HLOOKUP(D$36,GASDVOLCURVES,2,FALSE()),FALSE())+$B$18</f>
        <v>0.65</v>
      </c>
      <c r="H118" s="4" t="n">
        <f aca="false">IF($B$20=1,VLOOKUP($A118,skewtable,HLOOKUP(ROUND(I118-BM118,1),skewtable,2,FALSE()),FALSE())/100,0)</f>
        <v>0</v>
      </c>
      <c r="I118" s="66" t="e">
        <f aca="false">IF($B$10=1,($BM118*$B$23)-$B$14,$B$22)</f>
        <v>#DIV/0!</v>
      </c>
      <c r="J118" s="67" t="e">
        <f aca="false">I118-BM118+$B$24</f>
        <v>#DIV/0!</v>
      </c>
      <c r="K118" s="67"/>
      <c r="L118" s="183"/>
      <c r="M118" s="183"/>
      <c r="N118" s="63" t="n">
        <f aca="false">IF(N$35="nymex",0,VLOOKUP($A118,curvesettle,HLOOKUP(N$35,curvesettle,2,FALSE())))</f>
        <v>0.0225</v>
      </c>
      <c r="O118" s="65" t="n">
        <f aca="false">IF(ISNUMBER(VLOOKUP($A118,VOLCURVES,HLOOKUP(N$35,VOLCURVES,2,FALSE()),FALSE())),VLOOKUP($A118,VOLCURVES,HLOOKUP(N$35,VOLCURVES,2,FALSE()),FALSE()),1)</f>
        <v>1</v>
      </c>
      <c r="P118" s="184" t="n">
        <f aca="false">(($C118+R118)*O118)+$D$17</f>
        <v>0.23</v>
      </c>
      <c r="Q118" s="65" t="n">
        <f aca="false">VLOOKUP($A118,GASDVOLCURVES,HLOOKUP(N$36,GASDVOLCURVES,2,FALSE()),FALSE())+$D$18</f>
        <v>0.65</v>
      </c>
      <c r="R118" s="4" t="n">
        <f aca="false">IF($D$20=1,VLOOKUP($A118,skewtable,HLOOKUP(ROUND(S118-BY118,1),skewtable,2,FALSE()),FALSE())/100,0)</f>
        <v>0</v>
      </c>
      <c r="S118" s="66" t="e">
        <f aca="false">IF(B$10=1,($BY118*$D$23)-$D$14,$D$22)</f>
        <v>#DIV/0!</v>
      </c>
      <c r="T118" s="67" t="e">
        <f aca="false">S118-$BY118+$D$24</f>
        <v>#DIV/0!</v>
      </c>
      <c r="U118" s="0"/>
      <c r="V118" s="0"/>
      <c r="W118" s="0"/>
      <c r="X118" s="63" t="n">
        <f aca="false">IF(X$35="nymex",0,VLOOKUP($A118,curvesettle,HLOOKUP(X$35,curvesettle,2,FALSE())))</f>
        <v>0.26</v>
      </c>
      <c r="Y118" s="65" t="n">
        <f aca="false">IF(ISNUMBER(VLOOKUP($A118,VOLCURVES,HLOOKUP(X$35,VOLCURVES,2,FALSE()),FALSE())),VLOOKUP($A118,VOLCURVES,HLOOKUP(X$35,VOLCURVES,2,FALSE()),FALSE()),1)</f>
        <v>1</v>
      </c>
      <c r="Z118" s="184" t="n">
        <f aca="false">(($C118+AB118)*Y118)+$F$17</f>
        <v>0.23</v>
      </c>
      <c r="AA118" s="65" t="n">
        <f aca="false">VLOOKUP($A118,GASDVOLCURVES,HLOOKUP(X$36,GASDVOLCURVES,2,FALSE()),FALSE())+$F$18</f>
        <v>0.65</v>
      </c>
      <c r="AB118" s="4" t="n">
        <f aca="false">IF($F$20=1,VLOOKUP($A118,skewtable,HLOOKUP(ROUND(AC118-CK118,1),skewtable,2,FALSE()),FALSE())/100,0)</f>
        <v>0</v>
      </c>
      <c r="AC118" s="66" t="e">
        <f aca="false">IF($B$10=1,($CK118*$F$23)-$F$14,$F$22)</f>
        <v>#DIV/0!</v>
      </c>
      <c r="AD118" s="67" t="e">
        <f aca="false">AC118-$CK118+$F$24</f>
        <v>#DIV/0!</v>
      </c>
      <c r="AE118" s="0"/>
      <c r="AF118" s="0"/>
      <c r="AG118" s="0"/>
      <c r="AH118" s="63" t="n">
        <f aca="false">IF(AH$35="nymex",0,VLOOKUP($A118,curvesettle,HLOOKUP(AH$35,curvesettle,2,FALSE())))</f>
        <v>0.36</v>
      </c>
      <c r="AI118" s="65" t="n">
        <f aca="false">IF(ISNUMBER(VLOOKUP($A118,VOLCURVES,HLOOKUP(AH$35,VOLCURVES,2,FALSE()),FALSE())),VLOOKUP($A118,VOLCURVES,HLOOKUP(AH$35,VOLCURVES,2,FALSE()),FALSE()),1)</f>
        <v>1</v>
      </c>
      <c r="AJ118" s="184" t="n">
        <f aca="false">(($C118+AL118)*AI118)+$H$17</f>
        <v>0.23</v>
      </c>
      <c r="AK118" s="65" t="n">
        <f aca="false">VLOOKUP($A118,GASDVOLCURVES,HLOOKUP(AH$36,GASDVOLCURVES,2,FALSE()),FALSE())+$H$18</f>
        <v>1.1</v>
      </c>
      <c r="AL118" s="4" t="n">
        <f aca="false">IF($H$20=1,VLOOKUP($A118,skewtable,HLOOKUP(ROUND(AM118-CW118,1),skewtable,2,FALSE()),FALSE())/100,0)</f>
        <v>0</v>
      </c>
      <c r="AM118" s="66" t="e">
        <f aca="false">IF($B$10=1,($CW118*$H$23)-$H$14,$H$22)</f>
        <v>#DIV/0!</v>
      </c>
      <c r="AN118" s="67" t="e">
        <f aca="false">AM118-CW118+$H$24</f>
        <v>#DIV/0!</v>
      </c>
      <c r="AO118" s="0"/>
      <c r="AP118" s="0"/>
      <c r="AQ118" s="183"/>
      <c r="AR118" s="183"/>
      <c r="AU118" s="0"/>
      <c r="AV118" s="0"/>
      <c r="AW118" s="0"/>
      <c r="AX118" s="0"/>
      <c r="AY118" s="0"/>
      <c r="AZ118" s="0"/>
      <c r="BA118" s="0"/>
      <c r="BC118" s="64"/>
      <c r="BD118" s="64"/>
      <c r="BE118" s="4" t="n">
        <f aca="false">VLOOKUP($A118,STRADDLE,14,FALSE())</f>
        <v>0.0549577237085983</v>
      </c>
      <c r="BF118" s="72" t="n">
        <f aca="false">A119-A118</f>
        <v>30</v>
      </c>
      <c r="BG118" s="179" t="n">
        <f aca="false">A118+BG$35</f>
        <v>39692</v>
      </c>
      <c r="BH118" s="179" t="n">
        <f aca="false">A119-1</f>
        <v>39721</v>
      </c>
      <c r="BJ118" s="179" t="n">
        <f aca="true">IF(BJ$35=0,TODAY(),IF(BJ$36="NYMEX",VLOOKUP($A118,expiration,2,FALSE())+1,BG118))</f>
        <v>39688</v>
      </c>
      <c r="BK118" s="73"/>
      <c r="BL118" s="73" t="n">
        <f aca="false">IF($A118&gt;=BM$32,IF($A118&lt;=BM$33,$BF118,0),0)</f>
        <v>0</v>
      </c>
      <c r="BM118" s="73" t="e">
        <f aca="false">BO118/BL118</f>
        <v>#DIV/0!</v>
      </c>
      <c r="BN118" s="1" t="n">
        <f aca="false">BL118*($B118+B$15)</f>
        <v>0</v>
      </c>
      <c r="BO118" s="47" t="n">
        <f aca="false">IF(ISNUMBER(((BN118/BL118)+B$16+$D118+$B$14)*BL118),((BN118/BL118)+B$16+$D118+$B$14)*BL118,0)</f>
        <v>0</v>
      </c>
      <c r="BP118" s="76" t="n">
        <f aca="false">IF($BL118=0,0,OSTRIP($BM118,$I118,$BJ118-$B$2,$BG118-$BJ118,$BH118-$BJ118,$B$10,$BE118,$F118,$G118,$B$23,$J118,$BQ$34,0))</f>
        <v>0</v>
      </c>
      <c r="BQ118" s="76" t="n">
        <f aca="false">IF($BL118=0,0,OSTRIP($BM118,$I118,$BJ118-$B$2,$BG118-$BJ118,$BH118-$BJ118,$B$10,$BE118,$F118,$G118,$B$23,$J118,$BQ$34,1))</f>
        <v>0</v>
      </c>
      <c r="BR118" s="76" t="n">
        <f aca="false">IF($BL118=0,0,OSTRIP($BM118,$I118,$BJ118-$B$2,$BG118-$BJ118,$BH118-$BJ118,$B$10,$BE118,$F118,$G118,$B$23,$J118,$BQ$34,BQ$35))</f>
        <v>0</v>
      </c>
      <c r="BS118" s="37" t="n">
        <f aca="false">BL118*BP118</f>
        <v>0</v>
      </c>
      <c r="BT118" s="37" t="n">
        <f aca="false">BL118*BQ118</f>
        <v>0</v>
      </c>
      <c r="BU118" s="37" t="n">
        <f aca="false">BL118*BR118</f>
        <v>0</v>
      </c>
      <c r="BV118" s="37" t="n">
        <f aca="false">BL118*G118</f>
        <v>0</v>
      </c>
      <c r="BX118" s="73" t="n">
        <f aca="false">IF($A118&gt;=BY$32,IF($A118&lt;=BY$33,$BF118,0),0)</f>
        <v>0</v>
      </c>
      <c r="BY118" s="186" t="e">
        <f aca="false">CA118/BX118</f>
        <v>#DIV/0!</v>
      </c>
      <c r="BZ118" s="1" t="n">
        <f aca="false">BX118*($B118+$D$15)</f>
        <v>0</v>
      </c>
      <c r="CA118" s="47" t="n">
        <f aca="false">IF(ISNUMBER(((BZ118/BX118)+$D$16+$N118+$D$14)*BX118),((BZ118/BX118)+$D$16+$N118+$D$14)*BX118,0)</f>
        <v>0</v>
      </c>
      <c r="CB118" s="76" t="n">
        <f aca="false">IF($BX118=0,0,OSTRIP($BY118,$S118,$BJ118-$B$2,$BG118-$BJ118,$BH118-$BJ118,$B$10,$BE118,$P118,$Q118,$D$23,$T118,$CC$34,0))</f>
        <v>0</v>
      </c>
      <c r="CC118" s="76" t="n">
        <f aca="false">IF($BX118=0,0,OSTRIP($BY118,$S118,$BJ118-$B$2,$BG118-$BJ118,$BH118-$BJ118,$B$10,$BE118,$P118,$Q118,$D$23,$T118,$CC$34,1))</f>
        <v>0</v>
      </c>
      <c r="CD118" s="76" t="n">
        <f aca="false">IF($BX118=0,0,OSTRIP($BY118,$S118,$BJ118-$B$2,$BG118-$BJ118,$BH118-$BJ118,$B$10,$BE118,$P118,$Q118,$D$23,$T118,$CC$34,CC$35))</f>
        <v>0</v>
      </c>
      <c r="CE118" s="37" t="n">
        <f aca="false">BX118*CB118</f>
        <v>0</v>
      </c>
      <c r="CF118" s="37" t="n">
        <f aca="false">BX118*CC118</f>
        <v>0</v>
      </c>
      <c r="CG118" s="37" t="n">
        <f aca="false">BX118*CD118</f>
        <v>0</v>
      </c>
      <c r="CH118" s="37" t="n">
        <f aca="false">BX118*Q118</f>
        <v>0</v>
      </c>
      <c r="CJ118" s="73" t="n">
        <f aca="false">IF($A118&gt;=CK$32,IF($A118&lt;=CK$33,$BF118,0),0)</f>
        <v>0</v>
      </c>
      <c r="CK118" s="186" t="e">
        <f aca="false">CM118/CJ118</f>
        <v>#DIV/0!</v>
      </c>
      <c r="CL118" s="1" t="n">
        <f aca="false">CJ118*($B118+$F$15)</f>
        <v>0</v>
      </c>
      <c r="CM118" s="47" t="n">
        <f aca="false">IF(ISNUMBER(((CL118/CJ118)+$F$16+$X118+$F$14)*CJ118),((CL118/CJ118)+$F$16+$X118+$F$14)*CJ118,0)</f>
        <v>0</v>
      </c>
      <c r="CN118" s="76" t="n">
        <f aca="false">IF($CJ118=0,0,OSTRIP($CK118,$AC118,$BJ118-$B$2,$BG118-$BJ118,$BH118-$BJ118,$B$10,$BE118,$Z118,$AA118,$F$23,$AD118,$CO$34,0))</f>
        <v>0</v>
      </c>
      <c r="CO118" s="76" t="n">
        <f aca="false">IF($CJ118=0,0,OSTRIP($CK118,$AC118,$BJ118-$B$2,$BG118-$BJ118,$BH118-$BJ118,$B$10,$BE118,$Z118,$AA118,$F$23,$AD118,$CO$34,1))</f>
        <v>0</v>
      </c>
      <c r="CP118" s="76" t="n">
        <f aca="false">IF($CJ118=0,0,OSTRIP($CK118,$AC118,$BJ118-$B$2,$BG118-$BJ118,$BH118-$BJ118,$B$10,$BE118,$Z118,$AA118,$F$23,$AD118,$CO$34,$CO$35))</f>
        <v>0</v>
      </c>
      <c r="CQ118" s="37" t="n">
        <f aca="false">CJ118*CN118</f>
        <v>0</v>
      </c>
      <c r="CR118" s="37" t="n">
        <f aca="false">CJ118*CO118</f>
        <v>0</v>
      </c>
      <c r="CS118" s="37" t="n">
        <f aca="false">CJ118*CP118</f>
        <v>0</v>
      </c>
      <c r="CT118" s="37" t="n">
        <f aca="false">CJ118*AA118</f>
        <v>0</v>
      </c>
      <c r="CV118" s="73" t="n">
        <f aca="false">IF($A118&gt;=CW$32,IF($A118&lt;=CW$33,$BF118,0),0)</f>
        <v>0</v>
      </c>
      <c r="CW118" s="186" t="e">
        <f aca="false">CY118/CV118</f>
        <v>#DIV/0!</v>
      </c>
      <c r="CX118" s="1" t="n">
        <f aca="false">CV118*($B118+$H$15)</f>
        <v>0</v>
      </c>
      <c r="CY118" s="47" t="n">
        <f aca="false">IF(ISNUMBER(((CX118/CV118)+$H$16+$AH118+$H$14)*CV118),((CX118/CV118)+$H$16+$AH118+$H$14)*CV118,0)</f>
        <v>0</v>
      </c>
      <c r="CZ118" s="76" t="n">
        <f aca="false">IF($CV118=0,0,OSTRIP($CW118,$AM118,$BJ118-$B$2,$BG118-$BJ118,$BH118-$BJ118,$B$10,$BE118,$AJ118,$AK118,$H$23,$AN118,$DA$34,0))</f>
        <v>0</v>
      </c>
      <c r="DA118" s="76" t="n">
        <f aca="false">IF($CV118=0,0,OSTRIP($CW118,$AM118,$BJ118-$B$2,$BG118-$BJ118,$BH118-$BJ118,$B$10,$BE118,$AJ118,$AK118,$H$23,$AN118,$DA$34,1))</f>
        <v>0</v>
      </c>
      <c r="DB118" s="76" t="n">
        <f aca="false">IF($CV118=0,0,OSTRIP($CW118,$AM118,$BJ118-$B$2,$BG118-$BJ118,$BH118-$BJ118,$B$10,$BE118,$AJ118,$AK118,$H$23,$AN118,$DA$34,DA$35))</f>
        <v>0</v>
      </c>
      <c r="DC118" s="37" t="n">
        <f aca="false">CV118*CZ118</f>
        <v>0</v>
      </c>
      <c r="DD118" s="37" t="n">
        <f aca="false">CV118*DA118</f>
        <v>0</v>
      </c>
      <c r="DE118" s="37" t="n">
        <f aca="false">CV118*DB118</f>
        <v>0</v>
      </c>
      <c r="DF118" s="37" t="n">
        <f aca="false">CV118*AK118</f>
        <v>0</v>
      </c>
    </row>
    <row r="119" customFormat="false" ht="12.75" hidden="false" customHeight="false" outlineLevel="0" collapsed="false">
      <c r="A119" s="62" t="n">
        <f aca="false">DATE(YEAR(A118),MONTH(A118)+1,1)</f>
        <v>39722</v>
      </c>
      <c r="B119" s="63" t="n">
        <f aca="false">VLOOKUP(A119,STRADDLE,5,FALSE())</f>
        <v>3.6175</v>
      </c>
      <c r="C119" s="4" t="n">
        <f aca="false">VLOOKUP(A119,STRADDLE,8,FALSE())</f>
        <v>0.23</v>
      </c>
      <c r="D119" s="63" t="n">
        <f aca="false">IF(D$35="nymex",0,VLOOKUP($A119,curvesettle,HLOOKUP(D$35,curvesettle,2,FALSE())))</f>
        <v>0.36</v>
      </c>
      <c r="E119" s="65" t="n">
        <f aca="false">IF(ISNUMBER(VLOOKUP($A119,VOLCURVES,HLOOKUP(D$35,VOLCURVES,2,FALSE()),FALSE())),VLOOKUP($A119,VOLCURVES,HLOOKUP(D$35,VOLCURVES,2,FALSE()),FALSE()),1)</f>
        <v>0.98</v>
      </c>
      <c r="F119" s="4" t="n">
        <f aca="false">(($C119+H119)*$E119)+B$17</f>
        <v>0.3254</v>
      </c>
      <c r="G119" s="65" t="n">
        <f aca="false">VLOOKUP($A119,GASDVOLCURVES,HLOOKUP(D$36,GASDVOLCURVES,2,FALSE()),FALSE())+$B$18</f>
        <v>0.7</v>
      </c>
      <c r="H119" s="4" t="n">
        <f aca="false">IF($B$20=1,VLOOKUP($A119,skewtable,HLOOKUP(ROUND(I119-BM119,1),skewtable,2,FALSE()),FALSE())/100,0)</f>
        <v>0</v>
      </c>
      <c r="I119" s="66" t="e">
        <f aca="false">IF($B$10=1,($BM119*$B$23)-$B$14,$B$22)</f>
        <v>#DIV/0!</v>
      </c>
      <c r="J119" s="67" t="e">
        <f aca="false">I119-BM119+$B$24</f>
        <v>#DIV/0!</v>
      </c>
      <c r="K119" s="67"/>
      <c r="L119" s="183"/>
      <c r="M119" s="183"/>
      <c r="N119" s="63" t="n">
        <f aca="false">IF(N$35="nymex",0,VLOOKUP($A119,curvesettle,HLOOKUP(N$35,curvesettle,2,FALSE())))</f>
        <v>0.0125</v>
      </c>
      <c r="O119" s="65" t="n">
        <f aca="false">IF(ISNUMBER(VLOOKUP($A119,VOLCURVES,HLOOKUP(N$35,VOLCURVES,2,FALSE()),FALSE())),VLOOKUP($A119,VOLCURVES,HLOOKUP(N$35,VOLCURVES,2,FALSE()),FALSE()),1)</f>
        <v>1</v>
      </c>
      <c r="P119" s="184" t="n">
        <f aca="false">(($C119+R119)*O119)+$D$17</f>
        <v>0.23</v>
      </c>
      <c r="Q119" s="65" t="n">
        <f aca="false">VLOOKUP($A119,GASDVOLCURVES,HLOOKUP(N$36,GASDVOLCURVES,2,FALSE()),FALSE())+$D$18</f>
        <v>0.7</v>
      </c>
      <c r="R119" s="4" t="n">
        <f aca="false">IF($D$20=1,VLOOKUP($A119,skewtable,HLOOKUP(ROUND(S119-BY119,1),skewtable,2,FALSE()),FALSE())/100,0)</f>
        <v>0</v>
      </c>
      <c r="S119" s="66" t="e">
        <f aca="false">IF(B$10=1,($BY119*$D$23)-$D$14,$D$22)</f>
        <v>#DIV/0!</v>
      </c>
      <c r="T119" s="67" t="e">
        <f aca="false">S119-$BY119+$D$24</f>
        <v>#DIV/0!</v>
      </c>
      <c r="U119" s="0"/>
      <c r="V119" s="0"/>
      <c r="W119" s="0"/>
      <c r="X119" s="63" t="n">
        <f aca="false">IF(X$35="nymex",0,VLOOKUP($A119,curvesettle,HLOOKUP(X$35,curvesettle,2,FALSE())))</f>
        <v>0.26</v>
      </c>
      <c r="Y119" s="65" t="n">
        <f aca="false">IF(ISNUMBER(VLOOKUP($A119,VOLCURVES,HLOOKUP(X$35,VOLCURVES,2,FALSE()),FALSE())),VLOOKUP($A119,VOLCURVES,HLOOKUP(X$35,VOLCURVES,2,FALSE()),FALSE()),1)</f>
        <v>1</v>
      </c>
      <c r="Z119" s="184" t="n">
        <f aca="false">(($C119+AB119)*Y119)+$F$17</f>
        <v>0.23</v>
      </c>
      <c r="AA119" s="65" t="n">
        <f aca="false">VLOOKUP($A119,GASDVOLCURVES,HLOOKUP(X$36,GASDVOLCURVES,2,FALSE()),FALSE())+$F$18</f>
        <v>0.7</v>
      </c>
      <c r="AB119" s="4" t="n">
        <f aca="false">IF($F$20=1,VLOOKUP($A119,skewtable,HLOOKUP(ROUND(AC119-CK119,1),skewtable,2,FALSE()),FALSE())/100,0)</f>
        <v>0</v>
      </c>
      <c r="AC119" s="66" t="e">
        <f aca="false">IF($B$10=1,($CK119*$F$23)-$F$14,$F$22)</f>
        <v>#DIV/0!</v>
      </c>
      <c r="AD119" s="67" t="e">
        <f aca="false">AC119-$CK119+$F$24</f>
        <v>#DIV/0!</v>
      </c>
      <c r="AE119" s="0"/>
      <c r="AF119" s="0"/>
      <c r="AG119" s="0"/>
      <c r="AH119" s="63" t="n">
        <f aca="false">IF(AH$35="nymex",0,VLOOKUP($A119,curvesettle,HLOOKUP(AH$35,curvesettle,2,FALSE())))</f>
        <v>0.4</v>
      </c>
      <c r="AI119" s="65" t="n">
        <f aca="false">IF(ISNUMBER(VLOOKUP($A119,VOLCURVES,HLOOKUP(AH$35,VOLCURVES,2,FALSE()),FALSE())),VLOOKUP($A119,VOLCURVES,HLOOKUP(AH$35,VOLCURVES,2,FALSE()),FALSE()),1)</f>
        <v>1</v>
      </c>
      <c r="AJ119" s="184" t="n">
        <f aca="false">(($C119+AL119)*AI119)+$H$17</f>
        <v>0.23</v>
      </c>
      <c r="AK119" s="65" t="n">
        <f aca="false">VLOOKUP($A119,GASDVOLCURVES,HLOOKUP(AH$36,GASDVOLCURVES,2,FALSE()),FALSE())+$H$18</f>
        <v>1.15</v>
      </c>
      <c r="AL119" s="4" t="n">
        <f aca="false">IF($H$20=1,VLOOKUP($A119,skewtable,HLOOKUP(ROUND(AM119-CW119,1),skewtable,2,FALSE()),FALSE())/100,0)</f>
        <v>0</v>
      </c>
      <c r="AM119" s="66" t="e">
        <f aca="false">IF($B$10=1,($CW119*$H$23)-$H$14,$H$22)</f>
        <v>#DIV/0!</v>
      </c>
      <c r="AN119" s="67" t="e">
        <f aca="false">AM119-CW119+$H$24</f>
        <v>#DIV/0!</v>
      </c>
      <c r="AO119" s="0"/>
      <c r="AP119" s="0"/>
      <c r="AQ119" s="183"/>
      <c r="AR119" s="183"/>
      <c r="AU119" s="0"/>
      <c r="AV119" s="0"/>
      <c r="AW119" s="0"/>
      <c r="AX119" s="0"/>
      <c r="AY119" s="0"/>
      <c r="AZ119" s="0"/>
      <c r="BA119" s="0"/>
      <c r="BC119" s="64"/>
      <c r="BD119" s="64"/>
      <c r="BE119" s="4" t="n">
        <f aca="false">VLOOKUP($A119,STRADDLE,14,FALSE())</f>
        <v>0.0551333822454474</v>
      </c>
      <c r="BF119" s="72" t="n">
        <f aca="false">A120-A119</f>
        <v>31</v>
      </c>
      <c r="BG119" s="179" t="n">
        <f aca="false">A119+BG$35</f>
        <v>39722</v>
      </c>
      <c r="BH119" s="179" t="n">
        <f aca="false">A120-1</f>
        <v>39752</v>
      </c>
      <c r="BJ119" s="179" t="n">
        <f aca="true">IF(BJ$35=0,TODAY(),IF(BJ$36="NYMEX",VLOOKUP($A119,expiration,2,FALSE())+1,BG119))</f>
        <v>39718</v>
      </c>
      <c r="BK119" s="73"/>
      <c r="BL119" s="73" t="n">
        <f aca="false">IF($A119&gt;=BM$32,IF($A119&lt;=BM$33,$BF119,0),0)</f>
        <v>0</v>
      </c>
      <c r="BM119" s="73" t="e">
        <f aca="false">BO119/BL119</f>
        <v>#DIV/0!</v>
      </c>
      <c r="BN119" s="1" t="n">
        <f aca="false">BL119*($B119+B$15)</f>
        <v>0</v>
      </c>
      <c r="BO119" s="47" t="n">
        <f aca="false">IF(ISNUMBER(((BN119/BL119)+B$16+$D119+$B$14)*BL119),((BN119/BL119)+B$16+$D119+$B$14)*BL119,0)</f>
        <v>0</v>
      </c>
      <c r="BP119" s="76" t="n">
        <f aca="false">IF($BL119=0,0,OSTRIP($BM119,$I119,$BJ119-$B$2,$BG119-$BJ119,$BH119-$BJ119,$B$10,$BE119,$F119,$G119,$B$23,$J119,$BQ$34,0))</f>
        <v>0</v>
      </c>
      <c r="BQ119" s="76" t="n">
        <f aca="false">IF($BL119=0,0,OSTRIP($BM119,$I119,$BJ119-$B$2,$BG119-$BJ119,$BH119-$BJ119,$B$10,$BE119,$F119,$G119,$B$23,$J119,$BQ$34,1))</f>
        <v>0</v>
      </c>
      <c r="BR119" s="76" t="n">
        <f aca="false">IF($BL119=0,0,OSTRIP($BM119,$I119,$BJ119-$B$2,$BG119-$BJ119,$BH119-$BJ119,$B$10,$BE119,$F119,$G119,$B$23,$J119,$BQ$34,BQ$35))</f>
        <v>0</v>
      </c>
      <c r="BS119" s="37" t="n">
        <f aca="false">BL119*BP119</f>
        <v>0</v>
      </c>
      <c r="BT119" s="37" t="n">
        <f aca="false">BL119*BQ119</f>
        <v>0</v>
      </c>
      <c r="BU119" s="37" t="n">
        <f aca="false">BL119*BR119</f>
        <v>0</v>
      </c>
      <c r="BV119" s="37" t="n">
        <f aca="false">BL119*G119</f>
        <v>0</v>
      </c>
      <c r="BX119" s="73" t="n">
        <f aca="false">IF($A119&gt;=BY$32,IF($A119&lt;=BY$33,$BF119,0),0)</f>
        <v>0</v>
      </c>
      <c r="BY119" s="186" t="e">
        <f aca="false">CA119/BX119</f>
        <v>#DIV/0!</v>
      </c>
      <c r="BZ119" s="1" t="n">
        <f aca="false">BX119*($B119+$D$15)</f>
        <v>0</v>
      </c>
      <c r="CA119" s="47" t="n">
        <f aca="false">IF(ISNUMBER(((BZ119/BX119)+$D$16+$N119+$D$14)*BX119),((BZ119/BX119)+$D$16+$N119+$D$14)*BX119,0)</f>
        <v>0</v>
      </c>
      <c r="CB119" s="76" t="n">
        <f aca="false">IF($BX119=0,0,OSTRIP($BY119,$S119,$BJ119-$B$2,$BG119-$BJ119,$BH119-$BJ119,$B$10,$BE119,$P119,$Q119,$D$23,$T119,$CC$34,0))</f>
        <v>0</v>
      </c>
      <c r="CC119" s="76" t="n">
        <f aca="false">IF($BX119=0,0,OSTRIP($BY119,$S119,$BJ119-$B$2,$BG119-$BJ119,$BH119-$BJ119,$B$10,$BE119,$P119,$Q119,$D$23,$T119,$CC$34,1))</f>
        <v>0</v>
      </c>
      <c r="CD119" s="76" t="n">
        <f aca="false">IF($BX119=0,0,OSTRIP($BY119,$S119,$BJ119-$B$2,$BG119-$BJ119,$BH119-$BJ119,$B$10,$BE119,$P119,$Q119,$D$23,$T119,$CC$34,CC$35))</f>
        <v>0</v>
      </c>
      <c r="CE119" s="37" t="n">
        <f aca="false">BX119*CB119</f>
        <v>0</v>
      </c>
      <c r="CF119" s="37" t="n">
        <f aca="false">BX119*CC119</f>
        <v>0</v>
      </c>
      <c r="CG119" s="37" t="n">
        <f aca="false">BX119*CD119</f>
        <v>0</v>
      </c>
      <c r="CH119" s="37" t="n">
        <f aca="false">BX119*Q119</f>
        <v>0</v>
      </c>
      <c r="CJ119" s="73" t="n">
        <f aca="false">IF($A119&gt;=CK$32,IF($A119&lt;=CK$33,$BF119,0),0)</f>
        <v>0</v>
      </c>
      <c r="CK119" s="186" t="e">
        <f aca="false">CM119/CJ119</f>
        <v>#DIV/0!</v>
      </c>
      <c r="CL119" s="1" t="n">
        <f aca="false">CJ119*($B119+$F$15)</f>
        <v>0</v>
      </c>
      <c r="CM119" s="47" t="n">
        <f aca="false">IF(ISNUMBER(((CL119/CJ119)+$F$16+$X119+$F$14)*CJ119),((CL119/CJ119)+$F$16+$X119+$F$14)*CJ119,0)</f>
        <v>0</v>
      </c>
      <c r="CN119" s="76" t="n">
        <f aca="false">IF($CJ119=0,0,OSTRIP($CK119,$AC119,$BJ119-$B$2,$BG119-$BJ119,$BH119-$BJ119,$B$10,$BE119,$Z119,$AA119,$F$23,$AD119,$CO$34,0))</f>
        <v>0</v>
      </c>
      <c r="CO119" s="76" t="n">
        <f aca="false">IF($CJ119=0,0,OSTRIP($CK119,$AC119,$BJ119-$B$2,$BG119-$BJ119,$BH119-$BJ119,$B$10,$BE119,$Z119,$AA119,$F$23,$AD119,$CO$34,1))</f>
        <v>0</v>
      </c>
      <c r="CP119" s="76" t="n">
        <f aca="false">IF($CJ119=0,0,OSTRIP($CK119,$AC119,$BJ119-$B$2,$BG119-$BJ119,$BH119-$BJ119,$B$10,$BE119,$Z119,$AA119,$F$23,$AD119,$CO$34,$CO$35))</f>
        <v>0</v>
      </c>
      <c r="CQ119" s="37" t="n">
        <f aca="false">CJ119*CN119</f>
        <v>0</v>
      </c>
      <c r="CR119" s="37" t="n">
        <f aca="false">CJ119*CO119</f>
        <v>0</v>
      </c>
      <c r="CS119" s="37" t="n">
        <f aca="false">CJ119*CP119</f>
        <v>0</v>
      </c>
      <c r="CT119" s="37" t="n">
        <f aca="false">CJ119*AA119</f>
        <v>0</v>
      </c>
      <c r="CV119" s="73" t="n">
        <f aca="false">IF($A119&gt;=CW$32,IF($A119&lt;=CW$33,$BF119,0),0)</f>
        <v>0</v>
      </c>
      <c r="CW119" s="186" t="e">
        <f aca="false">CY119/CV119</f>
        <v>#DIV/0!</v>
      </c>
      <c r="CX119" s="1" t="n">
        <f aca="false">CV119*($B119+$H$15)</f>
        <v>0</v>
      </c>
      <c r="CY119" s="47" t="n">
        <f aca="false">IF(ISNUMBER(((CX119/CV119)+$H$16+$AH119+$H$14)*CV119),((CX119/CV119)+$H$16+$AH119+$H$14)*CV119,0)</f>
        <v>0</v>
      </c>
      <c r="CZ119" s="76" t="n">
        <f aca="false">IF($CV119=0,0,OSTRIP($CW119,$AM119,$BJ119-$B$2,$BG119-$BJ119,$BH119-$BJ119,$B$10,$BE119,$AJ119,$AK119,$H$23,$AN119,$DA$34,0))</f>
        <v>0</v>
      </c>
      <c r="DA119" s="76" t="n">
        <f aca="false">IF($CV119=0,0,OSTRIP($CW119,$AM119,$BJ119-$B$2,$BG119-$BJ119,$BH119-$BJ119,$B$10,$BE119,$AJ119,$AK119,$H$23,$AN119,$DA$34,1))</f>
        <v>0</v>
      </c>
      <c r="DB119" s="76" t="n">
        <f aca="false">IF($CV119=0,0,OSTRIP($CW119,$AM119,$BJ119-$B$2,$BG119-$BJ119,$BH119-$BJ119,$B$10,$BE119,$AJ119,$AK119,$H$23,$AN119,$DA$34,DA$35))</f>
        <v>0</v>
      </c>
      <c r="DC119" s="37" t="n">
        <f aca="false">CV119*CZ119</f>
        <v>0</v>
      </c>
      <c r="DD119" s="37" t="n">
        <f aca="false">CV119*DA119</f>
        <v>0</v>
      </c>
      <c r="DE119" s="37" t="n">
        <f aca="false">CV119*DB119</f>
        <v>0</v>
      </c>
      <c r="DF119" s="37" t="n">
        <f aca="false">CV119*AK119</f>
        <v>0</v>
      </c>
    </row>
    <row r="120" customFormat="false" ht="12.75" hidden="false" customHeight="false" outlineLevel="0" collapsed="false">
      <c r="A120" s="62" t="n">
        <f aca="false">DATE(YEAR(A119),MONTH(A119)+1,1)</f>
        <v>39753</v>
      </c>
      <c r="B120" s="63" t="n">
        <f aca="false">VLOOKUP(A120,STRADDLE,5,FALSE())</f>
        <v>3.7695</v>
      </c>
      <c r="C120" s="4" t="n">
        <f aca="false">VLOOKUP(A120,STRADDLE,8,FALSE())</f>
        <v>0.23</v>
      </c>
      <c r="D120" s="63" t="n">
        <f aca="false">IF(D$35="nymex",0,VLOOKUP($A120,curvesettle,HLOOKUP(D$35,curvesettle,2,FALSE())))</f>
        <v>0.46</v>
      </c>
      <c r="E120" s="65" t="n">
        <f aca="false">IF(ISNUMBER(VLOOKUP($A120,VOLCURVES,HLOOKUP(D$35,VOLCURVES,2,FALSE()),FALSE())),VLOOKUP($A120,VOLCURVES,HLOOKUP(D$35,VOLCURVES,2,FALSE()),FALSE()),1)</f>
        <v>1.1</v>
      </c>
      <c r="F120" s="4" t="n">
        <f aca="false">(($C120+H120)*$E120)+B$17</f>
        <v>0.353</v>
      </c>
      <c r="G120" s="65" t="n">
        <f aca="false">VLOOKUP($A120,GASDVOLCURVES,HLOOKUP(D$36,GASDVOLCURVES,2,FALSE()),FALSE())+$B$18</f>
        <v>0.9</v>
      </c>
      <c r="H120" s="4" t="n">
        <f aca="false">IF($B$20=1,VLOOKUP($A120,skewtable,HLOOKUP(ROUND(I120-BM120,1),skewtable,2,FALSE()),FALSE())/100,0)</f>
        <v>0</v>
      </c>
      <c r="I120" s="66" t="e">
        <f aca="false">IF($B$10=1,($BM120*$B$23)-$B$14,$B$22)</f>
        <v>#DIV/0!</v>
      </c>
      <c r="J120" s="67" t="e">
        <f aca="false">I120-BM120+$B$24</f>
        <v>#DIV/0!</v>
      </c>
      <c r="K120" s="67"/>
      <c r="L120" s="183"/>
      <c r="M120" s="183"/>
      <c r="N120" s="63" t="n">
        <f aca="false">IF(N$35="nymex",0,VLOOKUP($A120,curvesettle,HLOOKUP(N$35,curvesettle,2,FALSE())))</f>
        <v>-0.0225</v>
      </c>
      <c r="O120" s="65" t="n">
        <f aca="false">IF(ISNUMBER(VLOOKUP($A120,VOLCURVES,HLOOKUP(N$35,VOLCURVES,2,FALSE()),FALSE())),VLOOKUP($A120,VOLCURVES,HLOOKUP(N$35,VOLCURVES,2,FALSE()),FALSE()),1)</f>
        <v>1</v>
      </c>
      <c r="P120" s="184" t="n">
        <f aca="false">(($C120+R120)*O120)+$D$17</f>
        <v>0.23</v>
      </c>
      <c r="Q120" s="65" t="n">
        <f aca="false">VLOOKUP($A120,GASDVOLCURVES,HLOOKUP(N$36,GASDVOLCURVES,2,FALSE()),FALSE())+$D$18</f>
        <v>0.9</v>
      </c>
      <c r="R120" s="4" t="n">
        <f aca="false">IF($D$20=1,VLOOKUP($A120,skewtable,HLOOKUP(ROUND(S120-BY120,1),skewtable,2,FALSE()),FALSE())/100,0)</f>
        <v>0</v>
      </c>
      <c r="S120" s="66" t="e">
        <f aca="false">IF(B$10=1,($BY120*$D$23)-$D$14,$D$22)</f>
        <v>#DIV/0!</v>
      </c>
      <c r="T120" s="67" t="e">
        <f aca="false">S120-$BY120+$D$24</f>
        <v>#DIV/0!</v>
      </c>
      <c r="U120" s="0"/>
      <c r="V120" s="0"/>
      <c r="W120" s="0"/>
      <c r="X120" s="63" t="n">
        <f aca="false">IF(X$35="nymex",0,VLOOKUP($A120,curvesettle,HLOOKUP(X$35,curvesettle,2,FALSE())))</f>
        <v>0.24</v>
      </c>
      <c r="Y120" s="65" t="n">
        <f aca="false">IF(ISNUMBER(VLOOKUP($A120,VOLCURVES,HLOOKUP(X$35,VOLCURVES,2,FALSE()),FALSE())),VLOOKUP($A120,VOLCURVES,HLOOKUP(X$35,VOLCURVES,2,FALSE()),FALSE()),1)</f>
        <v>1</v>
      </c>
      <c r="Z120" s="184" t="n">
        <f aca="false">(($C120+AB120)*Y120)+$F$17</f>
        <v>0.23</v>
      </c>
      <c r="AA120" s="65" t="n">
        <f aca="false">VLOOKUP($A120,GASDVOLCURVES,HLOOKUP(X$36,GASDVOLCURVES,2,FALSE()),FALSE())+$F$18</f>
        <v>0.9</v>
      </c>
      <c r="AB120" s="4" t="n">
        <f aca="false">IF($F$20=1,VLOOKUP($A120,skewtable,HLOOKUP(ROUND(AC120-CK120,1),skewtable,2,FALSE()),FALSE())/100,0)</f>
        <v>0</v>
      </c>
      <c r="AC120" s="66" t="e">
        <f aca="false">IF($B$10=1,($CK120*$F$23)-$F$14,$F$22)</f>
        <v>#DIV/0!</v>
      </c>
      <c r="AD120" s="67" t="e">
        <f aca="false">AC120-$CK120+$F$24</f>
        <v>#DIV/0!</v>
      </c>
      <c r="AE120" s="0"/>
      <c r="AF120" s="0"/>
      <c r="AG120" s="0"/>
      <c r="AH120" s="63" t="n">
        <f aca="false">IF(AH$35="nymex",0,VLOOKUP($A120,curvesettle,HLOOKUP(AH$35,curvesettle,2,FALSE())))</f>
        <v>0.65</v>
      </c>
      <c r="AI120" s="65" t="n">
        <f aca="false">IF(ISNUMBER(VLOOKUP($A120,VOLCURVES,HLOOKUP(AH$35,VOLCURVES,2,FALSE()),FALSE())),VLOOKUP($A120,VOLCURVES,HLOOKUP(AH$35,VOLCURVES,2,FALSE()),FALSE()),1)</f>
        <v>1.1</v>
      </c>
      <c r="AJ120" s="184" t="n">
        <f aca="false">(($C120+AL120)*AI120)+$H$17</f>
        <v>0.253</v>
      </c>
      <c r="AK120" s="65" t="n">
        <f aca="false">VLOOKUP($A120,GASDVOLCURVES,HLOOKUP(AH$36,GASDVOLCURVES,2,FALSE()),FALSE())+$H$18</f>
        <v>1.45</v>
      </c>
      <c r="AL120" s="4" t="n">
        <f aca="false">IF($H$20=1,VLOOKUP($A120,skewtable,HLOOKUP(ROUND(AM120-CW120,1),skewtable,2,FALSE()),FALSE())/100,0)</f>
        <v>0</v>
      </c>
      <c r="AM120" s="66" t="e">
        <f aca="false">IF($B$10=1,($CW120*$H$23)-$H$14,$H$22)</f>
        <v>#DIV/0!</v>
      </c>
      <c r="AN120" s="67" t="e">
        <f aca="false">AM120-CW120+$H$24</f>
        <v>#DIV/0!</v>
      </c>
      <c r="AO120" s="0"/>
      <c r="AP120" s="0"/>
      <c r="AQ120" s="183"/>
      <c r="AR120" s="183"/>
      <c r="AU120" s="0"/>
      <c r="AV120" s="0"/>
      <c r="AW120" s="0"/>
      <c r="AX120" s="0"/>
      <c r="AY120" s="0"/>
      <c r="AZ120" s="0"/>
      <c r="BA120" s="0"/>
      <c r="BC120" s="64"/>
      <c r="BD120" s="64"/>
      <c r="BE120" s="4" t="n">
        <f aca="false">VLOOKUP($A120,STRADDLE,14,FALSE())</f>
        <v>0.0553148960776539</v>
      </c>
      <c r="BF120" s="72" t="n">
        <f aca="false">A121-A120</f>
        <v>30</v>
      </c>
      <c r="BG120" s="179" t="n">
        <f aca="false">A120+BG$35</f>
        <v>39753</v>
      </c>
      <c r="BH120" s="179" t="n">
        <f aca="false">A121-1</f>
        <v>39782</v>
      </c>
      <c r="BJ120" s="179" t="n">
        <f aca="true">IF(BJ$35=0,TODAY(),IF(BJ$36="NYMEX",VLOOKUP($A120,expiration,2,FALSE())+1,BG120))</f>
        <v>39751</v>
      </c>
      <c r="BK120" s="73"/>
      <c r="BL120" s="73" t="n">
        <f aca="false">IF($A120&gt;=BM$32,IF($A120&lt;=BM$33,$BF120,0),0)</f>
        <v>0</v>
      </c>
      <c r="BM120" s="73" t="e">
        <f aca="false">BO120/BL120</f>
        <v>#DIV/0!</v>
      </c>
      <c r="BN120" s="1" t="n">
        <f aca="false">BL120*($B120+B$15)</f>
        <v>0</v>
      </c>
      <c r="BO120" s="47" t="n">
        <f aca="false">IF(ISNUMBER(((BN120/BL120)+B$16+$D120+$B$14)*BL120),((BN120/BL120)+B$16+$D120+$B$14)*BL120,0)</f>
        <v>0</v>
      </c>
      <c r="BP120" s="76" t="n">
        <f aca="false">IF($BL120=0,0,OSTRIP($BM120,$I120,$BJ120-$B$2,$BG120-$BJ120,$BH120-$BJ120,$B$10,$BE120,$F120,$G120,$B$23,$J120,$BQ$34,0))</f>
        <v>0</v>
      </c>
      <c r="BQ120" s="76" t="n">
        <f aca="false">IF($BL120=0,0,OSTRIP($BM120,$I120,$BJ120-$B$2,$BG120-$BJ120,$BH120-$BJ120,$B$10,$BE120,$F120,$G120,$B$23,$J120,$BQ$34,1))</f>
        <v>0</v>
      </c>
      <c r="BR120" s="76" t="n">
        <f aca="false">IF($BL120=0,0,OSTRIP($BM120,$I120,$BJ120-$B$2,$BG120-$BJ120,$BH120-$BJ120,$B$10,$BE120,$F120,$G120,$B$23,$J120,$BQ$34,BQ$35))</f>
        <v>0</v>
      </c>
      <c r="BS120" s="37" t="n">
        <f aca="false">BL120*BP120</f>
        <v>0</v>
      </c>
      <c r="BT120" s="37" t="n">
        <f aca="false">BL120*BQ120</f>
        <v>0</v>
      </c>
      <c r="BU120" s="37" t="n">
        <f aca="false">BL120*BR120</f>
        <v>0</v>
      </c>
      <c r="BV120" s="37" t="n">
        <f aca="false">BL120*G120</f>
        <v>0</v>
      </c>
      <c r="BX120" s="73" t="n">
        <f aca="false">IF($A120&gt;=BY$32,IF($A120&lt;=BY$33,$BF120,0),0)</f>
        <v>0</v>
      </c>
      <c r="BY120" s="186" t="e">
        <f aca="false">CA120/BX120</f>
        <v>#DIV/0!</v>
      </c>
      <c r="BZ120" s="1" t="n">
        <f aca="false">BX120*($B120+$D$15)</f>
        <v>0</v>
      </c>
      <c r="CA120" s="47" t="n">
        <f aca="false">IF(ISNUMBER(((BZ120/BX120)+$D$16+$N120+$D$14)*BX120),((BZ120/BX120)+$D$16+$N120+$D$14)*BX120,0)</f>
        <v>0</v>
      </c>
      <c r="CB120" s="76" t="n">
        <f aca="false">IF($BX120=0,0,OSTRIP($BY120,$S120,$BJ120-$B$2,$BG120-$BJ120,$BH120-$BJ120,$B$10,$BE120,$P120,$Q120,$D$23,$T120,$CC$34,0))</f>
        <v>0</v>
      </c>
      <c r="CC120" s="76" t="n">
        <f aca="false">IF($BX120=0,0,OSTRIP($BY120,$S120,$BJ120-$B$2,$BG120-$BJ120,$BH120-$BJ120,$B$10,$BE120,$P120,$Q120,$D$23,$T120,$CC$34,1))</f>
        <v>0</v>
      </c>
      <c r="CD120" s="76" t="n">
        <f aca="false">IF($BX120=0,0,OSTRIP($BY120,$S120,$BJ120-$B$2,$BG120-$BJ120,$BH120-$BJ120,$B$10,$BE120,$P120,$Q120,$D$23,$T120,$CC$34,CC$35))</f>
        <v>0</v>
      </c>
      <c r="CE120" s="37" t="n">
        <f aca="false">BX120*CB120</f>
        <v>0</v>
      </c>
      <c r="CF120" s="37" t="n">
        <f aca="false">BX120*CC120</f>
        <v>0</v>
      </c>
      <c r="CG120" s="37" t="n">
        <f aca="false">BX120*CD120</f>
        <v>0</v>
      </c>
      <c r="CH120" s="37" t="n">
        <f aca="false">BX120*Q120</f>
        <v>0</v>
      </c>
      <c r="CJ120" s="73" t="n">
        <f aca="false">IF($A120&gt;=CK$32,IF($A120&lt;=CK$33,$BF120,0),0)</f>
        <v>0</v>
      </c>
      <c r="CK120" s="186" t="e">
        <f aca="false">CM120/CJ120</f>
        <v>#DIV/0!</v>
      </c>
      <c r="CL120" s="1" t="n">
        <f aca="false">CJ120*($B120+$F$15)</f>
        <v>0</v>
      </c>
      <c r="CM120" s="47" t="n">
        <f aca="false">IF(ISNUMBER(((CL120/CJ120)+$F$16+$X120+$F$14)*CJ120),((CL120/CJ120)+$F$16+$X120+$F$14)*CJ120,0)</f>
        <v>0</v>
      </c>
      <c r="CN120" s="76" t="n">
        <f aca="false">IF($CJ120=0,0,OSTRIP($CK120,$AC120,$BJ120-$B$2,$BG120-$BJ120,$BH120-$BJ120,$B$10,$BE120,$Z120,$AA120,$F$23,$AD120,$CO$34,0))</f>
        <v>0</v>
      </c>
      <c r="CO120" s="76" t="n">
        <f aca="false">IF($CJ120=0,0,OSTRIP($CK120,$AC120,$BJ120-$B$2,$BG120-$BJ120,$BH120-$BJ120,$B$10,$BE120,$Z120,$AA120,$F$23,$AD120,$CO$34,1))</f>
        <v>0</v>
      </c>
      <c r="CP120" s="76" t="n">
        <f aca="false">IF($CJ120=0,0,OSTRIP($CK120,$AC120,$BJ120-$B$2,$BG120-$BJ120,$BH120-$BJ120,$B$10,$BE120,$Z120,$AA120,$F$23,$AD120,$CO$34,$CO$35))</f>
        <v>0</v>
      </c>
      <c r="CQ120" s="37" t="n">
        <f aca="false">CJ120*CN120</f>
        <v>0</v>
      </c>
      <c r="CR120" s="37" t="n">
        <f aca="false">CJ120*CO120</f>
        <v>0</v>
      </c>
      <c r="CS120" s="37" t="n">
        <f aca="false">CJ120*CP120</f>
        <v>0</v>
      </c>
      <c r="CT120" s="37" t="n">
        <f aca="false">CJ120*AA120</f>
        <v>0</v>
      </c>
      <c r="CV120" s="73" t="n">
        <f aca="false">IF($A120&gt;=CW$32,IF($A120&lt;=CW$33,$BF120,0),0)</f>
        <v>0</v>
      </c>
      <c r="CW120" s="186" t="e">
        <f aca="false">CY120/CV120</f>
        <v>#DIV/0!</v>
      </c>
      <c r="CX120" s="1" t="n">
        <f aca="false">CV120*($B120+$H$15)</f>
        <v>0</v>
      </c>
      <c r="CY120" s="47" t="n">
        <f aca="false">IF(ISNUMBER(((CX120/CV120)+$H$16+$AH120+$H$14)*CV120),((CX120/CV120)+$H$16+$AH120+$H$14)*CV120,0)</f>
        <v>0</v>
      </c>
      <c r="CZ120" s="76" t="n">
        <f aca="false">IF($CV120=0,0,OSTRIP($CW120,$AM120,$BJ120-$B$2,$BG120-$BJ120,$BH120-$BJ120,$B$10,$BE120,$AJ120,$AK120,$H$23,$AN120,$DA$34,0))</f>
        <v>0</v>
      </c>
      <c r="DA120" s="76" t="n">
        <f aca="false">IF($CV120=0,0,OSTRIP($CW120,$AM120,$BJ120-$B$2,$BG120-$BJ120,$BH120-$BJ120,$B$10,$BE120,$AJ120,$AK120,$H$23,$AN120,$DA$34,1))</f>
        <v>0</v>
      </c>
      <c r="DB120" s="76" t="n">
        <f aca="false">IF($CV120=0,0,OSTRIP($CW120,$AM120,$BJ120-$B$2,$BG120-$BJ120,$BH120-$BJ120,$B$10,$BE120,$AJ120,$AK120,$H$23,$AN120,$DA$34,DA$35))</f>
        <v>0</v>
      </c>
      <c r="DC120" s="37" t="n">
        <f aca="false">CV120*CZ120</f>
        <v>0</v>
      </c>
      <c r="DD120" s="37" t="n">
        <f aca="false">CV120*DA120</f>
        <v>0</v>
      </c>
      <c r="DE120" s="37" t="n">
        <f aca="false">CV120*DB120</f>
        <v>0</v>
      </c>
      <c r="DF120" s="37" t="n">
        <f aca="false">CV120*AK120</f>
        <v>0</v>
      </c>
    </row>
    <row r="121" customFormat="false" ht="12.75" hidden="false" customHeight="false" outlineLevel="0" collapsed="false">
      <c r="A121" s="62" t="n">
        <f aca="false">DATE(YEAR(A120),MONTH(A120)+1,1)</f>
        <v>39783</v>
      </c>
      <c r="B121" s="63" t="n">
        <f aca="false">VLOOKUP(A121,STRADDLE,5,FALSE())</f>
        <v>3.9125</v>
      </c>
      <c r="C121" s="4" t="n">
        <f aca="false">VLOOKUP(A121,STRADDLE,8,FALSE())</f>
        <v>0.23</v>
      </c>
      <c r="D121" s="63" t="n">
        <f aca="false">IF(D$35="nymex",0,VLOOKUP($A121,curvesettle,HLOOKUP(D$35,curvesettle,2,FALSE())))</f>
        <v>0.77</v>
      </c>
      <c r="E121" s="65" t="n">
        <f aca="false">IF(ISNUMBER(VLOOKUP($A121,VOLCURVES,HLOOKUP(D$35,VOLCURVES,2,FALSE()),FALSE())),VLOOKUP($A121,VOLCURVES,HLOOKUP(D$35,VOLCURVES,2,FALSE()),FALSE()),1)</f>
        <v>1.1</v>
      </c>
      <c r="F121" s="4" t="n">
        <f aca="false">(($C121+H121)*$E121)+B$17</f>
        <v>0.353</v>
      </c>
      <c r="G121" s="65" t="n">
        <f aca="false">VLOOKUP($A121,GASDVOLCURVES,HLOOKUP(D$36,GASDVOLCURVES,2,FALSE()),FALSE())+$B$18</f>
        <v>1.1</v>
      </c>
      <c r="H121" s="4" t="n">
        <f aca="false">IF($B$20=1,VLOOKUP($A121,skewtable,HLOOKUP(ROUND(I121-BM121,1),skewtable,2,FALSE()),FALSE())/100,0)</f>
        <v>0</v>
      </c>
      <c r="I121" s="66" t="e">
        <f aca="false">IF($B$10=1,($BM121*$B$23)-$B$14,$B$22)</f>
        <v>#DIV/0!</v>
      </c>
      <c r="J121" s="67" t="e">
        <f aca="false">I121-BM121+$B$24</f>
        <v>#DIV/0!</v>
      </c>
      <c r="K121" s="67"/>
      <c r="L121" s="183"/>
      <c r="M121" s="183"/>
      <c r="N121" s="63" t="n">
        <f aca="false">IF(N$35="nymex",0,VLOOKUP($A121,curvesettle,HLOOKUP(N$35,curvesettle,2,FALSE())))</f>
        <v>-0.045</v>
      </c>
      <c r="O121" s="65" t="n">
        <f aca="false">IF(ISNUMBER(VLOOKUP($A121,VOLCURVES,HLOOKUP(N$35,VOLCURVES,2,FALSE()),FALSE())),VLOOKUP($A121,VOLCURVES,HLOOKUP(N$35,VOLCURVES,2,FALSE()),FALSE()),1)</f>
        <v>1</v>
      </c>
      <c r="P121" s="184" t="n">
        <f aca="false">(($C121+R121)*O121)+$D$17</f>
        <v>0.23</v>
      </c>
      <c r="Q121" s="65" t="n">
        <f aca="false">VLOOKUP($A121,GASDVOLCURVES,HLOOKUP(N$36,GASDVOLCURVES,2,FALSE()),FALSE())+$D$18</f>
        <v>1.1</v>
      </c>
      <c r="R121" s="4" t="n">
        <f aca="false">IF($D$20=1,VLOOKUP($A121,skewtable,HLOOKUP(ROUND(S121-BY121,1),skewtable,2,FALSE()),FALSE())/100,0)</f>
        <v>0</v>
      </c>
      <c r="S121" s="66" t="e">
        <f aca="false">IF(B$10=1,($BY121*$D$23)-$D$14,$D$22)</f>
        <v>#DIV/0!</v>
      </c>
      <c r="T121" s="67" t="e">
        <f aca="false">S121-$BY121+$D$24</f>
        <v>#DIV/0!</v>
      </c>
      <c r="U121" s="0"/>
      <c r="V121" s="0"/>
      <c r="W121" s="0"/>
      <c r="X121" s="63" t="n">
        <f aca="false">IF(X$35="nymex",0,VLOOKUP($A121,curvesettle,HLOOKUP(X$35,curvesettle,2,FALSE())))</f>
        <v>0.24</v>
      </c>
      <c r="Y121" s="65" t="n">
        <f aca="false">IF(ISNUMBER(VLOOKUP($A121,VOLCURVES,HLOOKUP(X$35,VOLCURVES,2,FALSE()),FALSE())),VLOOKUP($A121,VOLCURVES,HLOOKUP(X$35,VOLCURVES,2,FALSE()),FALSE()),1)</f>
        <v>1</v>
      </c>
      <c r="Z121" s="184" t="n">
        <f aca="false">(($C121+AB121)*Y121)+$F$17</f>
        <v>0.23</v>
      </c>
      <c r="AA121" s="65" t="n">
        <f aca="false">VLOOKUP($A121,GASDVOLCURVES,HLOOKUP(X$36,GASDVOLCURVES,2,FALSE()),FALSE())+$F$18</f>
        <v>1.1</v>
      </c>
      <c r="AB121" s="4" t="n">
        <f aca="false">IF($F$20=1,VLOOKUP($A121,skewtable,HLOOKUP(ROUND(AC121-CK121,1),skewtable,2,FALSE()),FALSE())/100,0)</f>
        <v>0</v>
      </c>
      <c r="AC121" s="66" t="e">
        <f aca="false">IF($B$10=1,($CK121*$F$23)-$F$14,$F$22)</f>
        <v>#DIV/0!</v>
      </c>
      <c r="AD121" s="67" t="e">
        <f aca="false">AC121-$CK121+$F$24</f>
        <v>#DIV/0!</v>
      </c>
      <c r="AE121" s="0"/>
      <c r="AF121" s="0"/>
      <c r="AG121" s="0"/>
      <c r="AH121" s="63" t="n">
        <f aca="false">IF(AH$35="nymex",0,VLOOKUP($A121,curvesettle,HLOOKUP(AH$35,curvesettle,2,FALSE())))</f>
        <v>0.98</v>
      </c>
      <c r="AI121" s="65" t="n">
        <f aca="false">IF(ISNUMBER(VLOOKUP($A121,VOLCURVES,HLOOKUP(AH$35,VOLCURVES,2,FALSE()),FALSE())),VLOOKUP($A121,VOLCURVES,HLOOKUP(AH$35,VOLCURVES,2,FALSE()),FALSE()),1)</f>
        <v>1.02</v>
      </c>
      <c r="AJ121" s="184" t="n">
        <f aca="false">(($C121+AL121)*AI121)+$H$17</f>
        <v>0.2346</v>
      </c>
      <c r="AK121" s="65" t="n">
        <f aca="false">VLOOKUP($A121,GASDVOLCURVES,HLOOKUP(AH$36,GASDVOLCURVES,2,FALSE()),FALSE())+$H$18</f>
        <v>1.75</v>
      </c>
      <c r="AL121" s="4" t="n">
        <f aca="false">IF($H$20=1,VLOOKUP($A121,skewtable,HLOOKUP(ROUND(AM121-CW121,1),skewtable,2,FALSE()),FALSE())/100,0)</f>
        <v>0</v>
      </c>
      <c r="AM121" s="66" t="e">
        <f aca="false">IF($B$10=1,($CW121*$H$23)-$H$14,$H$22)</f>
        <v>#DIV/0!</v>
      </c>
      <c r="AN121" s="67" t="e">
        <f aca="false">AM121-CW121+$H$24</f>
        <v>#DIV/0!</v>
      </c>
      <c r="AO121" s="0"/>
      <c r="AP121" s="0"/>
      <c r="AQ121" s="183"/>
      <c r="AR121" s="183"/>
      <c r="AU121" s="0"/>
      <c r="AV121" s="0"/>
      <c r="AW121" s="0"/>
      <c r="AX121" s="0"/>
      <c r="AY121" s="0"/>
      <c r="AZ121" s="0"/>
      <c r="BA121" s="0"/>
      <c r="BC121" s="64"/>
      <c r="BD121" s="64"/>
      <c r="BE121" s="4" t="n">
        <f aca="false">VLOOKUP($A121,STRADDLE,14,FALSE())</f>
        <v>0.0554905546353979</v>
      </c>
      <c r="BF121" s="72" t="n">
        <f aca="false">A122-A121</f>
        <v>31</v>
      </c>
      <c r="BG121" s="179" t="n">
        <f aca="false">A121+BG$35</f>
        <v>39783</v>
      </c>
      <c r="BH121" s="179" t="n">
        <f aca="false">A122-1</f>
        <v>39813</v>
      </c>
      <c r="BJ121" s="179" t="n">
        <f aca="true">IF(BJ$35=0,TODAY(),IF(BJ$36="NYMEX",VLOOKUP($A121,expiration,2,FALSE())+1,BG121))</f>
        <v>39778</v>
      </c>
      <c r="BK121" s="73"/>
      <c r="BL121" s="73" t="n">
        <f aca="false">IF($A121&gt;=BM$32,IF($A121&lt;=BM$33,$BF121,0),0)</f>
        <v>0</v>
      </c>
      <c r="BM121" s="73" t="e">
        <f aca="false">BO121/BL121</f>
        <v>#DIV/0!</v>
      </c>
      <c r="BN121" s="1" t="n">
        <f aca="false">BL121*($B121+B$15)</f>
        <v>0</v>
      </c>
      <c r="BO121" s="47" t="n">
        <f aca="false">IF(ISNUMBER(((BN121/BL121)+B$16+$D121+$B$14)*BL121),((BN121/BL121)+B$16+$D121+$B$14)*BL121,0)</f>
        <v>0</v>
      </c>
      <c r="BP121" s="76" t="n">
        <f aca="false">IF($BL121=0,0,OSTRIP($BM121,$I121,$BJ121-$B$2,$BG121-$BJ121,$BH121-$BJ121,$B$10,$BE121,$F121,$G121,$B$23,$J121,$BQ$34,0))</f>
        <v>0</v>
      </c>
      <c r="BQ121" s="76" t="n">
        <f aca="false">IF($BL121=0,0,OSTRIP($BM121,$I121,$BJ121-$B$2,$BG121-$BJ121,$BH121-$BJ121,$B$10,$BE121,$F121,$G121,$B$23,$J121,$BQ$34,1))</f>
        <v>0</v>
      </c>
      <c r="BR121" s="76" t="n">
        <f aca="false">IF($BL121=0,0,OSTRIP($BM121,$I121,$BJ121-$B$2,$BG121-$BJ121,$BH121-$BJ121,$B$10,$BE121,$F121,$G121,$B$23,$J121,$BQ$34,BQ$35))</f>
        <v>0</v>
      </c>
      <c r="BS121" s="37" t="n">
        <f aca="false">BL121*BP121</f>
        <v>0</v>
      </c>
      <c r="BT121" s="37" t="n">
        <f aca="false">BL121*BQ121</f>
        <v>0</v>
      </c>
      <c r="BU121" s="37" t="n">
        <f aca="false">BL121*BR121</f>
        <v>0</v>
      </c>
      <c r="BV121" s="37" t="n">
        <f aca="false">BL121*G121</f>
        <v>0</v>
      </c>
      <c r="BX121" s="73" t="n">
        <f aca="false">IF($A121&gt;=BY$32,IF($A121&lt;=BY$33,$BF121,0),0)</f>
        <v>0</v>
      </c>
      <c r="BY121" s="186" t="e">
        <f aca="false">CA121/BX121</f>
        <v>#DIV/0!</v>
      </c>
      <c r="BZ121" s="1" t="n">
        <f aca="false">BX121*($B121+$D$15)</f>
        <v>0</v>
      </c>
      <c r="CA121" s="47" t="n">
        <f aca="false">IF(ISNUMBER(((BZ121/BX121)+$D$16+$N121+$D$14)*BX121),((BZ121/BX121)+$D$16+$N121+$D$14)*BX121,0)</f>
        <v>0</v>
      </c>
      <c r="CB121" s="76" t="n">
        <f aca="false">IF($BX121=0,0,OSTRIP($BY121,$S121,$BJ121-$B$2,$BG121-$BJ121,$BH121-$BJ121,$B$10,$BE121,$P121,$Q121,$D$23,$T121,$CC$34,0))</f>
        <v>0</v>
      </c>
      <c r="CC121" s="76" t="n">
        <f aca="false">IF($BX121=0,0,OSTRIP($BY121,$S121,$BJ121-$B$2,$BG121-$BJ121,$BH121-$BJ121,$B$10,$BE121,$P121,$Q121,$D$23,$T121,$CC$34,1))</f>
        <v>0</v>
      </c>
      <c r="CD121" s="76" t="n">
        <f aca="false">IF($BX121=0,0,OSTRIP($BY121,$S121,$BJ121-$B$2,$BG121-$BJ121,$BH121-$BJ121,$B$10,$BE121,$P121,$Q121,$D$23,$T121,$CC$34,CC$35))</f>
        <v>0</v>
      </c>
      <c r="CE121" s="37" t="n">
        <f aca="false">BX121*CB121</f>
        <v>0</v>
      </c>
      <c r="CF121" s="37" t="n">
        <f aca="false">BX121*CC121</f>
        <v>0</v>
      </c>
      <c r="CG121" s="37" t="n">
        <f aca="false">BX121*CD121</f>
        <v>0</v>
      </c>
      <c r="CH121" s="37" t="n">
        <f aca="false">BX121*Q121</f>
        <v>0</v>
      </c>
      <c r="CJ121" s="73" t="n">
        <f aca="false">IF($A121&gt;=CK$32,IF($A121&lt;=CK$33,$BF121,0),0)</f>
        <v>0</v>
      </c>
      <c r="CK121" s="186" t="e">
        <f aca="false">CM121/CJ121</f>
        <v>#DIV/0!</v>
      </c>
      <c r="CL121" s="1" t="n">
        <f aca="false">CJ121*($B121+$F$15)</f>
        <v>0</v>
      </c>
      <c r="CM121" s="47" t="n">
        <f aca="false">IF(ISNUMBER(((CL121/CJ121)+$F$16+$X121+$F$14)*CJ121),((CL121/CJ121)+$F$16+$X121+$F$14)*CJ121,0)</f>
        <v>0</v>
      </c>
      <c r="CN121" s="76" t="n">
        <f aca="false">IF($CJ121=0,0,OSTRIP($CK121,$AC121,$BJ121-$B$2,$BG121-$BJ121,$BH121-$BJ121,$B$10,$BE121,$Z121,$AA121,$F$23,$AD121,$CO$34,0))</f>
        <v>0</v>
      </c>
      <c r="CO121" s="76" t="n">
        <f aca="false">IF($CJ121=0,0,OSTRIP($CK121,$AC121,$BJ121-$B$2,$BG121-$BJ121,$BH121-$BJ121,$B$10,$BE121,$Z121,$AA121,$F$23,$AD121,$CO$34,1))</f>
        <v>0</v>
      </c>
      <c r="CP121" s="76" t="n">
        <f aca="false">IF($CJ121=0,0,OSTRIP($CK121,$AC121,$BJ121-$B$2,$BG121-$BJ121,$BH121-$BJ121,$B$10,$BE121,$Z121,$AA121,$F$23,$AD121,$CO$34,$CO$35))</f>
        <v>0</v>
      </c>
      <c r="CQ121" s="37" t="n">
        <f aca="false">CJ121*CN121</f>
        <v>0</v>
      </c>
      <c r="CR121" s="37" t="n">
        <f aca="false">CJ121*CO121</f>
        <v>0</v>
      </c>
      <c r="CS121" s="37" t="n">
        <f aca="false">CJ121*CP121</f>
        <v>0</v>
      </c>
      <c r="CT121" s="37" t="n">
        <f aca="false">CJ121*AA121</f>
        <v>0</v>
      </c>
      <c r="CV121" s="73" t="n">
        <f aca="false">IF($A121&gt;=CW$32,IF($A121&lt;=CW$33,$BF121,0),0)</f>
        <v>0</v>
      </c>
      <c r="CW121" s="186" t="e">
        <f aca="false">CY121/CV121</f>
        <v>#DIV/0!</v>
      </c>
      <c r="CX121" s="1" t="n">
        <f aca="false">CV121*($B121+$H$15)</f>
        <v>0</v>
      </c>
      <c r="CY121" s="47" t="n">
        <f aca="false">IF(ISNUMBER(((CX121/CV121)+$H$16+$AH121+$H$14)*CV121),((CX121/CV121)+$H$16+$AH121+$H$14)*CV121,0)</f>
        <v>0</v>
      </c>
      <c r="CZ121" s="76" t="n">
        <f aca="false">IF($CV121=0,0,OSTRIP($CW121,$AM121,$BJ121-$B$2,$BG121-$BJ121,$BH121-$BJ121,$B$10,$BE121,$AJ121,$AK121,$H$23,$AN121,$DA$34,0))</f>
        <v>0</v>
      </c>
      <c r="DA121" s="76" t="n">
        <f aca="false">IF($CV121=0,0,OSTRIP($CW121,$AM121,$BJ121-$B$2,$BG121-$BJ121,$BH121-$BJ121,$B$10,$BE121,$AJ121,$AK121,$H$23,$AN121,$DA$34,1))</f>
        <v>0</v>
      </c>
      <c r="DB121" s="76" t="n">
        <f aca="false">IF($CV121=0,0,OSTRIP($CW121,$AM121,$BJ121-$B$2,$BG121-$BJ121,$BH121-$BJ121,$B$10,$BE121,$AJ121,$AK121,$H$23,$AN121,$DA$34,DA$35))</f>
        <v>0</v>
      </c>
      <c r="DC121" s="37" t="n">
        <f aca="false">CV121*CZ121</f>
        <v>0</v>
      </c>
      <c r="DD121" s="37" t="n">
        <f aca="false">CV121*DA121</f>
        <v>0</v>
      </c>
      <c r="DE121" s="37" t="n">
        <f aca="false">CV121*DB121</f>
        <v>0</v>
      </c>
      <c r="DF121" s="37" t="n">
        <f aca="false">CV121*AK121</f>
        <v>0</v>
      </c>
    </row>
    <row r="122" customFormat="false" ht="12.75" hidden="false" customHeight="false" outlineLevel="0" collapsed="false">
      <c r="A122" s="62" t="n">
        <f aca="false">DATE(YEAR(A121),MONTH(A121)+1,1)</f>
        <v>39814</v>
      </c>
      <c r="B122" s="63" t="n">
        <f aca="false">VLOOKUP(A122,STRADDLE,5,FALSE())</f>
        <v>3.965</v>
      </c>
      <c r="C122" s="4" t="n">
        <f aca="false">VLOOKUP(A122,STRADDLE,8,FALSE())</f>
        <v>0.23</v>
      </c>
      <c r="D122" s="63" t="n">
        <f aca="false">IF(D$35="nymex",0,VLOOKUP($A122,curvesettle,HLOOKUP(D$35,curvesettle,2,FALSE())))</f>
        <v>1.04</v>
      </c>
      <c r="E122" s="65" t="n">
        <f aca="false">IF(ISNUMBER(VLOOKUP($A122,VOLCURVES,HLOOKUP(D$35,VOLCURVES,2,FALSE()),FALSE())),VLOOKUP($A122,VOLCURVES,HLOOKUP(D$35,VOLCURVES,2,FALSE()),FALSE()),1)</f>
        <v>1.1</v>
      </c>
      <c r="F122" s="4" t="n">
        <f aca="false">(($C122+H122)*$E122)+B$17</f>
        <v>0.353</v>
      </c>
      <c r="G122" s="65" t="n">
        <f aca="false">VLOOKUP($A122,GASDVOLCURVES,HLOOKUP(D$36,GASDVOLCURVES,2,FALSE()),FALSE())+$B$18</f>
        <v>1.1</v>
      </c>
      <c r="H122" s="4" t="n">
        <f aca="false">IF($B$20=1,VLOOKUP($A122,skewtable,HLOOKUP(ROUND(I122-BM122,1),skewtable,2,FALSE()),FALSE())/100,0)</f>
        <v>0</v>
      </c>
      <c r="I122" s="66" t="e">
        <f aca="false">IF($B$10=1,($BM122*$B$23)-$B$14,$B$22)</f>
        <v>#DIV/0!</v>
      </c>
      <c r="J122" s="67" t="e">
        <f aca="false">I122-BM122+$B$24</f>
        <v>#DIV/0!</v>
      </c>
      <c r="K122" s="67"/>
      <c r="L122" s="183"/>
      <c r="M122" s="183"/>
      <c r="N122" s="63" t="n">
        <f aca="false">IF(N$35="nymex",0,VLOOKUP($A122,curvesettle,HLOOKUP(N$35,curvesettle,2,FALSE())))</f>
        <v>-0.0475</v>
      </c>
      <c r="O122" s="65" t="n">
        <f aca="false">IF(ISNUMBER(VLOOKUP($A122,VOLCURVES,HLOOKUP(N$35,VOLCURVES,2,FALSE()),FALSE())),VLOOKUP($A122,VOLCURVES,HLOOKUP(N$35,VOLCURVES,2,FALSE()),FALSE()),1)</f>
        <v>1</v>
      </c>
      <c r="P122" s="184" t="n">
        <f aca="false">(($C122+R122)*O122)+$D$17</f>
        <v>0.23</v>
      </c>
      <c r="Q122" s="65" t="n">
        <f aca="false">VLOOKUP($A122,GASDVOLCURVES,HLOOKUP(N$36,GASDVOLCURVES,2,FALSE()),FALSE())+$D$18</f>
        <v>1.1</v>
      </c>
      <c r="R122" s="4" t="n">
        <f aca="false">IF($D$20=1,VLOOKUP($A122,skewtable,HLOOKUP(ROUND(S122-BY122,1),skewtable,2,FALSE()),FALSE())/100,0)</f>
        <v>0</v>
      </c>
      <c r="S122" s="66" t="e">
        <f aca="false">IF(B$10=1,($BY122*$D$23)-$D$14,$D$22)</f>
        <v>#DIV/0!</v>
      </c>
      <c r="T122" s="67" t="e">
        <f aca="false">S122-$BY122+$D$24</f>
        <v>#DIV/0!</v>
      </c>
      <c r="U122" s="0"/>
      <c r="V122" s="0"/>
      <c r="W122" s="0"/>
      <c r="X122" s="63" t="n">
        <f aca="false">IF(X$35="nymex",0,VLOOKUP($A122,curvesettle,HLOOKUP(X$35,curvesettle,2,FALSE())))</f>
        <v>0.24</v>
      </c>
      <c r="Y122" s="65" t="n">
        <f aca="false">IF(ISNUMBER(VLOOKUP($A122,VOLCURVES,HLOOKUP(X$35,VOLCURVES,2,FALSE()),FALSE())),VLOOKUP($A122,VOLCURVES,HLOOKUP(X$35,VOLCURVES,2,FALSE()),FALSE()),1)</f>
        <v>1</v>
      </c>
      <c r="Z122" s="184" t="n">
        <f aca="false">(($C122+AB122)*Y122)+$F$17</f>
        <v>0.23</v>
      </c>
      <c r="AA122" s="65" t="n">
        <f aca="false">VLOOKUP($A122,GASDVOLCURVES,HLOOKUP(X$36,GASDVOLCURVES,2,FALSE()),FALSE())+$F$18</f>
        <v>1.1</v>
      </c>
      <c r="AB122" s="4" t="n">
        <f aca="false">IF($F$20=1,VLOOKUP($A122,skewtable,HLOOKUP(ROUND(AC122-CK122,1),skewtable,2,FALSE()),FALSE())/100,0)</f>
        <v>0</v>
      </c>
      <c r="AC122" s="66" t="e">
        <f aca="false">IF($B$10=1,($CK122*$F$23)-$F$14,$F$22)</f>
        <v>#DIV/0!</v>
      </c>
      <c r="AD122" s="67" t="e">
        <f aca="false">AC122-$CK122+$F$24</f>
        <v>#DIV/0!</v>
      </c>
      <c r="AE122" s="0"/>
      <c r="AF122" s="0"/>
      <c r="AG122" s="0"/>
      <c r="AH122" s="63" t="n">
        <f aca="false">IF(AH$35="nymex",0,VLOOKUP($A122,curvesettle,HLOOKUP(AH$35,curvesettle,2,FALSE())))</f>
        <v>1.6</v>
      </c>
      <c r="AI122" s="65" t="n">
        <f aca="false">IF(ISNUMBER(VLOOKUP($A122,VOLCURVES,HLOOKUP(AH$35,VOLCURVES,2,FALSE()),FALSE())),VLOOKUP($A122,VOLCURVES,HLOOKUP(AH$35,VOLCURVES,2,FALSE()),FALSE()),1)</f>
        <v>1.04</v>
      </c>
      <c r="AJ122" s="184" t="n">
        <f aca="false">(($C122+AL122)*AI122)+$H$17</f>
        <v>0.2392</v>
      </c>
      <c r="AK122" s="65" t="n">
        <f aca="false">VLOOKUP($A122,GASDVOLCURVES,HLOOKUP(AH$36,GASDVOLCURVES,2,FALSE()),FALSE())+$H$18</f>
        <v>1.95</v>
      </c>
      <c r="AL122" s="4" t="n">
        <f aca="false">IF($H$20=1,VLOOKUP($A122,skewtable,HLOOKUP(ROUND(AM122-CW122,1),skewtable,2,FALSE()),FALSE())/100,0)</f>
        <v>0</v>
      </c>
      <c r="AM122" s="66" t="e">
        <f aca="false">IF($B$10=1,($CW122*$H$23)-$H$14,$H$22)</f>
        <v>#DIV/0!</v>
      </c>
      <c r="AN122" s="67" t="e">
        <f aca="false">AM122-CW122+$H$24</f>
        <v>#DIV/0!</v>
      </c>
      <c r="AO122" s="0"/>
      <c r="AP122" s="0"/>
      <c r="AQ122" s="183"/>
      <c r="AR122" s="183"/>
      <c r="AU122" s="0"/>
      <c r="AV122" s="0"/>
      <c r="AW122" s="0"/>
      <c r="AX122" s="0"/>
      <c r="AY122" s="0"/>
      <c r="AZ122" s="0"/>
      <c r="BA122" s="0"/>
      <c r="BC122" s="64"/>
      <c r="BD122" s="64"/>
      <c r="BE122" s="4" t="n">
        <f aca="false">VLOOKUP($A122,STRADDLE,14,FALSE())</f>
        <v>0.0556292858091121</v>
      </c>
      <c r="BF122" s="72" t="n">
        <f aca="false">A123-A122</f>
        <v>31</v>
      </c>
      <c r="BG122" s="179" t="n">
        <f aca="false">A122+BG$35</f>
        <v>39814</v>
      </c>
      <c r="BH122" s="179" t="n">
        <f aca="false">A123-1</f>
        <v>39844</v>
      </c>
      <c r="BJ122" s="179" t="n">
        <f aca="true">IF(BJ$35=0,TODAY(),IF(BJ$36="NYMEX",VLOOKUP($A122,expiration,2,FALSE())+1,BG122))</f>
        <v>39812</v>
      </c>
      <c r="BK122" s="73"/>
      <c r="BL122" s="73" t="n">
        <f aca="false">IF($A122&gt;=BM$32,IF($A122&lt;=BM$33,$BF122,0),0)</f>
        <v>0</v>
      </c>
      <c r="BM122" s="73" t="e">
        <f aca="false">BO122/BL122</f>
        <v>#DIV/0!</v>
      </c>
      <c r="BN122" s="1" t="n">
        <f aca="false">BL122*($B122+B$15)</f>
        <v>0</v>
      </c>
      <c r="BO122" s="47" t="n">
        <f aca="false">IF(ISNUMBER(((BN122/BL122)+B$16+$D122+$B$14)*BL122),((BN122/BL122)+B$16+$D122+$B$14)*BL122,0)</f>
        <v>0</v>
      </c>
      <c r="BP122" s="76" t="n">
        <f aca="false">IF($BL122=0,0,OSTRIP($BM122,$I122,$BJ122-$B$2,$BG122-$BJ122,$BH122-$BJ122,$B$10,$BE122,$F122,$G122,$B$23,$J122,$BQ$34,0))</f>
        <v>0</v>
      </c>
      <c r="BQ122" s="76" t="n">
        <f aca="false">IF($BL122=0,0,OSTRIP($BM122,$I122,$BJ122-$B$2,$BG122-$BJ122,$BH122-$BJ122,$B$10,$BE122,$F122,$G122,$B$23,$J122,$BQ$34,1))</f>
        <v>0</v>
      </c>
      <c r="BR122" s="76" t="n">
        <f aca="false">IF($BL122=0,0,OSTRIP($BM122,$I122,$BJ122-$B$2,$BG122-$BJ122,$BH122-$BJ122,$B$10,$BE122,$F122,$G122,$B$23,$J122,$BQ$34,BQ$35))</f>
        <v>0</v>
      </c>
      <c r="BS122" s="37" t="n">
        <f aca="false">BL122*BP122</f>
        <v>0</v>
      </c>
      <c r="BT122" s="37" t="n">
        <f aca="false">BL122*BQ122</f>
        <v>0</v>
      </c>
      <c r="BU122" s="37" t="n">
        <f aca="false">BL122*BR122</f>
        <v>0</v>
      </c>
      <c r="BV122" s="37" t="n">
        <f aca="false">BL122*G122</f>
        <v>0</v>
      </c>
      <c r="BX122" s="73" t="n">
        <f aca="false">IF($A122&gt;=BY$32,IF($A122&lt;=BY$33,$BF122,0),0)</f>
        <v>0</v>
      </c>
      <c r="BY122" s="186" t="e">
        <f aca="false">CA122/BX122</f>
        <v>#DIV/0!</v>
      </c>
      <c r="BZ122" s="1" t="n">
        <f aca="false">BX122*($B122+$D$15)</f>
        <v>0</v>
      </c>
      <c r="CA122" s="47" t="n">
        <f aca="false">IF(ISNUMBER(((BZ122/BX122)+$D$16+$N122+$D$14)*BX122),((BZ122/BX122)+$D$16+$N122+$D$14)*BX122,0)</f>
        <v>0</v>
      </c>
      <c r="CB122" s="76" t="n">
        <f aca="false">IF($BX122=0,0,OSTRIP($BY122,$S122,$BJ122-$B$2,$BG122-$BJ122,$BH122-$BJ122,$B$10,$BE122,$P122,$Q122,$D$23,$T122,$CC$34,0))</f>
        <v>0</v>
      </c>
      <c r="CC122" s="76" t="n">
        <f aca="false">IF($BX122=0,0,OSTRIP($BY122,$S122,$BJ122-$B$2,$BG122-$BJ122,$BH122-$BJ122,$B$10,$BE122,$P122,$Q122,$D$23,$T122,$CC$34,1))</f>
        <v>0</v>
      </c>
      <c r="CD122" s="76" t="n">
        <f aca="false">IF($BX122=0,0,OSTRIP($BY122,$S122,$BJ122-$B$2,$BG122-$BJ122,$BH122-$BJ122,$B$10,$BE122,$P122,$Q122,$D$23,$T122,$CC$34,CC$35))</f>
        <v>0</v>
      </c>
      <c r="CE122" s="37" t="n">
        <f aca="false">BX122*CB122</f>
        <v>0</v>
      </c>
      <c r="CF122" s="37" t="n">
        <f aca="false">BX122*CC122</f>
        <v>0</v>
      </c>
      <c r="CG122" s="37" t="n">
        <f aca="false">BX122*CD122</f>
        <v>0</v>
      </c>
      <c r="CH122" s="37" t="n">
        <f aca="false">BX122*Q122</f>
        <v>0</v>
      </c>
      <c r="CJ122" s="73" t="n">
        <f aca="false">IF($A122&gt;=CK$32,IF($A122&lt;=CK$33,$BF122,0),0)</f>
        <v>0</v>
      </c>
      <c r="CK122" s="186" t="e">
        <f aca="false">CM122/CJ122</f>
        <v>#DIV/0!</v>
      </c>
      <c r="CL122" s="1" t="n">
        <f aca="false">CJ122*($B122+$F$15)</f>
        <v>0</v>
      </c>
      <c r="CM122" s="47" t="n">
        <f aca="false">IF(ISNUMBER(((CL122/CJ122)+$F$16+$X122+$F$14)*CJ122),((CL122/CJ122)+$F$16+$X122+$F$14)*CJ122,0)</f>
        <v>0</v>
      </c>
      <c r="CN122" s="76" t="n">
        <f aca="false">IF($CJ122=0,0,OSTRIP($CK122,$AC122,$BJ122-$B$2,$BG122-$BJ122,$BH122-$BJ122,$B$10,$BE122,$Z122,$AA122,$F$23,$AD122,$CO$34,0))</f>
        <v>0</v>
      </c>
      <c r="CO122" s="76" t="n">
        <f aca="false">IF($CJ122=0,0,OSTRIP($CK122,$AC122,$BJ122-$B$2,$BG122-$BJ122,$BH122-$BJ122,$B$10,$BE122,$Z122,$AA122,$F$23,$AD122,$CO$34,1))</f>
        <v>0</v>
      </c>
      <c r="CP122" s="76" t="n">
        <f aca="false">IF($CJ122=0,0,OSTRIP($CK122,$AC122,$BJ122-$B$2,$BG122-$BJ122,$BH122-$BJ122,$B$10,$BE122,$Z122,$AA122,$F$23,$AD122,$CO$34,$CO$35))</f>
        <v>0</v>
      </c>
      <c r="CQ122" s="37" t="n">
        <f aca="false">CJ122*CN122</f>
        <v>0</v>
      </c>
      <c r="CR122" s="37" t="n">
        <f aca="false">CJ122*CO122</f>
        <v>0</v>
      </c>
      <c r="CS122" s="37" t="n">
        <f aca="false">CJ122*CP122</f>
        <v>0</v>
      </c>
      <c r="CT122" s="37" t="n">
        <f aca="false">CJ122*AA122</f>
        <v>0</v>
      </c>
      <c r="CV122" s="73" t="n">
        <f aca="false">IF($A122&gt;=CW$32,IF($A122&lt;=CW$33,$BF122,0),0)</f>
        <v>0</v>
      </c>
      <c r="CW122" s="186" t="e">
        <f aca="false">CY122/CV122</f>
        <v>#DIV/0!</v>
      </c>
      <c r="CX122" s="1" t="n">
        <f aca="false">CV122*($B122+$H$15)</f>
        <v>0</v>
      </c>
      <c r="CY122" s="47" t="n">
        <f aca="false">IF(ISNUMBER(((CX122/CV122)+$H$16+$AH122+$H$14)*CV122),((CX122/CV122)+$H$16+$AH122+$H$14)*CV122,0)</f>
        <v>0</v>
      </c>
      <c r="CZ122" s="76" t="n">
        <f aca="false">IF($CV122=0,0,OSTRIP($CW122,$AM122,$BJ122-$B$2,$BG122-$BJ122,$BH122-$BJ122,$B$10,$BE122,$AJ122,$AK122,$H$23,$AN122,$DA$34,0))</f>
        <v>0</v>
      </c>
      <c r="DA122" s="76" t="n">
        <f aca="false">IF($CV122=0,0,OSTRIP($CW122,$AM122,$BJ122-$B$2,$BG122-$BJ122,$BH122-$BJ122,$B$10,$BE122,$AJ122,$AK122,$H$23,$AN122,$DA$34,1))</f>
        <v>0</v>
      </c>
      <c r="DB122" s="76" t="n">
        <f aca="false">IF($CV122=0,0,OSTRIP($CW122,$AM122,$BJ122-$B$2,$BG122-$BJ122,$BH122-$BJ122,$B$10,$BE122,$AJ122,$AK122,$H$23,$AN122,$DA$34,DA$35))</f>
        <v>0</v>
      </c>
      <c r="DC122" s="37" t="n">
        <f aca="false">CV122*CZ122</f>
        <v>0</v>
      </c>
      <c r="DD122" s="37" t="n">
        <f aca="false">CV122*DA122</f>
        <v>0</v>
      </c>
      <c r="DE122" s="37" t="n">
        <f aca="false">CV122*DB122</f>
        <v>0</v>
      </c>
      <c r="DF122" s="37" t="n">
        <f aca="false">CV122*AK122</f>
        <v>0</v>
      </c>
    </row>
    <row r="123" customFormat="false" ht="12.75" hidden="false" customHeight="false" outlineLevel="0" collapsed="false">
      <c r="A123" s="62" t="n">
        <f aca="false">DATE(YEAR(A122),MONTH(A122)+1,1)</f>
        <v>39845</v>
      </c>
      <c r="B123" s="63" t="n">
        <f aca="false">VLOOKUP(A123,STRADDLE,5,FALSE())</f>
        <v>3.88</v>
      </c>
      <c r="C123" s="4" t="n">
        <f aca="false">VLOOKUP(A123,STRADDLE,8,FALSE())</f>
        <v>0.2275</v>
      </c>
      <c r="D123" s="63" t="n">
        <f aca="false">IF(D$35="nymex",0,VLOOKUP($A123,curvesettle,HLOOKUP(D$35,curvesettle,2,FALSE())))</f>
        <v>1.04</v>
      </c>
      <c r="E123" s="65" t="n">
        <f aca="false">IF(ISNUMBER(VLOOKUP($A123,VOLCURVES,HLOOKUP(D$35,VOLCURVES,2,FALSE()),FALSE())),VLOOKUP($A123,VOLCURVES,HLOOKUP(D$35,VOLCURVES,2,FALSE()),FALSE()),1)</f>
        <v>1.1</v>
      </c>
      <c r="F123" s="4" t="n">
        <f aca="false">(($C123+H123)*$E123)+B$17</f>
        <v>0.35025</v>
      </c>
      <c r="G123" s="65" t="n">
        <f aca="false">VLOOKUP($A123,GASDVOLCURVES,HLOOKUP(D$36,GASDVOLCURVES,2,FALSE()),FALSE())+$B$18</f>
        <v>1.1</v>
      </c>
      <c r="H123" s="4" t="n">
        <f aca="false">IF($B$20=1,VLOOKUP($A123,skewtable,HLOOKUP(ROUND(I123-BM123,1),skewtable,2,FALSE()),FALSE())/100,0)</f>
        <v>0</v>
      </c>
      <c r="I123" s="66" t="e">
        <f aca="false">IF($B$10=1,($BM123*$B$23)-$B$14,$B$22)</f>
        <v>#DIV/0!</v>
      </c>
      <c r="J123" s="67" t="e">
        <f aca="false">I123-BM123+$B$24</f>
        <v>#DIV/0!</v>
      </c>
      <c r="K123" s="67"/>
      <c r="L123" s="183"/>
      <c r="M123" s="183"/>
      <c r="N123" s="63" t="n">
        <f aca="false">IF(N$35="nymex",0,VLOOKUP($A123,curvesettle,HLOOKUP(N$35,curvesettle,2,FALSE())))</f>
        <v>-0.03</v>
      </c>
      <c r="O123" s="65" t="n">
        <f aca="false">IF(ISNUMBER(VLOOKUP($A123,VOLCURVES,HLOOKUP(N$35,VOLCURVES,2,FALSE()),FALSE())),VLOOKUP($A123,VOLCURVES,HLOOKUP(N$35,VOLCURVES,2,FALSE()),FALSE()),1)</f>
        <v>1</v>
      </c>
      <c r="P123" s="184" t="n">
        <f aca="false">(($C123+R123)*O123)+$D$17</f>
        <v>0.2275</v>
      </c>
      <c r="Q123" s="65" t="n">
        <f aca="false">VLOOKUP($A123,GASDVOLCURVES,HLOOKUP(N$36,GASDVOLCURVES,2,FALSE()),FALSE())+$D$18</f>
        <v>1.1</v>
      </c>
      <c r="R123" s="4" t="n">
        <f aca="false">IF($D$20=1,VLOOKUP($A123,skewtable,HLOOKUP(ROUND(S123-BY123,1),skewtable,2,FALSE()),FALSE())/100,0)</f>
        <v>0</v>
      </c>
      <c r="S123" s="66" t="e">
        <f aca="false">IF(B$10=1,($BY123*$D$23)-$D$14,$D$22)</f>
        <v>#DIV/0!</v>
      </c>
      <c r="T123" s="67" t="e">
        <f aca="false">S123-$BY123+$D$24</f>
        <v>#DIV/0!</v>
      </c>
      <c r="U123" s="0"/>
      <c r="V123" s="0"/>
      <c r="W123" s="0"/>
      <c r="X123" s="63" t="n">
        <f aca="false">IF(X$35="nymex",0,VLOOKUP($A123,curvesettle,HLOOKUP(X$35,curvesettle,2,FALSE())))</f>
        <v>0.24</v>
      </c>
      <c r="Y123" s="65" t="n">
        <f aca="false">IF(ISNUMBER(VLOOKUP($A123,VOLCURVES,HLOOKUP(X$35,VOLCURVES,2,FALSE()),FALSE())),VLOOKUP($A123,VOLCURVES,HLOOKUP(X$35,VOLCURVES,2,FALSE()),FALSE()),1)</f>
        <v>1</v>
      </c>
      <c r="Z123" s="184" t="n">
        <f aca="false">(($C123+AB123)*Y123)+$F$17</f>
        <v>0.2275</v>
      </c>
      <c r="AA123" s="65" t="n">
        <f aca="false">VLOOKUP($A123,GASDVOLCURVES,HLOOKUP(X$36,GASDVOLCURVES,2,FALSE()),FALSE())+$F$18</f>
        <v>1.1</v>
      </c>
      <c r="AB123" s="4" t="n">
        <f aca="false">IF($F$20=1,VLOOKUP($A123,skewtable,HLOOKUP(ROUND(AC123-CK123,1),skewtable,2,FALSE()),FALSE())/100,0)</f>
        <v>0</v>
      </c>
      <c r="AC123" s="66" t="e">
        <f aca="false">IF($B$10=1,($CK123*$F$23)-$F$14,$F$22)</f>
        <v>#DIV/0!</v>
      </c>
      <c r="AD123" s="67" t="e">
        <f aca="false">AC123-$CK123+$F$24</f>
        <v>#DIV/0!</v>
      </c>
      <c r="AE123" s="0"/>
      <c r="AF123" s="0"/>
      <c r="AG123" s="0"/>
      <c r="AH123" s="63" t="n">
        <f aca="false">IF(AH$35="nymex",0,VLOOKUP($A123,curvesettle,HLOOKUP(AH$35,curvesettle,2,FALSE())))</f>
        <v>1.6</v>
      </c>
      <c r="AI123" s="65" t="n">
        <f aca="false">IF(ISNUMBER(VLOOKUP($A123,VOLCURVES,HLOOKUP(AH$35,VOLCURVES,2,FALSE()),FALSE())),VLOOKUP($A123,VOLCURVES,HLOOKUP(AH$35,VOLCURVES,2,FALSE()),FALSE()),1)</f>
        <v>1.04</v>
      </c>
      <c r="AJ123" s="184" t="n">
        <f aca="false">(($C123+AL123)*AI123)+$H$17</f>
        <v>0.2366</v>
      </c>
      <c r="AK123" s="65" t="n">
        <f aca="false">VLOOKUP($A123,GASDVOLCURVES,HLOOKUP(AH$36,GASDVOLCURVES,2,FALSE()),FALSE())+$H$18</f>
        <v>1.95</v>
      </c>
      <c r="AL123" s="4" t="n">
        <f aca="false">IF($H$20=1,VLOOKUP($A123,skewtable,HLOOKUP(ROUND(AM123-CW123,1),skewtable,2,FALSE()),FALSE())/100,0)</f>
        <v>0</v>
      </c>
      <c r="AM123" s="66" t="e">
        <f aca="false">IF($B$10=1,($CW123*$H$23)-$H$14,$H$22)</f>
        <v>#DIV/0!</v>
      </c>
      <c r="AN123" s="67" t="e">
        <f aca="false">AM123-CW123+$H$24</f>
        <v>#DIV/0!</v>
      </c>
      <c r="AO123" s="0"/>
      <c r="AP123" s="0"/>
      <c r="AQ123" s="183"/>
      <c r="AR123" s="183"/>
      <c r="AU123" s="0"/>
      <c r="AV123" s="0"/>
      <c r="AW123" s="0"/>
      <c r="AX123" s="0"/>
      <c r="AY123" s="0"/>
      <c r="AZ123" s="0"/>
      <c r="BA123" s="0"/>
      <c r="BC123" s="64"/>
      <c r="BD123" s="64"/>
      <c r="BE123" s="4" t="n">
        <f aca="false">VLOOKUP($A123,STRADDLE,14,FALSE())</f>
        <v>0.055732784192704</v>
      </c>
      <c r="BF123" s="72" t="n">
        <f aca="false">A124-A123</f>
        <v>28</v>
      </c>
      <c r="BG123" s="179" t="n">
        <f aca="false">A123+BG$35</f>
        <v>39845</v>
      </c>
      <c r="BH123" s="179" t="n">
        <f aca="false">A124-1</f>
        <v>39872</v>
      </c>
      <c r="BJ123" s="179" t="n">
        <f aca="true">IF(BJ$35=0,TODAY(),IF(BJ$36="NYMEX",VLOOKUP($A123,expiration,2,FALSE())+1,BG123))</f>
        <v>39842</v>
      </c>
      <c r="BK123" s="73"/>
      <c r="BL123" s="73" t="n">
        <f aca="false">IF($A123&gt;=BM$32,IF($A123&lt;=BM$33,$BF123,0),0)</f>
        <v>0</v>
      </c>
      <c r="BM123" s="73" t="e">
        <f aca="false">BO123/BL123</f>
        <v>#DIV/0!</v>
      </c>
      <c r="BN123" s="1" t="n">
        <f aca="false">BL123*($B123+B$15)</f>
        <v>0</v>
      </c>
      <c r="BO123" s="47" t="n">
        <f aca="false">IF(ISNUMBER(((BN123/BL123)+B$16+$D123+$B$14)*BL123),((BN123/BL123)+B$16+$D123+$B$14)*BL123,0)</f>
        <v>0</v>
      </c>
      <c r="BP123" s="76" t="n">
        <f aca="false">IF($BL123=0,0,OSTRIP($BM123,$I123,$BJ123-$B$2,$BG123-$BJ123,$BH123-$BJ123,$B$10,$BE123,$F123,$G123,$B$23,$J123,$BQ$34,0))</f>
        <v>0</v>
      </c>
      <c r="BQ123" s="76" t="n">
        <f aca="false">IF($BL123=0,0,OSTRIP($BM123,$I123,$BJ123-$B$2,$BG123-$BJ123,$BH123-$BJ123,$B$10,$BE123,$F123,$G123,$B$23,$J123,$BQ$34,1))</f>
        <v>0</v>
      </c>
      <c r="BR123" s="76" t="n">
        <f aca="false">IF($BL123=0,0,OSTRIP($BM123,$I123,$BJ123-$B$2,$BG123-$BJ123,$BH123-$BJ123,$B$10,$BE123,$F123,$G123,$B$23,$J123,$BQ$34,BQ$35))</f>
        <v>0</v>
      </c>
      <c r="BS123" s="37" t="n">
        <f aca="false">BL123*BP123</f>
        <v>0</v>
      </c>
      <c r="BT123" s="37" t="n">
        <f aca="false">BL123*BQ123</f>
        <v>0</v>
      </c>
      <c r="BU123" s="37" t="n">
        <f aca="false">BL123*BR123</f>
        <v>0</v>
      </c>
      <c r="BV123" s="37" t="n">
        <f aca="false">BL123*G123</f>
        <v>0</v>
      </c>
      <c r="BX123" s="73" t="n">
        <f aca="false">IF($A123&gt;=BY$32,IF($A123&lt;=BY$33,$BF123,0),0)</f>
        <v>0</v>
      </c>
      <c r="BY123" s="186" t="e">
        <f aca="false">CA123/BX123</f>
        <v>#DIV/0!</v>
      </c>
      <c r="BZ123" s="1" t="n">
        <f aca="false">BX123*($B123+$D$15)</f>
        <v>0</v>
      </c>
      <c r="CA123" s="47" t="n">
        <f aca="false">IF(ISNUMBER(((BZ123/BX123)+$D$16+$N123+$D$14)*BX123),((BZ123/BX123)+$D$16+$N123+$D$14)*BX123,0)</f>
        <v>0</v>
      </c>
      <c r="CB123" s="76" t="n">
        <f aca="false">IF($BX123=0,0,OSTRIP($BY123,$S123,$BJ123-$B$2,$BG123-$BJ123,$BH123-$BJ123,$B$10,$BE123,$P123,$Q123,$D$23,$T123,$CC$34,0))</f>
        <v>0</v>
      </c>
      <c r="CC123" s="76" t="n">
        <f aca="false">IF($BX123=0,0,OSTRIP($BY123,$S123,$BJ123-$B$2,$BG123-$BJ123,$BH123-$BJ123,$B$10,$BE123,$P123,$Q123,$D$23,$T123,$CC$34,1))</f>
        <v>0</v>
      </c>
      <c r="CD123" s="76" t="n">
        <f aca="false">IF($BX123=0,0,OSTRIP($BY123,$S123,$BJ123-$B$2,$BG123-$BJ123,$BH123-$BJ123,$B$10,$BE123,$P123,$Q123,$D$23,$T123,$CC$34,CC$35))</f>
        <v>0</v>
      </c>
      <c r="CE123" s="37" t="n">
        <f aca="false">BX123*CB123</f>
        <v>0</v>
      </c>
      <c r="CF123" s="37" t="n">
        <f aca="false">BX123*CC123</f>
        <v>0</v>
      </c>
      <c r="CG123" s="37" t="n">
        <f aca="false">BX123*CD123</f>
        <v>0</v>
      </c>
      <c r="CH123" s="37" t="n">
        <f aca="false">BX123*Q123</f>
        <v>0</v>
      </c>
      <c r="CJ123" s="73" t="n">
        <f aca="false">IF($A123&gt;=CK$32,IF($A123&lt;=CK$33,$BF123,0),0)</f>
        <v>0</v>
      </c>
      <c r="CK123" s="186" t="e">
        <f aca="false">CM123/CJ123</f>
        <v>#DIV/0!</v>
      </c>
      <c r="CL123" s="1" t="n">
        <f aca="false">CJ123*($B123+$F$15)</f>
        <v>0</v>
      </c>
      <c r="CM123" s="47" t="n">
        <f aca="false">IF(ISNUMBER(((CL123/CJ123)+$F$16+$X123+$F$14)*CJ123),((CL123/CJ123)+$F$16+$X123+$F$14)*CJ123,0)</f>
        <v>0</v>
      </c>
      <c r="CN123" s="76" t="n">
        <f aca="false">IF($CJ123=0,0,OSTRIP($CK123,$AC123,$BJ123-$B$2,$BG123-$BJ123,$BH123-$BJ123,$B$10,$BE123,$Z123,$AA123,$F$23,$AD123,$CO$34,0))</f>
        <v>0</v>
      </c>
      <c r="CO123" s="76" t="n">
        <f aca="false">IF($CJ123=0,0,OSTRIP($CK123,$AC123,$BJ123-$B$2,$BG123-$BJ123,$BH123-$BJ123,$B$10,$BE123,$Z123,$AA123,$F$23,$AD123,$CO$34,1))</f>
        <v>0</v>
      </c>
      <c r="CP123" s="76" t="n">
        <f aca="false">IF($CJ123=0,0,OSTRIP($CK123,$AC123,$BJ123-$B$2,$BG123-$BJ123,$BH123-$BJ123,$B$10,$BE123,$Z123,$AA123,$F$23,$AD123,$CO$34,$CO$35))</f>
        <v>0</v>
      </c>
      <c r="CQ123" s="37" t="n">
        <f aca="false">CJ123*CN123</f>
        <v>0</v>
      </c>
      <c r="CR123" s="37" t="n">
        <f aca="false">CJ123*CO123</f>
        <v>0</v>
      </c>
      <c r="CS123" s="37" t="n">
        <f aca="false">CJ123*CP123</f>
        <v>0</v>
      </c>
      <c r="CT123" s="37" t="n">
        <f aca="false">CJ123*AA123</f>
        <v>0</v>
      </c>
      <c r="CV123" s="73" t="n">
        <f aca="false">IF($A123&gt;=CW$32,IF($A123&lt;=CW$33,$BF123,0),0)</f>
        <v>0</v>
      </c>
      <c r="CW123" s="186" t="e">
        <f aca="false">CY123/CV123</f>
        <v>#DIV/0!</v>
      </c>
      <c r="CX123" s="1" t="n">
        <f aca="false">CV123*($B123+$H$15)</f>
        <v>0</v>
      </c>
      <c r="CY123" s="47" t="n">
        <f aca="false">IF(ISNUMBER(((CX123/CV123)+$H$16+$AH123+$H$14)*CV123),((CX123/CV123)+$H$16+$AH123+$H$14)*CV123,0)</f>
        <v>0</v>
      </c>
      <c r="CZ123" s="76" t="n">
        <f aca="false">IF($CV123=0,0,OSTRIP($CW123,$AM123,$BJ123-$B$2,$BG123-$BJ123,$BH123-$BJ123,$B$10,$BE123,$AJ123,$AK123,$H$23,$AN123,$DA$34,0))</f>
        <v>0</v>
      </c>
      <c r="DA123" s="76" t="n">
        <f aca="false">IF($CV123=0,0,OSTRIP($CW123,$AM123,$BJ123-$B$2,$BG123-$BJ123,$BH123-$BJ123,$B$10,$BE123,$AJ123,$AK123,$H$23,$AN123,$DA$34,1))</f>
        <v>0</v>
      </c>
      <c r="DB123" s="76" t="n">
        <f aca="false">IF($CV123=0,0,OSTRIP($CW123,$AM123,$BJ123-$B$2,$BG123-$BJ123,$BH123-$BJ123,$B$10,$BE123,$AJ123,$AK123,$H$23,$AN123,$DA$34,DA$35))</f>
        <v>0</v>
      </c>
      <c r="DC123" s="37" t="n">
        <f aca="false">CV123*CZ123</f>
        <v>0</v>
      </c>
      <c r="DD123" s="37" t="n">
        <f aca="false">CV123*DA123</f>
        <v>0</v>
      </c>
      <c r="DE123" s="37" t="n">
        <f aca="false">CV123*DB123</f>
        <v>0</v>
      </c>
      <c r="DF123" s="37" t="n">
        <f aca="false">CV123*AK123</f>
        <v>0</v>
      </c>
    </row>
    <row r="124" customFormat="false" ht="12.75" hidden="false" customHeight="false" outlineLevel="0" collapsed="false">
      <c r="A124" s="62" t="n">
        <f aca="false">DATE(YEAR(A123),MONTH(A123)+1,1)</f>
        <v>39873</v>
      </c>
      <c r="B124" s="63" t="n">
        <f aca="false">VLOOKUP(A124,STRADDLE,5,FALSE())</f>
        <v>3.75</v>
      </c>
      <c r="C124" s="4" t="n">
        <f aca="false">VLOOKUP(A124,STRADDLE,8,FALSE())</f>
        <v>0.22</v>
      </c>
      <c r="D124" s="63" t="n">
        <f aca="false">IF(D$35="nymex",0,VLOOKUP($A124,curvesettle,HLOOKUP(D$35,curvesettle,2,FALSE())))</f>
        <v>0.54</v>
      </c>
      <c r="E124" s="65" t="n">
        <f aca="false">IF(ISNUMBER(VLOOKUP($A124,VOLCURVES,HLOOKUP(D$35,VOLCURVES,2,FALSE()),FALSE())),VLOOKUP($A124,VOLCURVES,HLOOKUP(D$35,VOLCURVES,2,FALSE()),FALSE()),1)</f>
        <v>1.1</v>
      </c>
      <c r="F124" s="4" t="n">
        <f aca="false">(($C124+H124)*$E124)+B$17</f>
        <v>0.342</v>
      </c>
      <c r="G124" s="65" t="n">
        <f aca="false">VLOOKUP($A124,GASDVOLCURVES,HLOOKUP(D$36,GASDVOLCURVES,2,FALSE()),FALSE())+$B$18</f>
        <v>0.85</v>
      </c>
      <c r="H124" s="4" t="n">
        <f aca="false">IF($B$20=1,VLOOKUP($A124,skewtable,HLOOKUP(ROUND(I124-BM124,1),skewtable,2,FALSE()),FALSE())/100,0)</f>
        <v>0</v>
      </c>
      <c r="I124" s="66" t="e">
        <f aca="false">IF($B$10=1,($BM124*$B$23)-$B$14,$B$22)</f>
        <v>#DIV/0!</v>
      </c>
      <c r="J124" s="67" t="e">
        <f aca="false">I124-BM124+$B$24</f>
        <v>#DIV/0!</v>
      </c>
      <c r="K124" s="67"/>
      <c r="L124" s="183"/>
      <c r="M124" s="183"/>
      <c r="N124" s="63" t="n">
        <f aca="false">IF(N$35="nymex",0,VLOOKUP($A124,curvesettle,HLOOKUP(N$35,curvesettle,2,FALSE())))</f>
        <v>-0.0175</v>
      </c>
      <c r="O124" s="65" t="n">
        <f aca="false">IF(ISNUMBER(VLOOKUP($A124,VOLCURVES,HLOOKUP(N$35,VOLCURVES,2,FALSE()),FALSE())),VLOOKUP($A124,VOLCURVES,HLOOKUP(N$35,VOLCURVES,2,FALSE()),FALSE()),1)</f>
        <v>1</v>
      </c>
      <c r="P124" s="184" t="n">
        <f aca="false">(($C124+R124)*O124)+$D$17</f>
        <v>0.22</v>
      </c>
      <c r="Q124" s="65" t="n">
        <f aca="false">VLOOKUP($A124,GASDVOLCURVES,HLOOKUP(N$36,GASDVOLCURVES,2,FALSE()),FALSE())+$D$18</f>
        <v>0.85</v>
      </c>
      <c r="R124" s="4" t="n">
        <f aca="false">IF($D$20=1,VLOOKUP($A124,skewtable,HLOOKUP(ROUND(S124-BY124,1),skewtable,2,FALSE()),FALSE())/100,0)</f>
        <v>0</v>
      </c>
      <c r="S124" s="66" t="e">
        <f aca="false">IF(B$10=1,($BY124*$D$23)-$D$14,$D$22)</f>
        <v>#DIV/0!</v>
      </c>
      <c r="T124" s="67" t="e">
        <f aca="false">S124-$BY124+$D$24</f>
        <v>#DIV/0!</v>
      </c>
      <c r="U124" s="0"/>
      <c r="V124" s="0"/>
      <c r="W124" s="0"/>
      <c r="X124" s="63" t="n">
        <f aca="false">IF(X$35="nymex",0,VLOOKUP($A124,curvesettle,HLOOKUP(X$35,curvesettle,2,FALSE())))</f>
        <v>0.24</v>
      </c>
      <c r="Y124" s="65" t="n">
        <f aca="false">IF(ISNUMBER(VLOOKUP($A124,VOLCURVES,HLOOKUP(X$35,VOLCURVES,2,FALSE()),FALSE())),VLOOKUP($A124,VOLCURVES,HLOOKUP(X$35,VOLCURVES,2,FALSE()),FALSE()),1)</f>
        <v>1</v>
      </c>
      <c r="Z124" s="184" t="n">
        <f aca="false">(($C124+AB124)*Y124)+$F$17</f>
        <v>0.22</v>
      </c>
      <c r="AA124" s="65" t="n">
        <f aca="false">VLOOKUP($A124,GASDVOLCURVES,HLOOKUP(X$36,GASDVOLCURVES,2,FALSE()),FALSE())+$F$18</f>
        <v>0.85</v>
      </c>
      <c r="AB124" s="4" t="n">
        <f aca="false">IF($F$20=1,VLOOKUP($A124,skewtable,HLOOKUP(ROUND(AC124-CK124,1),skewtable,2,FALSE()),FALSE())/100,0)</f>
        <v>0</v>
      </c>
      <c r="AC124" s="66" t="e">
        <f aca="false">IF($B$10=1,($CK124*$F$23)-$F$14,$F$22)</f>
        <v>#DIV/0!</v>
      </c>
      <c r="AD124" s="67" t="e">
        <f aca="false">AC124-$CK124+$F$24</f>
        <v>#DIV/0!</v>
      </c>
      <c r="AE124" s="0"/>
      <c r="AF124" s="0"/>
      <c r="AG124" s="0"/>
      <c r="AH124" s="63" t="n">
        <f aca="false">IF(AH$35="nymex",0,VLOOKUP($A124,curvesettle,HLOOKUP(AH$35,curvesettle,2,FALSE())))</f>
        <v>0.64</v>
      </c>
      <c r="AI124" s="65" t="n">
        <f aca="false">IF(ISNUMBER(VLOOKUP($A124,VOLCURVES,HLOOKUP(AH$35,VOLCURVES,2,FALSE()),FALSE())),VLOOKUP($A124,VOLCURVES,HLOOKUP(AH$35,VOLCURVES,2,FALSE()),FALSE()),1)</f>
        <v>1.04</v>
      </c>
      <c r="AJ124" s="184" t="n">
        <f aca="false">(($C124+AL124)*AI124)+$H$17</f>
        <v>0.2288</v>
      </c>
      <c r="AK124" s="65" t="n">
        <f aca="false">VLOOKUP($A124,GASDVOLCURVES,HLOOKUP(AH$36,GASDVOLCURVES,2,FALSE()),FALSE())+$H$18</f>
        <v>1.5</v>
      </c>
      <c r="AL124" s="4" t="n">
        <f aca="false">IF($H$20=1,VLOOKUP($A124,skewtable,HLOOKUP(ROUND(AM124-CW124,1),skewtable,2,FALSE()),FALSE())/100,0)</f>
        <v>0</v>
      </c>
      <c r="AM124" s="66" t="e">
        <f aca="false">IF($B$10=1,($CW124*$H$23)-$H$14,$H$22)</f>
        <v>#DIV/0!</v>
      </c>
      <c r="AN124" s="67" t="e">
        <f aca="false">AM124-CW124+$H$24</f>
        <v>#DIV/0!</v>
      </c>
      <c r="AO124" s="0"/>
      <c r="AP124" s="0"/>
      <c r="AQ124" s="183"/>
      <c r="AR124" s="183"/>
      <c r="AU124" s="0"/>
      <c r="AV124" s="0"/>
      <c r="AW124" s="0"/>
      <c r="AX124" s="0"/>
      <c r="AY124" s="0"/>
      <c r="AZ124" s="0"/>
      <c r="BA124" s="0"/>
      <c r="BC124" s="64"/>
      <c r="BD124" s="64"/>
      <c r="BE124" s="4" t="n">
        <f aca="false">VLOOKUP($A124,STRADDLE,14,FALSE())</f>
        <v>0.0558262666067555</v>
      </c>
      <c r="BF124" s="72" t="n">
        <f aca="false">A125-A124</f>
        <v>31</v>
      </c>
      <c r="BG124" s="179" t="n">
        <f aca="false">A124+BG$35</f>
        <v>39873</v>
      </c>
      <c r="BH124" s="179" t="n">
        <f aca="false">A125-1</f>
        <v>39903</v>
      </c>
      <c r="BJ124" s="179" t="n">
        <f aca="true">IF(BJ$35=0,TODAY(),IF(BJ$36="NYMEX",VLOOKUP($A124,expiration,2,FALSE())+1,BG124))</f>
        <v>39870</v>
      </c>
      <c r="BK124" s="73"/>
      <c r="BL124" s="73" t="n">
        <f aca="false">IF($A124&gt;=BM$32,IF($A124&lt;=BM$33,$BF124,0),0)</f>
        <v>0</v>
      </c>
      <c r="BM124" s="73" t="e">
        <f aca="false">BO124/BL124</f>
        <v>#DIV/0!</v>
      </c>
      <c r="BN124" s="1" t="n">
        <f aca="false">BL124*($B124+B$15)</f>
        <v>0</v>
      </c>
      <c r="BO124" s="47" t="n">
        <f aca="false">IF(ISNUMBER(((BN124/BL124)+B$16+$D124+$B$14)*BL124),((BN124/BL124)+B$16+$D124+$B$14)*BL124,0)</f>
        <v>0</v>
      </c>
      <c r="BP124" s="76" t="n">
        <f aca="false">IF($BL124=0,0,OSTRIP($BM124,$I124,$BJ124-$B$2,$BG124-$BJ124,$BH124-$BJ124,$B$10,$BE124,$F124,$G124,$B$23,$J124,$BQ$34,0))</f>
        <v>0</v>
      </c>
      <c r="BQ124" s="76" t="n">
        <f aca="false">IF($BL124=0,0,OSTRIP($BM124,$I124,$BJ124-$B$2,$BG124-$BJ124,$BH124-$BJ124,$B$10,$BE124,$F124,$G124,$B$23,$J124,$BQ$34,1))</f>
        <v>0</v>
      </c>
      <c r="BR124" s="76" t="n">
        <f aca="false">IF($BL124=0,0,OSTRIP($BM124,$I124,$BJ124-$B$2,$BG124-$BJ124,$BH124-$BJ124,$B$10,$BE124,$F124,$G124,$B$23,$J124,$BQ$34,BQ$35))</f>
        <v>0</v>
      </c>
      <c r="BS124" s="37" t="n">
        <f aca="false">BL124*BP124</f>
        <v>0</v>
      </c>
      <c r="BT124" s="37" t="n">
        <f aca="false">BL124*BQ124</f>
        <v>0</v>
      </c>
      <c r="BU124" s="37" t="n">
        <f aca="false">BL124*BR124</f>
        <v>0</v>
      </c>
      <c r="BV124" s="37" t="n">
        <f aca="false">BL124*G124</f>
        <v>0</v>
      </c>
      <c r="BX124" s="73" t="n">
        <f aca="false">IF($A124&gt;=BY$32,IF($A124&lt;=BY$33,$BF124,0),0)</f>
        <v>0</v>
      </c>
      <c r="BY124" s="186" t="e">
        <f aca="false">CA124/BX124</f>
        <v>#DIV/0!</v>
      </c>
      <c r="BZ124" s="1" t="n">
        <f aca="false">BX124*($B124+$D$15)</f>
        <v>0</v>
      </c>
      <c r="CA124" s="47" t="n">
        <f aca="false">IF(ISNUMBER(((BZ124/BX124)+$D$16+$N124+$D$14)*BX124),((BZ124/BX124)+$D$16+$N124+$D$14)*BX124,0)</f>
        <v>0</v>
      </c>
      <c r="CB124" s="76" t="n">
        <f aca="false">IF($BX124=0,0,OSTRIP($BY124,$S124,$BJ124-$B$2,$BG124-$BJ124,$BH124-$BJ124,$B$10,$BE124,$P124,$Q124,$D$23,$T124,$CC$34,0))</f>
        <v>0</v>
      </c>
      <c r="CC124" s="76" t="n">
        <f aca="false">IF($BX124=0,0,OSTRIP($BY124,$S124,$BJ124-$B$2,$BG124-$BJ124,$BH124-$BJ124,$B$10,$BE124,$P124,$Q124,$D$23,$T124,$CC$34,1))</f>
        <v>0</v>
      </c>
      <c r="CD124" s="76" t="n">
        <f aca="false">IF($BX124=0,0,OSTRIP($BY124,$S124,$BJ124-$B$2,$BG124-$BJ124,$BH124-$BJ124,$B$10,$BE124,$P124,$Q124,$D$23,$T124,$CC$34,CC$35))</f>
        <v>0</v>
      </c>
      <c r="CE124" s="37" t="n">
        <f aca="false">BX124*CB124</f>
        <v>0</v>
      </c>
      <c r="CF124" s="37" t="n">
        <f aca="false">BX124*CC124</f>
        <v>0</v>
      </c>
      <c r="CG124" s="37" t="n">
        <f aca="false">BX124*CD124</f>
        <v>0</v>
      </c>
      <c r="CH124" s="37" t="n">
        <f aca="false">BX124*Q124</f>
        <v>0</v>
      </c>
      <c r="CJ124" s="73" t="n">
        <f aca="false">IF($A124&gt;=CK$32,IF($A124&lt;=CK$33,$BF124,0),0)</f>
        <v>0</v>
      </c>
      <c r="CK124" s="186" t="e">
        <f aca="false">CM124/CJ124</f>
        <v>#DIV/0!</v>
      </c>
      <c r="CL124" s="1" t="n">
        <f aca="false">CJ124*($B124+$F$15)</f>
        <v>0</v>
      </c>
      <c r="CM124" s="47" t="n">
        <f aca="false">IF(ISNUMBER(((CL124/CJ124)+$F$16+$X124+$F$14)*CJ124),((CL124/CJ124)+$F$16+$X124+$F$14)*CJ124,0)</f>
        <v>0</v>
      </c>
      <c r="CN124" s="76" t="n">
        <f aca="false">IF($CJ124=0,0,OSTRIP($CK124,$AC124,$BJ124-$B$2,$BG124-$BJ124,$BH124-$BJ124,$B$10,$BE124,$Z124,$AA124,$F$23,$AD124,$CO$34,0))</f>
        <v>0</v>
      </c>
      <c r="CO124" s="76" t="n">
        <f aca="false">IF($CJ124=0,0,OSTRIP($CK124,$AC124,$BJ124-$B$2,$BG124-$BJ124,$BH124-$BJ124,$B$10,$BE124,$Z124,$AA124,$F$23,$AD124,$CO$34,1))</f>
        <v>0</v>
      </c>
      <c r="CP124" s="76" t="n">
        <f aca="false">IF($CJ124=0,0,OSTRIP($CK124,$AC124,$BJ124-$B$2,$BG124-$BJ124,$BH124-$BJ124,$B$10,$BE124,$Z124,$AA124,$F$23,$AD124,$CO$34,$CO$35))</f>
        <v>0</v>
      </c>
      <c r="CQ124" s="37" t="n">
        <f aca="false">CJ124*CN124</f>
        <v>0</v>
      </c>
      <c r="CR124" s="37" t="n">
        <f aca="false">CJ124*CO124</f>
        <v>0</v>
      </c>
      <c r="CS124" s="37" t="n">
        <f aca="false">CJ124*CP124</f>
        <v>0</v>
      </c>
      <c r="CT124" s="37" t="n">
        <f aca="false">CJ124*AA124</f>
        <v>0</v>
      </c>
      <c r="CV124" s="73" t="n">
        <f aca="false">IF($A124&gt;=CW$32,IF($A124&lt;=CW$33,$BF124,0),0)</f>
        <v>0</v>
      </c>
      <c r="CW124" s="186" t="e">
        <f aca="false">CY124/CV124</f>
        <v>#DIV/0!</v>
      </c>
      <c r="CX124" s="1" t="n">
        <f aca="false">CV124*($B124+$H$15)</f>
        <v>0</v>
      </c>
      <c r="CY124" s="47" t="n">
        <f aca="false">IF(ISNUMBER(((CX124/CV124)+$H$16+$AH124+$H$14)*CV124),((CX124/CV124)+$H$16+$AH124+$H$14)*CV124,0)</f>
        <v>0</v>
      </c>
      <c r="CZ124" s="76" t="n">
        <f aca="false">IF($CV124=0,0,OSTRIP($CW124,$AM124,$BJ124-$B$2,$BG124-$BJ124,$BH124-$BJ124,$B$10,$BE124,$AJ124,$AK124,$H$23,$AN124,$DA$34,0))</f>
        <v>0</v>
      </c>
      <c r="DA124" s="76" t="n">
        <f aca="false">IF($CV124=0,0,OSTRIP($CW124,$AM124,$BJ124-$B$2,$BG124-$BJ124,$BH124-$BJ124,$B$10,$BE124,$AJ124,$AK124,$H$23,$AN124,$DA$34,1))</f>
        <v>0</v>
      </c>
      <c r="DB124" s="76" t="n">
        <f aca="false">IF($CV124=0,0,OSTRIP($CW124,$AM124,$BJ124-$B$2,$BG124-$BJ124,$BH124-$BJ124,$B$10,$BE124,$AJ124,$AK124,$H$23,$AN124,$DA$34,DA$35))</f>
        <v>0</v>
      </c>
      <c r="DC124" s="37" t="n">
        <f aca="false">CV124*CZ124</f>
        <v>0</v>
      </c>
      <c r="DD124" s="37" t="n">
        <f aca="false">CV124*DA124</f>
        <v>0</v>
      </c>
      <c r="DE124" s="37" t="n">
        <f aca="false">CV124*DB124</f>
        <v>0</v>
      </c>
      <c r="DF124" s="37" t="n">
        <f aca="false">CV124*AK124</f>
        <v>0</v>
      </c>
    </row>
    <row r="125" customFormat="false" ht="12.75" hidden="false" customHeight="false" outlineLevel="0" collapsed="false">
      <c r="A125" s="62" t="n">
        <f aca="false">DATE(YEAR(A124),MONTH(A124)+1,1)</f>
        <v>39904</v>
      </c>
      <c r="B125" s="63" t="n">
        <f aca="false">VLOOKUP(A125,STRADDLE,5,FALSE())</f>
        <v>3.565</v>
      </c>
      <c r="C125" s="4" t="n">
        <f aca="false">VLOOKUP(A125,STRADDLE,8,FALSE())</f>
        <v>0.2025</v>
      </c>
      <c r="D125" s="63" t="n">
        <f aca="false">IF(D$35="nymex",0,VLOOKUP($A125,curvesettle,HLOOKUP(D$35,curvesettle,2,FALSE())))</f>
        <v>0.36</v>
      </c>
      <c r="E125" s="65" t="n">
        <f aca="false">IF(ISNUMBER(VLOOKUP($A125,VOLCURVES,HLOOKUP(D$35,VOLCURVES,2,FALSE()),FALSE())),VLOOKUP($A125,VOLCURVES,HLOOKUP(D$35,VOLCURVES,2,FALSE()),FALSE()),1)</f>
        <v>0.98</v>
      </c>
      <c r="F125" s="4" t="n">
        <f aca="false">(($C125+H125)*$E125)+B$17</f>
        <v>0.29845</v>
      </c>
      <c r="G125" s="65" t="n">
        <f aca="false">VLOOKUP($A125,GASDVOLCURVES,HLOOKUP(D$36,GASDVOLCURVES,2,FALSE()),FALSE())+$B$18</f>
        <v>0.5</v>
      </c>
      <c r="H125" s="4" t="n">
        <f aca="false">IF($B$20=1,VLOOKUP($A125,skewtable,HLOOKUP(ROUND(I125-BM125,1),skewtable,2,FALSE()),FALSE())/100,0)</f>
        <v>0</v>
      </c>
      <c r="I125" s="66" t="e">
        <f aca="false">IF($B$10=1,($BM125*$B$23)-$B$14,$B$22)</f>
        <v>#DIV/0!</v>
      </c>
      <c r="J125" s="67" t="e">
        <f aca="false">I125-BM125+$B$24</f>
        <v>#DIV/0!</v>
      </c>
      <c r="K125" s="67"/>
      <c r="L125" s="183"/>
      <c r="M125" s="183"/>
      <c r="N125" s="63" t="n">
        <f aca="false">IF(N$35="nymex",0,VLOOKUP($A125,curvesettle,HLOOKUP(N$35,curvesettle,2,FALSE())))</f>
        <v>0.02</v>
      </c>
      <c r="O125" s="65" t="n">
        <f aca="false">IF(ISNUMBER(VLOOKUP($A125,VOLCURVES,HLOOKUP(N$35,VOLCURVES,2,FALSE()),FALSE())),VLOOKUP($A125,VOLCURVES,HLOOKUP(N$35,VOLCURVES,2,FALSE()),FALSE()),1)</f>
        <v>1</v>
      </c>
      <c r="P125" s="184" t="n">
        <f aca="false">(($C125+R125)*O125)+$D$17</f>
        <v>0.2025</v>
      </c>
      <c r="Q125" s="65" t="n">
        <f aca="false">VLOOKUP($A125,GASDVOLCURVES,HLOOKUP(N$36,GASDVOLCURVES,2,FALSE()),FALSE())+$D$18</f>
        <v>0.5</v>
      </c>
      <c r="R125" s="4" t="n">
        <f aca="false">IF($D$20=1,VLOOKUP($A125,skewtable,HLOOKUP(ROUND(S125-BY125,1),skewtable,2,FALSE()),FALSE())/100,0)</f>
        <v>0</v>
      </c>
      <c r="S125" s="66" t="e">
        <f aca="false">IF(B$10=1,($BY125*$D$23)-$D$14,$D$22)</f>
        <v>#DIV/0!</v>
      </c>
      <c r="T125" s="67" t="e">
        <f aca="false">S125-$BY125+$D$24</f>
        <v>#DIV/0!</v>
      </c>
      <c r="U125" s="0"/>
      <c r="V125" s="0"/>
      <c r="W125" s="0"/>
      <c r="X125" s="63" t="n">
        <f aca="false">IF(X$35="nymex",0,VLOOKUP($A125,curvesettle,HLOOKUP(X$35,curvesettle,2,FALSE())))</f>
        <v>0.26</v>
      </c>
      <c r="Y125" s="65" t="n">
        <f aca="false">IF(ISNUMBER(VLOOKUP($A125,VOLCURVES,HLOOKUP(X$35,VOLCURVES,2,FALSE()),FALSE())),VLOOKUP($A125,VOLCURVES,HLOOKUP(X$35,VOLCURVES,2,FALSE()),FALSE()),1)</f>
        <v>1</v>
      </c>
      <c r="Z125" s="184" t="n">
        <f aca="false">(($C125+AB125)*Y125)+$F$17</f>
        <v>0.2025</v>
      </c>
      <c r="AA125" s="65" t="n">
        <f aca="false">VLOOKUP($A125,GASDVOLCURVES,HLOOKUP(X$36,GASDVOLCURVES,2,FALSE()),FALSE())+$F$18</f>
        <v>0.55</v>
      </c>
      <c r="AB125" s="4" t="n">
        <f aca="false">IF($F$20=1,VLOOKUP($A125,skewtable,HLOOKUP(ROUND(AC125-CK125,1),skewtable,2,FALSE()),FALSE())/100,0)</f>
        <v>0</v>
      </c>
      <c r="AC125" s="66" t="e">
        <f aca="false">IF($B$10=1,($CK125*$F$23)-$F$14,$F$22)</f>
        <v>#DIV/0!</v>
      </c>
      <c r="AD125" s="67" t="e">
        <f aca="false">AC125-$CK125+$F$24</f>
        <v>#DIV/0!</v>
      </c>
      <c r="AE125" s="0"/>
      <c r="AF125" s="0"/>
      <c r="AG125" s="0"/>
      <c r="AH125" s="63" t="n">
        <f aca="false">IF(AH$35="nymex",0,VLOOKUP($A125,curvesettle,HLOOKUP(AH$35,curvesettle,2,FALSE())))</f>
        <v>0.38</v>
      </c>
      <c r="AI125" s="65" t="n">
        <f aca="false">IF(ISNUMBER(VLOOKUP($A125,VOLCURVES,HLOOKUP(AH$35,VOLCURVES,2,FALSE()),FALSE())),VLOOKUP($A125,VOLCURVES,HLOOKUP(AH$35,VOLCURVES,2,FALSE()),FALSE()),1)</f>
        <v>1</v>
      </c>
      <c r="AJ125" s="184" t="n">
        <f aca="false">(($C125+AL125)*AI125)+$H$17</f>
        <v>0.2025</v>
      </c>
      <c r="AK125" s="65" t="n">
        <f aca="false">VLOOKUP($A125,GASDVOLCURVES,HLOOKUP(AH$36,GASDVOLCURVES,2,FALSE()),FALSE())+$H$18</f>
        <v>0.95</v>
      </c>
      <c r="AL125" s="4" t="n">
        <f aca="false">IF($H$20=1,VLOOKUP($A125,skewtable,HLOOKUP(ROUND(AM125-CW125,1),skewtable,2,FALSE()),FALSE())/100,0)</f>
        <v>0</v>
      </c>
      <c r="AM125" s="66" t="e">
        <f aca="false">IF($B$10=1,($CW125*$H$23)-$H$14,$H$22)</f>
        <v>#DIV/0!</v>
      </c>
      <c r="AN125" s="67" t="e">
        <f aca="false">AM125-CW125+$H$24</f>
        <v>#DIV/0!</v>
      </c>
      <c r="AO125" s="0"/>
      <c r="AP125" s="0"/>
      <c r="AQ125" s="183"/>
      <c r="AR125" s="183"/>
      <c r="AU125" s="0"/>
      <c r="AV125" s="0"/>
      <c r="AW125" s="0"/>
      <c r="AX125" s="0"/>
      <c r="AY125" s="0"/>
      <c r="AZ125" s="0"/>
      <c r="BA125" s="0"/>
      <c r="BC125" s="64"/>
      <c r="BD125" s="64"/>
      <c r="BE125" s="4" t="n">
        <f aca="false">VLOOKUP($A125,STRADDLE,14,FALSE())</f>
        <v>0.0559297649971344</v>
      </c>
      <c r="BF125" s="72" t="n">
        <f aca="false">A126-A125</f>
        <v>30</v>
      </c>
      <c r="BG125" s="179" t="n">
        <f aca="false">A125+BG$35</f>
        <v>39904</v>
      </c>
      <c r="BH125" s="179" t="n">
        <f aca="false">A126-1</f>
        <v>39933</v>
      </c>
      <c r="BJ125" s="179" t="n">
        <f aca="true">IF(BJ$35=0,TODAY(),IF(BJ$36="NYMEX",VLOOKUP($A125,expiration,2,FALSE())+1,BG125))</f>
        <v>39900</v>
      </c>
      <c r="BK125" s="73"/>
      <c r="BL125" s="73" t="n">
        <f aca="false">IF($A125&gt;=BM$32,IF($A125&lt;=BM$33,$BF125,0),0)</f>
        <v>0</v>
      </c>
      <c r="BM125" s="73" t="e">
        <f aca="false">BO125/BL125</f>
        <v>#DIV/0!</v>
      </c>
      <c r="BN125" s="1" t="n">
        <f aca="false">BL125*($B125+B$15)</f>
        <v>0</v>
      </c>
      <c r="BO125" s="47" t="n">
        <f aca="false">IF(ISNUMBER(((BN125/BL125)+B$16+$D125+$B$14)*BL125),((BN125/BL125)+B$16+$D125+$B$14)*BL125,0)</f>
        <v>0</v>
      </c>
      <c r="BP125" s="76" t="n">
        <f aca="false">IF($BL125=0,0,OSTRIP($BM125,$I125,$BJ125-$B$2,$BG125-$BJ125,$BH125-$BJ125,$B$10,$BE125,$F125,$G125,$B$23,$J125,$BQ$34,0))</f>
        <v>0</v>
      </c>
      <c r="BQ125" s="76" t="n">
        <f aca="false">IF($BL125=0,0,OSTRIP($BM125,$I125,$BJ125-$B$2,$BG125-$BJ125,$BH125-$BJ125,$B$10,$BE125,$F125,$G125,$B$23,$J125,$BQ$34,1))</f>
        <v>0</v>
      </c>
      <c r="BR125" s="76" t="n">
        <f aca="false">IF($BL125=0,0,OSTRIP($BM125,$I125,$BJ125-$B$2,$BG125-$BJ125,$BH125-$BJ125,$B$10,$BE125,$F125,$G125,$B$23,$J125,$BQ$34,BQ$35))</f>
        <v>0</v>
      </c>
      <c r="BS125" s="37" t="n">
        <f aca="false">BL125*BP125</f>
        <v>0</v>
      </c>
      <c r="BT125" s="37" t="n">
        <f aca="false">BL125*BQ125</f>
        <v>0</v>
      </c>
      <c r="BU125" s="37" t="n">
        <f aca="false">BL125*BR125</f>
        <v>0</v>
      </c>
      <c r="BV125" s="37" t="n">
        <f aca="false">BL125*G125</f>
        <v>0</v>
      </c>
      <c r="BX125" s="73" t="n">
        <f aca="false">IF($A125&gt;=BY$32,IF($A125&lt;=BY$33,$BF125,0),0)</f>
        <v>0</v>
      </c>
      <c r="BY125" s="186" t="e">
        <f aca="false">CA125/BX125</f>
        <v>#DIV/0!</v>
      </c>
      <c r="BZ125" s="1" t="n">
        <f aca="false">BX125*($B125+$D$15)</f>
        <v>0</v>
      </c>
      <c r="CA125" s="47" t="n">
        <f aca="false">IF(ISNUMBER(((BZ125/BX125)+$D$16+$N125+$D$14)*BX125),((BZ125/BX125)+$D$16+$N125+$D$14)*BX125,0)</f>
        <v>0</v>
      </c>
      <c r="CB125" s="76" t="n">
        <f aca="false">IF($BX125=0,0,OSTRIP($BY125,$S125,$BJ125-$B$2,$BG125-$BJ125,$BH125-$BJ125,$B$10,$BE125,$P125,$Q125,$D$23,$T125,$CC$34,0))</f>
        <v>0</v>
      </c>
      <c r="CC125" s="76" t="n">
        <f aca="false">IF($BX125=0,0,OSTRIP($BY125,$S125,$BJ125-$B$2,$BG125-$BJ125,$BH125-$BJ125,$B$10,$BE125,$P125,$Q125,$D$23,$T125,$CC$34,1))</f>
        <v>0</v>
      </c>
      <c r="CD125" s="76" t="n">
        <f aca="false">IF($BX125=0,0,OSTRIP($BY125,$S125,$BJ125-$B$2,$BG125-$BJ125,$BH125-$BJ125,$B$10,$BE125,$P125,$Q125,$D$23,$T125,$CC$34,CC$35))</f>
        <v>0</v>
      </c>
      <c r="CE125" s="37" t="n">
        <f aca="false">BX125*CB125</f>
        <v>0</v>
      </c>
      <c r="CF125" s="37" t="n">
        <f aca="false">BX125*CC125</f>
        <v>0</v>
      </c>
      <c r="CG125" s="37" t="n">
        <f aca="false">BX125*CD125</f>
        <v>0</v>
      </c>
      <c r="CH125" s="37" t="n">
        <f aca="false">BX125*Q125</f>
        <v>0</v>
      </c>
      <c r="CJ125" s="73" t="n">
        <f aca="false">IF($A125&gt;=CK$32,IF($A125&lt;=CK$33,$BF125,0),0)</f>
        <v>0</v>
      </c>
      <c r="CK125" s="186" t="e">
        <f aca="false">CM125/CJ125</f>
        <v>#DIV/0!</v>
      </c>
      <c r="CL125" s="1" t="n">
        <f aca="false">CJ125*($B125+$F$15)</f>
        <v>0</v>
      </c>
      <c r="CM125" s="47" t="n">
        <f aca="false">IF(ISNUMBER(((CL125/CJ125)+$F$16+$X125+$F$14)*CJ125),((CL125/CJ125)+$F$16+$X125+$F$14)*CJ125,0)</f>
        <v>0</v>
      </c>
      <c r="CN125" s="76" t="n">
        <f aca="false">IF($CJ125=0,0,OSTRIP($CK125,$AC125,$BJ125-$B$2,$BG125-$BJ125,$BH125-$BJ125,$B$10,$BE125,$Z125,$AA125,$F$23,$AD125,$CO$34,0))</f>
        <v>0</v>
      </c>
      <c r="CO125" s="76" t="n">
        <f aca="false">IF($CJ125=0,0,OSTRIP($CK125,$AC125,$BJ125-$B$2,$BG125-$BJ125,$BH125-$BJ125,$B$10,$BE125,$Z125,$AA125,$F$23,$AD125,$CO$34,1))</f>
        <v>0</v>
      </c>
      <c r="CP125" s="76" t="n">
        <f aca="false">IF($CJ125=0,0,OSTRIP($CK125,$AC125,$BJ125-$B$2,$BG125-$BJ125,$BH125-$BJ125,$B$10,$BE125,$Z125,$AA125,$F$23,$AD125,$CO$34,$CO$35))</f>
        <v>0</v>
      </c>
      <c r="CQ125" s="37" t="n">
        <f aca="false">CJ125*CN125</f>
        <v>0</v>
      </c>
      <c r="CR125" s="37" t="n">
        <f aca="false">CJ125*CO125</f>
        <v>0</v>
      </c>
      <c r="CS125" s="37" t="n">
        <f aca="false">CJ125*CP125</f>
        <v>0</v>
      </c>
      <c r="CT125" s="37" t="n">
        <f aca="false">CJ125*AA125</f>
        <v>0</v>
      </c>
      <c r="CV125" s="73" t="n">
        <f aca="false">IF($A125&gt;=CW$32,IF($A125&lt;=CW$33,$BF125,0),0)</f>
        <v>0</v>
      </c>
      <c r="CW125" s="186" t="e">
        <f aca="false">CY125/CV125</f>
        <v>#DIV/0!</v>
      </c>
      <c r="CX125" s="1" t="n">
        <f aca="false">CV125*($B125+$H$15)</f>
        <v>0</v>
      </c>
      <c r="CY125" s="47" t="n">
        <f aca="false">IF(ISNUMBER(((CX125/CV125)+$H$16+$AH125+$H$14)*CV125),((CX125/CV125)+$H$16+$AH125+$H$14)*CV125,0)</f>
        <v>0</v>
      </c>
      <c r="CZ125" s="76" t="n">
        <f aca="false">IF($CV125=0,0,OSTRIP($CW125,$AM125,$BJ125-$B$2,$BG125-$BJ125,$BH125-$BJ125,$B$10,$BE125,$AJ125,$AK125,$H$23,$AN125,$DA$34,0))</f>
        <v>0</v>
      </c>
      <c r="DA125" s="76" t="n">
        <f aca="false">IF($CV125=0,0,OSTRIP($CW125,$AM125,$BJ125-$B$2,$BG125-$BJ125,$BH125-$BJ125,$B$10,$BE125,$AJ125,$AK125,$H$23,$AN125,$DA$34,1))</f>
        <v>0</v>
      </c>
      <c r="DB125" s="76" t="n">
        <f aca="false">IF($CV125=0,0,OSTRIP($CW125,$AM125,$BJ125-$B$2,$BG125-$BJ125,$BH125-$BJ125,$B$10,$BE125,$AJ125,$AK125,$H$23,$AN125,$DA$34,DA$35))</f>
        <v>0</v>
      </c>
      <c r="DC125" s="37" t="n">
        <f aca="false">CV125*CZ125</f>
        <v>0</v>
      </c>
      <c r="DD125" s="37" t="n">
        <f aca="false">CV125*DA125</f>
        <v>0</v>
      </c>
      <c r="DE125" s="37" t="n">
        <f aca="false">CV125*DB125</f>
        <v>0</v>
      </c>
      <c r="DF125" s="37" t="n">
        <f aca="false">CV125*AK125</f>
        <v>0</v>
      </c>
    </row>
    <row r="126" customFormat="false" ht="12.75" hidden="false" customHeight="false" outlineLevel="0" collapsed="false">
      <c r="A126" s="62" t="n">
        <f aca="false">DATE(YEAR(A125),MONTH(A125)+1,1)</f>
        <v>39934</v>
      </c>
      <c r="B126" s="63" t="n">
        <f aca="false">VLOOKUP(A126,STRADDLE,5,FALSE())</f>
        <v>3.56</v>
      </c>
      <c r="C126" s="4" t="n">
        <f aca="false">VLOOKUP(A126,STRADDLE,8,FALSE())</f>
        <v>0.2025</v>
      </c>
      <c r="D126" s="63" t="n">
        <f aca="false">IF(D$35="nymex",0,VLOOKUP($A126,curvesettle,HLOOKUP(D$35,curvesettle,2,FALSE())))</f>
        <v>0.325</v>
      </c>
      <c r="E126" s="65" t="n">
        <f aca="false">IF(ISNUMBER(VLOOKUP($A126,VOLCURVES,HLOOKUP(D$35,VOLCURVES,2,FALSE()),FALSE())),VLOOKUP($A126,VOLCURVES,HLOOKUP(D$35,VOLCURVES,2,FALSE()),FALSE()),1)</f>
        <v>0.98</v>
      </c>
      <c r="F126" s="4" t="n">
        <f aca="false">(($C126+H126)*$E126)+B$17</f>
        <v>0.29845</v>
      </c>
      <c r="G126" s="65" t="n">
        <f aca="false">VLOOKUP($A126,GASDVOLCURVES,HLOOKUP(D$36,GASDVOLCURVES,2,FALSE()),FALSE())+$B$18</f>
        <v>0.55</v>
      </c>
      <c r="H126" s="4" t="n">
        <f aca="false">IF($B$20=1,VLOOKUP($A126,skewtable,HLOOKUP(ROUND(I126-BM126,1),skewtable,2,FALSE()),FALSE())/100,0)</f>
        <v>0</v>
      </c>
      <c r="I126" s="66" t="e">
        <f aca="false">IF($B$10=1,($BM126*$B$23)-$B$14,$B$22)</f>
        <v>#DIV/0!</v>
      </c>
      <c r="J126" s="67" t="e">
        <f aca="false">I126-BM126+$B$24</f>
        <v>#DIV/0!</v>
      </c>
      <c r="K126" s="67"/>
      <c r="L126" s="183"/>
      <c r="M126" s="183"/>
      <c r="N126" s="63" t="n">
        <f aca="false">IF(N$35="nymex",0,VLOOKUP($A126,curvesettle,HLOOKUP(N$35,curvesettle,2,FALSE())))</f>
        <v>0.02</v>
      </c>
      <c r="O126" s="65" t="n">
        <f aca="false">IF(ISNUMBER(VLOOKUP($A126,VOLCURVES,HLOOKUP(N$35,VOLCURVES,2,FALSE()),FALSE())),VLOOKUP($A126,VOLCURVES,HLOOKUP(N$35,VOLCURVES,2,FALSE()),FALSE()),1)</f>
        <v>1</v>
      </c>
      <c r="P126" s="184" t="n">
        <f aca="false">(($C126+R126)*O126)+$D$17</f>
        <v>0.2025</v>
      </c>
      <c r="Q126" s="65" t="n">
        <f aca="false">VLOOKUP($A126,GASDVOLCURVES,HLOOKUP(N$36,GASDVOLCURVES,2,FALSE()),FALSE())+$D$18</f>
        <v>0.55</v>
      </c>
      <c r="R126" s="4" t="n">
        <f aca="false">IF($D$20=1,VLOOKUP($A126,skewtable,HLOOKUP(ROUND(S126-BY126,1),skewtable,2,FALSE()),FALSE())/100,0)</f>
        <v>0</v>
      </c>
      <c r="S126" s="66" t="e">
        <f aca="false">IF(B$10=1,($BY126*$D$23)-$D$14,$D$22)</f>
        <v>#DIV/0!</v>
      </c>
      <c r="T126" s="67" t="e">
        <f aca="false">S126-$BY126+$D$24</f>
        <v>#DIV/0!</v>
      </c>
      <c r="U126" s="0"/>
      <c r="V126" s="0"/>
      <c r="W126" s="0"/>
      <c r="X126" s="63" t="n">
        <f aca="false">IF(X$35="nymex",0,VLOOKUP($A126,curvesettle,HLOOKUP(X$35,curvesettle,2,FALSE())))</f>
        <v>0.26</v>
      </c>
      <c r="Y126" s="65" t="n">
        <f aca="false">IF(ISNUMBER(VLOOKUP($A126,VOLCURVES,HLOOKUP(X$35,VOLCURVES,2,FALSE()),FALSE())),VLOOKUP($A126,VOLCURVES,HLOOKUP(X$35,VOLCURVES,2,FALSE()),FALSE()),1)</f>
        <v>1</v>
      </c>
      <c r="Z126" s="184" t="n">
        <f aca="false">(($C126+AB126)*Y126)+$F$17</f>
        <v>0.2025</v>
      </c>
      <c r="AA126" s="65" t="n">
        <f aca="false">VLOOKUP($A126,GASDVOLCURVES,HLOOKUP(X$36,GASDVOLCURVES,2,FALSE()),FALSE())+$F$18</f>
        <v>0.5</v>
      </c>
      <c r="AB126" s="4" t="n">
        <f aca="false">IF($F$20=1,VLOOKUP($A126,skewtable,HLOOKUP(ROUND(AC126-CK126,1),skewtable,2,FALSE()),FALSE())/100,0)</f>
        <v>0</v>
      </c>
      <c r="AC126" s="66" t="e">
        <f aca="false">IF($B$10=1,($CK126*$F$23)-$F$14,$F$22)</f>
        <v>#DIV/0!</v>
      </c>
      <c r="AD126" s="67" t="e">
        <f aca="false">AC126-$CK126+$F$24</f>
        <v>#DIV/0!</v>
      </c>
      <c r="AE126" s="0"/>
      <c r="AF126" s="0"/>
      <c r="AG126" s="0"/>
      <c r="AH126" s="63" t="n">
        <f aca="false">IF(AH$35="nymex",0,VLOOKUP($A126,curvesettle,HLOOKUP(AH$35,curvesettle,2,FALSE())))</f>
        <v>0.33</v>
      </c>
      <c r="AI126" s="65" t="n">
        <f aca="false">IF(ISNUMBER(VLOOKUP($A126,VOLCURVES,HLOOKUP(AH$35,VOLCURVES,2,FALSE()),FALSE())),VLOOKUP($A126,VOLCURVES,HLOOKUP(AH$35,VOLCURVES,2,FALSE()),FALSE()),1)</f>
        <v>1</v>
      </c>
      <c r="AJ126" s="184" t="n">
        <f aca="false">(($C126+AL126)*AI126)+$H$17</f>
        <v>0.2025</v>
      </c>
      <c r="AK126" s="65" t="n">
        <f aca="false">VLOOKUP($A126,GASDVOLCURVES,HLOOKUP(AH$36,GASDVOLCURVES,2,FALSE()),FALSE())+$H$18</f>
        <v>1</v>
      </c>
      <c r="AL126" s="4" t="n">
        <f aca="false">IF($H$20=1,VLOOKUP($A126,skewtable,HLOOKUP(ROUND(AM126-CW126,1),skewtable,2,FALSE()),FALSE())/100,0)</f>
        <v>0</v>
      </c>
      <c r="AM126" s="66" t="e">
        <f aca="false">IF($B$10=1,($CW126*$H$23)-$H$14,$H$22)</f>
        <v>#DIV/0!</v>
      </c>
      <c r="AN126" s="67" t="e">
        <f aca="false">AM126-CW126+$H$24</f>
        <v>#DIV/0!</v>
      </c>
      <c r="AO126" s="0"/>
      <c r="AP126" s="0"/>
      <c r="AQ126" s="183"/>
      <c r="AR126" s="183"/>
      <c r="AU126" s="0"/>
      <c r="AV126" s="0"/>
      <c r="AW126" s="0"/>
      <c r="AX126" s="0"/>
      <c r="AY126" s="0"/>
      <c r="AZ126" s="0"/>
      <c r="BA126" s="0"/>
      <c r="BC126" s="64"/>
      <c r="BD126" s="64"/>
      <c r="BE126" s="4" t="n">
        <f aca="false">VLOOKUP($A126,STRADDLE,14,FALSE())</f>
        <v>0.0560299247331555</v>
      </c>
      <c r="BF126" s="72" t="n">
        <f aca="false">A127-A126</f>
        <v>31</v>
      </c>
      <c r="BG126" s="179" t="n">
        <f aca="false">A126+BG$35</f>
        <v>39934</v>
      </c>
      <c r="BH126" s="179" t="n">
        <f aca="false">A127-1</f>
        <v>39964</v>
      </c>
      <c r="BJ126" s="179" t="n">
        <f aca="true">IF(BJ$35=0,TODAY(),IF(BJ$36="NYMEX",VLOOKUP($A126,expiration,2,FALSE())+1,BG126))</f>
        <v>39932</v>
      </c>
      <c r="BK126" s="73"/>
      <c r="BL126" s="73" t="n">
        <f aca="false">IF($A126&gt;=BM$32,IF($A126&lt;=BM$33,$BF126,0),0)</f>
        <v>0</v>
      </c>
      <c r="BM126" s="73" t="e">
        <f aca="false">BO126/BL126</f>
        <v>#DIV/0!</v>
      </c>
      <c r="BN126" s="1" t="n">
        <f aca="false">BL126*($B126+B$15)</f>
        <v>0</v>
      </c>
      <c r="BO126" s="47" t="n">
        <f aca="false">IF(ISNUMBER(((BN126/BL126)+B$16+$D126+$B$14)*BL126),((BN126/BL126)+B$16+$D126+$B$14)*BL126,0)</f>
        <v>0</v>
      </c>
      <c r="BP126" s="76" t="n">
        <f aca="false">IF($BL126=0,0,OSTRIP($BM126,$I126,$BJ126-$B$2,$BG126-$BJ126,$BH126-$BJ126,$B$10,$BE126,$F126,$G126,$B$23,$J126,$BQ$34,0))</f>
        <v>0</v>
      </c>
      <c r="BQ126" s="76" t="n">
        <f aca="false">IF($BL126=0,0,OSTRIP($BM126,$I126,$BJ126-$B$2,$BG126-$BJ126,$BH126-$BJ126,$B$10,$BE126,$F126,$G126,$B$23,$J126,$BQ$34,1))</f>
        <v>0</v>
      </c>
      <c r="BR126" s="76" t="n">
        <f aca="false">IF($BL126=0,0,OSTRIP($BM126,$I126,$BJ126-$B$2,$BG126-$BJ126,$BH126-$BJ126,$B$10,$BE126,$F126,$G126,$B$23,$J126,$BQ$34,BQ$35))</f>
        <v>0</v>
      </c>
      <c r="BS126" s="37" t="n">
        <f aca="false">BL126*BP126</f>
        <v>0</v>
      </c>
      <c r="BT126" s="37" t="n">
        <f aca="false">BL126*BQ126</f>
        <v>0</v>
      </c>
      <c r="BU126" s="37" t="n">
        <f aca="false">BL126*BR126</f>
        <v>0</v>
      </c>
      <c r="BV126" s="37" t="n">
        <f aca="false">BL126*G126</f>
        <v>0</v>
      </c>
      <c r="BX126" s="73" t="n">
        <f aca="false">IF($A126&gt;=BY$32,IF($A126&lt;=BY$33,$BF126,0),0)</f>
        <v>0</v>
      </c>
      <c r="BY126" s="186" t="e">
        <f aca="false">CA126/BX126</f>
        <v>#DIV/0!</v>
      </c>
      <c r="BZ126" s="1" t="n">
        <f aca="false">BX126*($B126+$D$15)</f>
        <v>0</v>
      </c>
      <c r="CA126" s="47" t="n">
        <f aca="false">IF(ISNUMBER(((BZ126/BX126)+$D$16+$N126+$D$14)*BX126),((BZ126/BX126)+$D$16+$N126+$D$14)*BX126,0)</f>
        <v>0</v>
      </c>
      <c r="CB126" s="76" t="n">
        <f aca="false">IF($BX126=0,0,OSTRIP($BY126,$S126,$BJ126-$B$2,$BG126-$BJ126,$BH126-$BJ126,$B$10,$BE126,$P126,$Q126,$D$23,$T126,$CC$34,0))</f>
        <v>0</v>
      </c>
      <c r="CC126" s="76" t="n">
        <f aca="false">IF($BX126=0,0,OSTRIP($BY126,$S126,$BJ126-$B$2,$BG126-$BJ126,$BH126-$BJ126,$B$10,$BE126,$P126,$Q126,$D$23,$T126,$CC$34,1))</f>
        <v>0</v>
      </c>
      <c r="CD126" s="76" t="n">
        <f aca="false">IF($BX126=0,0,OSTRIP($BY126,$S126,$BJ126-$B$2,$BG126-$BJ126,$BH126-$BJ126,$B$10,$BE126,$P126,$Q126,$D$23,$T126,$CC$34,CC$35))</f>
        <v>0</v>
      </c>
      <c r="CE126" s="37" t="n">
        <f aca="false">BX126*CB126</f>
        <v>0</v>
      </c>
      <c r="CF126" s="37" t="n">
        <f aca="false">BX126*CC126</f>
        <v>0</v>
      </c>
      <c r="CG126" s="37" t="n">
        <f aca="false">BX126*CD126</f>
        <v>0</v>
      </c>
      <c r="CH126" s="37" t="n">
        <f aca="false">BX126*Q126</f>
        <v>0</v>
      </c>
      <c r="CJ126" s="73" t="n">
        <f aca="false">IF($A126&gt;=CK$32,IF($A126&lt;=CK$33,$BF126,0),0)</f>
        <v>0</v>
      </c>
      <c r="CK126" s="186" t="e">
        <f aca="false">CM126/CJ126</f>
        <v>#DIV/0!</v>
      </c>
      <c r="CL126" s="1" t="n">
        <f aca="false">CJ126*($B126+$F$15)</f>
        <v>0</v>
      </c>
      <c r="CM126" s="47" t="n">
        <f aca="false">IF(ISNUMBER(((CL126/CJ126)+$F$16+$X126+$F$14)*CJ126),((CL126/CJ126)+$F$16+$X126+$F$14)*CJ126,0)</f>
        <v>0</v>
      </c>
      <c r="CN126" s="76" t="n">
        <f aca="false">IF($CJ126=0,0,OSTRIP($CK126,$AC126,$BJ126-$B$2,$BG126-$BJ126,$BH126-$BJ126,$B$10,$BE126,$Z126,$AA126,$F$23,$AD126,$CO$34,0))</f>
        <v>0</v>
      </c>
      <c r="CO126" s="76" t="n">
        <f aca="false">IF($CJ126=0,0,OSTRIP($CK126,$AC126,$BJ126-$B$2,$BG126-$BJ126,$BH126-$BJ126,$B$10,$BE126,$Z126,$AA126,$F$23,$AD126,$CO$34,1))</f>
        <v>0</v>
      </c>
      <c r="CP126" s="76" t="n">
        <f aca="false">IF($CJ126=0,0,OSTRIP($CK126,$AC126,$BJ126-$B$2,$BG126-$BJ126,$BH126-$BJ126,$B$10,$BE126,$Z126,$AA126,$F$23,$AD126,$CO$34,$CO$35))</f>
        <v>0</v>
      </c>
      <c r="CQ126" s="37" t="n">
        <f aca="false">CJ126*CN126</f>
        <v>0</v>
      </c>
      <c r="CR126" s="37" t="n">
        <f aca="false">CJ126*CO126</f>
        <v>0</v>
      </c>
      <c r="CS126" s="37" t="n">
        <f aca="false">CJ126*CP126</f>
        <v>0</v>
      </c>
      <c r="CT126" s="37" t="n">
        <f aca="false">CJ126*AA126</f>
        <v>0</v>
      </c>
      <c r="CV126" s="73" t="n">
        <f aca="false">IF($A126&gt;=CW$32,IF($A126&lt;=CW$33,$BF126,0),0)</f>
        <v>0</v>
      </c>
      <c r="CW126" s="186" t="e">
        <f aca="false">CY126/CV126</f>
        <v>#DIV/0!</v>
      </c>
      <c r="CX126" s="1" t="n">
        <f aca="false">CV126*($B126+$H$15)</f>
        <v>0</v>
      </c>
      <c r="CY126" s="47" t="n">
        <f aca="false">IF(ISNUMBER(((CX126/CV126)+$H$16+$AH126+$H$14)*CV126),((CX126/CV126)+$H$16+$AH126+$H$14)*CV126,0)</f>
        <v>0</v>
      </c>
      <c r="CZ126" s="76" t="n">
        <f aca="false">IF($CV126=0,0,OSTRIP($CW126,$AM126,$BJ126-$B$2,$BG126-$BJ126,$BH126-$BJ126,$B$10,$BE126,$AJ126,$AK126,$H$23,$AN126,$DA$34,0))</f>
        <v>0</v>
      </c>
      <c r="DA126" s="76" t="n">
        <f aca="false">IF($CV126=0,0,OSTRIP($CW126,$AM126,$BJ126-$B$2,$BG126-$BJ126,$BH126-$BJ126,$B$10,$BE126,$AJ126,$AK126,$H$23,$AN126,$DA$34,1))</f>
        <v>0</v>
      </c>
      <c r="DB126" s="76" t="n">
        <f aca="false">IF($CV126=0,0,OSTRIP($CW126,$AM126,$BJ126-$B$2,$BG126-$BJ126,$BH126-$BJ126,$B$10,$BE126,$AJ126,$AK126,$H$23,$AN126,$DA$34,DA$35))</f>
        <v>0</v>
      </c>
      <c r="DC126" s="37" t="n">
        <f aca="false">CV126*CZ126</f>
        <v>0</v>
      </c>
      <c r="DD126" s="37" t="n">
        <f aca="false">CV126*DA126</f>
        <v>0</v>
      </c>
      <c r="DE126" s="37" t="n">
        <f aca="false">CV126*DB126</f>
        <v>0</v>
      </c>
      <c r="DF126" s="37" t="n">
        <f aca="false">CV126*AK126</f>
        <v>0</v>
      </c>
    </row>
    <row r="127" customFormat="false" ht="12.75" hidden="false" customHeight="false" outlineLevel="0" collapsed="false">
      <c r="A127" s="62" t="n">
        <f aca="false">DATE(YEAR(A126),MONTH(A126)+1,1)</f>
        <v>39965</v>
      </c>
      <c r="B127" s="63" t="n">
        <f aca="false">VLOOKUP(A127,STRADDLE,5,FALSE())</f>
        <v>3.595</v>
      </c>
      <c r="C127" s="4" t="n">
        <f aca="false">VLOOKUP(A127,STRADDLE,8,FALSE())</f>
        <v>0.2025</v>
      </c>
      <c r="D127" s="63" t="n">
        <f aca="false">IF(D$35="nymex",0,VLOOKUP($A127,curvesettle,HLOOKUP(D$35,curvesettle,2,FALSE())))</f>
        <v>0.335</v>
      </c>
      <c r="E127" s="65" t="n">
        <f aca="false">IF(ISNUMBER(VLOOKUP($A127,VOLCURVES,HLOOKUP(D$35,VOLCURVES,2,FALSE()),FALSE())),VLOOKUP($A127,VOLCURVES,HLOOKUP(D$35,VOLCURVES,2,FALSE()),FALSE()),1)</f>
        <v>0.98</v>
      </c>
      <c r="F127" s="4" t="n">
        <f aca="false">(($C127+H127)*$E127)+B$17</f>
        <v>0.29845</v>
      </c>
      <c r="G127" s="65" t="n">
        <f aca="false">VLOOKUP($A127,GASDVOLCURVES,HLOOKUP(D$36,GASDVOLCURVES,2,FALSE()),FALSE())+$B$18</f>
        <v>0.55</v>
      </c>
      <c r="H127" s="4" t="n">
        <f aca="false">IF($B$20=1,VLOOKUP($A127,skewtable,HLOOKUP(ROUND(I127-BM127,1),skewtable,2,FALSE()),FALSE())/100,0)</f>
        <v>0</v>
      </c>
      <c r="I127" s="66" t="e">
        <f aca="false">IF($B$10=1,($BM127*$B$23)-$B$14,$B$22)</f>
        <v>#DIV/0!</v>
      </c>
      <c r="J127" s="67" t="e">
        <f aca="false">I127-BM127+$B$24</f>
        <v>#DIV/0!</v>
      </c>
      <c r="K127" s="67"/>
      <c r="L127" s="183"/>
      <c r="M127" s="183"/>
      <c r="N127" s="63" t="n">
        <f aca="false">IF(N$35="nymex",0,VLOOKUP($A127,curvesettle,HLOOKUP(N$35,curvesettle,2,FALSE())))</f>
        <v>0.025</v>
      </c>
      <c r="O127" s="65" t="n">
        <f aca="false">IF(ISNUMBER(VLOOKUP($A127,VOLCURVES,HLOOKUP(N$35,VOLCURVES,2,FALSE()),FALSE())),VLOOKUP($A127,VOLCURVES,HLOOKUP(N$35,VOLCURVES,2,FALSE()),FALSE()),1)</f>
        <v>1</v>
      </c>
      <c r="P127" s="184" t="n">
        <f aca="false">(($C127+R127)*O127)+$D$17</f>
        <v>0.2025</v>
      </c>
      <c r="Q127" s="65" t="n">
        <f aca="false">VLOOKUP($A127,GASDVOLCURVES,HLOOKUP(N$36,GASDVOLCURVES,2,FALSE()),FALSE())+$D$18</f>
        <v>0.55</v>
      </c>
      <c r="R127" s="4" t="n">
        <f aca="false">IF($D$20=1,VLOOKUP($A127,skewtable,HLOOKUP(ROUND(S127-BY127,1),skewtable,2,FALSE()),FALSE())/100,0)</f>
        <v>0</v>
      </c>
      <c r="S127" s="66" t="e">
        <f aca="false">IF(B$10=1,($BY127*$D$23)-$D$14,$D$22)</f>
        <v>#DIV/0!</v>
      </c>
      <c r="T127" s="67" t="e">
        <f aca="false">S127-$BY127+$D$24</f>
        <v>#DIV/0!</v>
      </c>
      <c r="U127" s="0"/>
      <c r="V127" s="0"/>
      <c r="W127" s="0"/>
      <c r="X127" s="63" t="n">
        <f aca="false">IF(X$35="nymex",0,VLOOKUP($A127,curvesettle,HLOOKUP(X$35,curvesettle,2,FALSE())))</f>
        <v>0.26</v>
      </c>
      <c r="Y127" s="65" t="n">
        <f aca="false">IF(ISNUMBER(VLOOKUP($A127,VOLCURVES,HLOOKUP(X$35,VOLCURVES,2,FALSE()),FALSE())),VLOOKUP($A127,VOLCURVES,HLOOKUP(X$35,VOLCURVES,2,FALSE()),FALSE()),1)</f>
        <v>1</v>
      </c>
      <c r="Z127" s="184" t="n">
        <f aca="false">(($C127+AB127)*Y127)+$F$17</f>
        <v>0.2025</v>
      </c>
      <c r="AA127" s="65" t="n">
        <f aca="false">VLOOKUP($A127,GASDVOLCURVES,HLOOKUP(X$36,GASDVOLCURVES,2,FALSE()),FALSE())+$F$18</f>
        <v>0.6</v>
      </c>
      <c r="AB127" s="4" t="n">
        <f aca="false">IF($F$20=1,VLOOKUP($A127,skewtable,HLOOKUP(ROUND(AC127-CK127,1),skewtable,2,FALSE()),FALSE())/100,0)</f>
        <v>0</v>
      </c>
      <c r="AC127" s="66" t="e">
        <f aca="false">IF($B$10=1,($CK127*$F$23)-$F$14,$F$22)</f>
        <v>#DIV/0!</v>
      </c>
      <c r="AD127" s="67" t="e">
        <f aca="false">AC127-$CK127+$F$24</f>
        <v>#DIV/0!</v>
      </c>
      <c r="AE127" s="0"/>
      <c r="AF127" s="0"/>
      <c r="AG127" s="0"/>
      <c r="AH127" s="63" t="n">
        <f aca="false">IF(AH$35="nymex",0,VLOOKUP($A127,curvesettle,HLOOKUP(AH$35,curvesettle,2,FALSE())))</f>
        <v>0.37</v>
      </c>
      <c r="AI127" s="65" t="n">
        <f aca="false">IF(ISNUMBER(VLOOKUP($A127,VOLCURVES,HLOOKUP(AH$35,VOLCURVES,2,FALSE()),FALSE())),VLOOKUP($A127,VOLCURVES,HLOOKUP(AH$35,VOLCURVES,2,FALSE()),FALSE()),1)</f>
        <v>1</v>
      </c>
      <c r="AJ127" s="184" t="n">
        <f aca="false">(($C127+AL127)*AI127)+$H$17</f>
        <v>0.2025</v>
      </c>
      <c r="AK127" s="65" t="n">
        <f aca="false">VLOOKUP($A127,GASDVOLCURVES,HLOOKUP(AH$36,GASDVOLCURVES,2,FALSE()),FALSE())+$H$18</f>
        <v>1</v>
      </c>
      <c r="AL127" s="4" t="n">
        <f aca="false">IF($H$20=1,VLOOKUP($A127,skewtable,HLOOKUP(ROUND(AM127-CW127,1),skewtable,2,FALSE()),FALSE())/100,0)</f>
        <v>0</v>
      </c>
      <c r="AM127" s="66" t="e">
        <f aca="false">IF($B$10=1,($CW127*$H$23)-$H$14,$H$22)</f>
        <v>#DIV/0!</v>
      </c>
      <c r="AN127" s="67" t="e">
        <f aca="false">AM127-CW127+$H$24</f>
        <v>#DIV/0!</v>
      </c>
      <c r="AO127" s="0"/>
      <c r="AP127" s="0"/>
      <c r="AQ127" s="183"/>
      <c r="AR127" s="183"/>
      <c r="AU127" s="0"/>
      <c r="AV127" s="0"/>
      <c r="AW127" s="0"/>
      <c r="AX127" s="0"/>
      <c r="AY127" s="0"/>
      <c r="AZ127" s="0"/>
      <c r="BA127" s="0"/>
      <c r="BC127" s="64"/>
      <c r="BD127" s="64"/>
      <c r="BE127" s="4" t="n">
        <f aca="false">VLOOKUP($A127,STRADDLE,14,FALSE())</f>
        <v>0.0561334231305515</v>
      </c>
      <c r="BF127" s="72" t="n">
        <f aca="false">A128-A127</f>
        <v>30</v>
      </c>
      <c r="BG127" s="179" t="n">
        <f aca="false">A127+BG$35</f>
        <v>39965</v>
      </c>
      <c r="BH127" s="179" t="n">
        <f aca="false">A128-1</f>
        <v>39994</v>
      </c>
      <c r="BJ127" s="179" t="n">
        <f aca="true">IF(BJ$35=0,TODAY(),IF(BJ$36="NYMEX",VLOOKUP($A127,expiration,2,FALSE())+1,BG127))</f>
        <v>39961</v>
      </c>
      <c r="BK127" s="73"/>
      <c r="BL127" s="73" t="n">
        <f aca="false">IF($A127&gt;=BM$32,IF($A127&lt;=BM$33,$BF127,0),0)</f>
        <v>0</v>
      </c>
      <c r="BM127" s="73" t="e">
        <f aca="false">BO127/BL127</f>
        <v>#DIV/0!</v>
      </c>
      <c r="BN127" s="1" t="n">
        <f aca="false">BL127*($B127+B$15)</f>
        <v>0</v>
      </c>
      <c r="BO127" s="47" t="n">
        <f aca="false">IF(ISNUMBER(((BN127/BL127)+B$16+$D127+$B$14)*BL127),((BN127/BL127)+B$16+$D127+$B$14)*BL127,0)</f>
        <v>0</v>
      </c>
      <c r="BP127" s="76" t="n">
        <f aca="false">IF($BL127=0,0,OSTRIP($BM127,$I127,$BJ127-$B$2,$BG127-$BJ127,$BH127-$BJ127,$B$10,$BE127,$F127,$G127,$B$23,$J127,$BQ$34,0))</f>
        <v>0</v>
      </c>
      <c r="BQ127" s="76" t="n">
        <f aca="false">IF($BL127=0,0,OSTRIP($BM127,$I127,$BJ127-$B$2,$BG127-$BJ127,$BH127-$BJ127,$B$10,$BE127,$F127,$G127,$B$23,$J127,$BQ$34,1))</f>
        <v>0</v>
      </c>
      <c r="BR127" s="76" t="n">
        <f aca="false">IF($BL127=0,0,OSTRIP($BM127,$I127,$BJ127-$B$2,$BG127-$BJ127,$BH127-$BJ127,$B$10,$BE127,$F127,$G127,$B$23,$J127,$BQ$34,BQ$35))</f>
        <v>0</v>
      </c>
      <c r="BS127" s="37" t="n">
        <f aca="false">BL127*BP127</f>
        <v>0</v>
      </c>
      <c r="BT127" s="37" t="n">
        <f aca="false">BL127*BQ127</f>
        <v>0</v>
      </c>
      <c r="BU127" s="37" t="n">
        <f aca="false">BL127*BR127</f>
        <v>0</v>
      </c>
      <c r="BV127" s="37" t="n">
        <f aca="false">BL127*G127</f>
        <v>0</v>
      </c>
      <c r="BX127" s="73" t="n">
        <f aca="false">IF($A127&gt;=BY$32,IF($A127&lt;=BY$33,$BF127,0),0)</f>
        <v>0</v>
      </c>
      <c r="BY127" s="186" t="e">
        <f aca="false">CA127/BX127</f>
        <v>#DIV/0!</v>
      </c>
      <c r="BZ127" s="1" t="n">
        <f aca="false">BX127*($B127+$D$15)</f>
        <v>0</v>
      </c>
      <c r="CA127" s="47" t="n">
        <f aca="false">IF(ISNUMBER(((BZ127/BX127)+$D$16+$N127+$D$14)*BX127),((BZ127/BX127)+$D$16+$N127+$D$14)*BX127,0)</f>
        <v>0</v>
      </c>
      <c r="CB127" s="76" t="n">
        <f aca="false">IF($BX127=0,0,OSTRIP($BY127,$S127,$BJ127-$B$2,$BG127-$BJ127,$BH127-$BJ127,$B$10,$BE127,$P127,$Q127,$D$23,$T127,$CC$34,0))</f>
        <v>0</v>
      </c>
      <c r="CC127" s="76" t="n">
        <f aca="false">IF($BX127=0,0,OSTRIP($BY127,$S127,$BJ127-$B$2,$BG127-$BJ127,$BH127-$BJ127,$B$10,$BE127,$P127,$Q127,$D$23,$T127,$CC$34,1))</f>
        <v>0</v>
      </c>
      <c r="CD127" s="76" t="n">
        <f aca="false">IF($BX127=0,0,OSTRIP($BY127,$S127,$BJ127-$B$2,$BG127-$BJ127,$BH127-$BJ127,$B$10,$BE127,$P127,$Q127,$D$23,$T127,$CC$34,CC$35))</f>
        <v>0</v>
      </c>
      <c r="CE127" s="37" t="n">
        <f aca="false">BX127*CB127</f>
        <v>0</v>
      </c>
      <c r="CF127" s="37" t="n">
        <f aca="false">BX127*CC127</f>
        <v>0</v>
      </c>
      <c r="CG127" s="37" t="n">
        <f aca="false">BX127*CD127</f>
        <v>0</v>
      </c>
      <c r="CH127" s="37" t="n">
        <f aca="false">BX127*Q127</f>
        <v>0</v>
      </c>
      <c r="CJ127" s="73" t="n">
        <f aca="false">IF($A127&gt;=CK$32,IF($A127&lt;=CK$33,$BF127,0),0)</f>
        <v>0</v>
      </c>
      <c r="CK127" s="186" t="e">
        <f aca="false">CM127/CJ127</f>
        <v>#DIV/0!</v>
      </c>
      <c r="CL127" s="1" t="n">
        <f aca="false">CJ127*($B127+$F$15)</f>
        <v>0</v>
      </c>
      <c r="CM127" s="47" t="n">
        <f aca="false">IF(ISNUMBER(((CL127/CJ127)+$F$16+$X127+$F$14)*CJ127),((CL127/CJ127)+$F$16+$X127+$F$14)*CJ127,0)</f>
        <v>0</v>
      </c>
      <c r="CN127" s="76" t="n">
        <f aca="false">IF($CJ127=0,0,OSTRIP($CK127,$AC127,$BJ127-$B$2,$BG127-$BJ127,$BH127-$BJ127,$B$10,$BE127,$Z127,$AA127,$F$23,$AD127,$CO$34,0))</f>
        <v>0</v>
      </c>
      <c r="CO127" s="76" t="n">
        <f aca="false">IF($CJ127=0,0,OSTRIP($CK127,$AC127,$BJ127-$B$2,$BG127-$BJ127,$BH127-$BJ127,$B$10,$BE127,$Z127,$AA127,$F$23,$AD127,$CO$34,1))</f>
        <v>0</v>
      </c>
      <c r="CP127" s="76" t="n">
        <f aca="false">IF($CJ127=0,0,OSTRIP($CK127,$AC127,$BJ127-$B$2,$BG127-$BJ127,$BH127-$BJ127,$B$10,$BE127,$Z127,$AA127,$F$23,$AD127,$CO$34,$CO$35))</f>
        <v>0</v>
      </c>
      <c r="CQ127" s="37" t="n">
        <f aca="false">CJ127*CN127</f>
        <v>0</v>
      </c>
      <c r="CR127" s="37" t="n">
        <f aca="false">CJ127*CO127</f>
        <v>0</v>
      </c>
      <c r="CS127" s="37" t="n">
        <f aca="false">CJ127*CP127</f>
        <v>0</v>
      </c>
      <c r="CT127" s="37" t="n">
        <f aca="false">CJ127*AA127</f>
        <v>0</v>
      </c>
      <c r="CV127" s="73" t="n">
        <f aca="false">IF($A127&gt;=CW$32,IF($A127&lt;=CW$33,$BF127,0),0)</f>
        <v>0</v>
      </c>
      <c r="CW127" s="186" t="e">
        <f aca="false">CY127/CV127</f>
        <v>#DIV/0!</v>
      </c>
      <c r="CX127" s="1" t="n">
        <f aca="false">CV127*($B127+$H$15)</f>
        <v>0</v>
      </c>
      <c r="CY127" s="47" t="n">
        <f aca="false">IF(ISNUMBER(((CX127/CV127)+$H$16+$AH127+$H$14)*CV127),((CX127/CV127)+$H$16+$AH127+$H$14)*CV127,0)</f>
        <v>0</v>
      </c>
      <c r="CZ127" s="76" t="n">
        <f aca="false">IF($CV127=0,0,OSTRIP($CW127,$AM127,$BJ127-$B$2,$BG127-$BJ127,$BH127-$BJ127,$B$10,$BE127,$AJ127,$AK127,$H$23,$AN127,$DA$34,0))</f>
        <v>0</v>
      </c>
      <c r="DA127" s="76" t="n">
        <f aca="false">IF($CV127=0,0,OSTRIP($CW127,$AM127,$BJ127-$B$2,$BG127-$BJ127,$BH127-$BJ127,$B$10,$BE127,$AJ127,$AK127,$H$23,$AN127,$DA$34,1))</f>
        <v>0</v>
      </c>
      <c r="DB127" s="76" t="n">
        <f aca="false">IF($CV127=0,0,OSTRIP($CW127,$AM127,$BJ127-$B$2,$BG127-$BJ127,$BH127-$BJ127,$B$10,$BE127,$AJ127,$AK127,$H$23,$AN127,$DA$34,DA$35))</f>
        <v>0</v>
      </c>
      <c r="DC127" s="37" t="n">
        <f aca="false">CV127*CZ127</f>
        <v>0</v>
      </c>
      <c r="DD127" s="37" t="n">
        <f aca="false">CV127*DA127</f>
        <v>0</v>
      </c>
      <c r="DE127" s="37" t="n">
        <f aca="false">CV127*DB127</f>
        <v>0</v>
      </c>
      <c r="DF127" s="37" t="n">
        <f aca="false">CV127*AK127</f>
        <v>0</v>
      </c>
    </row>
    <row r="128" customFormat="false" ht="12.75" hidden="false" customHeight="false" outlineLevel="0" collapsed="false">
      <c r="A128" s="62" t="n">
        <f aca="false">DATE(YEAR(A127),MONTH(A127)+1,1)</f>
        <v>39995</v>
      </c>
      <c r="B128" s="63" t="n">
        <f aca="false">VLOOKUP(A128,STRADDLE,5,FALSE())</f>
        <v>3.635</v>
      </c>
      <c r="C128" s="4" t="n">
        <f aca="false">VLOOKUP(A128,STRADDLE,8,FALSE())</f>
        <v>0.2025</v>
      </c>
      <c r="D128" s="63" t="n">
        <f aca="false">IF(D$35="nymex",0,VLOOKUP($A128,curvesettle,HLOOKUP(D$35,curvesettle,2,FALSE())))</f>
        <v>0.35</v>
      </c>
      <c r="E128" s="65" t="n">
        <f aca="false">IF(ISNUMBER(VLOOKUP($A128,VOLCURVES,HLOOKUP(D$35,VOLCURVES,2,FALSE()),FALSE())),VLOOKUP($A128,VOLCURVES,HLOOKUP(D$35,VOLCURVES,2,FALSE()),FALSE()),1)</f>
        <v>0.98</v>
      </c>
      <c r="F128" s="4" t="n">
        <f aca="false">(($C128+H128)*$E128)+B$17</f>
        <v>0.29845</v>
      </c>
      <c r="G128" s="65" t="n">
        <f aca="false">VLOOKUP($A128,GASDVOLCURVES,HLOOKUP(D$36,GASDVOLCURVES,2,FALSE()),FALSE())+$B$18</f>
        <v>0.6</v>
      </c>
      <c r="H128" s="4" t="n">
        <f aca="false">IF($B$20=1,VLOOKUP($A128,skewtable,HLOOKUP(ROUND(I128-BM128,1),skewtable,2,FALSE()),FALSE())/100,0)</f>
        <v>0</v>
      </c>
      <c r="I128" s="66" t="e">
        <f aca="false">IF($B$10=1,($BM128*$B$23)-$B$14,$B$22)</f>
        <v>#DIV/0!</v>
      </c>
      <c r="J128" s="67" t="e">
        <f aca="false">I128-BM128+$B$24</f>
        <v>#DIV/0!</v>
      </c>
      <c r="K128" s="67"/>
      <c r="L128" s="183"/>
      <c r="M128" s="183"/>
      <c r="N128" s="63" t="n">
        <f aca="false">IF(N$35="nymex",0,VLOOKUP($A128,curvesettle,HLOOKUP(N$35,curvesettle,2,FALSE())))</f>
        <v>0.0275</v>
      </c>
      <c r="O128" s="65" t="n">
        <f aca="false">IF(ISNUMBER(VLOOKUP($A128,VOLCURVES,HLOOKUP(N$35,VOLCURVES,2,FALSE()),FALSE())),VLOOKUP($A128,VOLCURVES,HLOOKUP(N$35,VOLCURVES,2,FALSE()),FALSE()),1)</f>
        <v>1</v>
      </c>
      <c r="P128" s="184" t="n">
        <f aca="false">(($C128+R128)*O128)+$D$17</f>
        <v>0.2025</v>
      </c>
      <c r="Q128" s="65" t="n">
        <f aca="false">VLOOKUP($A128,GASDVOLCURVES,HLOOKUP(N$36,GASDVOLCURVES,2,FALSE()),FALSE())+$D$18</f>
        <v>0.6</v>
      </c>
      <c r="R128" s="4" t="n">
        <f aca="false">IF($D$20=1,VLOOKUP($A128,skewtable,HLOOKUP(ROUND(S128-BY128,1),skewtable,2,FALSE()),FALSE())/100,0)</f>
        <v>0</v>
      </c>
      <c r="S128" s="66" t="e">
        <f aca="false">IF(B$10=1,($BY128*$D$23)-$D$14,$D$22)</f>
        <v>#DIV/0!</v>
      </c>
      <c r="T128" s="67" t="e">
        <f aca="false">S128-$BY128+$D$24</f>
        <v>#DIV/0!</v>
      </c>
      <c r="U128" s="0"/>
      <c r="V128" s="0"/>
      <c r="W128" s="0"/>
      <c r="X128" s="63" t="n">
        <f aca="false">IF(X$35="nymex",0,VLOOKUP($A128,curvesettle,HLOOKUP(X$35,curvesettle,2,FALSE())))</f>
        <v>0.26</v>
      </c>
      <c r="Y128" s="65" t="n">
        <f aca="false">IF(ISNUMBER(VLOOKUP($A128,VOLCURVES,HLOOKUP(X$35,VOLCURVES,2,FALSE()),FALSE())),VLOOKUP($A128,VOLCURVES,HLOOKUP(X$35,VOLCURVES,2,FALSE()),FALSE()),1)</f>
        <v>1</v>
      </c>
      <c r="Z128" s="184" t="n">
        <f aca="false">(($C128+AB128)*Y128)+$F$17</f>
        <v>0.2025</v>
      </c>
      <c r="AA128" s="65" t="n">
        <f aca="false">VLOOKUP($A128,GASDVOLCURVES,HLOOKUP(X$36,GASDVOLCURVES,2,FALSE()),FALSE())+$F$18</f>
        <v>0.6</v>
      </c>
      <c r="AB128" s="4" t="n">
        <f aca="false">IF($F$20=1,VLOOKUP($A128,skewtable,HLOOKUP(ROUND(AC128-CK128,1),skewtable,2,FALSE()),FALSE())/100,0)</f>
        <v>0</v>
      </c>
      <c r="AC128" s="66" t="e">
        <f aca="false">IF($B$10=1,($CK128*$F$23)-$F$14,$F$22)</f>
        <v>#DIV/0!</v>
      </c>
      <c r="AD128" s="67" t="e">
        <f aca="false">AC128-$CK128+$F$24</f>
        <v>#DIV/0!</v>
      </c>
      <c r="AE128" s="0"/>
      <c r="AF128" s="0"/>
      <c r="AG128" s="0"/>
      <c r="AH128" s="63" t="n">
        <f aca="false">IF(AH$35="nymex",0,VLOOKUP($A128,curvesettle,HLOOKUP(AH$35,curvesettle,2,FALSE())))</f>
        <v>0.41</v>
      </c>
      <c r="AI128" s="65" t="n">
        <f aca="false">IF(ISNUMBER(VLOOKUP($A128,VOLCURVES,HLOOKUP(AH$35,VOLCURVES,2,FALSE()),FALSE())),VLOOKUP($A128,VOLCURVES,HLOOKUP(AH$35,VOLCURVES,2,FALSE()),FALSE()),1)</f>
        <v>1</v>
      </c>
      <c r="AJ128" s="184" t="n">
        <f aca="false">(($C128+AL128)*AI128)+$H$17</f>
        <v>0.2025</v>
      </c>
      <c r="AK128" s="65" t="n">
        <f aca="false">VLOOKUP($A128,GASDVOLCURVES,HLOOKUP(AH$36,GASDVOLCURVES,2,FALSE()),FALSE())+$H$18</f>
        <v>1</v>
      </c>
      <c r="AL128" s="4" t="n">
        <f aca="false">IF($H$20=1,VLOOKUP($A128,skewtable,HLOOKUP(ROUND(AM128-CW128,1),skewtable,2,FALSE()),FALSE())/100,0)</f>
        <v>0</v>
      </c>
      <c r="AM128" s="66" t="e">
        <f aca="false">IF($B$10=1,($CW128*$H$23)-$H$14,$H$22)</f>
        <v>#DIV/0!</v>
      </c>
      <c r="AN128" s="67" t="e">
        <f aca="false">AM128-CW128+$H$24</f>
        <v>#DIV/0!</v>
      </c>
      <c r="AO128" s="0"/>
      <c r="AP128" s="0"/>
      <c r="AQ128" s="183"/>
      <c r="AR128" s="183"/>
      <c r="AU128" s="0"/>
      <c r="AV128" s="0"/>
      <c r="AW128" s="0"/>
      <c r="AX128" s="0"/>
      <c r="AY128" s="0"/>
      <c r="AZ128" s="0"/>
      <c r="BA128" s="0"/>
      <c r="BC128" s="64"/>
      <c r="BD128" s="64"/>
      <c r="BE128" s="4" t="n">
        <f aca="false">VLOOKUP($A128,STRADDLE,14,FALSE())</f>
        <v>0.0562335828733631</v>
      </c>
      <c r="BF128" s="72" t="n">
        <f aca="false">A129-A128</f>
        <v>31</v>
      </c>
      <c r="BG128" s="179" t="n">
        <f aca="false">A128+BG$35</f>
        <v>39995</v>
      </c>
      <c r="BH128" s="179" t="n">
        <f aca="false">A129-1</f>
        <v>40025</v>
      </c>
      <c r="BJ128" s="179" t="n">
        <f aca="true">IF(BJ$35=0,TODAY(),IF(BJ$36="NYMEX",VLOOKUP($A128,expiration,2,FALSE())+1,BG128))</f>
        <v>39991</v>
      </c>
      <c r="BK128" s="73"/>
      <c r="BL128" s="73" t="n">
        <f aca="false">IF($A128&gt;=BM$32,IF($A128&lt;=BM$33,$BF128,0),0)</f>
        <v>0</v>
      </c>
      <c r="BM128" s="73" t="e">
        <f aca="false">BO128/BL128</f>
        <v>#DIV/0!</v>
      </c>
      <c r="BN128" s="1" t="n">
        <f aca="false">BL128*($B128+B$15)</f>
        <v>0</v>
      </c>
      <c r="BO128" s="47" t="n">
        <f aca="false">IF(ISNUMBER(((BN128/BL128)+B$16+$D128+$B$14)*BL128),((BN128/BL128)+B$16+$D128+$B$14)*BL128,0)</f>
        <v>0</v>
      </c>
      <c r="BP128" s="76" t="n">
        <f aca="false">IF($BL128=0,0,OSTRIP($BM128,$I128,$BJ128-$B$2,$BG128-$BJ128,$BH128-$BJ128,$B$10,$BE128,$F128,$G128,$B$23,$J128,$BQ$34,0))</f>
        <v>0</v>
      </c>
      <c r="BQ128" s="76" t="n">
        <f aca="false">IF($BL128=0,0,OSTRIP($BM128,$I128,$BJ128-$B$2,$BG128-$BJ128,$BH128-$BJ128,$B$10,$BE128,$F128,$G128,$B$23,$J128,$BQ$34,1))</f>
        <v>0</v>
      </c>
      <c r="BR128" s="76" t="n">
        <f aca="false">IF($BL128=0,0,OSTRIP($BM128,$I128,$BJ128-$B$2,$BG128-$BJ128,$BH128-$BJ128,$B$10,$BE128,$F128,$G128,$B$23,$J128,$BQ$34,BQ$35))</f>
        <v>0</v>
      </c>
      <c r="BS128" s="37" t="n">
        <f aca="false">BL128*BP128</f>
        <v>0</v>
      </c>
      <c r="BT128" s="37" t="n">
        <f aca="false">BL128*BQ128</f>
        <v>0</v>
      </c>
      <c r="BU128" s="37" t="n">
        <f aca="false">BL128*BR128</f>
        <v>0</v>
      </c>
      <c r="BV128" s="37" t="n">
        <f aca="false">BL128*G128</f>
        <v>0</v>
      </c>
      <c r="BX128" s="73" t="n">
        <f aca="false">IF($A128&gt;=BY$32,IF($A128&lt;=BY$33,$BF128,0),0)</f>
        <v>0</v>
      </c>
      <c r="BY128" s="186" t="e">
        <f aca="false">CA128/BX128</f>
        <v>#DIV/0!</v>
      </c>
      <c r="BZ128" s="1" t="n">
        <f aca="false">BX128*($B128+$D$15)</f>
        <v>0</v>
      </c>
      <c r="CA128" s="47" t="n">
        <f aca="false">IF(ISNUMBER(((BZ128/BX128)+$D$16+$N128+$D$14)*BX128),((BZ128/BX128)+$D$16+$N128+$D$14)*BX128,0)</f>
        <v>0</v>
      </c>
      <c r="CB128" s="76" t="n">
        <f aca="false">IF($BX128=0,0,OSTRIP($BY128,$S128,$BJ128-$B$2,$BG128-$BJ128,$BH128-$BJ128,$B$10,$BE128,$P128,$Q128,$D$23,$T128,$CC$34,0))</f>
        <v>0</v>
      </c>
      <c r="CC128" s="76" t="n">
        <f aca="false">IF($BX128=0,0,OSTRIP($BY128,$S128,$BJ128-$B$2,$BG128-$BJ128,$BH128-$BJ128,$B$10,$BE128,$P128,$Q128,$D$23,$T128,$CC$34,1))</f>
        <v>0</v>
      </c>
      <c r="CD128" s="76" t="n">
        <f aca="false">IF($BX128=0,0,OSTRIP($BY128,$S128,$BJ128-$B$2,$BG128-$BJ128,$BH128-$BJ128,$B$10,$BE128,$P128,$Q128,$D$23,$T128,$CC$34,CC$35))</f>
        <v>0</v>
      </c>
      <c r="CE128" s="37" t="n">
        <f aca="false">BX128*CB128</f>
        <v>0</v>
      </c>
      <c r="CF128" s="37" t="n">
        <f aca="false">BX128*CC128</f>
        <v>0</v>
      </c>
      <c r="CG128" s="37" t="n">
        <f aca="false">BX128*CD128</f>
        <v>0</v>
      </c>
      <c r="CH128" s="37" t="n">
        <f aca="false">BX128*Q128</f>
        <v>0</v>
      </c>
      <c r="CJ128" s="73" t="n">
        <f aca="false">IF($A128&gt;=CK$32,IF($A128&lt;=CK$33,$BF128,0),0)</f>
        <v>0</v>
      </c>
      <c r="CK128" s="186" t="e">
        <f aca="false">CM128/CJ128</f>
        <v>#DIV/0!</v>
      </c>
      <c r="CL128" s="1" t="n">
        <f aca="false">CJ128*($B128+$F$15)</f>
        <v>0</v>
      </c>
      <c r="CM128" s="47" t="n">
        <f aca="false">IF(ISNUMBER(((CL128/CJ128)+$F$16+$X128+$F$14)*CJ128),((CL128/CJ128)+$F$16+$X128+$F$14)*CJ128,0)</f>
        <v>0</v>
      </c>
      <c r="CN128" s="76" t="n">
        <f aca="false">IF($CJ128=0,0,OSTRIP($CK128,$AC128,$BJ128-$B$2,$BG128-$BJ128,$BH128-$BJ128,$B$10,$BE128,$Z128,$AA128,$F$23,$AD128,$CO$34,0))</f>
        <v>0</v>
      </c>
      <c r="CO128" s="76" t="n">
        <f aca="false">IF($CJ128=0,0,OSTRIP($CK128,$AC128,$BJ128-$B$2,$BG128-$BJ128,$BH128-$BJ128,$B$10,$BE128,$Z128,$AA128,$F$23,$AD128,$CO$34,1))</f>
        <v>0</v>
      </c>
      <c r="CP128" s="76" t="n">
        <f aca="false">IF($CJ128=0,0,OSTRIP($CK128,$AC128,$BJ128-$B$2,$BG128-$BJ128,$BH128-$BJ128,$B$10,$BE128,$Z128,$AA128,$F$23,$AD128,$CO$34,$CO$35))</f>
        <v>0</v>
      </c>
      <c r="CQ128" s="37" t="n">
        <f aca="false">CJ128*CN128</f>
        <v>0</v>
      </c>
      <c r="CR128" s="37" t="n">
        <f aca="false">CJ128*CO128</f>
        <v>0</v>
      </c>
      <c r="CS128" s="37" t="n">
        <f aca="false">CJ128*CP128</f>
        <v>0</v>
      </c>
      <c r="CT128" s="37" t="n">
        <f aca="false">CJ128*AA128</f>
        <v>0</v>
      </c>
      <c r="CV128" s="73" t="n">
        <f aca="false">IF($A128&gt;=CW$32,IF($A128&lt;=CW$33,$BF128,0),0)</f>
        <v>0</v>
      </c>
      <c r="CW128" s="186" t="e">
        <f aca="false">CY128/CV128</f>
        <v>#DIV/0!</v>
      </c>
      <c r="CX128" s="1" t="n">
        <f aca="false">CV128*($B128+$H$15)</f>
        <v>0</v>
      </c>
      <c r="CY128" s="47" t="n">
        <f aca="false">IF(ISNUMBER(((CX128/CV128)+$H$16+$AH128+$H$14)*CV128),((CX128/CV128)+$H$16+$AH128+$H$14)*CV128,0)</f>
        <v>0</v>
      </c>
      <c r="CZ128" s="76" t="n">
        <f aca="false">IF($CV128=0,0,OSTRIP($CW128,$AM128,$BJ128-$B$2,$BG128-$BJ128,$BH128-$BJ128,$B$10,$BE128,$AJ128,$AK128,$H$23,$AN128,$DA$34,0))</f>
        <v>0</v>
      </c>
      <c r="DA128" s="76" t="n">
        <f aca="false">IF($CV128=0,0,OSTRIP($CW128,$AM128,$BJ128-$B$2,$BG128-$BJ128,$BH128-$BJ128,$B$10,$BE128,$AJ128,$AK128,$H$23,$AN128,$DA$34,1))</f>
        <v>0</v>
      </c>
      <c r="DB128" s="76" t="n">
        <f aca="false">IF($CV128=0,0,OSTRIP($CW128,$AM128,$BJ128-$B$2,$BG128-$BJ128,$BH128-$BJ128,$B$10,$BE128,$AJ128,$AK128,$H$23,$AN128,$DA$34,DA$35))</f>
        <v>0</v>
      </c>
      <c r="DC128" s="37" t="n">
        <f aca="false">CV128*CZ128</f>
        <v>0</v>
      </c>
      <c r="DD128" s="37" t="n">
        <f aca="false">CV128*DA128</f>
        <v>0</v>
      </c>
      <c r="DE128" s="37" t="n">
        <f aca="false">CV128*DB128</f>
        <v>0</v>
      </c>
      <c r="DF128" s="37" t="n">
        <f aca="false">CV128*AK128</f>
        <v>0</v>
      </c>
    </row>
    <row r="129" customFormat="false" ht="12.75" hidden="false" customHeight="false" outlineLevel="0" collapsed="false">
      <c r="A129" s="62" t="n">
        <f aca="false">DATE(YEAR(A128),MONTH(A128)+1,1)</f>
        <v>40026</v>
      </c>
      <c r="B129" s="63" t="n">
        <f aca="false">VLOOKUP(A129,STRADDLE,5,FALSE())</f>
        <v>3.675</v>
      </c>
      <c r="C129" s="4" t="n">
        <f aca="false">VLOOKUP(A129,STRADDLE,8,FALSE())</f>
        <v>0.2025</v>
      </c>
      <c r="D129" s="63" t="n">
        <f aca="false">IF(D$35="nymex",0,VLOOKUP($A129,curvesettle,HLOOKUP(D$35,curvesettle,2,FALSE())))</f>
        <v>0.35</v>
      </c>
      <c r="E129" s="65" t="n">
        <f aca="false">IF(ISNUMBER(VLOOKUP($A129,VOLCURVES,HLOOKUP(D$35,VOLCURVES,2,FALSE()),FALSE())),VLOOKUP($A129,VOLCURVES,HLOOKUP(D$35,VOLCURVES,2,FALSE()),FALSE()),1)</f>
        <v>0.98</v>
      </c>
      <c r="F129" s="4" t="n">
        <f aca="false">(($C129+H129)*$E129)+B$17</f>
        <v>0.29845</v>
      </c>
      <c r="G129" s="65" t="n">
        <f aca="false">VLOOKUP($A129,GASDVOLCURVES,HLOOKUP(D$36,GASDVOLCURVES,2,FALSE()),FALSE())+$B$18</f>
        <v>0.65</v>
      </c>
      <c r="H129" s="4" t="n">
        <f aca="false">IF($B$20=1,VLOOKUP($A129,skewtable,HLOOKUP(ROUND(I129-BM129,1),skewtable,2,FALSE()),FALSE())/100,0)</f>
        <v>0</v>
      </c>
      <c r="I129" s="66" t="e">
        <f aca="false">IF($B$10=1,($BM129*$B$23)-$B$14,$B$22)</f>
        <v>#DIV/0!</v>
      </c>
      <c r="J129" s="67" t="e">
        <f aca="false">I129-BM129+$B$24</f>
        <v>#DIV/0!</v>
      </c>
      <c r="K129" s="67"/>
      <c r="L129" s="183"/>
      <c r="M129" s="183"/>
      <c r="N129" s="63" t="n">
        <f aca="false">IF(N$35="nymex",0,VLOOKUP($A129,curvesettle,HLOOKUP(N$35,curvesettle,2,FALSE())))</f>
        <v>0.03</v>
      </c>
      <c r="O129" s="65" t="n">
        <f aca="false">IF(ISNUMBER(VLOOKUP($A129,VOLCURVES,HLOOKUP(N$35,VOLCURVES,2,FALSE()),FALSE())),VLOOKUP($A129,VOLCURVES,HLOOKUP(N$35,VOLCURVES,2,FALSE()),FALSE()),1)</f>
        <v>1</v>
      </c>
      <c r="P129" s="184" t="n">
        <f aca="false">(($C129+R129)*O129)+$D$17</f>
        <v>0.2025</v>
      </c>
      <c r="Q129" s="65" t="n">
        <f aca="false">VLOOKUP($A129,GASDVOLCURVES,HLOOKUP(N$36,GASDVOLCURVES,2,FALSE()),FALSE())+$D$18</f>
        <v>0.65</v>
      </c>
      <c r="R129" s="4" t="n">
        <f aca="false">IF($D$20=1,VLOOKUP($A129,skewtable,HLOOKUP(ROUND(S129-BY129,1),skewtable,2,FALSE()),FALSE())/100,0)</f>
        <v>0</v>
      </c>
      <c r="S129" s="66" t="e">
        <f aca="false">IF(B$10=1,($BY129*$D$23)-$D$14,$D$22)</f>
        <v>#DIV/0!</v>
      </c>
      <c r="T129" s="67" t="e">
        <f aca="false">S129-$BY129+$D$24</f>
        <v>#DIV/0!</v>
      </c>
      <c r="U129" s="0"/>
      <c r="V129" s="0"/>
      <c r="W129" s="0"/>
      <c r="X129" s="63" t="n">
        <f aca="false">IF(X$35="nymex",0,VLOOKUP($A129,curvesettle,HLOOKUP(X$35,curvesettle,2,FALSE())))</f>
        <v>0.26</v>
      </c>
      <c r="Y129" s="65" t="n">
        <f aca="false">IF(ISNUMBER(VLOOKUP($A129,VOLCURVES,HLOOKUP(X$35,VOLCURVES,2,FALSE()),FALSE())),VLOOKUP($A129,VOLCURVES,HLOOKUP(X$35,VOLCURVES,2,FALSE()),FALSE()),1)</f>
        <v>1</v>
      </c>
      <c r="Z129" s="184" t="n">
        <f aca="false">(($C129+AB129)*Y129)+$F$17</f>
        <v>0.2025</v>
      </c>
      <c r="AA129" s="65" t="n">
        <f aca="false">VLOOKUP($A129,GASDVOLCURVES,HLOOKUP(X$36,GASDVOLCURVES,2,FALSE()),FALSE())+$F$18</f>
        <v>0.7</v>
      </c>
      <c r="AB129" s="4" t="n">
        <f aca="false">IF($F$20=1,VLOOKUP($A129,skewtable,HLOOKUP(ROUND(AC129-CK129,1),skewtable,2,FALSE()),FALSE())/100,0)</f>
        <v>0</v>
      </c>
      <c r="AC129" s="66" t="e">
        <f aca="false">IF($B$10=1,($CK129*$F$23)-$F$14,$F$22)</f>
        <v>#DIV/0!</v>
      </c>
      <c r="AD129" s="67" t="e">
        <f aca="false">AC129-$CK129+$F$24</f>
        <v>#DIV/0!</v>
      </c>
      <c r="AE129" s="0"/>
      <c r="AF129" s="0"/>
      <c r="AG129" s="0"/>
      <c r="AH129" s="63" t="n">
        <f aca="false">IF(AH$35="nymex",0,VLOOKUP($A129,curvesettle,HLOOKUP(AH$35,curvesettle,2,FALSE())))</f>
        <v>0.41</v>
      </c>
      <c r="AI129" s="65" t="n">
        <f aca="false">IF(ISNUMBER(VLOOKUP($A129,VOLCURVES,HLOOKUP(AH$35,VOLCURVES,2,FALSE()),FALSE())),VLOOKUP($A129,VOLCURVES,HLOOKUP(AH$35,VOLCURVES,2,FALSE()),FALSE()),1)</f>
        <v>1</v>
      </c>
      <c r="AJ129" s="184" t="n">
        <f aca="false">(($C129+AL129)*AI129)+$H$17</f>
        <v>0.2025</v>
      </c>
      <c r="AK129" s="65" t="n">
        <f aca="false">VLOOKUP($A129,GASDVOLCURVES,HLOOKUP(AH$36,GASDVOLCURVES,2,FALSE()),FALSE())+$H$18</f>
        <v>1.1</v>
      </c>
      <c r="AL129" s="4" t="n">
        <f aca="false">IF($H$20=1,VLOOKUP($A129,skewtable,HLOOKUP(ROUND(AM129-CW129,1),skewtable,2,FALSE()),FALSE())/100,0)</f>
        <v>0</v>
      </c>
      <c r="AM129" s="66" t="e">
        <f aca="false">IF($B$10=1,($CW129*$H$23)-$H$14,$H$22)</f>
        <v>#DIV/0!</v>
      </c>
      <c r="AN129" s="67" t="e">
        <f aca="false">AM129-CW129+$H$24</f>
        <v>#DIV/0!</v>
      </c>
      <c r="AO129" s="0"/>
      <c r="AP129" s="0"/>
      <c r="AQ129" s="183"/>
      <c r="AR129" s="183"/>
      <c r="AU129" s="0"/>
      <c r="AV129" s="0"/>
      <c r="AW129" s="0"/>
      <c r="AX129" s="0"/>
      <c r="AY129" s="0"/>
      <c r="AZ129" s="0"/>
      <c r="BA129" s="0"/>
      <c r="BC129" s="64"/>
      <c r="BD129" s="64"/>
      <c r="BE129" s="4" t="n">
        <f aca="false">VLOOKUP($A129,STRADDLE,14,FALSE())</f>
        <v>0.0563370812777757</v>
      </c>
      <c r="BF129" s="72" t="n">
        <f aca="false">A130-A129</f>
        <v>31</v>
      </c>
      <c r="BG129" s="179" t="n">
        <f aca="false">A129+BG$35</f>
        <v>40026</v>
      </c>
      <c r="BH129" s="179" t="n">
        <f aca="false">A130-1</f>
        <v>40056</v>
      </c>
      <c r="BJ129" s="179" t="n">
        <f aca="true">IF(BJ$35=0,TODAY(),IF(BJ$36="NYMEX",VLOOKUP($A129,expiration,2,FALSE())+1,BG129))</f>
        <v>40024</v>
      </c>
      <c r="BK129" s="73"/>
      <c r="BL129" s="73" t="n">
        <f aca="false">IF($A129&gt;=BM$32,IF($A129&lt;=BM$33,$BF129,0),0)</f>
        <v>0</v>
      </c>
      <c r="BM129" s="73" t="e">
        <f aca="false">BO129/BL129</f>
        <v>#DIV/0!</v>
      </c>
      <c r="BN129" s="1" t="n">
        <f aca="false">BL129*($B129+B$15)</f>
        <v>0</v>
      </c>
      <c r="BO129" s="47" t="n">
        <f aca="false">IF(ISNUMBER(((BN129/BL129)+B$16+$D129+$B$14)*BL129),((BN129/BL129)+B$16+$D129+$B$14)*BL129,0)</f>
        <v>0</v>
      </c>
      <c r="BP129" s="76" t="n">
        <f aca="false">IF($BL129=0,0,OSTRIP($BM129,$I129,$BJ129-$B$2,$BG129-$BJ129,$BH129-$BJ129,$B$10,$BE129,$F129,$G129,$B$23,$J129,$BQ$34,0))</f>
        <v>0</v>
      </c>
      <c r="BQ129" s="76" t="n">
        <f aca="false">IF($BL129=0,0,OSTRIP($BM129,$I129,$BJ129-$B$2,$BG129-$BJ129,$BH129-$BJ129,$B$10,$BE129,$F129,$G129,$B$23,$J129,$BQ$34,1))</f>
        <v>0</v>
      </c>
      <c r="BR129" s="76" t="n">
        <f aca="false">IF($BL129=0,0,OSTRIP($BM129,$I129,$BJ129-$B$2,$BG129-$BJ129,$BH129-$BJ129,$B$10,$BE129,$F129,$G129,$B$23,$J129,$BQ$34,BQ$35))</f>
        <v>0</v>
      </c>
      <c r="BS129" s="37" t="n">
        <f aca="false">BL129*BP129</f>
        <v>0</v>
      </c>
      <c r="BT129" s="37" t="n">
        <f aca="false">BL129*BQ129</f>
        <v>0</v>
      </c>
      <c r="BU129" s="37" t="n">
        <f aca="false">BL129*BR129</f>
        <v>0</v>
      </c>
      <c r="BV129" s="37" t="n">
        <f aca="false">BL129*G129</f>
        <v>0</v>
      </c>
      <c r="BX129" s="73" t="n">
        <f aca="false">IF($A129&gt;=BY$32,IF($A129&lt;=BY$33,$BF129,0),0)</f>
        <v>0</v>
      </c>
      <c r="BY129" s="186" t="e">
        <f aca="false">CA129/BX129</f>
        <v>#DIV/0!</v>
      </c>
      <c r="BZ129" s="1" t="n">
        <f aca="false">BX129*($B129+$D$15)</f>
        <v>0</v>
      </c>
      <c r="CA129" s="47" t="n">
        <f aca="false">IF(ISNUMBER(((BZ129/BX129)+$D$16+$N129+$D$14)*BX129),((BZ129/BX129)+$D$16+$N129+$D$14)*BX129,0)</f>
        <v>0</v>
      </c>
      <c r="CB129" s="76" t="n">
        <f aca="false">IF($BX129=0,0,OSTRIP($BY129,$S129,$BJ129-$B$2,$BG129-$BJ129,$BH129-$BJ129,$B$10,$BE129,$P129,$Q129,$D$23,$T129,$CC$34,0))</f>
        <v>0</v>
      </c>
      <c r="CC129" s="76" t="n">
        <f aca="false">IF($BX129=0,0,OSTRIP($BY129,$S129,$BJ129-$B$2,$BG129-$BJ129,$BH129-$BJ129,$B$10,$BE129,$P129,$Q129,$D$23,$T129,$CC$34,1))</f>
        <v>0</v>
      </c>
      <c r="CD129" s="76" t="n">
        <f aca="false">IF($BX129=0,0,OSTRIP($BY129,$S129,$BJ129-$B$2,$BG129-$BJ129,$BH129-$BJ129,$B$10,$BE129,$P129,$Q129,$D$23,$T129,$CC$34,CC$35))</f>
        <v>0</v>
      </c>
      <c r="CE129" s="37" t="n">
        <f aca="false">BX129*CB129</f>
        <v>0</v>
      </c>
      <c r="CF129" s="37" t="n">
        <f aca="false">BX129*CC129</f>
        <v>0</v>
      </c>
      <c r="CG129" s="37" t="n">
        <f aca="false">BX129*CD129</f>
        <v>0</v>
      </c>
      <c r="CH129" s="37" t="n">
        <f aca="false">BX129*Q129</f>
        <v>0</v>
      </c>
      <c r="CJ129" s="73" t="n">
        <f aca="false">IF($A129&gt;=CK$32,IF($A129&lt;=CK$33,$BF129,0),0)</f>
        <v>0</v>
      </c>
      <c r="CK129" s="186" t="e">
        <f aca="false">CM129/CJ129</f>
        <v>#DIV/0!</v>
      </c>
      <c r="CL129" s="1" t="n">
        <f aca="false">CJ129*($B129+$F$15)</f>
        <v>0</v>
      </c>
      <c r="CM129" s="47" t="n">
        <f aca="false">IF(ISNUMBER(((CL129/CJ129)+$F$16+$X129+$F$14)*CJ129),((CL129/CJ129)+$F$16+$X129+$F$14)*CJ129,0)</f>
        <v>0</v>
      </c>
      <c r="CN129" s="76" t="n">
        <f aca="false">IF($CJ129=0,0,OSTRIP($CK129,$AC129,$BJ129-$B$2,$BG129-$BJ129,$BH129-$BJ129,$B$10,$BE129,$Z129,$AA129,$F$23,$AD129,$CO$34,0))</f>
        <v>0</v>
      </c>
      <c r="CO129" s="76" t="n">
        <f aca="false">IF($CJ129=0,0,OSTRIP($CK129,$AC129,$BJ129-$B$2,$BG129-$BJ129,$BH129-$BJ129,$B$10,$BE129,$Z129,$AA129,$F$23,$AD129,$CO$34,1))</f>
        <v>0</v>
      </c>
      <c r="CP129" s="76" t="n">
        <f aca="false">IF($CJ129=0,0,OSTRIP($CK129,$AC129,$BJ129-$B$2,$BG129-$BJ129,$BH129-$BJ129,$B$10,$BE129,$Z129,$AA129,$F$23,$AD129,$CO$34,$CO$35))</f>
        <v>0</v>
      </c>
      <c r="CQ129" s="37" t="n">
        <f aca="false">CJ129*CN129</f>
        <v>0</v>
      </c>
      <c r="CR129" s="37" t="n">
        <f aca="false">CJ129*CO129</f>
        <v>0</v>
      </c>
      <c r="CS129" s="37" t="n">
        <f aca="false">CJ129*CP129</f>
        <v>0</v>
      </c>
      <c r="CT129" s="37" t="n">
        <f aca="false">CJ129*AA129</f>
        <v>0</v>
      </c>
      <c r="CV129" s="73" t="n">
        <f aca="false">IF($A129&gt;=CW$32,IF($A129&lt;=CW$33,$BF129,0),0)</f>
        <v>0</v>
      </c>
      <c r="CW129" s="186" t="e">
        <f aca="false">CY129/CV129</f>
        <v>#DIV/0!</v>
      </c>
      <c r="CX129" s="1" t="n">
        <f aca="false">CV129*($B129+$H$15)</f>
        <v>0</v>
      </c>
      <c r="CY129" s="47" t="n">
        <f aca="false">IF(ISNUMBER(((CX129/CV129)+$H$16+$AH129+$H$14)*CV129),((CX129/CV129)+$H$16+$AH129+$H$14)*CV129,0)</f>
        <v>0</v>
      </c>
      <c r="CZ129" s="76" t="n">
        <f aca="false">IF($CV129=0,0,OSTRIP($CW129,$AM129,$BJ129-$B$2,$BG129-$BJ129,$BH129-$BJ129,$B$10,$BE129,$AJ129,$AK129,$H$23,$AN129,$DA$34,0))</f>
        <v>0</v>
      </c>
      <c r="DA129" s="76" t="n">
        <f aca="false">IF($CV129=0,0,OSTRIP($CW129,$AM129,$BJ129-$B$2,$BG129-$BJ129,$BH129-$BJ129,$B$10,$BE129,$AJ129,$AK129,$H$23,$AN129,$DA$34,1))</f>
        <v>0</v>
      </c>
      <c r="DB129" s="76" t="n">
        <f aca="false">IF($CV129=0,0,OSTRIP($CW129,$AM129,$BJ129-$B$2,$BG129-$BJ129,$BH129-$BJ129,$B$10,$BE129,$AJ129,$AK129,$H$23,$AN129,$DA$34,DA$35))</f>
        <v>0</v>
      </c>
      <c r="DC129" s="37" t="n">
        <f aca="false">CV129*CZ129</f>
        <v>0</v>
      </c>
      <c r="DD129" s="37" t="n">
        <f aca="false">CV129*DA129</f>
        <v>0</v>
      </c>
      <c r="DE129" s="37" t="n">
        <f aca="false">CV129*DB129</f>
        <v>0</v>
      </c>
      <c r="DF129" s="37" t="n">
        <f aca="false">CV129*AK129</f>
        <v>0</v>
      </c>
    </row>
    <row r="130" customFormat="false" ht="12.75" hidden="false" customHeight="false" outlineLevel="0" collapsed="false">
      <c r="A130" s="62" t="n">
        <f aca="false">DATE(YEAR(A129),MONTH(A129)+1,1)</f>
        <v>40057</v>
      </c>
      <c r="B130" s="63" t="n">
        <f aca="false">VLOOKUP(A130,STRADDLE,5,FALSE())</f>
        <v>3.67</v>
      </c>
      <c r="C130" s="4" t="n">
        <f aca="false">VLOOKUP(A130,STRADDLE,8,FALSE())</f>
        <v>0.2025</v>
      </c>
      <c r="D130" s="63" t="n">
        <f aca="false">IF(D$35="nymex",0,VLOOKUP($A130,curvesettle,HLOOKUP(D$35,curvesettle,2,FALSE())))</f>
        <v>0.315</v>
      </c>
      <c r="E130" s="65" t="n">
        <f aca="false">IF(ISNUMBER(VLOOKUP($A130,VOLCURVES,HLOOKUP(D$35,VOLCURVES,2,FALSE()),FALSE())),VLOOKUP($A130,VOLCURVES,HLOOKUP(D$35,VOLCURVES,2,FALSE()),FALSE()),1)</f>
        <v>0.98</v>
      </c>
      <c r="F130" s="4" t="n">
        <f aca="false">(($C130+H130)*$E130)+B$17</f>
        <v>0.29845</v>
      </c>
      <c r="G130" s="65" t="n">
        <f aca="false">VLOOKUP($A130,GASDVOLCURVES,HLOOKUP(D$36,GASDVOLCURVES,2,FALSE()),FALSE())+$B$18</f>
        <v>0.65</v>
      </c>
      <c r="H130" s="4" t="n">
        <f aca="false">IF($B$20=1,VLOOKUP($A130,skewtable,HLOOKUP(ROUND(I130-BM130,1),skewtable,2,FALSE()),FALSE())/100,0)</f>
        <v>0</v>
      </c>
      <c r="I130" s="66" t="e">
        <f aca="false">IF($B$10=1,($BM130*$B$23)-$B$14,$B$22)</f>
        <v>#DIV/0!</v>
      </c>
      <c r="J130" s="67" t="e">
        <f aca="false">I130-BM130+$B$24</f>
        <v>#DIV/0!</v>
      </c>
      <c r="K130" s="67"/>
      <c r="L130" s="183"/>
      <c r="M130" s="183"/>
      <c r="N130" s="63" t="n">
        <f aca="false">IF(N$35="nymex",0,VLOOKUP($A130,curvesettle,HLOOKUP(N$35,curvesettle,2,FALSE())))</f>
        <v>0.0225</v>
      </c>
      <c r="O130" s="65" t="n">
        <f aca="false">IF(ISNUMBER(VLOOKUP($A130,VOLCURVES,HLOOKUP(N$35,VOLCURVES,2,FALSE()),FALSE())),VLOOKUP($A130,VOLCURVES,HLOOKUP(N$35,VOLCURVES,2,FALSE()),FALSE()),1)</f>
        <v>1</v>
      </c>
      <c r="P130" s="184" t="n">
        <f aca="false">(($C130+R130)*O130)+$D$17</f>
        <v>0.2025</v>
      </c>
      <c r="Q130" s="65" t="n">
        <f aca="false">VLOOKUP($A130,GASDVOLCURVES,HLOOKUP(N$36,GASDVOLCURVES,2,FALSE()),FALSE())+$D$18</f>
        <v>0.65</v>
      </c>
      <c r="R130" s="4" t="n">
        <f aca="false">IF($D$20=1,VLOOKUP($A130,skewtable,HLOOKUP(ROUND(S130-BY130,1),skewtable,2,FALSE()),FALSE())/100,0)</f>
        <v>0</v>
      </c>
      <c r="S130" s="66" t="e">
        <f aca="false">IF(B$10=1,($BY130*$D$23)-$D$14,$D$22)</f>
        <v>#DIV/0!</v>
      </c>
      <c r="T130" s="67" t="e">
        <f aca="false">S130-$BY130+$D$24</f>
        <v>#DIV/0!</v>
      </c>
      <c r="U130" s="0"/>
      <c r="V130" s="0"/>
      <c r="W130" s="0"/>
      <c r="X130" s="63" t="n">
        <f aca="false">IF(X$35="nymex",0,VLOOKUP($A130,curvesettle,HLOOKUP(X$35,curvesettle,2,FALSE())))</f>
        <v>0.26</v>
      </c>
      <c r="Y130" s="65" t="n">
        <f aca="false">IF(ISNUMBER(VLOOKUP($A130,VOLCURVES,HLOOKUP(X$35,VOLCURVES,2,FALSE()),FALSE())),VLOOKUP($A130,VOLCURVES,HLOOKUP(X$35,VOLCURVES,2,FALSE()),FALSE()),1)</f>
        <v>1</v>
      </c>
      <c r="Z130" s="184" t="n">
        <f aca="false">(($C130+AB130)*Y130)+$F$17</f>
        <v>0.2025</v>
      </c>
      <c r="AA130" s="65" t="n">
        <f aca="false">VLOOKUP($A130,GASDVOLCURVES,HLOOKUP(X$36,GASDVOLCURVES,2,FALSE()),FALSE())+$F$18</f>
        <v>0.65</v>
      </c>
      <c r="AB130" s="4" t="n">
        <f aca="false">IF($F$20=1,VLOOKUP($A130,skewtable,HLOOKUP(ROUND(AC130-CK130,1),skewtable,2,FALSE()),FALSE())/100,0)</f>
        <v>0</v>
      </c>
      <c r="AC130" s="66" t="e">
        <f aca="false">IF($B$10=1,($CK130*$F$23)-$F$14,$F$22)</f>
        <v>#DIV/0!</v>
      </c>
      <c r="AD130" s="67" t="e">
        <f aca="false">AC130-$CK130+$F$24</f>
        <v>#DIV/0!</v>
      </c>
      <c r="AE130" s="0"/>
      <c r="AF130" s="0"/>
      <c r="AG130" s="0"/>
      <c r="AH130" s="63" t="n">
        <f aca="false">IF(AH$35="nymex",0,VLOOKUP($A130,curvesettle,HLOOKUP(AH$35,curvesettle,2,FALSE())))</f>
        <v>0.36</v>
      </c>
      <c r="AI130" s="65" t="n">
        <f aca="false">IF(ISNUMBER(VLOOKUP($A130,VOLCURVES,HLOOKUP(AH$35,VOLCURVES,2,FALSE()),FALSE())),VLOOKUP($A130,VOLCURVES,HLOOKUP(AH$35,VOLCURVES,2,FALSE()),FALSE()),1)</f>
        <v>1</v>
      </c>
      <c r="AJ130" s="184" t="n">
        <f aca="false">(($C130+AL130)*AI130)+$H$17</f>
        <v>0.2025</v>
      </c>
      <c r="AK130" s="65" t="n">
        <f aca="false">VLOOKUP($A130,GASDVOLCURVES,HLOOKUP(AH$36,GASDVOLCURVES,2,FALSE()),FALSE())+$H$18</f>
        <v>1.1</v>
      </c>
      <c r="AL130" s="4" t="n">
        <f aca="false">IF($H$20=1,VLOOKUP($A130,skewtable,HLOOKUP(ROUND(AM130-CW130,1),skewtable,2,FALSE()),FALSE())/100,0)</f>
        <v>0</v>
      </c>
      <c r="AM130" s="66" t="e">
        <f aca="false">IF($B$10=1,($CW130*$H$23)-$H$14,$H$22)</f>
        <v>#DIV/0!</v>
      </c>
      <c r="AN130" s="67" t="e">
        <f aca="false">AM130-CW130+$H$24</f>
        <v>#DIV/0!</v>
      </c>
      <c r="AO130" s="0"/>
      <c r="AP130" s="0"/>
      <c r="AQ130" s="183"/>
      <c r="AR130" s="183"/>
      <c r="AU130" s="0"/>
      <c r="AV130" s="0"/>
      <c r="AW130" s="0"/>
      <c r="AX130" s="0"/>
      <c r="AY130" s="0"/>
      <c r="AZ130" s="0"/>
      <c r="BA130" s="0"/>
      <c r="BC130" s="64"/>
      <c r="BD130" s="64"/>
      <c r="BE130" s="4" t="n">
        <f aca="false">VLOOKUP($A130,STRADDLE,14,FALSE())</f>
        <v>0.0564405796857548</v>
      </c>
      <c r="BF130" s="72" t="n">
        <f aca="false">A131-A130</f>
        <v>30</v>
      </c>
      <c r="BG130" s="179" t="n">
        <f aca="false">A130+BG$35</f>
        <v>40057</v>
      </c>
      <c r="BH130" s="179" t="n">
        <f aca="false">A131-1</f>
        <v>40086</v>
      </c>
      <c r="BJ130" s="179" t="n">
        <f aca="true">IF(BJ$35=0,TODAY(),IF(BJ$36="NYMEX",VLOOKUP($A130,expiration,2,FALSE())+1,BG130))</f>
        <v>40053</v>
      </c>
      <c r="BK130" s="73"/>
      <c r="BL130" s="73" t="n">
        <f aca="false">IF($A130&gt;=BM$32,IF($A130&lt;=BM$33,$BF130,0),0)</f>
        <v>0</v>
      </c>
      <c r="BM130" s="73" t="e">
        <f aca="false">BO130/BL130</f>
        <v>#DIV/0!</v>
      </c>
      <c r="BN130" s="1" t="n">
        <f aca="false">BL130*($B130+B$15)</f>
        <v>0</v>
      </c>
      <c r="BO130" s="47" t="n">
        <f aca="false">IF(ISNUMBER(((BN130/BL130)+B$16+$D130+$B$14)*BL130),((BN130/BL130)+B$16+$D130+$B$14)*BL130,0)</f>
        <v>0</v>
      </c>
      <c r="BP130" s="76" t="n">
        <f aca="false">IF($BL130=0,0,OSTRIP($BM130,$I130,$BJ130-$B$2,$BG130-$BJ130,$BH130-$BJ130,$B$10,$BE130,$F130,$G130,$B$23,$J130,$BQ$34,0))</f>
        <v>0</v>
      </c>
      <c r="BQ130" s="76" t="n">
        <f aca="false">IF($BL130=0,0,OSTRIP($BM130,$I130,$BJ130-$B$2,$BG130-$BJ130,$BH130-$BJ130,$B$10,$BE130,$F130,$G130,$B$23,$J130,$BQ$34,1))</f>
        <v>0</v>
      </c>
      <c r="BR130" s="76" t="n">
        <f aca="false">IF($BL130=0,0,OSTRIP($BM130,$I130,$BJ130-$B$2,$BG130-$BJ130,$BH130-$BJ130,$B$10,$BE130,$F130,$G130,$B$23,$J130,$BQ$34,BQ$35))</f>
        <v>0</v>
      </c>
      <c r="BS130" s="37" t="n">
        <f aca="false">BL130*BP130</f>
        <v>0</v>
      </c>
      <c r="BT130" s="37" t="n">
        <f aca="false">BL130*BQ130</f>
        <v>0</v>
      </c>
      <c r="BU130" s="37" t="n">
        <f aca="false">BL130*BR130</f>
        <v>0</v>
      </c>
      <c r="BV130" s="37" t="n">
        <f aca="false">BL130*G130</f>
        <v>0</v>
      </c>
      <c r="BX130" s="73" t="n">
        <f aca="false">IF($A130&gt;=BY$32,IF($A130&lt;=BY$33,$BF130,0),0)</f>
        <v>0</v>
      </c>
      <c r="BY130" s="186" t="e">
        <f aca="false">CA130/BX130</f>
        <v>#DIV/0!</v>
      </c>
      <c r="BZ130" s="1" t="n">
        <f aca="false">BX130*($B130+$D$15)</f>
        <v>0</v>
      </c>
      <c r="CA130" s="47" t="n">
        <f aca="false">IF(ISNUMBER(((BZ130/BX130)+$D$16+$N130+$D$14)*BX130),((BZ130/BX130)+$D$16+$N130+$D$14)*BX130,0)</f>
        <v>0</v>
      </c>
      <c r="CB130" s="76" t="n">
        <f aca="false">IF($BX130=0,0,OSTRIP($BY130,$S130,$BJ130-$B$2,$BG130-$BJ130,$BH130-$BJ130,$B$10,$BE130,$P130,$Q130,$D$23,$T130,$CC$34,0))</f>
        <v>0</v>
      </c>
      <c r="CC130" s="76" t="n">
        <f aca="false">IF($BX130=0,0,OSTRIP($BY130,$S130,$BJ130-$B$2,$BG130-$BJ130,$BH130-$BJ130,$B$10,$BE130,$P130,$Q130,$D$23,$T130,$CC$34,1))</f>
        <v>0</v>
      </c>
      <c r="CD130" s="76" t="n">
        <f aca="false">IF($BX130=0,0,OSTRIP($BY130,$S130,$BJ130-$B$2,$BG130-$BJ130,$BH130-$BJ130,$B$10,$BE130,$P130,$Q130,$D$23,$T130,$CC$34,CC$35))</f>
        <v>0</v>
      </c>
      <c r="CE130" s="37" t="n">
        <f aca="false">BX130*CB130</f>
        <v>0</v>
      </c>
      <c r="CF130" s="37" t="n">
        <f aca="false">BX130*CC130</f>
        <v>0</v>
      </c>
      <c r="CG130" s="37" t="n">
        <f aca="false">BX130*CD130</f>
        <v>0</v>
      </c>
      <c r="CH130" s="37" t="n">
        <f aca="false">BX130*Q130</f>
        <v>0</v>
      </c>
      <c r="CJ130" s="73" t="n">
        <f aca="false">IF($A130&gt;=CK$32,IF($A130&lt;=CK$33,$BF130,0),0)</f>
        <v>0</v>
      </c>
      <c r="CK130" s="186" t="e">
        <f aca="false">CM130/CJ130</f>
        <v>#DIV/0!</v>
      </c>
      <c r="CL130" s="1" t="n">
        <f aca="false">CJ130*($B130+$F$15)</f>
        <v>0</v>
      </c>
      <c r="CM130" s="47" t="n">
        <f aca="false">IF(ISNUMBER(((CL130/CJ130)+$F$16+$X130+$F$14)*CJ130),((CL130/CJ130)+$F$16+$X130+$F$14)*CJ130,0)</f>
        <v>0</v>
      </c>
      <c r="CN130" s="76" t="n">
        <f aca="false">IF($CJ130=0,0,OSTRIP($CK130,$AC130,$BJ130-$B$2,$BG130-$BJ130,$BH130-$BJ130,$B$10,$BE130,$Z130,$AA130,$F$23,$AD130,$CO$34,0))</f>
        <v>0</v>
      </c>
      <c r="CO130" s="76" t="n">
        <f aca="false">IF($CJ130=0,0,OSTRIP($CK130,$AC130,$BJ130-$B$2,$BG130-$BJ130,$BH130-$BJ130,$B$10,$BE130,$Z130,$AA130,$F$23,$AD130,$CO$34,1))</f>
        <v>0</v>
      </c>
      <c r="CP130" s="76" t="n">
        <f aca="false">IF($CJ130=0,0,OSTRIP($CK130,$AC130,$BJ130-$B$2,$BG130-$BJ130,$BH130-$BJ130,$B$10,$BE130,$Z130,$AA130,$F$23,$AD130,$CO$34,$CO$35))</f>
        <v>0</v>
      </c>
      <c r="CQ130" s="37" t="n">
        <f aca="false">CJ130*CN130</f>
        <v>0</v>
      </c>
      <c r="CR130" s="37" t="n">
        <f aca="false">CJ130*CO130</f>
        <v>0</v>
      </c>
      <c r="CS130" s="37" t="n">
        <f aca="false">CJ130*CP130</f>
        <v>0</v>
      </c>
      <c r="CT130" s="37" t="n">
        <f aca="false">CJ130*AA130</f>
        <v>0</v>
      </c>
      <c r="CV130" s="73" t="n">
        <f aca="false">IF($A130&gt;=CW$32,IF($A130&lt;=CW$33,$BF130,0),0)</f>
        <v>0</v>
      </c>
      <c r="CW130" s="186" t="e">
        <f aca="false">CY130/CV130</f>
        <v>#DIV/0!</v>
      </c>
      <c r="CX130" s="1" t="n">
        <f aca="false">CV130*($B130+$H$15)</f>
        <v>0</v>
      </c>
      <c r="CY130" s="47" t="n">
        <f aca="false">IF(ISNUMBER(((CX130/CV130)+$H$16+$AH130+$H$14)*CV130),((CX130/CV130)+$H$16+$AH130+$H$14)*CV130,0)</f>
        <v>0</v>
      </c>
      <c r="CZ130" s="76" t="n">
        <f aca="false">IF($CV130=0,0,OSTRIP($CW130,$AM130,$BJ130-$B$2,$BG130-$BJ130,$BH130-$BJ130,$B$10,$BE130,$AJ130,$AK130,$H$23,$AN130,$DA$34,0))</f>
        <v>0</v>
      </c>
      <c r="DA130" s="76" t="n">
        <f aca="false">IF($CV130=0,0,OSTRIP($CW130,$AM130,$BJ130-$B$2,$BG130-$BJ130,$BH130-$BJ130,$B$10,$BE130,$AJ130,$AK130,$H$23,$AN130,$DA$34,1))</f>
        <v>0</v>
      </c>
      <c r="DB130" s="76" t="n">
        <f aca="false">IF($CV130=0,0,OSTRIP($CW130,$AM130,$BJ130-$B$2,$BG130-$BJ130,$BH130-$BJ130,$B$10,$BE130,$AJ130,$AK130,$H$23,$AN130,$DA$34,DA$35))</f>
        <v>0</v>
      </c>
      <c r="DC130" s="37" t="n">
        <f aca="false">CV130*CZ130</f>
        <v>0</v>
      </c>
      <c r="DD130" s="37" t="n">
        <f aca="false">CV130*DA130</f>
        <v>0</v>
      </c>
      <c r="DE130" s="37" t="n">
        <f aca="false">CV130*DB130</f>
        <v>0</v>
      </c>
      <c r="DF130" s="37" t="n">
        <f aca="false">CV130*AK130</f>
        <v>0</v>
      </c>
    </row>
    <row r="131" customFormat="false" ht="12.75" hidden="false" customHeight="false" outlineLevel="0" collapsed="false">
      <c r="A131" s="62" t="n">
        <f aca="false">DATE(YEAR(A130),MONTH(A130)+1,1)</f>
        <v>40087</v>
      </c>
      <c r="B131" s="63" t="n">
        <f aca="false">VLOOKUP(A131,STRADDLE,5,FALSE())</f>
        <v>3.695</v>
      </c>
      <c r="C131" s="4" t="n">
        <f aca="false">VLOOKUP(A131,STRADDLE,8,FALSE())</f>
        <v>0.2025</v>
      </c>
      <c r="D131" s="63" t="n">
        <f aca="false">IF(D$35="nymex",0,VLOOKUP($A131,curvesettle,HLOOKUP(D$35,curvesettle,2,FALSE())))</f>
        <v>0.36</v>
      </c>
      <c r="E131" s="65" t="n">
        <f aca="false">IF(ISNUMBER(VLOOKUP($A131,VOLCURVES,HLOOKUP(D$35,VOLCURVES,2,FALSE()),FALSE())),VLOOKUP($A131,VOLCURVES,HLOOKUP(D$35,VOLCURVES,2,FALSE()),FALSE()),1)</f>
        <v>0.98</v>
      </c>
      <c r="F131" s="4" t="n">
        <f aca="false">(($C131+H131)*$E131)+B$17</f>
        <v>0.29845</v>
      </c>
      <c r="G131" s="65" t="n">
        <f aca="false">VLOOKUP($A131,GASDVOLCURVES,HLOOKUP(D$36,GASDVOLCURVES,2,FALSE()),FALSE())+$B$18</f>
        <v>0.7</v>
      </c>
      <c r="H131" s="4" t="n">
        <f aca="false">IF($B$20=1,VLOOKUP($A131,skewtable,HLOOKUP(ROUND(I131-BM131,1),skewtable,2,FALSE()),FALSE())/100,0)</f>
        <v>0</v>
      </c>
      <c r="I131" s="66" t="e">
        <f aca="false">IF($B$10=1,($BM131*$B$23)-$B$14,$B$22)</f>
        <v>#DIV/0!</v>
      </c>
      <c r="J131" s="67" t="e">
        <f aca="false">I131-BM131+$B$24</f>
        <v>#DIV/0!</v>
      </c>
      <c r="K131" s="67"/>
      <c r="L131" s="183"/>
      <c r="M131" s="183"/>
      <c r="N131" s="63" t="n">
        <f aca="false">IF(N$35="nymex",0,VLOOKUP($A131,curvesettle,HLOOKUP(N$35,curvesettle,2,FALSE())))</f>
        <v>0.0125</v>
      </c>
      <c r="O131" s="65" t="n">
        <f aca="false">IF(ISNUMBER(VLOOKUP($A131,VOLCURVES,HLOOKUP(N$35,VOLCURVES,2,FALSE()),FALSE())),VLOOKUP($A131,VOLCURVES,HLOOKUP(N$35,VOLCURVES,2,FALSE()),FALSE()),1)</f>
        <v>1</v>
      </c>
      <c r="P131" s="184" t="n">
        <f aca="false">(($C131+R131)*O131)+$D$17</f>
        <v>0.2025</v>
      </c>
      <c r="Q131" s="65" t="n">
        <f aca="false">VLOOKUP($A131,GASDVOLCURVES,HLOOKUP(N$36,GASDVOLCURVES,2,FALSE()),FALSE())+$D$18</f>
        <v>0.7</v>
      </c>
      <c r="R131" s="4" t="n">
        <f aca="false">IF($D$20=1,VLOOKUP($A131,skewtable,HLOOKUP(ROUND(S131-BY131,1),skewtable,2,FALSE()),FALSE())/100,0)</f>
        <v>0</v>
      </c>
      <c r="S131" s="66" t="e">
        <f aca="false">IF(B$10=1,($BY131*$D$23)-$D$14,$D$22)</f>
        <v>#DIV/0!</v>
      </c>
      <c r="T131" s="67" t="e">
        <f aca="false">S131-$BY131+$D$24</f>
        <v>#DIV/0!</v>
      </c>
      <c r="U131" s="0"/>
      <c r="V131" s="0"/>
      <c r="W131" s="0"/>
      <c r="X131" s="63" t="n">
        <f aca="false">IF(X$35="nymex",0,VLOOKUP($A131,curvesettle,HLOOKUP(X$35,curvesettle,2,FALSE())))</f>
        <v>0.26</v>
      </c>
      <c r="Y131" s="65" t="n">
        <f aca="false">IF(ISNUMBER(VLOOKUP($A131,VOLCURVES,HLOOKUP(X$35,VOLCURVES,2,FALSE()),FALSE())),VLOOKUP($A131,VOLCURVES,HLOOKUP(X$35,VOLCURVES,2,FALSE()),FALSE()),1)</f>
        <v>1</v>
      </c>
      <c r="Z131" s="184" t="n">
        <f aca="false">(($C131+AB131)*Y131)+$F$17</f>
        <v>0.2025</v>
      </c>
      <c r="AA131" s="65" t="n">
        <f aca="false">VLOOKUP($A131,GASDVOLCURVES,HLOOKUP(X$36,GASDVOLCURVES,2,FALSE()),FALSE())+$F$18</f>
        <v>0.7</v>
      </c>
      <c r="AB131" s="4" t="n">
        <f aca="false">IF($F$20=1,VLOOKUP($A131,skewtable,HLOOKUP(ROUND(AC131-CK131,1),skewtable,2,FALSE()),FALSE())/100,0)</f>
        <v>0</v>
      </c>
      <c r="AC131" s="66" t="e">
        <f aca="false">IF($B$10=1,($CK131*$F$23)-$F$14,$F$22)</f>
        <v>#DIV/0!</v>
      </c>
      <c r="AD131" s="67" t="e">
        <f aca="false">AC131-$CK131+$F$24</f>
        <v>#DIV/0!</v>
      </c>
      <c r="AE131" s="0"/>
      <c r="AF131" s="0"/>
      <c r="AG131" s="0"/>
      <c r="AH131" s="63" t="n">
        <f aca="false">IF(AH$35="nymex",0,VLOOKUP($A131,curvesettle,HLOOKUP(AH$35,curvesettle,2,FALSE())))</f>
        <v>0.4</v>
      </c>
      <c r="AI131" s="65" t="n">
        <f aca="false">IF(ISNUMBER(VLOOKUP($A131,VOLCURVES,HLOOKUP(AH$35,VOLCURVES,2,FALSE()),FALSE())),VLOOKUP($A131,VOLCURVES,HLOOKUP(AH$35,VOLCURVES,2,FALSE()),FALSE()),1)</f>
        <v>1</v>
      </c>
      <c r="AJ131" s="184" t="n">
        <f aca="false">(($C131+AL131)*AI131)+$H$17</f>
        <v>0.2025</v>
      </c>
      <c r="AK131" s="65" t="n">
        <f aca="false">VLOOKUP($A131,GASDVOLCURVES,HLOOKUP(AH$36,GASDVOLCURVES,2,FALSE()),FALSE())+$H$18</f>
        <v>1.15</v>
      </c>
      <c r="AL131" s="4" t="n">
        <f aca="false">IF($H$20=1,VLOOKUP($A131,skewtable,HLOOKUP(ROUND(AM131-CW131,1),skewtable,2,FALSE()),FALSE())/100,0)</f>
        <v>0</v>
      </c>
      <c r="AM131" s="66" t="e">
        <f aca="false">IF($B$10=1,($CW131*$H$23)-$H$14,$H$22)</f>
        <v>#DIV/0!</v>
      </c>
      <c r="AN131" s="67" t="e">
        <f aca="false">AM131-CW131+$H$24</f>
        <v>#DIV/0!</v>
      </c>
      <c r="AO131" s="0"/>
      <c r="AP131" s="0"/>
      <c r="AQ131" s="183"/>
      <c r="AR131" s="183"/>
      <c r="AU131" s="0"/>
      <c r="AV131" s="0"/>
      <c r="AW131" s="0"/>
      <c r="AX131" s="0"/>
      <c r="AY131" s="0"/>
      <c r="AZ131" s="0"/>
      <c r="BA131" s="0"/>
      <c r="BC131" s="64"/>
      <c r="BD131" s="64"/>
      <c r="BE131" s="4" t="n">
        <f aca="false">VLOOKUP($A131,STRADDLE,14,FALSE())</f>
        <v>0.0565407394388062</v>
      </c>
      <c r="BF131" s="72" t="n">
        <f aca="false">A132-A131</f>
        <v>31</v>
      </c>
      <c r="BG131" s="179" t="n">
        <f aca="false">A131+BG$35</f>
        <v>40087</v>
      </c>
      <c r="BH131" s="179" t="n">
        <f aca="false">A132-1</f>
        <v>40117</v>
      </c>
      <c r="BJ131" s="179" t="n">
        <f aca="true">IF(BJ$35=0,TODAY(),IF(BJ$36="NYMEX",VLOOKUP($A131,expiration,2,FALSE())+1,BG131))</f>
        <v>40085</v>
      </c>
      <c r="BK131" s="73"/>
      <c r="BL131" s="73" t="n">
        <f aca="false">IF($A131&gt;=BM$32,IF($A131&lt;=BM$33,$BF131,0),0)</f>
        <v>0</v>
      </c>
      <c r="BM131" s="73" t="e">
        <f aca="false">BO131/BL131</f>
        <v>#DIV/0!</v>
      </c>
      <c r="BN131" s="1" t="n">
        <f aca="false">BL131*($B131+B$15)</f>
        <v>0</v>
      </c>
      <c r="BO131" s="47" t="n">
        <f aca="false">IF(ISNUMBER(((BN131/BL131)+B$16+$D131+$B$14)*BL131),((BN131/BL131)+B$16+$D131+$B$14)*BL131,0)</f>
        <v>0</v>
      </c>
      <c r="BP131" s="76" t="n">
        <f aca="false">IF($BL131=0,0,OSTRIP($BM131,$I131,$BJ131-$B$2,$BG131-$BJ131,$BH131-$BJ131,$B$10,$BE131,$F131,$G131,$B$23,$J131,$BQ$34,0))</f>
        <v>0</v>
      </c>
      <c r="BQ131" s="76" t="n">
        <f aca="false">IF($BL131=0,0,OSTRIP($BM131,$I131,$BJ131-$B$2,$BG131-$BJ131,$BH131-$BJ131,$B$10,$BE131,$F131,$G131,$B$23,$J131,$BQ$34,1))</f>
        <v>0</v>
      </c>
      <c r="BR131" s="76" t="n">
        <f aca="false">IF($BL131=0,0,OSTRIP($BM131,$I131,$BJ131-$B$2,$BG131-$BJ131,$BH131-$BJ131,$B$10,$BE131,$F131,$G131,$B$23,$J131,$BQ$34,BQ$35))</f>
        <v>0</v>
      </c>
      <c r="BS131" s="37" t="n">
        <f aca="false">BL131*BP131</f>
        <v>0</v>
      </c>
      <c r="BT131" s="37" t="n">
        <f aca="false">BL131*BQ131</f>
        <v>0</v>
      </c>
      <c r="BU131" s="37" t="n">
        <f aca="false">BL131*BR131</f>
        <v>0</v>
      </c>
      <c r="BV131" s="37" t="n">
        <f aca="false">BL131*G131</f>
        <v>0</v>
      </c>
      <c r="BX131" s="73" t="n">
        <f aca="false">IF($A131&gt;=BY$32,IF($A131&lt;=BY$33,$BF131,0),0)</f>
        <v>0</v>
      </c>
      <c r="BY131" s="186" t="e">
        <f aca="false">CA131/BX131</f>
        <v>#DIV/0!</v>
      </c>
      <c r="BZ131" s="1" t="n">
        <f aca="false">BX131*($B131+$D$15)</f>
        <v>0</v>
      </c>
      <c r="CA131" s="47" t="n">
        <f aca="false">IF(ISNUMBER(((BZ131/BX131)+$D$16+$N131+$D$14)*BX131),((BZ131/BX131)+$D$16+$N131+$D$14)*BX131,0)</f>
        <v>0</v>
      </c>
      <c r="CB131" s="76" t="n">
        <f aca="false">IF($BX131=0,0,OSTRIP($BY131,$S131,$BJ131-$B$2,$BG131-$BJ131,$BH131-$BJ131,$B$10,$BE131,$P131,$Q131,$D$23,$T131,$CC$34,0))</f>
        <v>0</v>
      </c>
      <c r="CC131" s="76" t="n">
        <f aca="false">IF($BX131=0,0,OSTRIP($BY131,$S131,$BJ131-$B$2,$BG131-$BJ131,$BH131-$BJ131,$B$10,$BE131,$P131,$Q131,$D$23,$T131,$CC$34,1))</f>
        <v>0</v>
      </c>
      <c r="CD131" s="76" t="n">
        <f aca="false">IF($BX131=0,0,OSTRIP($BY131,$S131,$BJ131-$B$2,$BG131-$BJ131,$BH131-$BJ131,$B$10,$BE131,$P131,$Q131,$D$23,$T131,$CC$34,CC$35))</f>
        <v>0</v>
      </c>
      <c r="CE131" s="37" t="n">
        <f aca="false">BX131*CB131</f>
        <v>0</v>
      </c>
      <c r="CF131" s="37" t="n">
        <f aca="false">BX131*CC131</f>
        <v>0</v>
      </c>
      <c r="CG131" s="37" t="n">
        <f aca="false">BX131*CD131</f>
        <v>0</v>
      </c>
      <c r="CH131" s="37" t="n">
        <f aca="false">BX131*Q131</f>
        <v>0</v>
      </c>
      <c r="CJ131" s="73" t="n">
        <f aca="false">IF($A131&gt;=CK$32,IF($A131&lt;=CK$33,$BF131,0),0)</f>
        <v>0</v>
      </c>
      <c r="CK131" s="186" t="e">
        <f aca="false">CM131/CJ131</f>
        <v>#DIV/0!</v>
      </c>
      <c r="CL131" s="1" t="n">
        <f aca="false">CJ131*($B131+$F$15)</f>
        <v>0</v>
      </c>
      <c r="CM131" s="47" t="n">
        <f aca="false">IF(ISNUMBER(((CL131/CJ131)+$F$16+$X131+$F$14)*CJ131),((CL131/CJ131)+$F$16+$X131+$F$14)*CJ131,0)</f>
        <v>0</v>
      </c>
      <c r="CN131" s="76" t="n">
        <f aca="false">IF($CJ131=0,0,OSTRIP($CK131,$AC131,$BJ131-$B$2,$BG131-$BJ131,$BH131-$BJ131,$B$10,$BE131,$Z131,$AA131,$F$23,$AD131,$CO$34,0))</f>
        <v>0</v>
      </c>
      <c r="CO131" s="76" t="n">
        <f aca="false">IF($CJ131=0,0,OSTRIP($CK131,$AC131,$BJ131-$B$2,$BG131-$BJ131,$BH131-$BJ131,$B$10,$BE131,$Z131,$AA131,$F$23,$AD131,$CO$34,1))</f>
        <v>0</v>
      </c>
      <c r="CP131" s="76" t="n">
        <f aca="false">IF($CJ131=0,0,OSTRIP($CK131,$AC131,$BJ131-$B$2,$BG131-$BJ131,$BH131-$BJ131,$B$10,$BE131,$Z131,$AA131,$F$23,$AD131,$CO$34,$CO$35))</f>
        <v>0</v>
      </c>
      <c r="CQ131" s="37" t="n">
        <f aca="false">CJ131*CN131</f>
        <v>0</v>
      </c>
      <c r="CR131" s="37" t="n">
        <f aca="false">CJ131*CO131</f>
        <v>0</v>
      </c>
      <c r="CS131" s="37" t="n">
        <f aca="false">CJ131*CP131</f>
        <v>0</v>
      </c>
      <c r="CT131" s="37" t="n">
        <f aca="false">CJ131*AA131</f>
        <v>0</v>
      </c>
      <c r="CV131" s="73" t="n">
        <f aca="false">IF($A131&gt;=CW$32,IF($A131&lt;=CW$33,$BF131,0),0)</f>
        <v>0</v>
      </c>
      <c r="CW131" s="186" t="e">
        <f aca="false">CY131/CV131</f>
        <v>#DIV/0!</v>
      </c>
      <c r="CX131" s="1" t="n">
        <f aca="false">CV131*($B131+$H$15)</f>
        <v>0</v>
      </c>
      <c r="CY131" s="47" t="n">
        <f aca="false">IF(ISNUMBER(((CX131/CV131)+$H$16+$AH131+$H$14)*CV131),((CX131/CV131)+$H$16+$AH131+$H$14)*CV131,0)</f>
        <v>0</v>
      </c>
      <c r="CZ131" s="76" t="n">
        <f aca="false">IF($CV131=0,0,OSTRIP($CW131,$AM131,$BJ131-$B$2,$BG131-$BJ131,$BH131-$BJ131,$B$10,$BE131,$AJ131,$AK131,$H$23,$AN131,$DA$34,0))</f>
        <v>0</v>
      </c>
      <c r="DA131" s="76" t="n">
        <f aca="false">IF($CV131=0,0,OSTRIP($CW131,$AM131,$BJ131-$B$2,$BG131-$BJ131,$BH131-$BJ131,$B$10,$BE131,$AJ131,$AK131,$H$23,$AN131,$DA$34,1))</f>
        <v>0</v>
      </c>
      <c r="DB131" s="76" t="n">
        <f aca="false">IF($CV131=0,0,OSTRIP($CW131,$AM131,$BJ131-$B$2,$BG131-$BJ131,$BH131-$BJ131,$B$10,$BE131,$AJ131,$AK131,$H$23,$AN131,$DA$34,DA$35))</f>
        <v>0</v>
      </c>
      <c r="DC131" s="37" t="n">
        <f aca="false">CV131*CZ131</f>
        <v>0</v>
      </c>
      <c r="DD131" s="37" t="n">
        <f aca="false">CV131*DA131</f>
        <v>0</v>
      </c>
      <c r="DE131" s="37" t="n">
        <f aca="false">CV131*DB131</f>
        <v>0</v>
      </c>
      <c r="DF131" s="37" t="n">
        <f aca="false">CV131*AK131</f>
        <v>0</v>
      </c>
    </row>
    <row r="132" customFormat="false" ht="12.75" hidden="false" customHeight="false" outlineLevel="0" collapsed="false">
      <c r="A132" s="62" t="n">
        <f aca="false">DATE(YEAR(A131),MONTH(A131)+1,1)</f>
        <v>40118</v>
      </c>
      <c r="B132" s="63" t="n">
        <f aca="false">VLOOKUP(A132,STRADDLE,5,FALSE())</f>
        <v>3.847</v>
      </c>
      <c r="C132" s="4" t="n">
        <f aca="false">VLOOKUP(A132,STRADDLE,8,FALSE())</f>
        <v>0.2025</v>
      </c>
      <c r="D132" s="63" t="n">
        <f aca="false">IF(D$35="nymex",0,VLOOKUP($A132,curvesettle,HLOOKUP(D$35,curvesettle,2,FALSE())))</f>
        <v>0.46</v>
      </c>
      <c r="E132" s="65" t="n">
        <f aca="false">IF(ISNUMBER(VLOOKUP($A132,VOLCURVES,HLOOKUP(D$35,VOLCURVES,2,FALSE()),FALSE())),VLOOKUP($A132,VOLCURVES,HLOOKUP(D$35,VOLCURVES,2,FALSE()),FALSE()),1)</f>
        <v>1.1</v>
      </c>
      <c r="F132" s="4" t="n">
        <f aca="false">(($C132+H132)*$E132)+B$17</f>
        <v>0.32275</v>
      </c>
      <c r="G132" s="65" t="n">
        <f aca="false">VLOOKUP($A132,GASDVOLCURVES,HLOOKUP(D$36,GASDVOLCURVES,2,FALSE()),FALSE())+$B$18</f>
        <v>0.9</v>
      </c>
      <c r="H132" s="4" t="n">
        <f aca="false">IF($B$20=1,VLOOKUP($A132,skewtable,HLOOKUP(ROUND(I132-BM132,1),skewtable,2,FALSE()),FALSE())/100,0)</f>
        <v>0</v>
      </c>
      <c r="I132" s="66" t="e">
        <f aca="false">IF($B$10=1,($BM132*$B$23)-$B$14,$B$22)</f>
        <v>#DIV/0!</v>
      </c>
      <c r="J132" s="67" t="e">
        <f aca="false">I132-BM132+$B$24</f>
        <v>#DIV/0!</v>
      </c>
      <c r="K132" s="67"/>
      <c r="L132" s="183"/>
      <c r="M132" s="183"/>
      <c r="N132" s="63" t="n">
        <f aca="false">IF(N$35="nymex",0,VLOOKUP($A132,curvesettle,HLOOKUP(N$35,curvesettle,2,FALSE())))</f>
        <v>-0.0225</v>
      </c>
      <c r="O132" s="65" t="n">
        <f aca="false">IF(ISNUMBER(VLOOKUP($A132,VOLCURVES,HLOOKUP(N$35,VOLCURVES,2,FALSE()),FALSE())),VLOOKUP($A132,VOLCURVES,HLOOKUP(N$35,VOLCURVES,2,FALSE()),FALSE()),1)</f>
        <v>1</v>
      </c>
      <c r="P132" s="184" t="n">
        <f aca="false">(($C132+R132)*O132)+$D$17</f>
        <v>0.2025</v>
      </c>
      <c r="Q132" s="65" t="n">
        <f aca="false">VLOOKUP($A132,GASDVOLCURVES,HLOOKUP(N$36,GASDVOLCURVES,2,FALSE()),FALSE())+$D$18</f>
        <v>0.9</v>
      </c>
      <c r="R132" s="4" t="n">
        <f aca="false">IF($D$20=1,VLOOKUP($A132,skewtable,HLOOKUP(ROUND(S132-BY132,1),skewtable,2,FALSE()),FALSE())/100,0)</f>
        <v>0</v>
      </c>
      <c r="S132" s="66" t="e">
        <f aca="false">IF(B$10=1,($BY132*$D$23)-$D$14,$D$22)</f>
        <v>#DIV/0!</v>
      </c>
      <c r="T132" s="67" t="e">
        <f aca="false">S132-$BY132+$D$24</f>
        <v>#DIV/0!</v>
      </c>
      <c r="U132" s="0"/>
      <c r="V132" s="0"/>
      <c r="W132" s="0"/>
      <c r="X132" s="63" t="n">
        <f aca="false">IF(X$35="nymex",0,VLOOKUP($A132,curvesettle,HLOOKUP(X$35,curvesettle,2,FALSE())))</f>
        <v>0.24</v>
      </c>
      <c r="Y132" s="65" t="n">
        <f aca="false">IF(ISNUMBER(VLOOKUP($A132,VOLCURVES,HLOOKUP(X$35,VOLCURVES,2,FALSE()),FALSE())),VLOOKUP($A132,VOLCURVES,HLOOKUP(X$35,VOLCURVES,2,FALSE()),FALSE()),1)</f>
        <v>1</v>
      </c>
      <c r="Z132" s="184" t="n">
        <f aca="false">(($C132+AB132)*Y132)+$F$17</f>
        <v>0.2025</v>
      </c>
      <c r="AA132" s="65" t="n">
        <f aca="false">VLOOKUP($A132,GASDVOLCURVES,HLOOKUP(X$36,GASDVOLCURVES,2,FALSE()),FALSE())+$F$18</f>
        <v>0.9</v>
      </c>
      <c r="AB132" s="4" t="n">
        <f aca="false">IF($F$20=1,VLOOKUP($A132,skewtable,HLOOKUP(ROUND(AC132-CK132,1),skewtable,2,FALSE()),FALSE())/100,0)</f>
        <v>0</v>
      </c>
      <c r="AC132" s="66" t="e">
        <f aca="false">IF($B$10=1,($CK132*$F$23)-$F$14,$F$22)</f>
        <v>#DIV/0!</v>
      </c>
      <c r="AD132" s="67" t="e">
        <f aca="false">AC132-$CK132+$F$24</f>
        <v>#DIV/0!</v>
      </c>
      <c r="AE132" s="0"/>
      <c r="AF132" s="0"/>
      <c r="AG132" s="0"/>
      <c r="AH132" s="63" t="n">
        <f aca="false">IF(AH$35="nymex",0,VLOOKUP($A132,curvesettle,HLOOKUP(AH$35,curvesettle,2,FALSE())))</f>
        <v>0.65</v>
      </c>
      <c r="AI132" s="65" t="n">
        <f aca="false">IF(ISNUMBER(VLOOKUP($A132,VOLCURVES,HLOOKUP(AH$35,VOLCURVES,2,FALSE()),FALSE())),VLOOKUP($A132,VOLCURVES,HLOOKUP(AH$35,VOLCURVES,2,FALSE()),FALSE()),1)</f>
        <v>1.1</v>
      </c>
      <c r="AJ132" s="184" t="n">
        <f aca="false">(($C132+AL132)*AI132)+$H$17</f>
        <v>0.22275</v>
      </c>
      <c r="AK132" s="65" t="n">
        <f aca="false">VLOOKUP($A132,GASDVOLCURVES,HLOOKUP(AH$36,GASDVOLCURVES,2,FALSE()),FALSE())+$H$18</f>
        <v>1.45</v>
      </c>
      <c r="AL132" s="4" t="n">
        <f aca="false">IF($H$20=1,VLOOKUP($A132,skewtable,HLOOKUP(ROUND(AM132-CW132,1),skewtable,2,FALSE()),FALSE())/100,0)</f>
        <v>0</v>
      </c>
      <c r="AM132" s="66" t="e">
        <f aca="false">IF($B$10=1,($CW132*$H$23)-$H$14,$H$22)</f>
        <v>#DIV/0!</v>
      </c>
      <c r="AN132" s="67" t="e">
        <f aca="false">AM132-CW132+$H$24</f>
        <v>#DIV/0!</v>
      </c>
      <c r="AO132" s="0"/>
      <c r="AP132" s="0"/>
      <c r="AQ132" s="183"/>
      <c r="AR132" s="183"/>
      <c r="AU132" s="0"/>
      <c r="AV132" s="0"/>
      <c r="AW132" s="0"/>
      <c r="AX132" s="0"/>
      <c r="AY132" s="0"/>
      <c r="AZ132" s="0"/>
      <c r="BA132" s="0"/>
      <c r="BC132" s="64"/>
      <c r="BD132" s="64"/>
      <c r="BE132" s="4" t="n">
        <f aca="false">VLOOKUP($A132,STRADDLE,14,FALSE())</f>
        <v>0.0566442378538001</v>
      </c>
      <c r="BF132" s="72" t="n">
        <f aca="false">A133-A132</f>
        <v>30</v>
      </c>
      <c r="BG132" s="179" t="n">
        <f aca="false">A132+BG$35</f>
        <v>40118</v>
      </c>
      <c r="BH132" s="179" t="n">
        <f aca="false">A133-1</f>
        <v>40147</v>
      </c>
      <c r="BJ132" s="179" t="n">
        <f aca="true">IF(BJ$35=0,TODAY(),IF(BJ$36="NYMEX",VLOOKUP($A132,expiration,2,FALSE())+1,BG132))</f>
        <v>40115</v>
      </c>
      <c r="BK132" s="73"/>
      <c r="BL132" s="73" t="n">
        <f aca="false">IF($A132&gt;=BM$32,IF($A132&lt;=BM$33,$BF132,0),0)</f>
        <v>0</v>
      </c>
      <c r="BM132" s="73" t="e">
        <f aca="false">BO132/BL132</f>
        <v>#DIV/0!</v>
      </c>
      <c r="BN132" s="1" t="n">
        <f aca="false">BL132*($B132+B$15)</f>
        <v>0</v>
      </c>
      <c r="BO132" s="47" t="n">
        <f aca="false">IF(ISNUMBER(((BN132/BL132)+B$16+$D132+$B$14)*BL132),((BN132/BL132)+B$16+$D132+$B$14)*BL132,0)</f>
        <v>0</v>
      </c>
      <c r="BP132" s="76" t="n">
        <f aca="false">IF($BL132=0,0,OSTRIP($BM132,$I132,$BJ132-$B$2,$BG132-$BJ132,$BH132-$BJ132,$B$10,$BE132,$F132,$G132,$B$23,$J132,$BQ$34,0))</f>
        <v>0</v>
      </c>
      <c r="BQ132" s="76" t="n">
        <f aca="false">IF($BL132=0,0,OSTRIP($BM132,$I132,$BJ132-$B$2,$BG132-$BJ132,$BH132-$BJ132,$B$10,$BE132,$F132,$G132,$B$23,$J132,$BQ$34,1))</f>
        <v>0</v>
      </c>
      <c r="BR132" s="76" t="n">
        <f aca="false">IF($BL132=0,0,OSTRIP($BM132,$I132,$BJ132-$B$2,$BG132-$BJ132,$BH132-$BJ132,$B$10,$BE132,$F132,$G132,$B$23,$J132,$BQ$34,BQ$35))</f>
        <v>0</v>
      </c>
      <c r="BS132" s="37" t="n">
        <f aca="false">BL132*BP132</f>
        <v>0</v>
      </c>
      <c r="BT132" s="37" t="n">
        <f aca="false">BL132*BQ132</f>
        <v>0</v>
      </c>
      <c r="BU132" s="37" t="n">
        <f aca="false">BL132*BR132</f>
        <v>0</v>
      </c>
      <c r="BV132" s="37" t="n">
        <f aca="false">BL132*G132</f>
        <v>0</v>
      </c>
      <c r="BX132" s="73" t="n">
        <f aca="false">IF($A132&gt;=BY$32,IF($A132&lt;=BY$33,$BF132,0),0)</f>
        <v>0</v>
      </c>
      <c r="BY132" s="186" t="e">
        <f aca="false">CA132/BX132</f>
        <v>#DIV/0!</v>
      </c>
      <c r="BZ132" s="1" t="n">
        <f aca="false">BX132*($B132+$D$15)</f>
        <v>0</v>
      </c>
      <c r="CA132" s="47" t="n">
        <f aca="false">IF(ISNUMBER(((BZ132/BX132)+$D$16+$N132+$D$14)*BX132),((BZ132/BX132)+$D$16+$N132+$D$14)*BX132,0)</f>
        <v>0</v>
      </c>
      <c r="CB132" s="76" t="n">
        <f aca="false">IF($BX132=0,0,OSTRIP($BY132,$S132,$BJ132-$B$2,$BG132-$BJ132,$BH132-$BJ132,$B$10,$BE132,$P132,$Q132,$D$23,$T132,$CC$34,0))</f>
        <v>0</v>
      </c>
      <c r="CC132" s="76" t="n">
        <f aca="false">IF($BX132=0,0,OSTRIP($BY132,$S132,$BJ132-$B$2,$BG132-$BJ132,$BH132-$BJ132,$B$10,$BE132,$P132,$Q132,$D$23,$T132,$CC$34,1))</f>
        <v>0</v>
      </c>
      <c r="CD132" s="76" t="n">
        <f aca="false">IF($BX132=0,0,OSTRIP($BY132,$S132,$BJ132-$B$2,$BG132-$BJ132,$BH132-$BJ132,$B$10,$BE132,$P132,$Q132,$D$23,$T132,$CC$34,CC$35))</f>
        <v>0</v>
      </c>
      <c r="CE132" s="37" t="n">
        <f aca="false">BX132*CB132</f>
        <v>0</v>
      </c>
      <c r="CF132" s="37" t="n">
        <f aca="false">BX132*CC132</f>
        <v>0</v>
      </c>
      <c r="CG132" s="37" t="n">
        <f aca="false">BX132*CD132</f>
        <v>0</v>
      </c>
      <c r="CH132" s="37" t="n">
        <f aca="false">BX132*Q132</f>
        <v>0</v>
      </c>
      <c r="CJ132" s="73" t="n">
        <f aca="false">IF($A132&gt;=CK$32,IF($A132&lt;=CK$33,$BF132,0),0)</f>
        <v>0</v>
      </c>
      <c r="CK132" s="186" t="e">
        <f aca="false">CM132/CJ132</f>
        <v>#DIV/0!</v>
      </c>
      <c r="CL132" s="1" t="n">
        <f aca="false">CJ132*($B132+$F$15)</f>
        <v>0</v>
      </c>
      <c r="CM132" s="47" t="n">
        <f aca="false">IF(ISNUMBER(((CL132/CJ132)+$F$16+$X132+$F$14)*CJ132),((CL132/CJ132)+$F$16+$X132+$F$14)*CJ132,0)</f>
        <v>0</v>
      </c>
      <c r="CN132" s="76" t="n">
        <f aca="false">IF($CJ132=0,0,OSTRIP($CK132,$AC132,$BJ132-$B$2,$BG132-$BJ132,$BH132-$BJ132,$B$10,$BE132,$Z132,$AA132,$F$23,$AD132,$CO$34,0))</f>
        <v>0</v>
      </c>
      <c r="CO132" s="76" t="n">
        <f aca="false">IF($CJ132=0,0,OSTRIP($CK132,$AC132,$BJ132-$B$2,$BG132-$BJ132,$BH132-$BJ132,$B$10,$BE132,$Z132,$AA132,$F$23,$AD132,$CO$34,1))</f>
        <v>0</v>
      </c>
      <c r="CP132" s="76" t="n">
        <f aca="false">IF($CJ132=0,0,OSTRIP($CK132,$AC132,$BJ132-$B$2,$BG132-$BJ132,$BH132-$BJ132,$B$10,$BE132,$Z132,$AA132,$F$23,$AD132,$CO$34,$CO$35))</f>
        <v>0</v>
      </c>
      <c r="CQ132" s="37" t="n">
        <f aca="false">CJ132*CN132</f>
        <v>0</v>
      </c>
      <c r="CR132" s="37" t="n">
        <f aca="false">CJ132*CO132</f>
        <v>0</v>
      </c>
      <c r="CS132" s="37" t="n">
        <f aca="false">CJ132*CP132</f>
        <v>0</v>
      </c>
      <c r="CT132" s="37" t="n">
        <f aca="false">CJ132*AA132</f>
        <v>0</v>
      </c>
      <c r="CV132" s="73" t="n">
        <f aca="false">IF($A132&gt;=CW$32,IF($A132&lt;=CW$33,$BF132,0),0)</f>
        <v>0</v>
      </c>
      <c r="CW132" s="186" t="e">
        <f aca="false">CY132/CV132</f>
        <v>#DIV/0!</v>
      </c>
      <c r="CX132" s="1" t="n">
        <f aca="false">CV132*($B132+$H$15)</f>
        <v>0</v>
      </c>
      <c r="CY132" s="47" t="n">
        <f aca="false">IF(ISNUMBER(((CX132/CV132)+$H$16+$AH132+$H$14)*CV132),((CX132/CV132)+$H$16+$AH132+$H$14)*CV132,0)</f>
        <v>0</v>
      </c>
      <c r="CZ132" s="76" t="n">
        <f aca="false">IF($CV132=0,0,OSTRIP($CW132,$AM132,$BJ132-$B$2,$BG132-$BJ132,$BH132-$BJ132,$B$10,$BE132,$AJ132,$AK132,$H$23,$AN132,$DA$34,0))</f>
        <v>0</v>
      </c>
      <c r="DA132" s="76" t="n">
        <f aca="false">IF($CV132=0,0,OSTRIP($CW132,$AM132,$BJ132-$B$2,$BG132-$BJ132,$BH132-$BJ132,$B$10,$BE132,$AJ132,$AK132,$H$23,$AN132,$DA$34,1))</f>
        <v>0</v>
      </c>
      <c r="DB132" s="76" t="n">
        <f aca="false">IF($CV132=0,0,OSTRIP($CW132,$AM132,$BJ132-$B$2,$BG132-$BJ132,$BH132-$BJ132,$B$10,$BE132,$AJ132,$AK132,$H$23,$AN132,$DA$34,DA$35))</f>
        <v>0</v>
      </c>
      <c r="DC132" s="37" t="n">
        <f aca="false">CV132*CZ132</f>
        <v>0</v>
      </c>
      <c r="DD132" s="37" t="n">
        <f aca="false">CV132*DA132</f>
        <v>0</v>
      </c>
      <c r="DE132" s="37" t="n">
        <f aca="false">CV132*DB132</f>
        <v>0</v>
      </c>
      <c r="DF132" s="37" t="n">
        <f aca="false">CV132*AK132</f>
        <v>0</v>
      </c>
    </row>
    <row r="133" customFormat="false" ht="12.75" hidden="false" customHeight="false" outlineLevel="0" collapsed="false">
      <c r="A133" s="62" t="n">
        <f aca="false">DATE(YEAR(A132),MONTH(A132)+1,1)</f>
        <v>40148</v>
      </c>
      <c r="B133" s="63" t="n">
        <f aca="false">VLOOKUP(A133,STRADDLE,5,FALSE())</f>
        <v>3.99</v>
      </c>
      <c r="C133" s="4" t="n">
        <f aca="false">VLOOKUP(A133,STRADDLE,8,FALSE())</f>
        <v>0.2025</v>
      </c>
      <c r="D133" s="63" t="n">
        <f aca="false">IF(D$35="nymex",0,VLOOKUP($A133,curvesettle,HLOOKUP(D$35,curvesettle,2,FALSE())))</f>
        <v>0.77</v>
      </c>
      <c r="E133" s="65" t="n">
        <f aca="false">IF(ISNUMBER(VLOOKUP($A133,VOLCURVES,HLOOKUP(D$35,VOLCURVES,2,FALSE()),FALSE())),VLOOKUP($A133,VOLCURVES,HLOOKUP(D$35,VOLCURVES,2,FALSE()),FALSE()),1)</f>
        <v>1.1</v>
      </c>
      <c r="F133" s="4" t="n">
        <f aca="false">(($C133+H133)*$E133)+B$17</f>
        <v>0.32275</v>
      </c>
      <c r="G133" s="65" t="n">
        <f aca="false">VLOOKUP($A133,GASDVOLCURVES,HLOOKUP(D$36,GASDVOLCURVES,2,FALSE()),FALSE())+$B$18</f>
        <v>1.1</v>
      </c>
      <c r="H133" s="4" t="n">
        <f aca="false">IF($B$20=1,VLOOKUP($A133,skewtable,HLOOKUP(ROUND(I133-BM133,1),skewtable,2,FALSE()),FALSE())/100,0)</f>
        <v>0</v>
      </c>
      <c r="I133" s="66" t="e">
        <f aca="false">IF($B$10=1,($BM133*$B$23)-$B$14,$B$22)</f>
        <v>#DIV/0!</v>
      </c>
      <c r="J133" s="67" t="e">
        <f aca="false">I133-BM133+$B$24</f>
        <v>#DIV/0!</v>
      </c>
      <c r="K133" s="67"/>
      <c r="L133" s="183"/>
      <c r="M133" s="183"/>
      <c r="N133" s="63" t="n">
        <f aca="false">IF(N$35="nymex",0,VLOOKUP($A133,curvesettle,HLOOKUP(N$35,curvesettle,2,FALSE())))</f>
        <v>-0.045</v>
      </c>
      <c r="O133" s="65" t="n">
        <f aca="false">IF(ISNUMBER(VLOOKUP($A133,VOLCURVES,HLOOKUP(N$35,VOLCURVES,2,FALSE()),FALSE())),VLOOKUP($A133,VOLCURVES,HLOOKUP(N$35,VOLCURVES,2,FALSE()),FALSE()),1)</f>
        <v>1</v>
      </c>
      <c r="P133" s="184" t="n">
        <f aca="false">(($C133+R133)*O133)+$D$17</f>
        <v>0.2025</v>
      </c>
      <c r="Q133" s="65" t="n">
        <f aca="false">VLOOKUP($A133,GASDVOLCURVES,HLOOKUP(N$36,GASDVOLCURVES,2,FALSE()),FALSE())+$D$18</f>
        <v>1.1</v>
      </c>
      <c r="R133" s="4" t="n">
        <f aca="false">IF($D$20=1,VLOOKUP($A133,skewtable,HLOOKUP(ROUND(S133-BY133,1),skewtable,2,FALSE()),FALSE())/100,0)</f>
        <v>0</v>
      </c>
      <c r="S133" s="66" t="e">
        <f aca="false">IF(B$10=1,($BY133*$D$23)-$D$14,$D$22)</f>
        <v>#DIV/0!</v>
      </c>
      <c r="T133" s="67" t="e">
        <f aca="false">S133-$BY133+$D$24</f>
        <v>#DIV/0!</v>
      </c>
      <c r="U133" s="0"/>
      <c r="V133" s="0"/>
      <c r="W133" s="0"/>
      <c r="X133" s="63" t="n">
        <f aca="false">IF(X$35="nymex",0,VLOOKUP($A133,curvesettle,HLOOKUP(X$35,curvesettle,2,FALSE())))</f>
        <v>0.24</v>
      </c>
      <c r="Y133" s="65" t="n">
        <f aca="false">IF(ISNUMBER(VLOOKUP($A133,VOLCURVES,HLOOKUP(X$35,VOLCURVES,2,FALSE()),FALSE())),VLOOKUP($A133,VOLCURVES,HLOOKUP(X$35,VOLCURVES,2,FALSE()),FALSE()),1)</f>
        <v>1</v>
      </c>
      <c r="Z133" s="184" t="n">
        <f aca="false">(($C133+AB133)*Y133)+$F$17</f>
        <v>0.2025</v>
      </c>
      <c r="AA133" s="65" t="n">
        <f aca="false">VLOOKUP($A133,GASDVOLCURVES,HLOOKUP(X$36,GASDVOLCURVES,2,FALSE()),FALSE())+$F$18</f>
        <v>1.1</v>
      </c>
      <c r="AB133" s="4" t="n">
        <f aca="false">IF($F$20=1,VLOOKUP($A133,skewtable,HLOOKUP(ROUND(AC133-CK133,1),skewtable,2,FALSE()),FALSE())/100,0)</f>
        <v>0</v>
      </c>
      <c r="AC133" s="66" t="e">
        <f aca="false">IF($B$10=1,($CK133*$F$23)-$F$14,$F$22)</f>
        <v>#DIV/0!</v>
      </c>
      <c r="AD133" s="67" t="e">
        <f aca="false">AC133-$CK133+$F$24</f>
        <v>#DIV/0!</v>
      </c>
      <c r="AE133" s="0"/>
      <c r="AF133" s="0"/>
      <c r="AG133" s="0"/>
      <c r="AH133" s="63" t="n">
        <f aca="false">IF(AH$35="nymex",0,VLOOKUP($A133,curvesettle,HLOOKUP(AH$35,curvesettle,2,FALSE())))</f>
        <v>0.98</v>
      </c>
      <c r="AI133" s="65" t="n">
        <f aca="false">IF(ISNUMBER(VLOOKUP($A133,VOLCURVES,HLOOKUP(AH$35,VOLCURVES,2,FALSE()),FALSE())),VLOOKUP($A133,VOLCURVES,HLOOKUP(AH$35,VOLCURVES,2,FALSE()),FALSE()),1)</f>
        <v>1.02</v>
      </c>
      <c r="AJ133" s="184" t="n">
        <f aca="false">(($C133+AL133)*AI133)+$H$17</f>
        <v>0.20655</v>
      </c>
      <c r="AK133" s="65" t="n">
        <f aca="false">VLOOKUP($A133,GASDVOLCURVES,HLOOKUP(AH$36,GASDVOLCURVES,2,FALSE()),FALSE())+$H$18</f>
        <v>1.75</v>
      </c>
      <c r="AL133" s="4" t="n">
        <f aca="false">IF($H$20=1,VLOOKUP($A133,skewtable,HLOOKUP(ROUND(AM133-CW133,1),skewtable,2,FALSE()),FALSE())/100,0)</f>
        <v>0</v>
      </c>
      <c r="AM133" s="66" t="e">
        <f aca="false">IF($B$10=1,($CW133*$H$23)-$H$14,$H$22)</f>
        <v>#DIV/0!</v>
      </c>
      <c r="AN133" s="67" t="e">
        <f aca="false">AM133-CW133+$H$24</f>
        <v>#DIV/0!</v>
      </c>
      <c r="AO133" s="0"/>
      <c r="AP133" s="0"/>
      <c r="AQ133" s="183"/>
      <c r="AR133" s="183"/>
      <c r="AU133" s="0"/>
      <c r="AV133" s="0"/>
      <c r="AW133" s="0"/>
      <c r="AX133" s="0"/>
      <c r="AY133" s="0"/>
      <c r="AZ133" s="0"/>
      <c r="BA133" s="0"/>
      <c r="BC133" s="64"/>
      <c r="BD133" s="64"/>
      <c r="BE133" s="4" t="n">
        <f aca="false">VLOOKUP($A133,STRADDLE,14,FALSE())</f>
        <v>0.0567443976136408</v>
      </c>
      <c r="BF133" s="72" t="n">
        <f aca="false">A134-A133</f>
        <v>31</v>
      </c>
      <c r="BG133" s="179" t="n">
        <f aca="false">A133+BG$35</f>
        <v>40148</v>
      </c>
      <c r="BH133" s="179" t="n">
        <f aca="false">A134-1</f>
        <v>40178</v>
      </c>
      <c r="BJ133" s="179" t="n">
        <f aca="true">IF(BJ$35=0,TODAY(),IF(BJ$36="NYMEX",VLOOKUP($A133,expiration,2,FALSE())+1,BG133))</f>
        <v>40143</v>
      </c>
      <c r="BK133" s="73"/>
      <c r="BL133" s="73" t="n">
        <f aca="false">IF($A133&gt;=BM$32,IF($A133&lt;=BM$33,$BF133,0),0)</f>
        <v>0</v>
      </c>
      <c r="BM133" s="73" t="e">
        <f aca="false">BO133/BL133</f>
        <v>#DIV/0!</v>
      </c>
      <c r="BN133" s="1" t="n">
        <f aca="false">BL133*($B133+B$15)</f>
        <v>0</v>
      </c>
      <c r="BO133" s="47" t="n">
        <f aca="false">IF(ISNUMBER(((BN133/BL133)+B$16+$D133+$B$14)*BL133),((BN133/BL133)+B$16+$D133+$B$14)*BL133,0)</f>
        <v>0</v>
      </c>
      <c r="BP133" s="76" t="n">
        <f aca="false">IF($BL133=0,0,OSTRIP($BM133,$I133,$BJ133-$B$2,$BG133-$BJ133,$BH133-$BJ133,$B$10,$BE133,$F133,$G133,$B$23,$J133,$BQ$34,0))</f>
        <v>0</v>
      </c>
      <c r="BQ133" s="76" t="n">
        <f aca="false">IF($BL133=0,0,OSTRIP($BM133,$I133,$BJ133-$B$2,$BG133-$BJ133,$BH133-$BJ133,$B$10,$BE133,$F133,$G133,$B$23,$J133,$BQ$34,1))</f>
        <v>0</v>
      </c>
      <c r="BR133" s="76" t="n">
        <f aca="false">IF($BL133=0,0,OSTRIP($BM133,$I133,$BJ133-$B$2,$BG133-$BJ133,$BH133-$BJ133,$B$10,$BE133,$F133,$G133,$B$23,$J133,$BQ$34,BQ$35))</f>
        <v>0</v>
      </c>
      <c r="BS133" s="37" t="n">
        <f aca="false">BL133*BP133</f>
        <v>0</v>
      </c>
      <c r="BT133" s="37" t="n">
        <f aca="false">BL133*BQ133</f>
        <v>0</v>
      </c>
      <c r="BU133" s="37" t="n">
        <f aca="false">BL133*BR133</f>
        <v>0</v>
      </c>
      <c r="BV133" s="37" t="n">
        <f aca="false">BL133*G133</f>
        <v>0</v>
      </c>
      <c r="BX133" s="73" t="n">
        <f aca="false">IF($A133&gt;=BY$32,IF($A133&lt;=BY$33,$BF133,0),0)</f>
        <v>0</v>
      </c>
      <c r="BY133" s="186" t="e">
        <f aca="false">CA133/BX133</f>
        <v>#DIV/0!</v>
      </c>
      <c r="BZ133" s="1" t="n">
        <f aca="false">BX133*($B133+$D$15)</f>
        <v>0</v>
      </c>
      <c r="CA133" s="47" t="n">
        <f aca="false">IF(ISNUMBER(((BZ133/BX133)+$D$16+$N133+$D$14)*BX133),((BZ133/BX133)+$D$16+$N133+$D$14)*BX133,0)</f>
        <v>0</v>
      </c>
      <c r="CB133" s="76" t="n">
        <f aca="false">IF($BX133=0,0,OSTRIP($BY133,$S133,$BJ133-$B$2,$BG133-$BJ133,$BH133-$BJ133,$B$10,$BE133,$P133,$Q133,$D$23,$T133,$CC$34,0))</f>
        <v>0</v>
      </c>
      <c r="CC133" s="76" t="n">
        <f aca="false">IF($BX133=0,0,OSTRIP($BY133,$S133,$BJ133-$B$2,$BG133-$BJ133,$BH133-$BJ133,$B$10,$BE133,$P133,$Q133,$D$23,$T133,$CC$34,1))</f>
        <v>0</v>
      </c>
      <c r="CD133" s="76" t="n">
        <f aca="false">IF($BX133=0,0,OSTRIP($BY133,$S133,$BJ133-$B$2,$BG133-$BJ133,$BH133-$BJ133,$B$10,$BE133,$P133,$Q133,$D$23,$T133,$CC$34,CC$35))</f>
        <v>0</v>
      </c>
      <c r="CE133" s="37" t="n">
        <f aca="false">BX133*CB133</f>
        <v>0</v>
      </c>
      <c r="CF133" s="37" t="n">
        <f aca="false">BX133*CC133</f>
        <v>0</v>
      </c>
      <c r="CG133" s="37" t="n">
        <f aca="false">BX133*CD133</f>
        <v>0</v>
      </c>
      <c r="CH133" s="37" t="n">
        <f aca="false">BX133*Q133</f>
        <v>0</v>
      </c>
      <c r="CJ133" s="73" t="n">
        <f aca="false">IF($A133&gt;=CK$32,IF($A133&lt;=CK$33,$BF133,0),0)</f>
        <v>0</v>
      </c>
      <c r="CK133" s="186" t="e">
        <f aca="false">CM133/CJ133</f>
        <v>#DIV/0!</v>
      </c>
      <c r="CL133" s="1" t="n">
        <f aca="false">CJ133*($B133+$F$15)</f>
        <v>0</v>
      </c>
      <c r="CM133" s="47" t="n">
        <f aca="false">IF(ISNUMBER(((CL133/CJ133)+$F$16+$X133+$F$14)*CJ133),((CL133/CJ133)+$F$16+$X133+$F$14)*CJ133,0)</f>
        <v>0</v>
      </c>
      <c r="CN133" s="76" t="n">
        <f aca="false">IF($CJ133=0,0,OSTRIP($CK133,$AC133,$BJ133-$B$2,$BG133-$BJ133,$BH133-$BJ133,$B$10,$BE133,$Z133,$AA133,$F$23,$AD133,$CO$34,0))</f>
        <v>0</v>
      </c>
      <c r="CO133" s="76" t="n">
        <f aca="false">IF($CJ133=0,0,OSTRIP($CK133,$AC133,$BJ133-$B$2,$BG133-$BJ133,$BH133-$BJ133,$B$10,$BE133,$Z133,$AA133,$F$23,$AD133,$CO$34,1))</f>
        <v>0</v>
      </c>
      <c r="CP133" s="76" t="n">
        <f aca="false">IF($CJ133=0,0,OSTRIP($CK133,$AC133,$BJ133-$B$2,$BG133-$BJ133,$BH133-$BJ133,$B$10,$BE133,$Z133,$AA133,$F$23,$AD133,$CO$34,$CO$35))</f>
        <v>0</v>
      </c>
      <c r="CQ133" s="37" t="n">
        <f aca="false">CJ133*CN133</f>
        <v>0</v>
      </c>
      <c r="CR133" s="37" t="n">
        <f aca="false">CJ133*CO133</f>
        <v>0</v>
      </c>
      <c r="CS133" s="37" t="n">
        <f aca="false">CJ133*CP133</f>
        <v>0</v>
      </c>
      <c r="CT133" s="37" t="n">
        <f aca="false">CJ133*AA133</f>
        <v>0</v>
      </c>
      <c r="CV133" s="73" t="n">
        <f aca="false">IF($A133&gt;=CW$32,IF($A133&lt;=CW$33,$BF133,0),0)</f>
        <v>0</v>
      </c>
      <c r="CW133" s="186" t="e">
        <f aca="false">CY133/CV133</f>
        <v>#DIV/0!</v>
      </c>
      <c r="CX133" s="1" t="n">
        <f aca="false">CV133*($B133+$H$15)</f>
        <v>0</v>
      </c>
      <c r="CY133" s="47" t="n">
        <f aca="false">IF(ISNUMBER(((CX133/CV133)+$H$16+$AH133+$H$14)*CV133),((CX133/CV133)+$H$16+$AH133+$H$14)*CV133,0)</f>
        <v>0</v>
      </c>
      <c r="CZ133" s="76" t="n">
        <f aca="false">IF($CV133=0,0,OSTRIP($CW133,$AM133,$BJ133-$B$2,$BG133-$BJ133,$BH133-$BJ133,$B$10,$BE133,$AJ133,$AK133,$H$23,$AN133,$DA$34,0))</f>
        <v>0</v>
      </c>
      <c r="DA133" s="76" t="n">
        <f aca="false">IF($CV133=0,0,OSTRIP($CW133,$AM133,$BJ133-$B$2,$BG133-$BJ133,$BH133-$BJ133,$B$10,$BE133,$AJ133,$AK133,$H$23,$AN133,$DA$34,1))</f>
        <v>0</v>
      </c>
      <c r="DB133" s="76" t="n">
        <f aca="false">IF($CV133=0,0,OSTRIP($CW133,$AM133,$BJ133-$B$2,$BG133-$BJ133,$BH133-$BJ133,$B$10,$BE133,$AJ133,$AK133,$H$23,$AN133,$DA$34,DA$35))</f>
        <v>0</v>
      </c>
      <c r="DC133" s="37" t="n">
        <f aca="false">CV133*CZ133</f>
        <v>0</v>
      </c>
      <c r="DD133" s="37" t="n">
        <f aca="false">CV133*DA133</f>
        <v>0</v>
      </c>
      <c r="DE133" s="37" t="n">
        <f aca="false">CV133*DB133</f>
        <v>0</v>
      </c>
      <c r="DF133" s="37" t="n">
        <f aca="false">CV133*AK133</f>
        <v>0</v>
      </c>
    </row>
    <row r="134" customFormat="false" ht="12.75" hidden="false" customHeight="false" outlineLevel="0" collapsed="false">
      <c r="A134" s="62" t="n">
        <f aca="false">DATE(YEAR(A133),MONTH(A133)+1,1)</f>
        <v>40179</v>
      </c>
      <c r="B134" s="63" t="n">
        <f aca="false">VLOOKUP(A134,STRADDLE,5,FALSE())</f>
        <v>4.045</v>
      </c>
      <c r="C134" s="4" t="n">
        <f aca="false">VLOOKUP(A134,STRADDLE,8,FALSE())</f>
        <v>0.2025</v>
      </c>
      <c r="D134" s="63" t="n">
        <f aca="false">IF(D$35="nymex",0,VLOOKUP($A134,curvesettle,HLOOKUP(D$35,curvesettle,2,FALSE())))</f>
        <v>1.04</v>
      </c>
      <c r="E134" s="65" t="n">
        <f aca="false">IF(ISNUMBER(VLOOKUP($A134,VOLCURVES,HLOOKUP(D$35,VOLCURVES,2,FALSE()),FALSE())),VLOOKUP($A134,VOLCURVES,HLOOKUP(D$35,VOLCURVES,2,FALSE()),FALSE()),1)</f>
        <v>1.1</v>
      </c>
      <c r="F134" s="4" t="n">
        <f aca="false">(($C134+H134)*$E134)+B$17</f>
        <v>0.32275</v>
      </c>
      <c r="G134" s="65" t="n">
        <f aca="false">VLOOKUP($A134,GASDVOLCURVES,HLOOKUP(D$36,GASDVOLCURVES,2,FALSE()),FALSE())+$B$18</f>
        <v>1.1</v>
      </c>
      <c r="H134" s="4" t="n">
        <f aca="false">IF($B$20=1,VLOOKUP($A134,skewtable,HLOOKUP(ROUND(I134-BM134,1),skewtable,2,FALSE()),FALSE())/100,0)</f>
        <v>0</v>
      </c>
      <c r="I134" s="66" t="e">
        <f aca="false">IF($B$10=1,($BM134*$B$23)-$B$14,$B$22)</f>
        <v>#DIV/0!</v>
      </c>
      <c r="J134" s="67" t="e">
        <f aca="false">I134-BM134+$B$24</f>
        <v>#DIV/0!</v>
      </c>
      <c r="K134" s="67"/>
      <c r="L134" s="183"/>
      <c r="M134" s="183"/>
      <c r="N134" s="63" t="n">
        <f aca="false">IF(N$35="nymex",0,VLOOKUP($A134,curvesettle,HLOOKUP(N$35,curvesettle,2,FALSE())))</f>
        <v>-0.0475</v>
      </c>
      <c r="O134" s="65" t="n">
        <f aca="false">IF(ISNUMBER(VLOOKUP($A134,VOLCURVES,HLOOKUP(N$35,VOLCURVES,2,FALSE()),FALSE())),VLOOKUP($A134,VOLCURVES,HLOOKUP(N$35,VOLCURVES,2,FALSE()),FALSE()),1)</f>
        <v>1</v>
      </c>
      <c r="P134" s="184" t="n">
        <f aca="false">(($C134+R134)*O134)+$D$17</f>
        <v>0.2025</v>
      </c>
      <c r="Q134" s="65" t="n">
        <f aca="false">VLOOKUP($A134,GASDVOLCURVES,HLOOKUP(N$36,GASDVOLCURVES,2,FALSE()),FALSE())+$D$18</f>
        <v>1.1</v>
      </c>
      <c r="R134" s="4" t="n">
        <f aca="false">IF($D$20=1,VLOOKUP($A134,skewtable,HLOOKUP(ROUND(S134-BY134,1),skewtable,2,FALSE()),FALSE())/100,0)</f>
        <v>0</v>
      </c>
      <c r="S134" s="66" t="e">
        <f aca="false">IF(B$10=1,($BY134*$D$23)-$D$14,$D$22)</f>
        <v>#DIV/0!</v>
      </c>
      <c r="T134" s="67" t="e">
        <f aca="false">S134-$BY134+$D$24</f>
        <v>#DIV/0!</v>
      </c>
      <c r="U134" s="0"/>
      <c r="V134" s="0"/>
      <c r="W134" s="0"/>
      <c r="X134" s="63" t="n">
        <f aca="false">IF(X$35="nymex",0,VLOOKUP($A134,curvesettle,HLOOKUP(X$35,curvesettle,2,FALSE())))</f>
        <v>0.24</v>
      </c>
      <c r="Y134" s="65" t="n">
        <f aca="false">IF(ISNUMBER(VLOOKUP($A134,VOLCURVES,HLOOKUP(X$35,VOLCURVES,2,FALSE()),FALSE())),VLOOKUP($A134,VOLCURVES,HLOOKUP(X$35,VOLCURVES,2,FALSE()),FALSE()),1)</f>
        <v>1</v>
      </c>
      <c r="Z134" s="184" t="n">
        <f aca="false">(($C134+AB134)*Y134)+$F$17</f>
        <v>0.2025</v>
      </c>
      <c r="AA134" s="65" t="n">
        <f aca="false">VLOOKUP($A134,GASDVOLCURVES,HLOOKUP(X$36,GASDVOLCURVES,2,FALSE()),FALSE())+$F$18</f>
        <v>1.1</v>
      </c>
      <c r="AB134" s="4" t="n">
        <f aca="false">IF($F$20=1,VLOOKUP($A134,skewtable,HLOOKUP(ROUND(AC134-CK134,1),skewtable,2,FALSE()),FALSE())/100,0)</f>
        <v>0</v>
      </c>
      <c r="AC134" s="66" t="e">
        <f aca="false">IF($B$10=1,($CK134*$F$23)-$F$14,$F$22)</f>
        <v>#DIV/0!</v>
      </c>
      <c r="AD134" s="67" t="e">
        <f aca="false">AC134-$CK134+$F$24</f>
        <v>#DIV/0!</v>
      </c>
      <c r="AE134" s="0"/>
      <c r="AF134" s="0"/>
      <c r="AG134" s="0"/>
      <c r="AH134" s="63" t="n">
        <f aca="false">IF(AH$35="nymex",0,VLOOKUP($A134,curvesettle,HLOOKUP(AH$35,curvesettle,2,FALSE())))</f>
        <v>1.6</v>
      </c>
      <c r="AI134" s="65" t="n">
        <f aca="false">IF(ISNUMBER(VLOOKUP($A134,VOLCURVES,HLOOKUP(AH$35,VOLCURVES,2,FALSE()),FALSE())),VLOOKUP($A134,VOLCURVES,HLOOKUP(AH$35,VOLCURVES,2,FALSE()),FALSE()),1)</f>
        <v>1.04</v>
      </c>
      <c r="AJ134" s="184" t="n">
        <f aca="false">(($C134+AL134)*AI134)+$H$17</f>
        <v>0.2106</v>
      </c>
      <c r="AK134" s="65" t="n">
        <f aca="false">VLOOKUP($A134,GASDVOLCURVES,HLOOKUP(AH$36,GASDVOLCURVES,2,FALSE()),FALSE())+$H$18</f>
        <v>1.95</v>
      </c>
      <c r="AL134" s="4" t="n">
        <f aca="false">IF($H$20=1,VLOOKUP($A134,skewtable,HLOOKUP(ROUND(AM134-CW134,1),skewtable,2,FALSE()),FALSE())/100,0)</f>
        <v>0</v>
      </c>
      <c r="AM134" s="66" t="e">
        <f aca="false">IF($B$10=1,($CW134*$H$23)-$H$14,$H$22)</f>
        <v>#DIV/0!</v>
      </c>
      <c r="AN134" s="67" t="e">
        <f aca="false">AM134-CW134+$H$24</f>
        <v>#DIV/0!</v>
      </c>
      <c r="AO134" s="0"/>
      <c r="AP134" s="0"/>
      <c r="AQ134" s="183"/>
      <c r="AR134" s="183"/>
      <c r="AU134" s="0"/>
      <c r="AV134" s="0"/>
      <c r="AW134" s="0"/>
      <c r="AX134" s="0"/>
      <c r="AY134" s="0"/>
      <c r="AZ134" s="0"/>
      <c r="BA134" s="0"/>
      <c r="BC134" s="64"/>
      <c r="BD134" s="64"/>
      <c r="BE134" s="4" t="n">
        <f aca="false">VLOOKUP($A134,STRADDLE,14,FALSE())</f>
        <v>0.0568478960356496</v>
      </c>
      <c r="BF134" s="72" t="n">
        <f aca="false">A135-A134</f>
        <v>31</v>
      </c>
      <c r="BG134" s="179" t="n">
        <f aca="false">A134+BG$35</f>
        <v>40179</v>
      </c>
      <c r="BH134" s="179" t="n">
        <f aca="false">A135-1</f>
        <v>40209</v>
      </c>
      <c r="BJ134" s="179" t="n">
        <f aca="true">IF(BJ$35=0,TODAY(),IF(BJ$36="NYMEX",VLOOKUP($A134,expiration,2,FALSE())+1,BG134))</f>
        <v>40177</v>
      </c>
      <c r="BK134" s="73"/>
      <c r="BL134" s="73" t="n">
        <f aca="false">IF($A134&gt;=BM$32,IF($A134&lt;=BM$33,$BF134,0),0)</f>
        <v>0</v>
      </c>
      <c r="BM134" s="73" t="e">
        <f aca="false">BO134/BL134</f>
        <v>#DIV/0!</v>
      </c>
      <c r="BN134" s="1" t="n">
        <f aca="false">BL134*($B134+B$15)</f>
        <v>0</v>
      </c>
      <c r="BO134" s="47" t="n">
        <f aca="false">IF(ISNUMBER(((BN134/BL134)+B$16+$D134+$B$14)*BL134),((BN134/BL134)+B$16+$D134+$B$14)*BL134,0)</f>
        <v>0</v>
      </c>
      <c r="BP134" s="76" t="n">
        <f aca="false">IF($BL134=0,0,OSTRIP($BM134,$I134,$BJ134-$B$2,$BG134-$BJ134,$BH134-$BJ134,$B$10,$BE134,$F134,$G134,$B$23,$J134,$BQ$34,0))</f>
        <v>0</v>
      </c>
      <c r="BQ134" s="76" t="n">
        <f aca="false">IF($BL134=0,0,OSTRIP($BM134,$I134,$BJ134-$B$2,$BG134-$BJ134,$BH134-$BJ134,$B$10,$BE134,$F134,$G134,$B$23,$J134,$BQ$34,1))</f>
        <v>0</v>
      </c>
      <c r="BR134" s="76" t="n">
        <f aca="false">IF($BL134=0,0,OSTRIP($BM134,$I134,$BJ134-$B$2,$BG134-$BJ134,$BH134-$BJ134,$B$10,$BE134,$F134,$G134,$B$23,$J134,$BQ$34,BQ$35))</f>
        <v>0</v>
      </c>
      <c r="BS134" s="37" t="n">
        <f aca="false">BL134*BP134</f>
        <v>0</v>
      </c>
      <c r="BT134" s="37" t="n">
        <f aca="false">BL134*BQ134</f>
        <v>0</v>
      </c>
      <c r="BU134" s="37" t="n">
        <f aca="false">BL134*BR134</f>
        <v>0</v>
      </c>
      <c r="BV134" s="37" t="n">
        <f aca="false">BL134*G134</f>
        <v>0</v>
      </c>
      <c r="BX134" s="73" t="n">
        <f aca="false">IF($A134&gt;=BY$32,IF($A134&lt;=BY$33,$BF134,0),0)</f>
        <v>0</v>
      </c>
      <c r="BY134" s="186" t="e">
        <f aca="false">CA134/BX134</f>
        <v>#DIV/0!</v>
      </c>
      <c r="BZ134" s="1" t="n">
        <f aca="false">BX134*($B134+$D$15)</f>
        <v>0</v>
      </c>
      <c r="CA134" s="47" t="n">
        <f aca="false">IF(ISNUMBER(((BZ134/BX134)+$D$16+$N134+$D$14)*BX134),((BZ134/BX134)+$D$16+$N134+$D$14)*BX134,0)</f>
        <v>0</v>
      </c>
      <c r="CB134" s="76" t="n">
        <f aca="false">IF($BX134=0,0,OSTRIP($BY134,$S134,$BJ134-$B$2,$BG134-$BJ134,$BH134-$BJ134,$B$10,$BE134,$P134,$Q134,$D$23,$T134,$CC$34,0))</f>
        <v>0</v>
      </c>
      <c r="CC134" s="76" t="n">
        <f aca="false">IF($BX134=0,0,OSTRIP($BY134,$S134,$BJ134-$B$2,$BG134-$BJ134,$BH134-$BJ134,$B$10,$BE134,$P134,$Q134,$D$23,$T134,$CC$34,1))</f>
        <v>0</v>
      </c>
      <c r="CD134" s="76" t="n">
        <f aca="false">IF($BX134=0,0,OSTRIP($BY134,$S134,$BJ134-$B$2,$BG134-$BJ134,$BH134-$BJ134,$B$10,$BE134,$P134,$Q134,$D$23,$T134,$CC$34,CC$35))</f>
        <v>0</v>
      </c>
      <c r="CE134" s="37" t="n">
        <f aca="false">BX134*CB134</f>
        <v>0</v>
      </c>
      <c r="CF134" s="37" t="n">
        <f aca="false">BX134*CC134</f>
        <v>0</v>
      </c>
      <c r="CG134" s="37" t="n">
        <f aca="false">BX134*CD134</f>
        <v>0</v>
      </c>
      <c r="CH134" s="37" t="n">
        <f aca="false">BX134*Q134</f>
        <v>0</v>
      </c>
      <c r="CJ134" s="73" t="n">
        <f aca="false">IF($A134&gt;=CK$32,IF($A134&lt;=CK$33,$BF134,0),0)</f>
        <v>0</v>
      </c>
      <c r="CK134" s="186" t="e">
        <f aca="false">CM134/CJ134</f>
        <v>#DIV/0!</v>
      </c>
      <c r="CL134" s="1" t="n">
        <f aca="false">CJ134*($B134+$F$15)</f>
        <v>0</v>
      </c>
      <c r="CM134" s="47" t="n">
        <f aca="false">IF(ISNUMBER(((CL134/CJ134)+$F$16+$X134+$F$14)*CJ134),((CL134/CJ134)+$F$16+$X134+$F$14)*CJ134,0)</f>
        <v>0</v>
      </c>
      <c r="CN134" s="76" t="n">
        <f aca="false">IF($CJ134=0,0,OSTRIP($CK134,$AC134,$BJ134-$B$2,$BG134-$BJ134,$BH134-$BJ134,$B$10,$BE134,$Z134,$AA134,$F$23,$AD134,$CO$34,0))</f>
        <v>0</v>
      </c>
      <c r="CO134" s="76" t="n">
        <f aca="false">IF($CJ134=0,0,OSTRIP($CK134,$AC134,$BJ134-$B$2,$BG134-$BJ134,$BH134-$BJ134,$B$10,$BE134,$Z134,$AA134,$F$23,$AD134,$CO$34,1))</f>
        <v>0</v>
      </c>
      <c r="CP134" s="76" t="n">
        <f aca="false">IF($CJ134=0,0,OSTRIP($CK134,$AC134,$BJ134-$B$2,$BG134-$BJ134,$BH134-$BJ134,$B$10,$BE134,$Z134,$AA134,$F$23,$AD134,$CO$34,$CO$35))</f>
        <v>0</v>
      </c>
      <c r="CQ134" s="37" t="n">
        <f aca="false">CJ134*CN134</f>
        <v>0</v>
      </c>
      <c r="CR134" s="37" t="n">
        <f aca="false">CJ134*CO134</f>
        <v>0</v>
      </c>
      <c r="CS134" s="37" t="n">
        <f aca="false">CJ134*CP134</f>
        <v>0</v>
      </c>
      <c r="CT134" s="37" t="n">
        <f aca="false">CJ134*AA134</f>
        <v>0</v>
      </c>
      <c r="CV134" s="73" t="n">
        <f aca="false">IF($A134&gt;=CW$32,IF($A134&lt;=CW$33,$BF134,0),0)</f>
        <v>0</v>
      </c>
      <c r="CW134" s="186" t="e">
        <f aca="false">CY134/CV134</f>
        <v>#DIV/0!</v>
      </c>
      <c r="CX134" s="1" t="n">
        <f aca="false">CV134*($B134+$H$15)</f>
        <v>0</v>
      </c>
      <c r="CY134" s="47" t="n">
        <f aca="false">IF(ISNUMBER(((CX134/CV134)+$H$16+$AH134+$H$14)*CV134),((CX134/CV134)+$H$16+$AH134+$H$14)*CV134,0)</f>
        <v>0</v>
      </c>
      <c r="CZ134" s="76" t="n">
        <f aca="false">IF($CV134=0,0,OSTRIP($CW134,$AM134,$BJ134-$B$2,$BG134-$BJ134,$BH134-$BJ134,$B$10,$BE134,$AJ134,$AK134,$H$23,$AN134,$DA$34,0))</f>
        <v>0</v>
      </c>
      <c r="DA134" s="76" t="n">
        <f aca="false">IF($CV134=0,0,OSTRIP($CW134,$AM134,$BJ134-$B$2,$BG134-$BJ134,$BH134-$BJ134,$B$10,$BE134,$AJ134,$AK134,$H$23,$AN134,$DA$34,1))</f>
        <v>0</v>
      </c>
      <c r="DB134" s="76" t="n">
        <f aca="false">IF($CV134=0,0,OSTRIP($CW134,$AM134,$BJ134-$B$2,$BG134-$BJ134,$BH134-$BJ134,$B$10,$BE134,$AJ134,$AK134,$H$23,$AN134,$DA$34,DA$35))</f>
        <v>0</v>
      </c>
      <c r="DC134" s="37" t="n">
        <f aca="false">CV134*CZ134</f>
        <v>0</v>
      </c>
      <c r="DD134" s="37" t="n">
        <f aca="false">CV134*DA134</f>
        <v>0</v>
      </c>
      <c r="DE134" s="37" t="n">
        <f aca="false">CV134*DB134</f>
        <v>0</v>
      </c>
      <c r="DF134" s="37" t="n">
        <f aca="false">CV134*AK134</f>
        <v>0</v>
      </c>
    </row>
    <row r="135" customFormat="false" ht="12.75" hidden="false" customHeight="false" outlineLevel="0" collapsed="false">
      <c r="A135" s="62" t="n">
        <f aca="false">DATE(YEAR(A134),MONTH(A134)+1,1)</f>
        <v>40210</v>
      </c>
      <c r="B135" s="63" t="n">
        <f aca="false">VLOOKUP(A135,STRADDLE,5,FALSE())</f>
        <v>3.96</v>
      </c>
      <c r="C135" s="4" t="n">
        <f aca="false">VLOOKUP(A135,STRADDLE,8,FALSE())</f>
        <v>0.2</v>
      </c>
      <c r="D135" s="63" t="n">
        <f aca="false">IF(D$35="nymex",0,VLOOKUP($A135,curvesettle,HLOOKUP(D$35,curvesettle,2,FALSE())))</f>
        <v>1.04</v>
      </c>
      <c r="E135" s="65" t="n">
        <f aca="false">IF(ISNUMBER(VLOOKUP($A135,VOLCURVES,HLOOKUP(D$35,VOLCURVES,2,FALSE()),FALSE())),VLOOKUP($A135,VOLCURVES,HLOOKUP(D$35,VOLCURVES,2,FALSE()),FALSE()),1)</f>
        <v>1.1</v>
      </c>
      <c r="F135" s="4" t="n">
        <f aca="false">(($C135+H135)*$E135)+B$17</f>
        <v>0.32</v>
      </c>
      <c r="G135" s="65" t="n">
        <f aca="false">VLOOKUP($A135,GASDVOLCURVES,HLOOKUP(D$36,GASDVOLCURVES,2,FALSE()),FALSE())+$B$18</f>
        <v>1.1</v>
      </c>
      <c r="H135" s="4" t="n">
        <f aca="false">IF($B$20=1,VLOOKUP($A135,skewtable,HLOOKUP(ROUND(I135-BM135,1),skewtable,2,FALSE()),FALSE())/100,0)</f>
        <v>0</v>
      </c>
      <c r="I135" s="66" t="e">
        <f aca="false">IF($B$10=1,($BM135*$B$23)-$B$14,$B$22)</f>
        <v>#DIV/0!</v>
      </c>
      <c r="J135" s="67" t="e">
        <f aca="false">I135-BM135+$B$24</f>
        <v>#DIV/0!</v>
      </c>
      <c r="K135" s="67"/>
      <c r="L135" s="183"/>
      <c r="M135" s="183"/>
      <c r="N135" s="63" t="n">
        <f aca="false">IF(N$35="nymex",0,VLOOKUP($A135,curvesettle,HLOOKUP(N$35,curvesettle,2,FALSE())))</f>
        <v>-0.03</v>
      </c>
      <c r="O135" s="65" t="n">
        <f aca="false">IF(ISNUMBER(VLOOKUP($A135,VOLCURVES,HLOOKUP(N$35,VOLCURVES,2,FALSE()),FALSE())),VLOOKUP($A135,VOLCURVES,HLOOKUP(N$35,VOLCURVES,2,FALSE()),FALSE()),1)</f>
        <v>1</v>
      </c>
      <c r="P135" s="184" t="n">
        <f aca="false">(($C135+R135)*O135)+$D$17</f>
        <v>0.2</v>
      </c>
      <c r="Q135" s="65" t="n">
        <f aca="false">VLOOKUP($A135,GASDVOLCURVES,HLOOKUP(N$36,GASDVOLCURVES,2,FALSE()),FALSE())+$D$18</f>
        <v>1.1</v>
      </c>
      <c r="R135" s="4" t="n">
        <f aca="false">IF($D$20=1,VLOOKUP($A135,skewtable,HLOOKUP(ROUND(S135-BY135,1),skewtable,2,FALSE()),FALSE())/100,0)</f>
        <v>0</v>
      </c>
      <c r="S135" s="66" t="e">
        <f aca="false">IF(B$10=1,($BY135*$D$23)-$D$14,$D$22)</f>
        <v>#DIV/0!</v>
      </c>
      <c r="T135" s="67" t="e">
        <f aca="false">S135-$BY135+$D$24</f>
        <v>#DIV/0!</v>
      </c>
      <c r="U135" s="0"/>
      <c r="V135" s="0"/>
      <c r="W135" s="0"/>
      <c r="X135" s="63" t="n">
        <f aca="false">IF(X$35="nymex",0,VLOOKUP($A135,curvesettle,HLOOKUP(X$35,curvesettle,2,FALSE())))</f>
        <v>0.24</v>
      </c>
      <c r="Y135" s="65" t="n">
        <f aca="false">IF(ISNUMBER(VLOOKUP($A135,VOLCURVES,HLOOKUP(X$35,VOLCURVES,2,FALSE()),FALSE())),VLOOKUP($A135,VOLCURVES,HLOOKUP(X$35,VOLCURVES,2,FALSE()),FALSE()),1)</f>
        <v>1</v>
      </c>
      <c r="Z135" s="184" t="n">
        <f aca="false">(($C135+AB135)*Y135)+$F$17</f>
        <v>0.2</v>
      </c>
      <c r="AA135" s="65" t="n">
        <f aca="false">VLOOKUP($A135,GASDVOLCURVES,HLOOKUP(X$36,GASDVOLCURVES,2,FALSE()),FALSE())+$F$18</f>
        <v>1.1</v>
      </c>
      <c r="AB135" s="4" t="n">
        <f aca="false">IF($F$20=1,VLOOKUP($A135,skewtable,HLOOKUP(ROUND(AC135-CK135,1),skewtable,2,FALSE()),FALSE())/100,0)</f>
        <v>0</v>
      </c>
      <c r="AC135" s="66" t="e">
        <f aca="false">IF($B$10=1,($CK135*$F$23)-$F$14,$F$22)</f>
        <v>#DIV/0!</v>
      </c>
      <c r="AD135" s="67" t="e">
        <f aca="false">AC135-$CK135+$F$24</f>
        <v>#DIV/0!</v>
      </c>
      <c r="AE135" s="0"/>
      <c r="AF135" s="0"/>
      <c r="AG135" s="0"/>
      <c r="AH135" s="63" t="n">
        <f aca="false">IF(AH$35="nymex",0,VLOOKUP($A135,curvesettle,HLOOKUP(AH$35,curvesettle,2,FALSE())))</f>
        <v>1.6</v>
      </c>
      <c r="AI135" s="65" t="n">
        <f aca="false">IF(ISNUMBER(VLOOKUP($A135,VOLCURVES,HLOOKUP(AH$35,VOLCURVES,2,FALSE()),FALSE())),VLOOKUP($A135,VOLCURVES,HLOOKUP(AH$35,VOLCURVES,2,FALSE()),FALSE()),1)</f>
        <v>1.04</v>
      </c>
      <c r="AJ135" s="184" t="n">
        <f aca="false">(($C135+AL135)*AI135)+$H$17</f>
        <v>0.208</v>
      </c>
      <c r="AK135" s="65" t="n">
        <f aca="false">VLOOKUP($A135,GASDVOLCURVES,HLOOKUP(AH$36,GASDVOLCURVES,2,FALSE()),FALSE())+$H$18</f>
        <v>1.95</v>
      </c>
      <c r="AL135" s="4" t="n">
        <f aca="false">IF($H$20=1,VLOOKUP($A135,skewtable,HLOOKUP(ROUND(AM135-CW135,1),skewtable,2,FALSE()),FALSE())/100,0)</f>
        <v>0</v>
      </c>
      <c r="AM135" s="66" t="e">
        <f aca="false">IF($B$10=1,($CW135*$H$23)-$H$14,$H$22)</f>
        <v>#DIV/0!</v>
      </c>
      <c r="AN135" s="67" t="e">
        <f aca="false">AM135-CW135+$H$24</f>
        <v>#DIV/0!</v>
      </c>
      <c r="AO135" s="0"/>
      <c r="AP135" s="0"/>
      <c r="AQ135" s="183"/>
      <c r="AR135" s="183"/>
      <c r="AU135" s="0"/>
      <c r="AV135" s="0"/>
      <c r="AW135" s="0"/>
      <c r="AX135" s="0"/>
      <c r="AY135" s="0"/>
      <c r="AZ135" s="0"/>
      <c r="BA135" s="0"/>
      <c r="BC135" s="64"/>
      <c r="BD135" s="64"/>
      <c r="BE135" s="4" t="n">
        <f aca="false">VLOOKUP($A135,STRADDLE,14,FALSE())</f>
        <v>0.056951394461223</v>
      </c>
      <c r="BF135" s="72" t="n">
        <f aca="false">A136-A135</f>
        <v>28</v>
      </c>
      <c r="BG135" s="179" t="n">
        <f aca="false">A135+BG$35</f>
        <v>40210</v>
      </c>
      <c r="BH135" s="179" t="n">
        <f aca="false">A136-1</f>
        <v>40237</v>
      </c>
      <c r="BJ135" s="179" t="n">
        <f aca="true">IF(BJ$35=0,TODAY(),IF(BJ$36="NYMEX",VLOOKUP($A135,expiration,2,FALSE())+1,BG135))</f>
        <v>40206</v>
      </c>
      <c r="BK135" s="73"/>
      <c r="BL135" s="73" t="n">
        <f aca="false">IF($A135&gt;=BM$32,IF($A135&lt;=BM$33,$BF135,0),0)</f>
        <v>0</v>
      </c>
      <c r="BM135" s="73" t="e">
        <f aca="false">BO135/BL135</f>
        <v>#DIV/0!</v>
      </c>
      <c r="BN135" s="1" t="n">
        <f aca="false">BL135*($B135+B$15)</f>
        <v>0</v>
      </c>
      <c r="BO135" s="47" t="n">
        <f aca="false">IF(ISNUMBER(((BN135/BL135)+B$16+$D135+$B$14)*BL135),((BN135/BL135)+B$16+$D135+$B$14)*BL135,0)</f>
        <v>0</v>
      </c>
      <c r="BP135" s="76" t="n">
        <f aca="false">IF($BL135=0,0,OSTRIP($BM135,$I135,$BJ135-$B$2,$BG135-$BJ135,$BH135-$BJ135,$B$10,$BE135,$F135,$G135,$B$23,$J135,$BQ$34,0))</f>
        <v>0</v>
      </c>
      <c r="BQ135" s="76" t="n">
        <f aca="false">IF($BL135=0,0,OSTRIP($BM135,$I135,$BJ135-$B$2,$BG135-$BJ135,$BH135-$BJ135,$B$10,$BE135,$F135,$G135,$B$23,$J135,$BQ$34,1))</f>
        <v>0</v>
      </c>
      <c r="BR135" s="76" t="n">
        <f aca="false">IF($BL135=0,0,OSTRIP($BM135,$I135,$BJ135-$B$2,$BG135-$BJ135,$BH135-$BJ135,$B$10,$BE135,$F135,$G135,$B$23,$J135,$BQ$34,BQ$35))</f>
        <v>0</v>
      </c>
      <c r="BS135" s="37" t="n">
        <f aca="false">BL135*BP135</f>
        <v>0</v>
      </c>
      <c r="BT135" s="37" t="n">
        <f aca="false">BL135*BQ135</f>
        <v>0</v>
      </c>
      <c r="BU135" s="37" t="n">
        <f aca="false">BL135*BR135</f>
        <v>0</v>
      </c>
      <c r="BV135" s="37" t="n">
        <f aca="false">BL135*G135</f>
        <v>0</v>
      </c>
      <c r="BX135" s="73" t="n">
        <f aca="false">IF($A135&gt;=BY$32,IF($A135&lt;=BY$33,$BF135,0),0)</f>
        <v>0</v>
      </c>
      <c r="BY135" s="186" t="e">
        <f aca="false">CA135/BX135</f>
        <v>#DIV/0!</v>
      </c>
      <c r="BZ135" s="1" t="n">
        <f aca="false">BX135*($B135+$D$15)</f>
        <v>0</v>
      </c>
      <c r="CA135" s="47" t="n">
        <f aca="false">IF(ISNUMBER(((BZ135/BX135)+$D$16+$N135+$D$14)*BX135),((BZ135/BX135)+$D$16+$N135+$D$14)*BX135,0)</f>
        <v>0</v>
      </c>
      <c r="CB135" s="76" t="n">
        <f aca="false">IF($BX135=0,0,OSTRIP($BY135,$S135,$BJ135-$B$2,$BG135-$BJ135,$BH135-$BJ135,$B$10,$BE135,$P135,$Q135,$D$23,$T135,$CC$34,0))</f>
        <v>0</v>
      </c>
      <c r="CC135" s="76" t="n">
        <f aca="false">IF($BX135=0,0,OSTRIP($BY135,$S135,$BJ135-$B$2,$BG135-$BJ135,$BH135-$BJ135,$B$10,$BE135,$P135,$Q135,$D$23,$T135,$CC$34,1))</f>
        <v>0</v>
      </c>
      <c r="CD135" s="76" t="n">
        <f aca="false">IF($BX135=0,0,OSTRIP($BY135,$S135,$BJ135-$B$2,$BG135-$BJ135,$BH135-$BJ135,$B$10,$BE135,$P135,$Q135,$D$23,$T135,$CC$34,CC$35))</f>
        <v>0</v>
      </c>
      <c r="CE135" s="37" t="n">
        <f aca="false">BX135*CB135</f>
        <v>0</v>
      </c>
      <c r="CF135" s="37" t="n">
        <f aca="false">BX135*CC135</f>
        <v>0</v>
      </c>
      <c r="CG135" s="37" t="n">
        <f aca="false">BX135*CD135</f>
        <v>0</v>
      </c>
      <c r="CH135" s="37" t="n">
        <f aca="false">BX135*Q135</f>
        <v>0</v>
      </c>
      <c r="CJ135" s="73" t="n">
        <f aca="false">IF($A135&gt;=CK$32,IF($A135&lt;=CK$33,$BF135,0),0)</f>
        <v>0</v>
      </c>
      <c r="CK135" s="186" t="e">
        <f aca="false">CM135/CJ135</f>
        <v>#DIV/0!</v>
      </c>
      <c r="CL135" s="1" t="n">
        <f aca="false">CJ135*($B135+$F$15)</f>
        <v>0</v>
      </c>
      <c r="CM135" s="47" t="n">
        <f aca="false">IF(ISNUMBER(((CL135/CJ135)+$F$16+$X135+$F$14)*CJ135),((CL135/CJ135)+$F$16+$X135+$F$14)*CJ135,0)</f>
        <v>0</v>
      </c>
      <c r="CN135" s="76" t="n">
        <f aca="false">IF($CJ135=0,0,OSTRIP($CK135,$AC135,$BJ135-$B$2,$BG135-$BJ135,$BH135-$BJ135,$B$10,$BE135,$Z135,$AA135,$F$23,$AD135,$CO$34,0))</f>
        <v>0</v>
      </c>
      <c r="CO135" s="76" t="n">
        <f aca="false">IF($CJ135=0,0,OSTRIP($CK135,$AC135,$BJ135-$B$2,$BG135-$BJ135,$BH135-$BJ135,$B$10,$BE135,$Z135,$AA135,$F$23,$AD135,$CO$34,1))</f>
        <v>0</v>
      </c>
      <c r="CP135" s="76" t="n">
        <f aca="false">IF($CJ135=0,0,OSTRIP($CK135,$AC135,$BJ135-$B$2,$BG135-$BJ135,$BH135-$BJ135,$B$10,$BE135,$Z135,$AA135,$F$23,$AD135,$CO$34,$CO$35))</f>
        <v>0</v>
      </c>
      <c r="CQ135" s="37" t="n">
        <f aca="false">CJ135*CN135</f>
        <v>0</v>
      </c>
      <c r="CR135" s="37" t="n">
        <f aca="false">CJ135*CO135</f>
        <v>0</v>
      </c>
      <c r="CS135" s="37" t="n">
        <f aca="false">CJ135*CP135</f>
        <v>0</v>
      </c>
      <c r="CT135" s="37" t="n">
        <f aca="false">CJ135*AA135</f>
        <v>0</v>
      </c>
      <c r="CV135" s="73" t="n">
        <f aca="false">IF($A135&gt;=CW$32,IF($A135&lt;=CW$33,$BF135,0),0)</f>
        <v>0</v>
      </c>
      <c r="CW135" s="186" t="e">
        <f aca="false">CY135/CV135</f>
        <v>#DIV/0!</v>
      </c>
      <c r="CX135" s="1" t="n">
        <f aca="false">CV135*($B135+$H$15)</f>
        <v>0</v>
      </c>
      <c r="CY135" s="47" t="n">
        <f aca="false">IF(ISNUMBER(((CX135/CV135)+$H$16+$AH135+$H$14)*CV135),((CX135/CV135)+$H$16+$AH135+$H$14)*CV135,0)</f>
        <v>0</v>
      </c>
      <c r="CZ135" s="76" t="n">
        <f aca="false">IF($CV135=0,0,OSTRIP($CW135,$AM135,$BJ135-$B$2,$BG135-$BJ135,$BH135-$BJ135,$B$10,$BE135,$AJ135,$AK135,$H$23,$AN135,$DA$34,0))</f>
        <v>0</v>
      </c>
      <c r="DA135" s="76" t="n">
        <f aca="false">IF($CV135=0,0,OSTRIP($CW135,$AM135,$BJ135-$B$2,$BG135-$BJ135,$BH135-$BJ135,$B$10,$BE135,$AJ135,$AK135,$H$23,$AN135,$DA$34,1))</f>
        <v>0</v>
      </c>
      <c r="DB135" s="76" t="n">
        <f aca="false">IF($CV135=0,0,OSTRIP($CW135,$AM135,$BJ135-$B$2,$BG135-$BJ135,$BH135-$BJ135,$B$10,$BE135,$AJ135,$AK135,$H$23,$AN135,$DA$34,DA$35))</f>
        <v>0</v>
      </c>
      <c r="DC135" s="37" t="n">
        <f aca="false">CV135*CZ135</f>
        <v>0</v>
      </c>
      <c r="DD135" s="37" t="n">
        <f aca="false">CV135*DA135</f>
        <v>0</v>
      </c>
      <c r="DE135" s="37" t="n">
        <f aca="false">CV135*DB135</f>
        <v>0</v>
      </c>
      <c r="DF135" s="37" t="n">
        <f aca="false">CV135*AK135</f>
        <v>0</v>
      </c>
    </row>
    <row r="136" customFormat="false" ht="12.75" hidden="false" customHeight="false" outlineLevel="0" collapsed="false">
      <c r="A136" s="62" t="n">
        <f aca="false">DATE(YEAR(A135),MONTH(A135)+1,1)</f>
        <v>40238</v>
      </c>
      <c r="B136" s="63" t="n">
        <f aca="false">VLOOKUP(A136,STRADDLE,5,FALSE())</f>
        <v>3.83</v>
      </c>
      <c r="C136" s="4" t="n">
        <f aca="false">VLOOKUP(A136,STRADDLE,8,FALSE())</f>
        <v>0.195</v>
      </c>
      <c r="D136" s="63" t="n">
        <f aca="false">IF(D$35="nymex",0,VLOOKUP($A136,curvesettle,HLOOKUP(D$35,curvesettle,2,FALSE())))</f>
        <v>0.54</v>
      </c>
      <c r="E136" s="65" t="n">
        <f aca="false">IF(ISNUMBER(VLOOKUP($A136,VOLCURVES,HLOOKUP(D$35,VOLCURVES,2,FALSE()),FALSE())),VLOOKUP($A136,VOLCURVES,HLOOKUP(D$35,VOLCURVES,2,FALSE()),FALSE()),1)</f>
        <v>1.1</v>
      </c>
      <c r="F136" s="4" t="n">
        <f aca="false">(($C136+H136)*$E136)+B$17</f>
        <v>0.3145</v>
      </c>
      <c r="G136" s="65" t="n">
        <f aca="false">VLOOKUP($A136,GASDVOLCURVES,HLOOKUP(D$36,GASDVOLCURVES,2,FALSE()),FALSE())+$B$18</f>
        <v>0.85</v>
      </c>
      <c r="H136" s="4" t="n">
        <f aca="false">IF($B$20=1,VLOOKUP($A136,skewtable,HLOOKUP(ROUND(I136-BM136,1),skewtable,2,FALSE()),FALSE())/100,0)</f>
        <v>0</v>
      </c>
      <c r="I136" s="66" t="e">
        <f aca="false">IF($B$10=1,($BM136*$B$23)-$B$14,$B$22)</f>
        <v>#DIV/0!</v>
      </c>
      <c r="J136" s="67" t="e">
        <f aca="false">I136-BM136+$B$24</f>
        <v>#DIV/0!</v>
      </c>
      <c r="K136" s="67"/>
      <c r="L136" s="183"/>
      <c r="M136" s="183"/>
      <c r="N136" s="63" t="n">
        <f aca="false">IF(N$35="nymex",0,VLOOKUP($A136,curvesettle,HLOOKUP(N$35,curvesettle,2,FALSE())))</f>
        <v>-0.0175</v>
      </c>
      <c r="O136" s="65" t="n">
        <f aca="false">IF(ISNUMBER(VLOOKUP($A136,VOLCURVES,HLOOKUP(N$35,VOLCURVES,2,FALSE()),FALSE())),VLOOKUP($A136,VOLCURVES,HLOOKUP(N$35,VOLCURVES,2,FALSE()),FALSE()),1)</f>
        <v>1</v>
      </c>
      <c r="P136" s="184" t="n">
        <f aca="false">(($C136+R136)*O136)+$D$17</f>
        <v>0.195</v>
      </c>
      <c r="Q136" s="65" t="n">
        <f aca="false">VLOOKUP($A136,GASDVOLCURVES,HLOOKUP(N$36,GASDVOLCURVES,2,FALSE()),FALSE())+$D$18</f>
        <v>0.85</v>
      </c>
      <c r="R136" s="4" t="n">
        <f aca="false">IF($D$20=1,VLOOKUP($A136,skewtable,HLOOKUP(ROUND(S136-BY136,1),skewtable,2,FALSE()),FALSE())/100,0)</f>
        <v>0</v>
      </c>
      <c r="S136" s="66" t="e">
        <f aca="false">IF(B$10=1,($BY136*$D$23)-$D$14,$D$22)</f>
        <v>#DIV/0!</v>
      </c>
      <c r="T136" s="67" t="e">
        <f aca="false">S136-$BY136+$D$24</f>
        <v>#DIV/0!</v>
      </c>
      <c r="U136" s="0"/>
      <c r="V136" s="0"/>
      <c r="W136" s="0"/>
      <c r="X136" s="63" t="n">
        <f aca="false">IF(X$35="nymex",0,VLOOKUP($A136,curvesettle,HLOOKUP(X$35,curvesettle,2,FALSE())))</f>
        <v>0.24</v>
      </c>
      <c r="Y136" s="65" t="n">
        <f aca="false">IF(ISNUMBER(VLOOKUP($A136,VOLCURVES,HLOOKUP(X$35,VOLCURVES,2,FALSE()),FALSE())),VLOOKUP($A136,VOLCURVES,HLOOKUP(X$35,VOLCURVES,2,FALSE()),FALSE()),1)</f>
        <v>1</v>
      </c>
      <c r="Z136" s="184" t="n">
        <f aca="false">(($C136+AB136)*Y136)+$F$17</f>
        <v>0.195</v>
      </c>
      <c r="AA136" s="65" t="n">
        <f aca="false">VLOOKUP($A136,GASDVOLCURVES,HLOOKUP(X$36,GASDVOLCURVES,2,FALSE()),FALSE())+$F$18</f>
        <v>0.85</v>
      </c>
      <c r="AB136" s="4" t="n">
        <f aca="false">IF($F$20=1,VLOOKUP($A136,skewtable,HLOOKUP(ROUND(AC136-CK136,1),skewtable,2,FALSE()),FALSE())/100,0)</f>
        <v>0</v>
      </c>
      <c r="AC136" s="66" t="e">
        <f aca="false">IF($B$10=1,($CK136*$F$23)-$F$14,$F$22)</f>
        <v>#DIV/0!</v>
      </c>
      <c r="AD136" s="67" t="e">
        <f aca="false">AC136-$CK136+$F$24</f>
        <v>#DIV/0!</v>
      </c>
      <c r="AE136" s="0"/>
      <c r="AF136" s="0"/>
      <c r="AG136" s="0"/>
      <c r="AH136" s="63" t="n">
        <f aca="false">IF(AH$35="nymex",0,VLOOKUP($A136,curvesettle,HLOOKUP(AH$35,curvesettle,2,FALSE())))</f>
        <v>0.64</v>
      </c>
      <c r="AI136" s="65" t="n">
        <f aca="false">IF(ISNUMBER(VLOOKUP($A136,VOLCURVES,HLOOKUP(AH$35,VOLCURVES,2,FALSE()),FALSE())),VLOOKUP($A136,VOLCURVES,HLOOKUP(AH$35,VOLCURVES,2,FALSE()),FALSE()),1)</f>
        <v>1.04</v>
      </c>
      <c r="AJ136" s="184" t="n">
        <f aca="false">(($C136+AL136)*AI136)+$H$17</f>
        <v>0.2028</v>
      </c>
      <c r="AK136" s="65" t="n">
        <f aca="false">VLOOKUP($A136,GASDVOLCURVES,HLOOKUP(AH$36,GASDVOLCURVES,2,FALSE()),FALSE())+$H$18</f>
        <v>1.5</v>
      </c>
      <c r="AL136" s="4" t="n">
        <f aca="false">IF($H$20=1,VLOOKUP($A136,skewtable,HLOOKUP(ROUND(AM136-CW136,1),skewtable,2,FALSE()),FALSE())/100,0)</f>
        <v>0</v>
      </c>
      <c r="AM136" s="66" t="e">
        <f aca="false">IF($B$10=1,($CW136*$H$23)-$H$14,$H$22)</f>
        <v>#DIV/0!</v>
      </c>
      <c r="AN136" s="67" t="e">
        <f aca="false">AM136-CW136+$H$24</f>
        <v>#DIV/0!</v>
      </c>
      <c r="AO136" s="0"/>
      <c r="AP136" s="0"/>
      <c r="AQ136" s="183"/>
      <c r="AR136" s="183"/>
      <c r="AU136" s="0"/>
      <c r="AV136" s="0"/>
      <c r="AW136" s="0"/>
      <c r="AX136" s="0"/>
      <c r="AY136" s="0"/>
      <c r="AZ136" s="0"/>
      <c r="BA136" s="0"/>
      <c r="BC136" s="64"/>
      <c r="BD136" s="64"/>
      <c r="BE136" s="4" t="n">
        <f aca="false">VLOOKUP($A136,STRADDLE,14,FALSE())</f>
        <v>0.0570448769131922</v>
      </c>
      <c r="BF136" s="72" t="n">
        <f aca="false">A137-A136</f>
        <v>31</v>
      </c>
      <c r="BG136" s="179" t="n">
        <f aca="false">A136+BG$35</f>
        <v>40238</v>
      </c>
      <c r="BH136" s="179" t="n">
        <f aca="false">A137-1</f>
        <v>40268</v>
      </c>
      <c r="BJ136" s="179" t="n">
        <f aca="true">IF(BJ$35=0,TODAY(),IF(BJ$36="NYMEX",VLOOKUP($A136,expiration,2,FALSE())+1,BG136))</f>
        <v>40234</v>
      </c>
      <c r="BK136" s="73"/>
      <c r="BL136" s="73" t="n">
        <f aca="false">IF($A136&gt;=BM$32,IF($A136&lt;=BM$33,$BF136,0),0)</f>
        <v>0</v>
      </c>
      <c r="BM136" s="73" t="e">
        <f aca="false">BO136/BL136</f>
        <v>#DIV/0!</v>
      </c>
      <c r="BN136" s="1" t="n">
        <f aca="false">BL136*($B136+B$15)</f>
        <v>0</v>
      </c>
      <c r="BO136" s="47" t="n">
        <f aca="false">IF(ISNUMBER(((BN136/BL136)+B$16+$D136+$B$14)*BL136),((BN136/BL136)+B$16+$D136+$B$14)*BL136,0)</f>
        <v>0</v>
      </c>
      <c r="BP136" s="76" t="n">
        <f aca="false">IF($BL136=0,0,OSTRIP($BM136,$I136,$BJ136-$B$2,$BG136-$BJ136,$BH136-$BJ136,$B$10,$BE136,$F136,$G136,$B$23,$J136,$BQ$34,0))</f>
        <v>0</v>
      </c>
      <c r="BQ136" s="76" t="n">
        <f aca="false">IF($BL136=0,0,OSTRIP($BM136,$I136,$BJ136-$B$2,$BG136-$BJ136,$BH136-$BJ136,$B$10,$BE136,$F136,$G136,$B$23,$J136,$BQ$34,1))</f>
        <v>0</v>
      </c>
      <c r="BR136" s="76" t="n">
        <f aca="false">IF($BL136=0,0,OSTRIP($BM136,$I136,$BJ136-$B$2,$BG136-$BJ136,$BH136-$BJ136,$B$10,$BE136,$F136,$G136,$B$23,$J136,$BQ$34,BQ$35))</f>
        <v>0</v>
      </c>
      <c r="BS136" s="37" t="n">
        <f aca="false">BL136*BP136</f>
        <v>0</v>
      </c>
      <c r="BT136" s="37" t="n">
        <f aca="false">BL136*BQ136</f>
        <v>0</v>
      </c>
      <c r="BU136" s="37" t="n">
        <f aca="false">BL136*BR136</f>
        <v>0</v>
      </c>
      <c r="BV136" s="37" t="n">
        <f aca="false">BL136*G136</f>
        <v>0</v>
      </c>
      <c r="BX136" s="73" t="n">
        <f aca="false">IF($A136&gt;=BY$32,IF($A136&lt;=BY$33,$BF136,0),0)</f>
        <v>0</v>
      </c>
      <c r="BY136" s="186" t="e">
        <f aca="false">CA136/BX136</f>
        <v>#DIV/0!</v>
      </c>
      <c r="BZ136" s="1" t="n">
        <f aca="false">BX136*($B136+$D$15)</f>
        <v>0</v>
      </c>
      <c r="CA136" s="47" t="n">
        <f aca="false">IF(ISNUMBER(((BZ136/BX136)+$D$16+$N136+$D$14)*BX136),((BZ136/BX136)+$D$16+$N136+$D$14)*BX136,0)</f>
        <v>0</v>
      </c>
      <c r="CB136" s="76" t="n">
        <f aca="false">IF($BX136=0,0,OSTRIP($BY136,$S136,$BJ136-$B$2,$BG136-$BJ136,$BH136-$BJ136,$B$10,$BE136,$P136,$Q136,$D$23,$T136,$CC$34,0))</f>
        <v>0</v>
      </c>
      <c r="CC136" s="76" t="n">
        <f aca="false">IF($BX136=0,0,OSTRIP($BY136,$S136,$BJ136-$B$2,$BG136-$BJ136,$BH136-$BJ136,$B$10,$BE136,$P136,$Q136,$D$23,$T136,$CC$34,1))</f>
        <v>0</v>
      </c>
      <c r="CD136" s="76" t="n">
        <f aca="false">IF($BX136=0,0,OSTRIP($BY136,$S136,$BJ136-$B$2,$BG136-$BJ136,$BH136-$BJ136,$B$10,$BE136,$P136,$Q136,$D$23,$T136,$CC$34,CC$35))</f>
        <v>0</v>
      </c>
      <c r="CE136" s="37" t="n">
        <f aca="false">BX136*CB136</f>
        <v>0</v>
      </c>
      <c r="CF136" s="37" t="n">
        <f aca="false">BX136*CC136</f>
        <v>0</v>
      </c>
      <c r="CG136" s="37" t="n">
        <f aca="false">BX136*CD136</f>
        <v>0</v>
      </c>
      <c r="CH136" s="37" t="n">
        <f aca="false">BX136*Q136</f>
        <v>0</v>
      </c>
      <c r="CJ136" s="73" t="n">
        <f aca="false">IF($A136&gt;=CK$32,IF($A136&lt;=CK$33,$BF136,0),0)</f>
        <v>0</v>
      </c>
      <c r="CK136" s="186" t="e">
        <f aca="false">CM136/CJ136</f>
        <v>#DIV/0!</v>
      </c>
      <c r="CL136" s="1" t="n">
        <f aca="false">CJ136*($B136+$F$15)</f>
        <v>0</v>
      </c>
      <c r="CM136" s="47" t="n">
        <f aca="false">IF(ISNUMBER(((CL136/CJ136)+$F$16+$X136+$F$14)*CJ136),((CL136/CJ136)+$F$16+$X136+$F$14)*CJ136,0)</f>
        <v>0</v>
      </c>
      <c r="CN136" s="76" t="n">
        <f aca="false">IF($CJ136=0,0,OSTRIP($CK136,$AC136,$BJ136-$B$2,$BG136-$BJ136,$BH136-$BJ136,$B$10,$BE136,$Z136,$AA136,$F$23,$AD136,$CO$34,0))</f>
        <v>0</v>
      </c>
      <c r="CO136" s="76" t="n">
        <f aca="false">IF($CJ136=0,0,OSTRIP($CK136,$AC136,$BJ136-$B$2,$BG136-$BJ136,$BH136-$BJ136,$B$10,$BE136,$Z136,$AA136,$F$23,$AD136,$CO$34,1))</f>
        <v>0</v>
      </c>
      <c r="CP136" s="76" t="n">
        <f aca="false">IF($CJ136=0,0,OSTRIP($CK136,$AC136,$BJ136-$B$2,$BG136-$BJ136,$BH136-$BJ136,$B$10,$BE136,$Z136,$AA136,$F$23,$AD136,$CO$34,$CO$35))</f>
        <v>0</v>
      </c>
      <c r="CQ136" s="37" t="n">
        <f aca="false">CJ136*CN136</f>
        <v>0</v>
      </c>
      <c r="CR136" s="37" t="n">
        <f aca="false">CJ136*CO136</f>
        <v>0</v>
      </c>
      <c r="CS136" s="37" t="n">
        <f aca="false">CJ136*CP136</f>
        <v>0</v>
      </c>
      <c r="CT136" s="37" t="n">
        <f aca="false">CJ136*AA136</f>
        <v>0</v>
      </c>
      <c r="CV136" s="73" t="n">
        <f aca="false">IF($A136&gt;=CW$32,IF($A136&lt;=CW$33,$BF136,0),0)</f>
        <v>0</v>
      </c>
      <c r="CW136" s="186" t="e">
        <f aca="false">CY136/CV136</f>
        <v>#DIV/0!</v>
      </c>
      <c r="CX136" s="1" t="n">
        <f aca="false">CV136*($B136+$H$15)</f>
        <v>0</v>
      </c>
      <c r="CY136" s="47" t="n">
        <f aca="false">IF(ISNUMBER(((CX136/CV136)+$H$16+$AH136+$H$14)*CV136),((CX136/CV136)+$H$16+$AH136+$H$14)*CV136,0)</f>
        <v>0</v>
      </c>
      <c r="CZ136" s="76" t="n">
        <f aca="false">IF($CV136=0,0,OSTRIP($CW136,$AM136,$BJ136-$B$2,$BG136-$BJ136,$BH136-$BJ136,$B$10,$BE136,$AJ136,$AK136,$H$23,$AN136,$DA$34,0))</f>
        <v>0</v>
      </c>
      <c r="DA136" s="76" t="n">
        <f aca="false">IF($CV136=0,0,OSTRIP($CW136,$AM136,$BJ136-$B$2,$BG136-$BJ136,$BH136-$BJ136,$B$10,$BE136,$AJ136,$AK136,$H$23,$AN136,$DA$34,1))</f>
        <v>0</v>
      </c>
      <c r="DB136" s="76" t="n">
        <f aca="false">IF($CV136=0,0,OSTRIP($CW136,$AM136,$BJ136-$B$2,$BG136-$BJ136,$BH136-$BJ136,$B$10,$BE136,$AJ136,$AK136,$H$23,$AN136,$DA$34,DA$35))</f>
        <v>0</v>
      </c>
      <c r="DC136" s="37" t="n">
        <f aca="false">CV136*CZ136</f>
        <v>0</v>
      </c>
      <c r="DD136" s="37" t="n">
        <f aca="false">CV136*DA136</f>
        <v>0</v>
      </c>
      <c r="DE136" s="37" t="n">
        <f aca="false">CV136*DB136</f>
        <v>0</v>
      </c>
      <c r="DF136" s="37" t="n">
        <f aca="false">CV136*AK136</f>
        <v>0</v>
      </c>
    </row>
    <row r="137" customFormat="false" ht="12.75" hidden="false" customHeight="false" outlineLevel="0" collapsed="false">
      <c r="A137" s="62" t="n">
        <f aca="false">DATE(YEAR(A136),MONTH(A136)+1,1)</f>
        <v>40269</v>
      </c>
      <c r="B137" s="63" t="n">
        <f aca="false">VLOOKUP(A137,STRADDLE,5,FALSE())</f>
        <v>3.645</v>
      </c>
      <c r="C137" s="4" t="n">
        <f aca="false">VLOOKUP(A137,STRADDLE,8,FALSE())</f>
        <v>0.19</v>
      </c>
      <c r="D137" s="63" t="n">
        <f aca="false">IF(D$35="nymex",0,VLOOKUP($A137,curvesettle,HLOOKUP(D$35,curvesettle,2,FALSE())))</f>
        <v>0.36</v>
      </c>
      <c r="E137" s="65" t="n">
        <f aca="false">IF(ISNUMBER(VLOOKUP($A137,VOLCURVES,HLOOKUP(D$35,VOLCURVES,2,FALSE()),FALSE())),VLOOKUP($A137,VOLCURVES,HLOOKUP(D$35,VOLCURVES,2,FALSE()),FALSE()),1)</f>
        <v>0.98</v>
      </c>
      <c r="F137" s="4" t="n">
        <f aca="false">(($C137+H137)*$E137)+B$17</f>
        <v>0.2862</v>
      </c>
      <c r="G137" s="65" t="n">
        <f aca="false">VLOOKUP($A137,GASDVOLCURVES,HLOOKUP(D$36,GASDVOLCURVES,2,FALSE()),FALSE())+$B$18</f>
        <v>0.5</v>
      </c>
      <c r="H137" s="4" t="n">
        <f aca="false">IF($B$20=1,VLOOKUP($A137,skewtable,HLOOKUP(ROUND(I137-BM137,1),skewtable,2,FALSE()),FALSE())/100,0)</f>
        <v>0</v>
      </c>
      <c r="I137" s="66" t="e">
        <f aca="false">IF($B$10=1,($BM137*$B$23)-$B$14,$B$22)</f>
        <v>#DIV/0!</v>
      </c>
      <c r="J137" s="67" t="e">
        <f aca="false">I137-BM137+$B$24</f>
        <v>#DIV/0!</v>
      </c>
      <c r="K137" s="67"/>
      <c r="L137" s="183"/>
      <c r="M137" s="183"/>
      <c r="N137" s="63" t="n">
        <f aca="false">IF(N$35="nymex",0,VLOOKUP($A137,curvesettle,HLOOKUP(N$35,curvesettle,2,FALSE())))</f>
        <v>0.02</v>
      </c>
      <c r="O137" s="65" t="n">
        <f aca="false">IF(ISNUMBER(VLOOKUP($A137,VOLCURVES,HLOOKUP(N$35,VOLCURVES,2,FALSE()),FALSE())),VLOOKUP($A137,VOLCURVES,HLOOKUP(N$35,VOLCURVES,2,FALSE()),FALSE()),1)</f>
        <v>1</v>
      </c>
      <c r="P137" s="184" t="n">
        <f aca="false">(($C137+R137)*O137)+$D$17</f>
        <v>0.19</v>
      </c>
      <c r="Q137" s="65" t="n">
        <f aca="false">VLOOKUP($A137,GASDVOLCURVES,HLOOKUP(N$36,GASDVOLCURVES,2,FALSE()),FALSE())+$D$18</f>
        <v>0.5</v>
      </c>
      <c r="R137" s="4" t="n">
        <f aca="false">IF($D$20=1,VLOOKUP($A137,skewtable,HLOOKUP(ROUND(S137-BY137,1),skewtable,2,FALSE()),FALSE())/100,0)</f>
        <v>0</v>
      </c>
      <c r="S137" s="66" t="e">
        <f aca="false">IF(B$10=1,($BY137*$D$23)-$D$14,$D$22)</f>
        <v>#DIV/0!</v>
      </c>
      <c r="T137" s="67" t="e">
        <f aca="false">S137-$BY137+$D$24</f>
        <v>#DIV/0!</v>
      </c>
      <c r="U137" s="0"/>
      <c r="V137" s="0"/>
      <c r="W137" s="0"/>
      <c r="X137" s="63" t="n">
        <f aca="false">IF(X$35="nymex",0,VLOOKUP($A137,curvesettle,HLOOKUP(X$35,curvesettle,2,FALSE())))</f>
        <v>0.26</v>
      </c>
      <c r="Y137" s="65" t="n">
        <f aca="false">IF(ISNUMBER(VLOOKUP($A137,VOLCURVES,HLOOKUP(X$35,VOLCURVES,2,FALSE()),FALSE())),VLOOKUP($A137,VOLCURVES,HLOOKUP(X$35,VOLCURVES,2,FALSE()),FALSE()),1)</f>
        <v>1</v>
      </c>
      <c r="Z137" s="184" t="n">
        <f aca="false">(($C137+AB137)*Y137)+$F$17</f>
        <v>0.19</v>
      </c>
      <c r="AA137" s="65" t="n">
        <f aca="false">VLOOKUP($A137,GASDVOLCURVES,HLOOKUP(X$36,GASDVOLCURVES,2,FALSE()),FALSE())+$F$18</f>
        <v>0.55</v>
      </c>
      <c r="AB137" s="4" t="n">
        <f aca="false">IF($F$20=1,VLOOKUP($A137,skewtable,HLOOKUP(ROUND(AC137-CK137,1),skewtable,2,FALSE()),FALSE())/100,0)</f>
        <v>0</v>
      </c>
      <c r="AC137" s="66" t="e">
        <f aca="false">IF($B$10=1,($CK137*$F$23)-$F$14,$F$22)</f>
        <v>#DIV/0!</v>
      </c>
      <c r="AD137" s="67" t="e">
        <f aca="false">AC137-$CK137+$F$24</f>
        <v>#DIV/0!</v>
      </c>
      <c r="AE137" s="0"/>
      <c r="AF137" s="0"/>
      <c r="AG137" s="0"/>
      <c r="AH137" s="63" t="n">
        <f aca="false">IF(AH$35="nymex",0,VLOOKUP($A137,curvesettle,HLOOKUP(AH$35,curvesettle,2,FALSE())))</f>
        <v>0.38</v>
      </c>
      <c r="AI137" s="65" t="n">
        <f aca="false">IF(ISNUMBER(VLOOKUP($A137,VOLCURVES,HLOOKUP(AH$35,VOLCURVES,2,FALSE()),FALSE())),VLOOKUP($A137,VOLCURVES,HLOOKUP(AH$35,VOLCURVES,2,FALSE()),FALSE()),1)</f>
        <v>1</v>
      </c>
      <c r="AJ137" s="184" t="n">
        <f aca="false">(($C137+AL137)*AI137)+$H$17</f>
        <v>0.19</v>
      </c>
      <c r="AK137" s="65" t="n">
        <f aca="false">VLOOKUP($A137,GASDVOLCURVES,HLOOKUP(AH$36,GASDVOLCURVES,2,FALSE()),FALSE())+$H$18</f>
        <v>0.95</v>
      </c>
      <c r="AL137" s="4" t="n">
        <f aca="false">IF($H$20=1,VLOOKUP($A137,skewtable,HLOOKUP(ROUND(AM137-CW137,1),skewtable,2,FALSE()),FALSE())/100,0)</f>
        <v>0</v>
      </c>
      <c r="AM137" s="66" t="e">
        <f aca="false">IF($B$10=1,($CW137*$H$23)-$H$14,$H$22)</f>
        <v>#DIV/0!</v>
      </c>
      <c r="AN137" s="67" t="e">
        <f aca="false">AM137-CW137+$H$24</f>
        <v>#DIV/0!</v>
      </c>
      <c r="AO137" s="0"/>
      <c r="AP137" s="0"/>
      <c r="AQ137" s="183"/>
      <c r="AR137" s="183"/>
      <c r="AU137" s="0"/>
      <c r="AV137" s="0"/>
      <c r="AW137" s="0"/>
      <c r="AX137" s="0"/>
      <c r="AY137" s="0"/>
      <c r="AZ137" s="0"/>
      <c r="BA137" s="0"/>
      <c r="BC137" s="64"/>
      <c r="BD137" s="64"/>
      <c r="BE137" s="4" t="n">
        <f aca="false">VLOOKUP($A137,STRADDLE,14,FALSE())</f>
        <v>0.0571483753455491</v>
      </c>
      <c r="BF137" s="72" t="n">
        <f aca="false">A138-A137</f>
        <v>30</v>
      </c>
      <c r="BG137" s="179" t="n">
        <f aca="false">A137+BG$35</f>
        <v>40269</v>
      </c>
      <c r="BH137" s="179" t="n">
        <f aca="false">A138-1</f>
        <v>40298</v>
      </c>
      <c r="BJ137" s="179" t="n">
        <f aca="true">IF(BJ$35=0,TODAY(),IF(BJ$36="NYMEX",VLOOKUP($A137,expiration,2,FALSE())+1,BG137))</f>
        <v>40267</v>
      </c>
      <c r="BK137" s="73"/>
      <c r="BL137" s="73" t="n">
        <f aca="false">IF($A137&gt;=BM$32,IF($A137&lt;=BM$33,$BF137,0),0)</f>
        <v>0</v>
      </c>
      <c r="BM137" s="73" t="e">
        <f aca="false">BO137/BL137</f>
        <v>#DIV/0!</v>
      </c>
      <c r="BN137" s="1" t="n">
        <f aca="false">BL137*($B137+B$15)</f>
        <v>0</v>
      </c>
      <c r="BO137" s="47" t="n">
        <f aca="false">IF(ISNUMBER(((BN137/BL137)+B$16+$D137+$B$14)*BL137),((BN137/BL137)+B$16+$D137+$B$14)*BL137,0)</f>
        <v>0</v>
      </c>
      <c r="BP137" s="76" t="n">
        <f aca="false">IF($BL137=0,0,OSTRIP($BM137,$I137,$BJ137-$B$2,$BG137-$BJ137,$BH137-$BJ137,$B$10,$BE137,$F137,$G137,$B$23,$J137,$BQ$34,0))</f>
        <v>0</v>
      </c>
      <c r="BQ137" s="76" t="n">
        <f aca="false">IF($BL137=0,0,OSTRIP($BM137,$I137,$BJ137-$B$2,$BG137-$BJ137,$BH137-$BJ137,$B$10,$BE137,$F137,$G137,$B$23,$J137,$BQ$34,1))</f>
        <v>0</v>
      </c>
      <c r="BR137" s="76" t="n">
        <f aca="false">IF($BL137=0,0,OSTRIP($BM137,$I137,$BJ137-$B$2,$BG137-$BJ137,$BH137-$BJ137,$B$10,$BE137,$F137,$G137,$B$23,$J137,$BQ$34,BQ$35))</f>
        <v>0</v>
      </c>
      <c r="BS137" s="37" t="n">
        <f aca="false">BL137*BP137</f>
        <v>0</v>
      </c>
      <c r="BT137" s="37" t="n">
        <f aca="false">BL137*BQ137</f>
        <v>0</v>
      </c>
      <c r="BU137" s="37" t="n">
        <f aca="false">BL137*BR137</f>
        <v>0</v>
      </c>
      <c r="BV137" s="37" t="n">
        <f aca="false">BL137*G137</f>
        <v>0</v>
      </c>
      <c r="BX137" s="73" t="n">
        <f aca="false">IF($A137&gt;=BY$32,IF($A137&lt;=BY$33,$BF137,0),0)</f>
        <v>0</v>
      </c>
      <c r="BY137" s="186" t="e">
        <f aca="false">CA137/BX137</f>
        <v>#DIV/0!</v>
      </c>
      <c r="BZ137" s="1" t="n">
        <f aca="false">BX137*($B137+$D$15)</f>
        <v>0</v>
      </c>
      <c r="CA137" s="47" t="n">
        <f aca="false">IF(ISNUMBER(((BZ137/BX137)+$D$16+$N137+$D$14)*BX137),((BZ137/BX137)+$D$16+$N137+$D$14)*BX137,0)</f>
        <v>0</v>
      </c>
      <c r="CB137" s="76" t="n">
        <f aca="false">IF($BX137=0,0,OSTRIP($BY137,$S137,$BJ137-$B$2,$BG137-$BJ137,$BH137-$BJ137,$B$10,$BE137,$P137,$Q137,$D$23,$T137,$CC$34,0))</f>
        <v>0</v>
      </c>
      <c r="CC137" s="76" t="n">
        <f aca="false">IF($BX137=0,0,OSTRIP($BY137,$S137,$BJ137-$B$2,$BG137-$BJ137,$BH137-$BJ137,$B$10,$BE137,$P137,$Q137,$D$23,$T137,$CC$34,1))</f>
        <v>0</v>
      </c>
      <c r="CD137" s="76" t="n">
        <f aca="false">IF($BX137=0,0,OSTRIP($BY137,$S137,$BJ137-$B$2,$BG137-$BJ137,$BH137-$BJ137,$B$10,$BE137,$P137,$Q137,$D$23,$T137,$CC$34,CC$35))</f>
        <v>0</v>
      </c>
      <c r="CE137" s="37" t="n">
        <f aca="false">BX137*CB137</f>
        <v>0</v>
      </c>
      <c r="CF137" s="37" t="n">
        <f aca="false">BX137*CC137</f>
        <v>0</v>
      </c>
      <c r="CG137" s="37" t="n">
        <f aca="false">BX137*CD137</f>
        <v>0</v>
      </c>
      <c r="CH137" s="37" t="n">
        <f aca="false">BX137*Q137</f>
        <v>0</v>
      </c>
      <c r="CJ137" s="73" t="n">
        <f aca="false">IF($A137&gt;=CK$32,IF($A137&lt;=CK$33,$BF137,0),0)</f>
        <v>0</v>
      </c>
      <c r="CK137" s="186" t="e">
        <f aca="false">CM137/CJ137</f>
        <v>#DIV/0!</v>
      </c>
      <c r="CL137" s="1" t="n">
        <f aca="false">CJ137*($B137+$F$15)</f>
        <v>0</v>
      </c>
      <c r="CM137" s="47" t="n">
        <f aca="false">IF(ISNUMBER(((CL137/CJ137)+$F$16+$X137+$F$14)*CJ137),((CL137/CJ137)+$F$16+$X137+$F$14)*CJ137,0)</f>
        <v>0</v>
      </c>
      <c r="CN137" s="76" t="n">
        <f aca="false">IF($CJ137=0,0,OSTRIP($CK137,$AC137,$BJ137-$B$2,$BG137-$BJ137,$BH137-$BJ137,$B$10,$BE137,$Z137,$AA137,$F$23,$AD137,$CO$34,0))</f>
        <v>0</v>
      </c>
      <c r="CO137" s="76" t="n">
        <f aca="false">IF($CJ137=0,0,OSTRIP($CK137,$AC137,$BJ137-$B$2,$BG137-$BJ137,$BH137-$BJ137,$B$10,$BE137,$Z137,$AA137,$F$23,$AD137,$CO$34,1))</f>
        <v>0</v>
      </c>
      <c r="CP137" s="76" t="n">
        <f aca="false">IF($CJ137=0,0,OSTRIP($CK137,$AC137,$BJ137-$B$2,$BG137-$BJ137,$BH137-$BJ137,$B$10,$BE137,$Z137,$AA137,$F$23,$AD137,$CO$34,$CO$35))</f>
        <v>0</v>
      </c>
      <c r="CQ137" s="37" t="n">
        <f aca="false">CJ137*CN137</f>
        <v>0</v>
      </c>
      <c r="CR137" s="37" t="n">
        <f aca="false">CJ137*CO137</f>
        <v>0</v>
      </c>
      <c r="CS137" s="37" t="n">
        <f aca="false">CJ137*CP137</f>
        <v>0</v>
      </c>
      <c r="CT137" s="37" t="n">
        <f aca="false">CJ137*AA137</f>
        <v>0</v>
      </c>
      <c r="CV137" s="73" t="n">
        <f aca="false">IF($A137&gt;=CW$32,IF($A137&lt;=CW$33,$BF137,0),0)</f>
        <v>0</v>
      </c>
      <c r="CW137" s="186" t="e">
        <f aca="false">CY137/CV137</f>
        <v>#DIV/0!</v>
      </c>
      <c r="CX137" s="1" t="n">
        <f aca="false">CV137*($B137+$H$15)</f>
        <v>0</v>
      </c>
      <c r="CY137" s="47" t="n">
        <f aca="false">IF(ISNUMBER(((CX137/CV137)+$H$16+$AH137+$H$14)*CV137),((CX137/CV137)+$H$16+$AH137+$H$14)*CV137,0)</f>
        <v>0</v>
      </c>
      <c r="CZ137" s="76" t="n">
        <f aca="false">IF($CV137=0,0,OSTRIP($CW137,$AM137,$BJ137-$B$2,$BG137-$BJ137,$BH137-$BJ137,$B$10,$BE137,$AJ137,$AK137,$H$23,$AN137,$DA$34,0))</f>
        <v>0</v>
      </c>
      <c r="DA137" s="76" t="n">
        <f aca="false">IF($CV137=0,0,OSTRIP($CW137,$AM137,$BJ137-$B$2,$BG137-$BJ137,$BH137-$BJ137,$B$10,$BE137,$AJ137,$AK137,$H$23,$AN137,$DA$34,1))</f>
        <v>0</v>
      </c>
      <c r="DB137" s="76" t="n">
        <f aca="false">IF($CV137=0,0,OSTRIP($CW137,$AM137,$BJ137-$B$2,$BG137-$BJ137,$BH137-$BJ137,$B$10,$BE137,$AJ137,$AK137,$H$23,$AN137,$DA$34,DA$35))</f>
        <v>0</v>
      </c>
      <c r="DC137" s="37" t="n">
        <f aca="false">CV137*CZ137</f>
        <v>0</v>
      </c>
      <c r="DD137" s="37" t="n">
        <f aca="false">CV137*DA137</f>
        <v>0</v>
      </c>
      <c r="DE137" s="37" t="n">
        <f aca="false">CV137*DB137</f>
        <v>0</v>
      </c>
      <c r="DF137" s="37" t="n">
        <f aca="false">CV137*AK137</f>
        <v>0</v>
      </c>
    </row>
    <row r="138" customFormat="false" ht="12.75" hidden="false" customHeight="false" outlineLevel="0" collapsed="false">
      <c r="A138" s="62" t="n">
        <f aca="false">DATE(YEAR(A137),MONTH(A137)+1,1)</f>
        <v>40299</v>
      </c>
      <c r="B138" s="63" t="n">
        <f aca="false">VLOOKUP(A138,STRADDLE,5,FALSE())</f>
        <v>3.64</v>
      </c>
      <c r="C138" s="4" t="n">
        <f aca="false">VLOOKUP(A138,STRADDLE,8,FALSE())</f>
        <v>0.185</v>
      </c>
      <c r="D138" s="63" t="n">
        <f aca="false">IF(D$35="nymex",0,VLOOKUP($A138,curvesettle,HLOOKUP(D$35,curvesettle,2,FALSE())))</f>
        <v>0.325</v>
      </c>
      <c r="E138" s="65" t="n">
        <f aca="false">IF(ISNUMBER(VLOOKUP($A138,VOLCURVES,HLOOKUP(D$35,VOLCURVES,2,FALSE()),FALSE())),VLOOKUP($A138,VOLCURVES,HLOOKUP(D$35,VOLCURVES,2,FALSE()),FALSE()),1)</f>
        <v>0.98</v>
      </c>
      <c r="F138" s="4" t="n">
        <f aca="false">(($C138+H138)*$E138)+B$17</f>
        <v>0.2813</v>
      </c>
      <c r="G138" s="65" t="n">
        <f aca="false">VLOOKUP($A138,GASDVOLCURVES,HLOOKUP(D$36,GASDVOLCURVES,2,FALSE()),FALSE())+$B$18</f>
        <v>0.55</v>
      </c>
      <c r="H138" s="4" t="n">
        <f aca="false">IF($B$20=1,VLOOKUP($A138,skewtable,HLOOKUP(ROUND(I138-BM138,1),skewtable,2,FALSE()),FALSE())/100,0)</f>
        <v>0</v>
      </c>
      <c r="I138" s="66" t="e">
        <f aca="false">IF($B$10=1,($BM138*$B$23)-$B$14,$B$22)</f>
        <v>#DIV/0!</v>
      </c>
      <c r="J138" s="67" t="e">
        <f aca="false">I138-BM138+$B$24</f>
        <v>#DIV/0!</v>
      </c>
      <c r="K138" s="67"/>
      <c r="L138" s="183"/>
      <c r="M138" s="183"/>
      <c r="N138" s="63" t="n">
        <f aca="false">IF(N$35="nymex",0,VLOOKUP($A138,curvesettle,HLOOKUP(N$35,curvesettle,2,FALSE())))</f>
        <v>0.02</v>
      </c>
      <c r="O138" s="65" t="n">
        <f aca="false">IF(ISNUMBER(VLOOKUP($A138,VOLCURVES,HLOOKUP(N$35,VOLCURVES,2,FALSE()),FALSE())),VLOOKUP($A138,VOLCURVES,HLOOKUP(N$35,VOLCURVES,2,FALSE()),FALSE()),1)</f>
        <v>1</v>
      </c>
      <c r="P138" s="184" t="n">
        <f aca="false">(($C138+R138)*O138)+$D$17</f>
        <v>0.185</v>
      </c>
      <c r="Q138" s="65" t="n">
        <f aca="false">VLOOKUP($A138,GASDVOLCURVES,HLOOKUP(N$36,GASDVOLCURVES,2,FALSE()),FALSE())+$D$18</f>
        <v>0.55</v>
      </c>
      <c r="R138" s="4" t="n">
        <f aca="false">IF($D$20=1,VLOOKUP($A138,skewtable,HLOOKUP(ROUND(S138-BY138,1),skewtable,2,FALSE()),FALSE())/100,0)</f>
        <v>0</v>
      </c>
      <c r="S138" s="66" t="e">
        <f aca="false">IF(B$10=1,($BY138*$D$23)-$D$14,$D$22)</f>
        <v>#DIV/0!</v>
      </c>
      <c r="T138" s="67" t="e">
        <f aca="false">S138-$BY138+$D$24</f>
        <v>#DIV/0!</v>
      </c>
      <c r="U138" s="0"/>
      <c r="V138" s="0"/>
      <c r="W138" s="0"/>
      <c r="X138" s="63" t="n">
        <f aca="false">IF(X$35="nymex",0,VLOOKUP($A138,curvesettle,HLOOKUP(X$35,curvesettle,2,FALSE())))</f>
        <v>0.26</v>
      </c>
      <c r="Y138" s="65" t="n">
        <f aca="false">IF(ISNUMBER(VLOOKUP($A138,VOLCURVES,HLOOKUP(X$35,VOLCURVES,2,FALSE()),FALSE())),VLOOKUP($A138,VOLCURVES,HLOOKUP(X$35,VOLCURVES,2,FALSE()),FALSE()),1)</f>
        <v>1</v>
      </c>
      <c r="Z138" s="184" t="n">
        <f aca="false">(($C138+AB138)*Y138)+$F$17</f>
        <v>0.185</v>
      </c>
      <c r="AA138" s="65" t="n">
        <f aca="false">VLOOKUP($A138,GASDVOLCURVES,HLOOKUP(X$36,GASDVOLCURVES,2,FALSE()),FALSE())+$F$18</f>
        <v>0.5</v>
      </c>
      <c r="AB138" s="4" t="n">
        <f aca="false">IF($F$20=1,VLOOKUP($A138,skewtable,HLOOKUP(ROUND(AC138-CK138,1),skewtable,2,FALSE()),FALSE())/100,0)</f>
        <v>0</v>
      </c>
      <c r="AC138" s="66" t="e">
        <f aca="false">IF($B$10=1,($CK138*$F$23)-$F$14,$F$22)</f>
        <v>#DIV/0!</v>
      </c>
      <c r="AD138" s="67" t="e">
        <f aca="false">AC138-$CK138+$F$24</f>
        <v>#DIV/0!</v>
      </c>
      <c r="AE138" s="0"/>
      <c r="AF138" s="0"/>
      <c r="AG138" s="0"/>
      <c r="AH138" s="63" t="n">
        <f aca="false">IF(AH$35="nymex",0,VLOOKUP($A138,curvesettle,HLOOKUP(AH$35,curvesettle,2,FALSE())))</f>
        <v>0.33</v>
      </c>
      <c r="AI138" s="65" t="n">
        <f aca="false">IF(ISNUMBER(VLOOKUP($A138,VOLCURVES,HLOOKUP(AH$35,VOLCURVES,2,FALSE()),FALSE())),VLOOKUP($A138,VOLCURVES,HLOOKUP(AH$35,VOLCURVES,2,FALSE()),FALSE()),1)</f>
        <v>1</v>
      </c>
      <c r="AJ138" s="184" t="n">
        <f aca="false">(($C138+AL138)*AI138)+$H$17</f>
        <v>0.185</v>
      </c>
      <c r="AK138" s="65" t="n">
        <f aca="false">VLOOKUP($A138,GASDVOLCURVES,HLOOKUP(AH$36,GASDVOLCURVES,2,FALSE()),FALSE())+$H$18</f>
        <v>1</v>
      </c>
      <c r="AL138" s="4" t="n">
        <f aca="false">IF($H$20=1,VLOOKUP($A138,skewtable,HLOOKUP(ROUND(AM138-CW138,1),skewtable,2,FALSE()),FALSE())/100,0)</f>
        <v>0</v>
      </c>
      <c r="AM138" s="66" t="e">
        <f aca="false">IF($B$10=1,($CW138*$H$23)-$H$14,$H$22)</f>
        <v>#DIV/0!</v>
      </c>
      <c r="AN138" s="67" t="e">
        <f aca="false">AM138-CW138+$H$24</f>
        <v>#DIV/0!</v>
      </c>
      <c r="AO138" s="0"/>
      <c r="AP138" s="0"/>
      <c r="AQ138" s="183"/>
      <c r="AR138" s="183"/>
      <c r="AU138" s="0"/>
      <c r="AV138" s="0"/>
      <c r="AW138" s="0"/>
      <c r="AX138" s="0"/>
      <c r="AY138" s="0"/>
      <c r="AZ138" s="0"/>
      <c r="BA138" s="0"/>
      <c r="BC138" s="64"/>
      <c r="BD138" s="64"/>
      <c r="BE138" s="4" t="n">
        <f aca="false">VLOOKUP($A138,STRADDLE,14,FALSE())</f>
        <v>0.0572485351221919</v>
      </c>
      <c r="BF138" s="72" t="n">
        <f aca="false">A139-A138</f>
        <v>31</v>
      </c>
      <c r="BG138" s="179" t="n">
        <f aca="false">A138+BG$35</f>
        <v>40299</v>
      </c>
      <c r="BH138" s="179" t="n">
        <f aca="false">A139-1</f>
        <v>40329</v>
      </c>
      <c r="BJ138" s="179" t="n">
        <f aca="true">IF(BJ$35=0,TODAY(),IF(BJ$36="NYMEX",VLOOKUP($A138,expiration,2,FALSE())+1,BG138))</f>
        <v>40297</v>
      </c>
      <c r="BK138" s="73"/>
      <c r="BL138" s="73" t="n">
        <f aca="false">IF($A138&gt;=BM$32,IF($A138&lt;=BM$33,$BF138,0),0)</f>
        <v>0</v>
      </c>
      <c r="BM138" s="73" t="e">
        <f aca="false">BO138/BL138</f>
        <v>#DIV/0!</v>
      </c>
      <c r="BN138" s="1" t="n">
        <f aca="false">BL138*($B138+B$15)</f>
        <v>0</v>
      </c>
      <c r="BO138" s="47" t="n">
        <f aca="false">IF(ISNUMBER(((BN138/BL138)+B$16+$D138+$B$14)*BL138),((BN138/BL138)+B$16+$D138+$B$14)*BL138,0)</f>
        <v>0</v>
      </c>
      <c r="BP138" s="76" t="n">
        <f aca="false">IF($BL138=0,0,OSTRIP($BM138,$I138,$BJ138-$B$2,$BG138-$BJ138,$BH138-$BJ138,$B$10,$BE138,$F138,$G138,$B$23,$J138,$BQ$34,0))</f>
        <v>0</v>
      </c>
      <c r="BQ138" s="76" t="n">
        <f aca="false">IF($BL138=0,0,OSTRIP($BM138,$I138,$BJ138-$B$2,$BG138-$BJ138,$BH138-$BJ138,$B$10,$BE138,$F138,$G138,$B$23,$J138,$BQ$34,1))</f>
        <v>0</v>
      </c>
      <c r="BR138" s="76" t="n">
        <f aca="false">IF($BL138=0,0,OSTRIP($BM138,$I138,$BJ138-$B$2,$BG138-$BJ138,$BH138-$BJ138,$B$10,$BE138,$F138,$G138,$B$23,$J138,$BQ$34,BQ$35))</f>
        <v>0</v>
      </c>
      <c r="BS138" s="37" t="n">
        <f aca="false">BL138*BP138</f>
        <v>0</v>
      </c>
      <c r="BT138" s="37" t="n">
        <f aca="false">BL138*BQ138</f>
        <v>0</v>
      </c>
      <c r="BU138" s="37" t="n">
        <f aca="false">BL138*BR138</f>
        <v>0</v>
      </c>
      <c r="BV138" s="37" t="n">
        <f aca="false">BL138*G138</f>
        <v>0</v>
      </c>
      <c r="BX138" s="73" t="n">
        <f aca="false">IF($A138&gt;=BY$32,IF($A138&lt;=BY$33,$BF138,0),0)</f>
        <v>0</v>
      </c>
      <c r="BY138" s="186" t="e">
        <f aca="false">CA138/BX138</f>
        <v>#DIV/0!</v>
      </c>
      <c r="BZ138" s="1" t="n">
        <f aca="false">BX138*($B138+$D$15)</f>
        <v>0</v>
      </c>
      <c r="CA138" s="47" t="n">
        <f aca="false">IF(ISNUMBER(((BZ138/BX138)+$D$16+$N138+$D$14)*BX138),((BZ138/BX138)+$D$16+$N138+$D$14)*BX138,0)</f>
        <v>0</v>
      </c>
      <c r="CB138" s="76" t="n">
        <f aca="false">IF($BX138=0,0,OSTRIP($BY138,$S138,$BJ138-$B$2,$BG138-$BJ138,$BH138-$BJ138,$B$10,$BE138,$P138,$Q138,$D$23,$T138,$CC$34,0))</f>
        <v>0</v>
      </c>
      <c r="CC138" s="76" t="n">
        <f aca="false">IF($BX138=0,0,OSTRIP($BY138,$S138,$BJ138-$B$2,$BG138-$BJ138,$BH138-$BJ138,$B$10,$BE138,$P138,$Q138,$D$23,$T138,$CC$34,1))</f>
        <v>0</v>
      </c>
      <c r="CD138" s="76" t="n">
        <f aca="false">IF($BX138=0,0,OSTRIP($BY138,$S138,$BJ138-$B$2,$BG138-$BJ138,$BH138-$BJ138,$B$10,$BE138,$P138,$Q138,$D$23,$T138,$CC$34,CC$35))</f>
        <v>0</v>
      </c>
      <c r="CE138" s="37" t="n">
        <f aca="false">BX138*CB138</f>
        <v>0</v>
      </c>
      <c r="CF138" s="37" t="n">
        <f aca="false">BX138*CC138</f>
        <v>0</v>
      </c>
      <c r="CG138" s="37" t="n">
        <f aca="false">BX138*CD138</f>
        <v>0</v>
      </c>
      <c r="CH138" s="37" t="n">
        <f aca="false">BX138*Q138</f>
        <v>0</v>
      </c>
      <c r="CJ138" s="73" t="n">
        <f aca="false">IF($A138&gt;=CK$32,IF($A138&lt;=CK$33,$BF138,0),0)</f>
        <v>0</v>
      </c>
      <c r="CK138" s="186" t="e">
        <f aca="false">CM138/CJ138</f>
        <v>#DIV/0!</v>
      </c>
      <c r="CL138" s="1" t="n">
        <f aca="false">CJ138*($B138+$F$15)</f>
        <v>0</v>
      </c>
      <c r="CM138" s="47" t="n">
        <f aca="false">IF(ISNUMBER(((CL138/CJ138)+$F$16+$X138+$F$14)*CJ138),((CL138/CJ138)+$F$16+$X138+$F$14)*CJ138,0)</f>
        <v>0</v>
      </c>
      <c r="CN138" s="76" t="n">
        <f aca="false">IF($CJ138=0,0,OSTRIP($CK138,$AC138,$BJ138-$B$2,$BG138-$BJ138,$BH138-$BJ138,$B$10,$BE138,$Z138,$AA138,$F$23,$AD138,$CO$34,0))</f>
        <v>0</v>
      </c>
      <c r="CO138" s="76" t="n">
        <f aca="false">IF($CJ138=0,0,OSTRIP($CK138,$AC138,$BJ138-$B$2,$BG138-$BJ138,$BH138-$BJ138,$B$10,$BE138,$Z138,$AA138,$F$23,$AD138,$CO$34,1))</f>
        <v>0</v>
      </c>
      <c r="CP138" s="76" t="n">
        <f aca="false">IF($CJ138=0,0,OSTRIP($CK138,$AC138,$BJ138-$B$2,$BG138-$BJ138,$BH138-$BJ138,$B$10,$BE138,$Z138,$AA138,$F$23,$AD138,$CO$34,$CO$35))</f>
        <v>0</v>
      </c>
      <c r="CQ138" s="37" t="n">
        <f aca="false">CJ138*CN138</f>
        <v>0</v>
      </c>
      <c r="CR138" s="37" t="n">
        <f aca="false">CJ138*CO138</f>
        <v>0</v>
      </c>
      <c r="CS138" s="37" t="n">
        <f aca="false">CJ138*CP138</f>
        <v>0</v>
      </c>
      <c r="CT138" s="37" t="n">
        <f aca="false">CJ138*AA138</f>
        <v>0</v>
      </c>
      <c r="CV138" s="73" t="n">
        <f aca="false">IF($A138&gt;=CW$32,IF($A138&lt;=CW$33,$BF138,0),0)</f>
        <v>0</v>
      </c>
      <c r="CW138" s="186" t="e">
        <f aca="false">CY138/CV138</f>
        <v>#DIV/0!</v>
      </c>
      <c r="CX138" s="1" t="n">
        <f aca="false">CV138*($B138+$H$15)</f>
        <v>0</v>
      </c>
      <c r="CY138" s="47" t="n">
        <f aca="false">IF(ISNUMBER(((CX138/CV138)+$H$16+$AH138+$H$14)*CV138),((CX138/CV138)+$H$16+$AH138+$H$14)*CV138,0)</f>
        <v>0</v>
      </c>
      <c r="CZ138" s="76" t="n">
        <f aca="false">IF($CV138=0,0,OSTRIP($CW138,$AM138,$BJ138-$B$2,$BG138-$BJ138,$BH138-$BJ138,$B$10,$BE138,$AJ138,$AK138,$H$23,$AN138,$DA$34,0))</f>
        <v>0</v>
      </c>
      <c r="DA138" s="76" t="n">
        <f aca="false">IF($CV138=0,0,OSTRIP($CW138,$AM138,$BJ138-$B$2,$BG138-$BJ138,$BH138-$BJ138,$B$10,$BE138,$AJ138,$AK138,$H$23,$AN138,$DA$34,1))</f>
        <v>0</v>
      </c>
      <c r="DB138" s="76" t="n">
        <f aca="false">IF($CV138=0,0,OSTRIP($CW138,$AM138,$BJ138-$B$2,$BG138-$BJ138,$BH138-$BJ138,$B$10,$BE138,$AJ138,$AK138,$H$23,$AN138,$DA$34,DA$35))</f>
        <v>0</v>
      </c>
      <c r="DC138" s="37" t="n">
        <f aca="false">CV138*CZ138</f>
        <v>0</v>
      </c>
      <c r="DD138" s="37" t="n">
        <f aca="false">CV138*DA138</f>
        <v>0</v>
      </c>
      <c r="DE138" s="37" t="n">
        <f aca="false">CV138*DB138</f>
        <v>0</v>
      </c>
      <c r="DF138" s="37" t="n">
        <f aca="false">CV138*AK138</f>
        <v>0</v>
      </c>
    </row>
    <row r="139" customFormat="false" ht="12.75" hidden="false" customHeight="false" outlineLevel="0" collapsed="false">
      <c r="A139" s="62" t="n">
        <f aca="false">DATE(YEAR(A138),MONTH(A138)+1,1)</f>
        <v>40330</v>
      </c>
      <c r="B139" s="63" t="n">
        <f aca="false">VLOOKUP(A139,STRADDLE,5,FALSE())</f>
        <v>3.675</v>
      </c>
      <c r="C139" s="4" t="n">
        <f aca="false">VLOOKUP(A139,STRADDLE,8,FALSE())</f>
        <v>0.185</v>
      </c>
      <c r="D139" s="63" t="n">
        <f aca="false">IF(D$35="nymex",0,VLOOKUP($A139,curvesettle,HLOOKUP(D$35,curvesettle,2,FALSE())))</f>
        <v>0.335</v>
      </c>
      <c r="E139" s="65" t="n">
        <f aca="false">IF(ISNUMBER(VLOOKUP($A139,VOLCURVES,HLOOKUP(D$35,VOLCURVES,2,FALSE()),FALSE())),VLOOKUP($A139,VOLCURVES,HLOOKUP(D$35,VOLCURVES,2,FALSE()),FALSE()),1)</f>
        <v>0.98</v>
      </c>
      <c r="F139" s="4" t="n">
        <f aca="false">(($C139+H139)*$E139)+B$17</f>
        <v>0.2813</v>
      </c>
      <c r="G139" s="65" t="n">
        <f aca="false">VLOOKUP($A139,GASDVOLCURVES,HLOOKUP(D$36,GASDVOLCURVES,2,FALSE()),FALSE())+$B$18</f>
        <v>0.55</v>
      </c>
      <c r="H139" s="4" t="n">
        <f aca="false">IF($B$20=1,VLOOKUP($A139,skewtable,HLOOKUP(ROUND(I139-BM139,1),skewtable,2,FALSE()),FALSE())/100,0)</f>
        <v>0</v>
      </c>
      <c r="I139" s="66" t="e">
        <f aca="false">IF($B$10=1,($BM139*$B$23)-$B$14,$B$22)</f>
        <v>#DIV/0!</v>
      </c>
      <c r="J139" s="67" t="e">
        <f aca="false">I139-BM139+$B$24</f>
        <v>#DIV/0!</v>
      </c>
      <c r="K139" s="67"/>
      <c r="L139" s="183"/>
      <c r="M139" s="183"/>
      <c r="N139" s="63" t="n">
        <f aca="false">IF(N$35="nymex",0,VLOOKUP($A139,curvesettle,HLOOKUP(N$35,curvesettle,2,FALSE())))</f>
        <v>0.025</v>
      </c>
      <c r="O139" s="65" t="n">
        <f aca="false">IF(ISNUMBER(VLOOKUP($A139,VOLCURVES,HLOOKUP(N$35,VOLCURVES,2,FALSE()),FALSE())),VLOOKUP($A139,VOLCURVES,HLOOKUP(N$35,VOLCURVES,2,FALSE()),FALSE()),1)</f>
        <v>1</v>
      </c>
      <c r="P139" s="184" t="n">
        <f aca="false">(($C139+R139)*O139)+$D$17</f>
        <v>0.185</v>
      </c>
      <c r="Q139" s="65" t="n">
        <f aca="false">VLOOKUP($A139,GASDVOLCURVES,HLOOKUP(N$36,GASDVOLCURVES,2,FALSE()),FALSE())+$D$18</f>
        <v>0.55</v>
      </c>
      <c r="R139" s="4" t="n">
        <f aca="false">IF($D$20=1,VLOOKUP($A139,skewtable,HLOOKUP(ROUND(S139-BY139,1),skewtable,2,FALSE()),FALSE())/100,0)</f>
        <v>0</v>
      </c>
      <c r="S139" s="66" t="e">
        <f aca="false">IF(B$10=1,($BY139*$D$23)-$D$14,$D$22)</f>
        <v>#DIV/0!</v>
      </c>
      <c r="T139" s="67" t="e">
        <f aca="false">S139-$BY139+$D$24</f>
        <v>#DIV/0!</v>
      </c>
      <c r="U139" s="0"/>
      <c r="V139" s="0"/>
      <c r="W139" s="0"/>
      <c r="X139" s="63" t="n">
        <f aca="false">IF(X$35="nymex",0,VLOOKUP($A139,curvesettle,HLOOKUP(X$35,curvesettle,2,FALSE())))</f>
        <v>0.26</v>
      </c>
      <c r="Y139" s="65" t="n">
        <f aca="false">IF(ISNUMBER(VLOOKUP($A139,VOLCURVES,HLOOKUP(X$35,VOLCURVES,2,FALSE()),FALSE())),VLOOKUP($A139,VOLCURVES,HLOOKUP(X$35,VOLCURVES,2,FALSE()),FALSE()),1)</f>
        <v>1</v>
      </c>
      <c r="Z139" s="184" t="n">
        <f aca="false">(($C139+AB139)*Y139)+$F$17</f>
        <v>0.185</v>
      </c>
      <c r="AA139" s="65" t="n">
        <f aca="false">VLOOKUP($A139,GASDVOLCURVES,HLOOKUP(X$36,GASDVOLCURVES,2,FALSE()),FALSE())+$F$18</f>
        <v>0.6</v>
      </c>
      <c r="AB139" s="4" t="n">
        <f aca="false">IF($F$20=1,VLOOKUP($A139,skewtable,HLOOKUP(ROUND(AC139-CK139,1),skewtable,2,FALSE()),FALSE())/100,0)</f>
        <v>0</v>
      </c>
      <c r="AC139" s="66" t="e">
        <f aca="false">IF($B$10=1,($CK139*$F$23)-$F$14,$F$22)</f>
        <v>#DIV/0!</v>
      </c>
      <c r="AD139" s="67" t="e">
        <f aca="false">AC139-$CK139+$F$24</f>
        <v>#DIV/0!</v>
      </c>
      <c r="AE139" s="0"/>
      <c r="AF139" s="0"/>
      <c r="AG139" s="0"/>
      <c r="AH139" s="63" t="n">
        <f aca="false">IF(AH$35="nymex",0,VLOOKUP($A139,curvesettle,HLOOKUP(AH$35,curvesettle,2,FALSE())))</f>
        <v>0.37</v>
      </c>
      <c r="AI139" s="65" t="n">
        <f aca="false">IF(ISNUMBER(VLOOKUP($A139,VOLCURVES,HLOOKUP(AH$35,VOLCURVES,2,FALSE()),FALSE())),VLOOKUP($A139,VOLCURVES,HLOOKUP(AH$35,VOLCURVES,2,FALSE()),FALSE()),1)</f>
        <v>1</v>
      </c>
      <c r="AJ139" s="184" t="n">
        <f aca="false">(($C139+AL139)*AI139)+$H$17</f>
        <v>0.185</v>
      </c>
      <c r="AK139" s="65" t="n">
        <f aca="false">VLOOKUP($A139,GASDVOLCURVES,HLOOKUP(AH$36,GASDVOLCURVES,2,FALSE()),FALSE())+$H$18</f>
        <v>1</v>
      </c>
      <c r="AL139" s="4" t="n">
        <f aca="false">IF($H$20=1,VLOOKUP($A139,skewtable,HLOOKUP(ROUND(AM139-CW139,1),skewtable,2,FALSE()),FALSE())/100,0)</f>
        <v>0</v>
      </c>
      <c r="AM139" s="66" t="e">
        <f aca="false">IF($B$10=1,($CW139*$H$23)-$H$14,$H$22)</f>
        <v>#DIV/0!</v>
      </c>
      <c r="AN139" s="67" t="e">
        <f aca="false">AM139-CW139+$H$24</f>
        <v>#DIV/0!</v>
      </c>
      <c r="AO139" s="0"/>
      <c r="AP139" s="0"/>
      <c r="AQ139" s="183"/>
      <c r="AR139" s="183"/>
      <c r="AU139" s="0"/>
      <c r="AV139" s="0"/>
      <c r="AW139" s="0"/>
      <c r="AX139" s="0"/>
      <c r="AY139" s="0"/>
      <c r="AZ139" s="0"/>
      <c r="BA139" s="0"/>
      <c r="BC139" s="64"/>
      <c r="BD139" s="64"/>
      <c r="BE139" s="4" t="n">
        <f aca="false">VLOOKUP($A139,STRADDLE,14,FALSE())</f>
        <v>0.0573520335615627</v>
      </c>
      <c r="BF139" s="72" t="n">
        <f aca="false">A140-A139</f>
        <v>30</v>
      </c>
      <c r="BG139" s="179" t="n">
        <f aca="false">A139+BG$35</f>
        <v>40330</v>
      </c>
      <c r="BH139" s="179" t="n">
        <f aca="false">A140-1</f>
        <v>40359</v>
      </c>
      <c r="BJ139" s="179" t="n">
        <f aca="true">IF(BJ$35=0,TODAY(),IF(BJ$36="NYMEX",VLOOKUP($A139,expiration,2,FALSE())+1,BG139))</f>
        <v>40325</v>
      </c>
      <c r="BK139" s="73"/>
      <c r="BL139" s="73" t="n">
        <f aca="false">IF($A139&gt;=BM$32,IF($A139&lt;=BM$33,$BF139,0),0)</f>
        <v>0</v>
      </c>
      <c r="BM139" s="73" t="e">
        <f aca="false">BO139/BL139</f>
        <v>#DIV/0!</v>
      </c>
      <c r="BN139" s="1" t="n">
        <f aca="false">BL139*($B139+B$15)</f>
        <v>0</v>
      </c>
      <c r="BO139" s="47" t="n">
        <f aca="false">IF(ISNUMBER(((BN139/BL139)+B$16+$D139+$B$14)*BL139),((BN139/BL139)+B$16+$D139+$B$14)*BL139,0)</f>
        <v>0</v>
      </c>
      <c r="BP139" s="76" t="n">
        <f aca="false">IF($BL139=0,0,OSTRIP($BM139,$I139,$BJ139-$B$2,$BG139-$BJ139,$BH139-$BJ139,$B$10,$BE139,$F139,$G139,$B$23,$J139,$BQ$34,0))</f>
        <v>0</v>
      </c>
      <c r="BQ139" s="76" t="n">
        <f aca="false">IF($BL139=0,0,OSTRIP($BM139,$I139,$BJ139-$B$2,$BG139-$BJ139,$BH139-$BJ139,$B$10,$BE139,$F139,$G139,$B$23,$J139,$BQ$34,1))</f>
        <v>0</v>
      </c>
      <c r="BR139" s="76" t="n">
        <f aca="false">IF($BL139=0,0,OSTRIP($BM139,$I139,$BJ139-$B$2,$BG139-$BJ139,$BH139-$BJ139,$B$10,$BE139,$F139,$G139,$B$23,$J139,$BQ$34,BQ$35))</f>
        <v>0</v>
      </c>
      <c r="BS139" s="37" t="n">
        <f aca="false">BL139*BP139</f>
        <v>0</v>
      </c>
      <c r="BT139" s="37" t="n">
        <f aca="false">BL139*BQ139</f>
        <v>0</v>
      </c>
      <c r="BU139" s="37" t="n">
        <f aca="false">BL139*BR139</f>
        <v>0</v>
      </c>
      <c r="BV139" s="37" t="n">
        <f aca="false">BL139*G139</f>
        <v>0</v>
      </c>
      <c r="BX139" s="73" t="n">
        <f aca="false">IF($A139&gt;=BY$32,IF($A139&lt;=BY$33,$BF139,0),0)</f>
        <v>0</v>
      </c>
      <c r="BY139" s="186" t="e">
        <f aca="false">CA139/BX139</f>
        <v>#DIV/0!</v>
      </c>
      <c r="BZ139" s="1" t="n">
        <f aca="false">BX139*($B139+$D$15)</f>
        <v>0</v>
      </c>
      <c r="CA139" s="47" t="n">
        <f aca="false">IF(ISNUMBER(((BZ139/BX139)+$D$16+$N139+$D$14)*BX139),((BZ139/BX139)+$D$16+$N139+$D$14)*BX139,0)</f>
        <v>0</v>
      </c>
      <c r="CB139" s="76" t="n">
        <f aca="false">IF($BX139=0,0,OSTRIP($BY139,$S139,$BJ139-$B$2,$BG139-$BJ139,$BH139-$BJ139,$B$10,$BE139,$P139,$Q139,$D$23,$T139,$CC$34,0))</f>
        <v>0</v>
      </c>
      <c r="CC139" s="76" t="n">
        <f aca="false">IF($BX139=0,0,OSTRIP($BY139,$S139,$BJ139-$B$2,$BG139-$BJ139,$BH139-$BJ139,$B$10,$BE139,$P139,$Q139,$D$23,$T139,$CC$34,1))</f>
        <v>0</v>
      </c>
      <c r="CD139" s="76" t="n">
        <f aca="false">IF($BX139=0,0,OSTRIP($BY139,$S139,$BJ139-$B$2,$BG139-$BJ139,$BH139-$BJ139,$B$10,$BE139,$P139,$Q139,$D$23,$T139,$CC$34,CC$35))</f>
        <v>0</v>
      </c>
      <c r="CE139" s="37" t="n">
        <f aca="false">BX139*CB139</f>
        <v>0</v>
      </c>
      <c r="CF139" s="37" t="n">
        <f aca="false">BX139*CC139</f>
        <v>0</v>
      </c>
      <c r="CG139" s="37" t="n">
        <f aca="false">BX139*CD139</f>
        <v>0</v>
      </c>
      <c r="CH139" s="37" t="n">
        <f aca="false">BX139*Q139</f>
        <v>0</v>
      </c>
      <c r="CJ139" s="73" t="n">
        <f aca="false">IF($A139&gt;=CK$32,IF($A139&lt;=CK$33,$BF139,0),0)</f>
        <v>0</v>
      </c>
      <c r="CK139" s="186" t="e">
        <f aca="false">CM139/CJ139</f>
        <v>#DIV/0!</v>
      </c>
      <c r="CL139" s="1" t="n">
        <f aca="false">CJ139*($B139+$F$15)</f>
        <v>0</v>
      </c>
      <c r="CM139" s="47" t="n">
        <f aca="false">IF(ISNUMBER(((CL139/CJ139)+$F$16+$X139+$F$14)*CJ139),((CL139/CJ139)+$F$16+$X139+$F$14)*CJ139,0)</f>
        <v>0</v>
      </c>
      <c r="CN139" s="76" t="n">
        <f aca="false">IF($CJ139=0,0,OSTRIP($CK139,$AC139,$BJ139-$B$2,$BG139-$BJ139,$BH139-$BJ139,$B$10,$BE139,$Z139,$AA139,$F$23,$AD139,$CO$34,0))</f>
        <v>0</v>
      </c>
      <c r="CO139" s="76" t="n">
        <f aca="false">IF($CJ139=0,0,OSTRIP($CK139,$AC139,$BJ139-$B$2,$BG139-$BJ139,$BH139-$BJ139,$B$10,$BE139,$Z139,$AA139,$F$23,$AD139,$CO$34,1))</f>
        <v>0</v>
      </c>
      <c r="CP139" s="76" t="n">
        <f aca="false">IF($CJ139=0,0,OSTRIP($CK139,$AC139,$BJ139-$B$2,$BG139-$BJ139,$BH139-$BJ139,$B$10,$BE139,$Z139,$AA139,$F$23,$AD139,$CO$34,$CO$35))</f>
        <v>0</v>
      </c>
      <c r="CQ139" s="37" t="n">
        <f aca="false">CJ139*CN139</f>
        <v>0</v>
      </c>
      <c r="CR139" s="37" t="n">
        <f aca="false">CJ139*CO139</f>
        <v>0</v>
      </c>
      <c r="CS139" s="37" t="n">
        <f aca="false">CJ139*CP139</f>
        <v>0</v>
      </c>
      <c r="CT139" s="37" t="n">
        <f aca="false">CJ139*AA139</f>
        <v>0</v>
      </c>
      <c r="CV139" s="73" t="n">
        <f aca="false">IF($A139&gt;=CW$32,IF($A139&lt;=CW$33,$BF139,0),0)</f>
        <v>0</v>
      </c>
      <c r="CW139" s="186" t="e">
        <f aca="false">CY139/CV139</f>
        <v>#DIV/0!</v>
      </c>
      <c r="CX139" s="1" t="n">
        <f aca="false">CV139*($B139+$H$15)</f>
        <v>0</v>
      </c>
      <c r="CY139" s="47" t="n">
        <f aca="false">IF(ISNUMBER(((CX139/CV139)+$H$16+$AH139+$H$14)*CV139),((CX139/CV139)+$H$16+$AH139+$H$14)*CV139,0)</f>
        <v>0</v>
      </c>
      <c r="CZ139" s="76" t="n">
        <f aca="false">IF($CV139=0,0,OSTRIP($CW139,$AM139,$BJ139-$B$2,$BG139-$BJ139,$BH139-$BJ139,$B$10,$BE139,$AJ139,$AK139,$H$23,$AN139,$DA$34,0))</f>
        <v>0</v>
      </c>
      <c r="DA139" s="76" t="n">
        <f aca="false">IF($CV139=0,0,OSTRIP($CW139,$AM139,$BJ139-$B$2,$BG139-$BJ139,$BH139-$BJ139,$B$10,$BE139,$AJ139,$AK139,$H$23,$AN139,$DA$34,1))</f>
        <v>0</v>
      </c>
      <c r="DB139" s="76" t="n">
        <f aca="false">IF($CV139=0,0,OSTRIP($CW139,$AM139,$BJ139-$B$2,$BG139-$BJ139,$BH139-$BJ139,$B$10,$BE139,$AJ139,$AK139,$H$23,$AN139,$DA$34,DA$35))</f>
        <v>0</v>
      </c>
      <c r="DC139" s="37" t="n">
        <f aca="false">CV139*CZ139</f>
        <v>0</v>
      </c>
      <c r="DD139" s="37" t="n">
        <f aca="false">CV139*DA139</f>
        <v>0</v>
      </c>
      <c r="DE139" s="37" t="n">
        <f aca="false">CV139*DB139</f>
        <v>0</v>
      </c>
      <c r="DF139" s="37" t="n">
        <f aca="false">CV139*AK139</f>
        <v>0</v>
      </c>
    </row>
    <row r="140" customFormat="false" ht="12.75" hidden="false" customHeight="false" outlineLevel="0" collapsed="false">
      <c r="A140" s="62" t="n">
        <f aca="false">DATE(YEAR(A139),MONTH(A139)+1,1)</f>
        <v>40360</v>
      </c>
      <c r="B140" s="63" t="n">
        <f aca="false">VLOOKUP(A140,STRADDLE,5,FALSE())</f>
        <v>3.715</v>
      </c>
      <c r="C140" s="4" t="n">
        <f aca="false">VLOOKUP(A140,STRADDLE,8,FALSE())</f>
        <v>0.185</v>
      </c>
      <c r="D140" s="63" t="n">
        <f aca="false">IF(D$35="nymex",0,VLOOKUP($A140,curvesettle,HLOOKUP(D$35,curvesettle,2,FALSE())))</f>
        <v>0.35</v>
      </c>
      <c r="E140" s="65" t="n">
        <f aca="false">IF(ISNUMBER(VLOOKUP($A140,VOLCURVES,HLOOKUP(D$35,VOLCURVES,2,FALSE()),FALSE())),VLOOKUP($A140,VOLCURVES,HLOOKUP(D$35,VOLCURVES,2,FALSE()),FALSE()),1)</f>
        <v>0.98</v>
      </c>
      <c r="F140" s="4" t="n">
        <f aca="false">(($C140+H140)*$E140)+B$17</f>
        <v>0.2813</v>
      </c>
      <c r="G140" s="65" t="n">
        <f aca="false">VLOOKUP($A140,GASDVOLCURVES,HLOOKUP(D$36,GASDVOLCURVES,2,FALSE()),FALSE())+$B$18</f>
        <v>0.6</v>
      </c>
      <c r="H140" s="4" t="n">
        <f aca="false">IF($B$20=1,VLOOKUP($A140,skewtable,HLOOKUP(ROUND(I140-BM140,1),skewtable,2,FALSE()),FALSE())/100,0)</f>
        <v>0</v>
      </c>
      <c r="I140" s="66" t="e">
        <f aca="false">IF($B$10=1,($BM140*$B$23)-$B$14,$B$22)</f>
        <v>#DIV/0!</v>
      </c>
      <c r="J140" s="67" t="e">
        <f aca="false">I140-BM140+$B$24</f>
        <v>#DIV/0!</v>
      </c>
      <c r="K140" s="67"/>
      <c r="L140" s="183"/>
      <c r="M140" s="183"/>
      <c r="N140" s="63" t="n">
        <f aca="false">IF(N$35="nymex",0,VLOOKUP($A140,curvesettle,HLOOKUP(N$35,curvesettle,2,FALSE())))</f>
        <v>0.0275</v>
      </c>
      <c r="O140" s="65" t="n">
        <f aca="false">IF(ISNUMBER(VLOOKUP($A140,VOLCURVES,HLOOKUP(N$35,VOLCURVES,2,FALSE()),FALSE())),VLOOKUP($A140,VOLCURVES,HLOOKUP(N$35,VOLCURVES,2,FALSE()),FALSE()),1)</f>
        <v>1</v>
      </c>
      <c r="P140" s="184" t="n">
        <f aca="false">(($C140+R140)*O140)+$D$17</f>
        <v>0.185</v>
      </c>
      <c r="Q140" s="65" t="n">
        <f aca="false">VLOOKUP($A140,GASDVOLCURVES,HLOOKUP(N$36,GASDVOLCURVES,2,FALSE()),FALSE())+$D$18</f>
        <v>0.6</v>
      </c>
      <c r="R140" s="4" t="n">
        <f aca="false">IF($D$20=1,VLOOKUP($A140,skewtable,HLOOKUP(ROUND(S140-BY140,1),skewtable,2,FALSE()),FALSE())/100,0)</f>
        <v>0</v>
      </c>
      <c r="S140" s="66" t="e">
        <f aca="false">IF(B$10=1,($BY140*$D$23)-$D$14,$D$22)</f>
        <v>#DIV/0!</v>
      </c>
      <c r="T140" s="67" t="e">
        <f aca="false">S140-$BY140+$D$24</f>
        <v>#DIV/0!</v>
      </c>
      <c r="U140" s="0"/>
      <c r="V140" s="0"/>
      <c r="W140" s="0"/>
      <c r="X140" s="63" t="n">
        <f aca="false">IF(X$35="nymex",0,VLOOKUP($A140,curvesettle,HLOOKUP(X$35,curvesettle,2,FALSE())))</f>
        <v>0.26</v>
      </c>
      <c r="Y140" s="65" t="n">
        <f aca="false">IF(ISNUMBER(VLOOKUP($A140,VOLCURVES,HLOOKUP(X$35,VOLCURVES,2,FALSE()),FALSE())),VLOOKUP($A140,VOLCURVES,HLOOKUP(X$35,VOLCURVES,2,FALSE()),FALSE()),1)</f>
        <v>1</v>
      </c>
      <c r="Z140" s="184" t="n">
        <f aca="false">(($C140+AB140)*Y140)+$F$17</f>
        <v>0.185</v>
      </c>
      <c r="AA140" s="65" t="n">
        <f aca="false">VLOOKUP($A140,GASDVOLCURVES,HLOOKUP(X$36,GASDVOLCURVES,2,FALSE()),FALSE())+$F$18</f>
        <v>0.6</v>
      </c>
      <c r="AB140" s="4" t="n">
        <f aca="false">IF($F$20=1,VLOOKUP($A140,skewtable,HLOOKUP(ROUND(AC140-CK140,1),skewtable,2,FALSE()),FALSE())/100,0)</f>
        <v>0</v>
      </c>
      <c r="AC140" s="66" t="e">
        <f aca="false">IF($B$10=1,($CK140*$F$23)-$F$14,$F$22)</f>
        <v>#DIV/0!</v>
      </c>
      <c r="AD140" s="67" t="e">
        <f aca="false">AC140-$CK140+$F$24</f>
        <v>#DIV/0!</v>
      </c>
      <c r="AE140" s="0"/>
      <c r="AF140" s="0"/>
      <c r="AG140" s="0"/>
      <c r="AH140" s="63" t="n">
        <f aca="false">IF(AH$35="nymex",0,VLOOKUP($A140,curvesettle,HLOOKUP(AH$35,curvesettle,2,FALSE())))</f>
        <v>0.41</v>
      </c>
      <c r="AI140" s="65" t="n">
        <f aca="false">IF(ISNUMBER(VLOOKUP($A140,VOLCURVES,HLOOKUP(AH$35,VOLCURVES,2,FALSE()),FALSE())),VLOOKUP($A140,VOLCURVES,HLOOKUP(AH$35,VOLCURVES,2,FALSE()),FALSE()),1)</f>
        <v>1</v>
      </c>
      <c r="AJ140" s="184" t="n">
        <f aca="false">(($C140+AL140)*AI140)+$H$17</f>
        <v>0.185</v>
      </c>
      <c r="AK140" s="65" t="n">
        <f aca="false">VLOOKUP($A140,GASDVOLCURVES,HLOOKUP(AH$36,GASDVOLCURVES,2,FALSE()),FALSE())+$H$18</f>
        <v>1</v>
      </c>
      <c r="AL140" s="4" t="n">
        <f aca="false">IF($H$20=1,VLOOKUP($A140,skewtable,HLOOKUP(ROUND(AM140-CW140,1),skewtable,2,FALSE()),FALSE())/100,0)</f>
        <v>0</v>
      </c>
      <c r="AM140" s="66" t="e">
        <f aca="false">IF($B$10=1,($CW140*$H$23)-$H$14,$H$22)</f>
        <v>#DIV/0!</v>
      </c>
      <c r="AN140" s="67" t="e">
        <f aca="false">AM140-CW140+$H$24</f>
        <v>#DIV/0!</v>
      </c>
      <c r="AO140" s="0"/>
      <c r="AP140" s="0"/>
      <c r="AQ140" s="183"/>
      <c r="AR140" s="183"/>
      <c r="AU140" s="0"/>
      <c r="AV140" s="0"/>
      <c r="AW140" s="0"/>
      <c r="AX140" s="0"/>
      <c r="AY140" s="0"/>
      <c r="AZ140" s="0"/>
      <c r="BA140" s="0"/>
      <c r="BC140" s="64"/>
      <c r="BD140" s="64"/>
      <c r="BE140" s="4" t="n">
        <f aca="false">VLOOKUP($A140,STRADDLE,14,FALSE())</f>
        <v>0.0574521933449916</v>
      </c>
      <c r="BF140" s="72" t="n">
        <f aca="false">A141-A140</f>
        <v>31</v>
      </c>
      <c r="BG140" s="179" t="n">
        <f aca="false">A140+BG$35</f>
        <v>40360</v>
      </c>
      <c r="BH140" s="179" t="n">
        <f aca="false">A141-1</f>
        <v>40390</v>
      </c>
      <c r="BJ140" s="179" t="n">
        <f aca="true">IF(BJ$35=0,TODAY(),IF(BJ$36="NYMEX",VLOOKUP($A140,expiration,2,FALSE())+1,BG140))</f>
        <v>40358</v>
      </c>
      <c r="BK140" s="73"/>
      <c r="BL140" s="73" t="n">
        <f aca="false">IF($A140&gt;=BM$32,IF($A140&lt;=BM$33,$BF140,0),0)</f>
        <v>0</v>
      </c>
      <c r="BM140" s="73" t="e">
        <f aca="false">BO140/BL140</f>
        <v>#DIV/0!</v>
      </c>
      <c r="BN140" s="1" t="n">
        <f aca="false">BL140*($B140+B$15)</f>
        <v>0</v>
      </c>
      <c r="BO140" s="47" t="n">
        <f aca="false">IF(ISNUMBER(((BN140/BL140)+B$16+$D140+$B$14)*BL140),((BN140/BL140)+B$16+$D140+$B$14)*BL140,0)</f>
        <v>0</v>
      </c>
      <c r="BP140" s="76" t="n">
        <f aca="false">IF($BL140=0,0,OSTRIP($BM140,$I140,$BJ140-$B$2,$BG140-$BJ140,$BH140-$BJ140,$B$10,$BE140,$F140,$G140,$B$23,$J140,$BQ$34,0))</f>
        <v>0</v>
      </c>
      <c r="BQ140" s="76" t="n">
        <f aca="false">IF($BL140=0,0,OSTRIP($BM140,$I140,$BJ140-$B$2,$BG140-$BJ140,$BH140-$BJ140,$B$10,$BE140,$F140,$G140,$B$23,$J140,$BQ$34,1))</f>
        <v>0</v>
      </c>
      <c r="BR140" s="76" t="n">
        <f aca="false">IF($BL140=0,0,OSTRIP($BM140,$I140,$BJ140-$B$2,$BG140-$BJ140,$BH140-$BJ140,$B$10,$BE140,$F140,$G140,$B$23,$J140,$BQ$34,BQ$35))</f>
        <v>0</v>
      </c>
      <c r="BS140" s="37" t="n">
        <f aca="false">BL140*BP140</f>
        <v>0</v>
      </c>
      <c r="BT140" s="37" t="n">
        <f aca="false">BL140*BQ140</f>
        <v>0</v>
      </c>
      <c r="BU140" s="37" t="n">
        <f aca="false">BL140*BR140</f>
        <v>0</v>
      </c>
      <c r="BV140" s="37" t="n">
        <f aca="false">BL140*G140</f>
        <v>0</v>
      </c>
      <c r="BX140" s="73" t="n">
        <f aca="false">IF($A140&gt;=BY$32,IF($A140&lt;=BY$33,$BF140,0),0)</f>
        <v>0</v>
      </c>
      <c r="BY140" s="186" t="e">
        <f aca="false">CA140/BX140</f>
        <v>#DIV/0!</v>
      </c>
      <c r="BZ140" s="1" t="n">
        <f aca="false">BX140*($B140+$D$15)</f>
        <v>0</v>
      </c>
      <c r="CA140" s="47" t="n">
        <f aca="false">IF(ISNUMBER(((BZ140/BX140)+$D$16+$N140+$D$14)*BX140),((BZ140/BX140)+$D$16+$N140+$D$14)*BX140,0)</f>
        <v>0</v>
      </c>
      <c r="CB140" s="76" t="n">
        <f aca="false">IF($BX140=0,0,OSTRIP($BY140,$S140,$BJ140-$B$2,$BG140-$BJ140,$BH140-$BJ140,$B$10,$BE140,$P140,$Q140,$D$23,$T140,$CC$34,0))</f>
        <v>0</v>
      </c>
      <c r="CC140" s="76" t="n">
        <f aca="false">IF($BX140=0,0,OSTRIP($BY140,$S140,$BJ140-$B$2,$BG140-$BJ140,$BH140-$BJ140,$B$10,$BE140,$P140,$Q140,$D$23,$T140,$CC$34,1))</f>
        <v>0</v>
      </c>
      <c r="CD140" s="76" t="n">
        <f aca="false">IF($BX140=0,0,OSTRIP($BY140,$S140,$BJ140-$B$2,$BG140-$BJ140,$BH140-$BJ140,$B$10,$BE140,$P140,$Q140,$D$23,$T140,$CC$34,CC$35))</f>
        <v>0</v>
      </c>
      <c r="CE140" s="37" t="n">
        <f aca="false">BX140*CB140</f>
        <v>0</v>
      </c>
      <c r="CF140" s="37" t="n">
        <f aca="false">BX140*CC140</f>
        <v>0</v>
      </c>
      <c r="CG140" s="37" t="n">
        <f aca="false">BX140*CD140</f>
        <v>0</v>
      </c>
      <c r="CH140" s="37" t="n">
        <f aca="false">BX140*Q140</f>
        <v>0</v>
      </c>
      <c r="CJ140" s="73" t="n">
        <f aca="false">IF($A140&gt;=CK$32,IF($A140&lt;=CK$33,$BF140,0),0)</f>
        <v>0</v>
      </c>
      <c r="CK140" s="186" t="e">
        <f aca="false">CM140/CJ140</f>
        <v>#DIV/0!</v>
      </c>
      <c r="CL140" s="1" t="n">
        <f aca="false">CJ140*($B140+$F$15)</f>
        <v>0</v>
      </c>
      <c r="CM140" s="47" t="n">
        <f aca="false">IF(ISNUMBER(((CL140/CJ140)+$F$16+$X140+$F$14)*CJ140),((CL140/CJ140)+$F$16+$X140+$F$14)*CJ140,0)</f>
        <v>0</v>
      </c>
      <c r="CN140" s="76" t="n">
        <f aca="false">IF($CJ140=0,0,OSTRIP($CK140,$AC140,$BJ140-$B$2,$BG140-$BJ140,$BH140-$BJ140,$B$10,$BE140,$Z140,$AA140,$F$23,$AD140,$CO$34,0))</f>
        <v>0</v>
      </c>
      <c r="CO140" s="76" t="n">
        <f aca="false">IF($CJ140=0,0,OSTRIP($CK140,$AC140,$BJ140-$B$2,$BG140-$BJ140,$BH140-$BJ140,$B$10,$BE140,$Z140,$AA140,$F$23,$AD140,$CO$34,1))</f>
        <v>0</v>
      </c>
      <c r="CP140" s="76" t="n">
        <f aca="false">IF($CJ140=0,0,OSTRIP($CK140,$AC140,$BJ140-$B$2,$BG140-$BJ140,$BH140-$BJ140,$B$10,$BE140,$Z140,$AA140,$F$23,$AD140,$CO$34,$CO$35))</f>
        <v>0</v>
      </c>
      <c r="CQ140" s="37" t="n">
        <f aca="false">CJ140*CN140</f>
        <v>0</v>
      </c>
      <c r="CR140" s="37" t="n">
        <f aca="false">CJ140*CO140</f>
        <v>0</v>
      </c>
      <c r="CS140" s="37" t="n">
        <f aca="false">CJ140*CP140</f>
        <v>0</v>
      </c>
      <c r="CT140" s="37" t="n">
        <f aca="false">CJ140*AA140</f>
        <v>0</v>
      </c>
      <c r="CV140" s="73" t="n">
        <f aca="false">IF($A140&gt;=CW$32,IF($A140&lt;=CW$33,$BF140,0),0)</f>
        <v>0</v>
      </c>
      <c r="CW140" s="186" t="e">
        <f aca="false">CY140/CV140</f>
        <v>#DIV/0!</v>
      </c>
      <c r="CX140" s="1" t="n">
        <f aca="false">CV140*($B140+$H$15)</f>
        <v>0</v>
      </c>
      <c r="CY140" s="47" t="n">
        <f aca="false">IF(ISNUMBER(((CX140/CV140)+$H$16+$AH140+$H$14)*CV140),((CX140/CV140)+$H$16+$AH140+$H$14)*CV140,0)</f>
        <v>0</v>
      </c>
      <c r="CZ140" s="76" t="n">
        <f aca="false">IF($CV140=0,0,OSTRIP($CW140,$AM140,$BJ140-$B$2,$BG140-$BJ140,$BH140-$BJ140,$B$10,$BE140,$AJ140,$AK140,$H$23,$AN140,$DA$34,0))</f>
        <v>0</v>
      </c>
      <c r="DA140" s="76" t="n">
        <f aca="false">IF($CV140=0,0,OSTRIP($CW140,$AM140,$BJ140-$B$2,$BG140-$BJ140,$BH140-$BJ140,$B$10,$BE140,$AJ140,$AK140,$H$23,$AN140,$DA$34,1))</f>
        <v>0</v>
      </c>
      <c r="DB140" s="76" t="n">
        <f aca="false">IF($CV140=0,0,OSTRIP($CW140,$AM140,$BJ140-$B$2,$BG140-$BJ140,$BH140-$BJ140,$B$10,$BE140,$AJ140,$AK140,$H$23,$AN140,$DA$34,DA$35))</f>
        <v>0</v>
      </c>
      <c r="DC140" s="37" t="n">
        <f aca="false">CV140*CZ140</f>
        <v>0</v>
      </c>
      <c r="DD140" s="37" t="n">
        <f aca="false">CV140*DA140</f>
        <v>0</v>
      </c>
      <c r="DE140" s="37" t="n">
        <f aca="false">CV140*DB140</f>
        <v>0</v>
      </c>
      <c r="DF140" s="37" t="n">
        <f aca="false">CV140*AK140</f>
        <v>0</v>
      </c>
    </row>
    <row r="141" customFormat="false" ht="12.75" hidden="false" customHeight="false" outlineLevel="0" collapsed="false">
      <c r="A141" s="62" t="n">
        <f aca="false">DATE(YEAR(A140),MONTH(A140)+1,1)</f>
        <v>40391</v>
      </c>
      <c r="B141" s="63" t="n">
        <f aca="false">VLOOKUP(A141,STRADDLE,5,FALSE())</f>
        <v>3.755</v>
      </c>
      <c r="C141" s="4" t="n">
        <f aca="false">VLOOKUP(A141,STRADDLE,8,FALSE())</f>
        <v>0.185</v>
      </c>
      <c r="D141" s="63" t="n">
        <f aca="false">IF(D$35="nymex",0,VLOOKUP($A141,curvesettle,HLOOKUP(D$35,curvesettle,2,FALSE())))</f>
        <v>0.35</v>
      </c>
      <c r="E141" s="65" t="n">
        <f aca="false">IF(ISNUMBER(VLOOKUP($A141,VOLCURVES,HLOOKUP(D$35,VOLCURVES,2,FALSE()),FALSE())),VLOOKUP($A141,VOLCURVES,HLOOKUP(D$35,VOLCURVES,2,FALSE()),FALSE()),1)</f>
        <v>0.98</v>
      </c>
      <c r="F141" s="4" t="n">
        <f aca="false">(($C141+H141)*$E141)+B$17</f>
        <v>0.2813</v>
      </c>
      <c r="G141" s="65" t="n">
        <f aca="false">VLOOKUP($A141,GASDVOLCURVES,HLOOKUP(D$36,GASDVOLCURVES,2,FALSE()),FALSE())+$B$18</f>
        <v>0.65</v>
      </c>
      <c r="H141" s="4" t="n">
        <f aca="false">IF($B$20=1,VLOOKUP($A141,skewtable,HLOOKUP(ROUND(I141-BM141,1),skewtable,2,FALSE()),FALSE())/100,0)</f>
        <v>0</v>
      </c>
      <c r="I141" s="66" t="e">
        <f aca="false">IF($B$10=1,($BM141*$B$23)-$B$14,$B$22)</f>
        <v>#DIV/0!</v>
      </c>
      <c r="J141" s="67" t="e">
        <f aca="false">I141-BM141+$B$24</f>
        <v>#DIV/0!</v>
      </c>
      <c r="K141" s="67"/>
      <c r="L141" s="183"/>
      <c r="M141" s="183"/>
      <c r="N141" s="63" t="n">
        <f aca="false">IF(N$35="nymex",0,VLOOKUP($A141,curvesettle,HLOOKUP(N$35,curvesettle,2,FALSE())))</f>
        <v>0.03</v>
      </c>
      <c r="O141" s="65" t="n">
        <f aca="false">IF(ISNUMBER(VLOOKUP($A141,VOLCURVES,HLOOKUP(N$35,VOLCURVES,2,FALSE()),FALSE())),VLOOKUP($A141,VOLCURVES,HLOOKUP(N$35,VOLCURVES,2,FALSE()),FALSE()),1)</f>
        <v>1</v>
      </c>
      <c r="P141" s="184" t="n">
        <f aca="false">(($C141+R141)*O141)+$D$17</f>
        <v>0.185</v>
      </c>
      <c r="Q141" s="65" t="n">
        <f aca="false">VLOOKUP($A141,GASDVOLCURVES,HLOOKUP(N$36,GASDVOLCURVES,2,FALSE()),FALSE())+$D$18</f>
        <v>0.65</v>
      </c>
      <c r="R141" s="4" t="n">
        <f aca="false">IF($D$20=1,VLOOKUP($A141,skewtable,HLOOKUP(ROUND(S141-BY141,1),skewtable,2,FALSE()),FALSE())/100,0)</f>
        <v>0</v>
      </c>
      <c r="S141" s="66" t="e">
        <f aca="false">IF(B$10=1,($BY141*$D$23)-$D$14,$D$22)</f>
        <v>#DIV/0!</v>
      </c>
      <c r="T141" s="67" t="e">
        <f aca="false">S141-$BY141+$D$24</f>
        <v>#DIV/0!</v>
      </c>
      <c r="U141" s="0"/>
      <c r="V141" s="0"/>
      <c r="W141" s="0"/>
      <c r="X141" s="63" t="n">
        <f aca="false">IF(X$35="nymex",0,VLOOKUP($A141,curvesettle,HLOOKUP(X$35,curvesettle,2,FALSE())))</f>
        <v>0.26</v>
      </c>
      <c r="Y141" s="65" t="n">
        <f aca="false">IF(ISNUMBER(VLOOKUP($A141,VOLCURVES,HLOOKUP(X$35,VOLCURVES,2,FALSE()),FALSE())),VLOOKUP($A141,VOLCURVES,HLOOKUP(X$35,VOLCURVES,2,FALSE()),FALSE()),1)</f>
        <v>1</v>
      </c>
      <c r="Z141" s="184" t="n">
        <f aca="false">(($C141+AB141)*Y141)+$F$17</f>
        <v>0.185</v>
      </c>
      <c r="AA141" s="65" t="n">
        <f aca="false">VLOOKUP($A141,GASDVOLCURVES,HLOOKUP(X$36,GASDVOLCURVES,2,FALSE()),FALSE())+$F$18</f>
        <v>0.7</v>
      </c>
      <c r="AB141" s="4" t="n">
        <f aca="false">IF($F$20=1,VLOOKUP($A141,skewtable,HLOOKUP(ROUND(AC141-CK141,1),skewtable,2,FALSE()),FALSE())/100,0)</f>
        <v>0</v>
      </c>
      <c r="AC141" s="66" t="e">
        <f aca="false">IF($B$10=1,($CK141*$F$23)-$F$14,$F$22)</f>
        <v>#DIV/0!</v>
      </c>
      <c r="AD141" s="67" t="e">
        <f aca="false">AC141-$CK141+$F$24</f>
        <v>#DIV/0!</v>
      </c>
      <c r="AE141" s="0"/>
      <c r="AF141" s="0"/>
      <c r="AG141" s="0"/>
      <c r="AH141" s="63" t="n">
        <f aca="false">IF(AH$35="nymex",0,VLOOKUP($A141,curvesettle,HLOOKUP(AH$35,curvesettle,2,FALSE())))</f>
        <v>0.41</v>
      </c>
      <c r="AI141" s="65" t="n">
        <f aca="false">IF(ISNUMBER(VLOOKUP($A141,VOLCURVES,HLOOKUP(AH$35,VOLCURVES,2,FALSE()),FALSE())),VLOOKUP($A141,VOLCURVES,HLOOKUP(AH$35,VOLCURVES,2,FALSE()),FALSE()),1)</f>
        <v>1</v>
      </c>
      <c r="AJ141" s="184" t="n">
        <f aca="false">(($C141+AL141)*AI141)+$H$17</f>
        <v>0.185</v>
      </c>
      <c r="AK141" s="65" t="n">
        <f aca="false">VLOOKUP($A141,GASDVOLCURVES,HLOOKUP(AH$36,GASDVOLCURVES,2,FALSE()),FALSE())+$H$18</f>
        <v>1.1</v>
      </c>
      <c r="AL141" s="4" t="n">
        <f aca="false">IF($H$20=1,VLOOKUP($A141,skewtable,HLOOKUP(ROUND(AM141-CW141,1),skewtable,2,FALSE()),FALSE())/100,0)</f>
        <v>0</v>
      </c>
      <c r="AM141" s="66" t="e">
        <f aca="false">IF($B$10=1,($CW141*$H$23)-$H$14,$H$22)</f>
        <v>#DIV/0!</v>
      </c>
      <c r="AN141" s="67" t="e">
        <f aca="false">AM141-CW141+$H$24</f>
        <v>#DIV/0!</v>
      </c>
      <c r="AO141" s="0"/>
      <c r="AP141" s="0"/>
      <c r="AQ141" s="183"/>
      <c r="AR141" s="183"/>
      <c r="AU141" s="0"/>
      <c r="AV141" s="0"/>
      <c r="AW141" s="0"/>
      <c r="AX141" s="0"/>
      <c r="AY141" s="0"/>
      <c r="AZ141" s="0"/>
      <c r="BA141" s="0"/>
      <c r="BC141" s="64"/>
      <c r="BD141" s="64"/>
      <c r="BE141" s="4" t="n">
        <f aca="false">VLOOKUP($A141,STRADDLE,14,FALSE())</f>
        <v>0.0575556917913746</v>
      </c>
      <c r="BF141" s="72" t="n">
        <f aca="false">A142-A141</f>
        <v>31</v>
      </c>
      <c r="BG141" s="179" t="n">
        <f aca="false">A141+BG$35</f>
        <v>40391</v>
      </c>
      <c r="BH141" s="179" t="n">
        <f aca="false">A142-1</f>
        <v>40421</v>
      </c>
      <c r="BJ141" s="179" t="n">
        <f aca="true">IF(BJ$35=0,TODAY(),IF(BJ$36="NYMEX",VLOOKUP($A141,expiration,2,FALSE())+1,BG141))</f>
        <v>40388</v>
      </c>
      <c r="BK141" s="73"/>
      <c r="BL141" s="73" t="n">
        <f aca="false">IF($A141&gt;=BM$32,IF($A141&lt;=BM$33,$BF141,0),0)</f>
        <v>0</v>
      </c>
      <c r="BM141" s="73" t="e">
        <f aca="false">BO141/BL141</f>
        <v>#DIV/0!</v>
      </c>
      <c r="BN141" s="1" t="n">
        <f aca="false">BL141*($B141+B$15)</f>
        <v>0</v>
      </c>
      <c r="BO141" s="47" t="n">
        <f aca="false">IF(ISNUMBER(((BN141/BL141)+B$16+$D141+$B$14)*BL141),((BN141/BL141)+B$16+$D141+$B$14)*BL141,0)</f>
        <v>0</v>
      </c>
      <c r="BP141" s="76" t="n">
        <f aca="false">IF($BL141=0,0,OSTRIP($BM141,$I141,$BJ141-$B$2,$BG141-$BJ141,$BH141-$BJ141,$B$10,$BE141,$F141,$G141,$B$23,$J141,$BQ$34,0))</f>
        <v>0</v>
      </c>
      <c r="BQ141" s="76" t="n">
        <f aca="false">IF($BL141=0,0,OSTRIP($BM141,$I141,$BJ141-$B$2,$BG141-$BJ141,$BH141-$BJ141,$B$10,$BE141,$F141,$G141,$B$23,$J141,$BQ$34,1))</f>
        <v>0</v>
      </c>
      <c r="BR141" s="76" t="n">
        <f aca="false">IF($BL141=0,0,OSTRIP($BM141,$I141,$BJ141-$B$2,$BG141-$BJ141,$BH141-$BJ141,$B$10,$BE141,$F141,$G141,$B$23,$J141,$BQ$34,BQ$35))</f>
        <v>0</v>
      </c>
      <c r="BS141" s="37" t="n">
        <f aca="false">BL141*BP141</f>
        <v>0</v>
      </c>
      <c r="BT141" s="37" t="n">
        <f aca="false">BL141*BQ141</f>
        <v>0</v>
      </c>
      <c r="BU141" s="37" t="n">
        <f aca="false">BL141*BR141</f>
        <v>0</v>
      </c>
      <c r="BV141" s="37" t="n">
        <f aca="false">BL141*G141</f>
        <v>0</v>
      </c>
      <c r="BX141" s="73" t="n">
        <f aca="false">IF($A141&gt;=BY$32,IF($A141&lt;=BY$33,$BF141,0),0)</f>
        <v>0</v>
      </c>
      <c r="BY141" s="186" t="e">
        <f aca="false">CA141/BX141</f>
        <v>#DIV/0!</v>
      </c>
      <c r="BZ141" s="1" t="n">
        <f aca="false">BX141*($B141+$D$15)</f>
        <v>0</v>
      </c>
      <c r="CA141" s="47" t="n">
        <f aca="false">IF(ISNUMBER(((BZ141/BX141)+$D$16+$N141+$D$14)*BX141),((BZ141/BX141)+$D$16+$N141+$D$14)*BX141,0)</f>
        <v>0</v>
      </c>
      <c r="CB141" s="76" t="n">
        <f aca="false">IF($BX141=0,0,OSTRIP($BY141,$S141,$BJ141-$B$2,$BG141-$BJ141,$BH141-$BJ141,$B$10,$BE141,$P141,$Q141,$D$23,$T141,$CC$34,0))</f>
        <v>0</v>
      </c>
      <c r="CC141" s="76" t="n">
        <f aca="false">IF($BX141=0,0,OSTRIP($BY141,$S141,$BJ141-$B$2,$BG141-$BJ141,$BH141-$BJ141,$B$10,$BE141,$P141,$Q141,$D$23,$T141,$CC$34,1))</f>
        <v>0</v>
      </c>
      <c r="CD141" s="76" t="n">
        <f aca="false">IF($BX141=0,0,OSTRIP($BY141,$S141,$BJ141-$B$2,$BG141-$BJ141,$BH141-$BJ141,$B$10,$BE141,$P141,$Q141,$D$23,$T141,$CC$34,CC$35))</f>
        <v>0</v>
      </c>
      <c r="CE141" s="37" t="n">
        <f aca="false">BX141*CB141</f>
        <v>0</v>
      </c>
      <c r="CF141" s="37" t="n">
        <f aca="false">BX141*CC141</f>
        <v>0</v>
      </c>
      <c r="CG141" s="37" t="n">
        <f aca="false">BX141*CD141</f>
        <v>0</v>
      </c>
      <c r="CH141" s="37" t="n">
        <f aca="false">BX141*Q141</f>
        <v>0</v>
      </c>
      <c r="CJ141" s="73" t="n">
        <f aca="false">IF($A141&gt;=CK$32,IF($A141&lt;=CK$33,$BF141,0),0)</f>
        <v>0</v>
      </c>
      <c r="CK141" s="186" t="e">
        <f aca="false">CM141/CJ141</f>
        <v>#DIV/0!</v>
      </c>
      <c r="CL141" s="1" t="n">
        <f aca="false">CJ141*($B141+$F$15)</f>
        <v>0</v>
      </c>
      <c r="CM141" s="47" t="n">
        <f aca="false">IF(ISNUMBER(((CL141/CJ141)+$F$16+$X141+$F$14)*CJ141),((CL141/CJ141)+$F$16+$X141+$F$14)*CJ141,0)</f>
        <v>0</v>
      </c>
      <c r="CN141" s="76" t="n">
        <f aca="false">IF($CJ141=0,0,OSTRIP($CK141,$AC141,$BJ141-$B$2,$BG141-$BJ141,$BH141-$BJ141,$B$10,$BE141,$Z141,$AA141,$F$23,$AD141,$CO$34,0))</f>
        <v>0</v>
      </c>
      <c r="CO141" s="76" t="n">
        <f aca="false">IF($CJ141=0,0,OSTRIP($CK141,$AC141,$BJ141-$B$2,$BG141-$BJ141,$BH141-$BJ141,$B$10,$BE141,$Z141,$AA141,$F$23,$AD141,$CO$34,1))</f>
        <v>0</v>
      </c>
      <c r="CP141" s="76" t="n">
        <f aca="false">IF($CJ141=0,0,OSTRIP($CK141,$AC141,$BJ141-$B$2,$BG141-$BJ141,$BH141-$BJ141,$B$10,$BE141,$Z141,$AA141,$F$23,$AD141,$CO$34,$CO$35))</f>
        <v>0</v>
      </c>
      <c r="CQ141" s="37" t="n">
        <f aca="false">CJ141*CN141</f>
        <v>0</v>
      </c>
      <c r="CR141" s="37" t="n">
        <f aca="false">CJ141*CO141</f>
        <v>0</v>
      </c>
      <c r="CS141" s="37" t="n">
        <f aca="false">CJ141*CP141</f>
        <v>0</v>
      </c>
      <c r="CT141" s="37" t="n">
        <f aca="false">CJ141*AA141</f>
        <v>0</v>
      </c>
      <c r="CV141" s="73" t="n">
        <f aca="false">IF($A141&gt;=CW$32,IF($A141&lt;=CW$33,$BF141,0),0)</f>
        <v>0</v>
      </c>
      <c r="CW141" s="186" t="e">
        <f aca="false">CY141/CV141</f>
        <v>#DIV/0!</v>
      </c>
      <c r="CX141" s="1" t="n">
        <f aca="false">CV141*($B141+$H$15)</f>
        <v>0</v>
      </c>
      <c r="CY141" s="47" t="n">
        <f aca="false">IF(ISNUMBER(((CX141/CV141)+$H$16+$AH141+$H$14)*CV141),((CX141/CV141)+$H$16+$AH141+$H$14)*CV141,0)</f>
        <v>0</v>
      </c>
      <c r="CZ141" s="76" t="n">
        <f aca="false">IF($CV141=0,0,OSTRIP($CW141,$AM141,$BJ141-$B$2,$BG141-$BJ141,$BH141-$BJ141,$B$10,$BE141,$AJ141,$AK141,$H$23,$AN141,$DA$34,0))</f>
        <v>0</v>
      </c>
      <c r="DA141" s="76" t="n">
        <f aca="false">IF($CV141=0,0,OSTRIP($CW141,$AM141,$BJ141-$B$2,$BG141-$BJ141,$BH141-$BJ141,$B$10,$BE141,$AJ141,$AK141,$H$23,$AN141,$DA$34,1))</f>
        <v>0</v>
      </c>
      <c r="DB141" s="76" t="n">
        <f aca="false">IF($CV141=0,0,OSTRIP($CW141,$AM141,$BJ141-$B$2,$BG141-$BJ141,$BH141-$BJ141,$B$10,$BE141,$AJ141,$AK141,$H$23,$AN141,$DA$34,DA$35))</f>
        <v>0</v>
      </c>
      <c r="DC141" s="37" t="n">
        <f aca="false">CV141*CZ141</f>
        <v>0</v>
      </c>
      <c r="DD141" s="37" t="n">
        <f aca="false">CV141*DA141</f>
        <v>0</v>
      </c>
      <c r="DE141" s="37" t="n">
        <f aca="false">CV141*DB141</f>
        <v>0</v>
      </c>
      <c r="DF141" s="37" t="n">
        <f aca="false">CV141*AK141</f>
        <v>0</v>
      </c>
    </row>
    <row r="142" customFormat="false" ht="12.75" hidden="false" customHeight="false" outlineLevel="0" collapsed="false">
      <c r="A142" s="62" t="n">
        <f aca="false">DATE(YEAR(A141),MONTH(A141)+1,1)</f>
        <v>40422</v>
      </c>
      <c r="B142" s="63" t="n">
        <f aca="false">VLOOKUP(A142,STRADDLE,5,FALSE())</f>
        <v>3.75</v>
      </c>
      <c r="C142" s="4" t="n">
        <f aca="false">VLOOKUP(A142,STRADDLE,8,FALSE())</f>
        <v>0.185</v>
      </c>
      <c r="D142" s="63" t="n">
        <f aca="false">IF(D$35="nymex",0,VLOOKUP($A142,curvesettle,HLOOKUP(D$35,curvesettle,2,FALSE())))</f>
        <v>0.315</v>
      </c>
      <c r="E142" s="65" t="n">
        <f aca="false">IF(ISNUMBER(VLOOKUP($A142,VOLCURVES,HLOOKUP(D$35,VOLCURVES,2,FALSE()),FALSE())),VLOOKUP($A142,VOLCURVES,HLOOKUP(D$35,VOLCURVES,2,FALSE()),FALSE()),1)</f>
        <v>0.98</v>
      </c>
      <c r="F142" s="4" t="n">
        <f aca="false">(($C142+H142)*$E142)+B$17</f>
        <v>0.2813</v>
      </c>
      <c r="G142" s="65" t="n">
        <f aca="false">VLOOKUP($A142,GASDVOLCURVES,HLOOKUP(D$36,GASDVOLCURVES,2,FALSE()),FALSE())+$B$18</f>
        <v>0.65</v>
      </c>
      <c r="H142" s="4" t="n">
        <f aca="false">IF($B$20=1,VLOOKUP($A142,skewtable,HLOOKUP(ROUND(I142-BM142,1),skewtable,2,FALSE()),FALSE())/100,0)</f>
        <v>0</v>
      </c>
      <c r="I142" s="66" t="e">
        <f aca="false">IF($B$10=1,($BM142*$B$23)-$B$14,$B$22)</f>
        <v>#DIV/0!</v>
      </c>
      <c r="J142" s="67" t="e">
        <f aca="false">I142-BM142+$B$24</f>
        <v>#DIV/0!</v>
      </c>
      <c r="K142" s="67"/>
      <c r="L142" s="183"/>
      <c r="M142" s="183"/>
      <c r="N142" s="63" t="n">
        <f aca="false">IF(N$35="nymex",0,VLOOKUP($A142,curvesettle,HLOOKUP(N$35,curvesettle,2,FALSE())))</f>
        <v>0.0225</v>
      </c>
      <c r="O142" s="65" t="n">
        <f aca="false">IF(ISNUMBER(VLOOKUP($A142,VOLCURVES,HLOOKUP(N$35,VOLCURVES,2,FALSE()),FALSE())),VLOOKUP($A142,VOLCURVES,HLOOKUP(N$35,VOLCURVES,2,FALSE()),FALSE()),1)</f>
        <v>1</v>
      </c>
      <c r="P142" s="184" t="n">
        <f aca="false">(($C142+R142)*O142)+$D$17</f>
        <v>0.185</v>
      </c>
      <c r="Q142" s="65" t="n">
        <f aca="false">VLOOKUP($A142,GASDVOLCURVES,HLOOKUP(N$36,GASDVOLCURVES,2,FALSE()),FALSE())+$D$18</f>
        <v>0.65</v>
      </c>
      <c r="R142" s="4" t="n">
        <f aca="false">IF($D$20=1,VLOOKUP($A142,skewtable,HLOOKUP(ROUND(S142-BY142,1),skewtable,2,FALSE()),FALSE())/100,0)</f>
        <v>0</v>
      </c>
      <c r="S142" s="66" t="e">
        <f aca="false">IF(B$10=1,($BY142*$D$23)-$D$14,$D$22)</f>
        <v>#DIV/0!</v>
      </c>
      <c r="T142" s="67" t="e">
        <f aca="false">S142-$BY142+$D$24</f>
        <v>#DIV/0!</v>
      </c>
      <c r="U142" s="0"/>
      <c r="V142" s="0"/>
      <c r="W142" s="0"/>
      <c r="X142" s="63" t="n">
        <f aca="false">IF(X$35="nymex",0,VLOOKUP($A142,curvesettle,HLOOKUP(X$35,curvesettle,2,FALSE())))</f>
        <v>0.26</v>
      </c>
      <c r="Y142" s="65" t="n">
        <f aca="false">IF(ISNUMBER(VLOOKUP($A142,VOLCURVES,HLOOKUP(X$35,VOLCURVES,2,FALSE()),FALSE())),VLOOKUP($A142,VOLCURVES,HLOOKUP(X$35,VOLCURVES,2,FALSE()),FALSE()),1)</f>
        <v>1</v>
      </c>
      <c r="Z142" s="184" t="n">
        <f aca="false">(($C142+AB142)*Y142)+$F$17</f>
        <v>0.185</v>
      </c>
      <c r="AA142" s="65" t="n">
        <f aca="false">VLOOKUP($A142,GASDVOLCURVES,HLOOKUP(X$36,GASDVOLCURVES,2,FALSE()),FALSE())+$F$18</f>
        <v>0.65</v>
      </c>
      <c r="AB142" s="4" t="n">
        <f aca="false">IF($F$20=1,VLOOKUP($A142,skewtable,HLOOKUP(ROUND(AC142-CK142,1),skewtable,2,FALSE()),FALSE())/100,0)</f>
        <v>0</v>
      </c>
      <c r="AC142" s="66" t="e">
        <f aca="false">IF($B$10=1,($CK142*$F$23)-$F$14,$F$22)</f>
        <v>#DIV/0!</v>
      </c>
      <c r="AD142" s="67" t="e">
        <f aca="false">AC142-$CK142+$F$24</f>
        <v>#DIV/0!</v>
      </c>
      <c r="AE142" s="0"/>
      <c r="AF142" s="0"/>
      <c r="AG142" s="0"/>
      <c r="AH142" s="63" t="n">
        <f aca="false">IF(AH$35="nymex",0,VLOOKUP($A142,curvesettle,HLOOKUP(AH$35,curvesettle,2,FALSE())))</f>
        <v>0.36</v>
      </c>
      <c r="AI142" s="65" t="n">
        <f aca="false">IF(ISNUMBER(VLOOKUP($A142,VOLCURVES,HLOOKUP(AH$35,VOLCURVES,2,FALSE()),FALSE())),VLOOKUP($A142,VOLCURVES,HLOOKUP(AH$35,VOLCURVES,2,FALSE()),FALSE()),1)</f>
        <v>1</v>
      </c>
      <c r="AJ142" s="184" t="n">
        <f aca="false">(($C142+AL142)*AI142)+$H$17</f>
        <v>0.185</v>
      </c>
      <c r="AK142" s="65" t="n">
        <f aca="false">VLOOKUP($A142,GASDVOLCURVES,HLOOKUP(AH$36,GASDVOLCURVES,2,FALSE()),FALSE())+$H$18</f>
        <v>1.1</v>
      </c>
      <c r="AL142" s="4" t="n">
        <f aca="false">IF($H$20=1,VLOOKUP($A142,skewtable,HLOOKUP(ROUND(AM142-CW142,1),skewtable,2,FALSE()),FALSE())/100,0)</f>
        <v>0</v>
      </c>
      <c r="AM142" s="66" t="e">
        <f aca="false">IF($B$10=1,($CW142*$H$23)-$H$14,$H$22)</f>
        <v>#DIV/0!</v>
      </c>
      <c r="AN142" s="67" t="e">
        <f aca="false">AM142-CW142+$H$24</f>
        <v>#DIV/0!</v>
      </c>
      <c r="AO142" s="0"/>
      <c r="AP142" s="0"/>
      <c r="AQ142" s="183"/>
      <c r="AR142" s="183"/>
      <c r="AU142" s="0"/>
      <c r="AV142" s="0"/>
      <c r="AW142" s="0"/>
      <c r="AX142" s="0"/>
      <c r="AY142" s="0"/>
      <c r="AZ142" s="0"/>
      <c r="BA142" s="0"/>
      <c r="BC142" s="64"/>
      <c r="BD142" s="64"/>
      <c r="BE142" s="4" t="n">
        <f aca="false">VLOOKUP($A142,STRADDLE,14,FALSE())</f>
        <v>0.0576591902413206</v>
      </c>
      <c r="BF142" s="72" t="n">
        <f aca="false">A143-A142</f>
        <v>30</v>
      </c>
      <c r="BG142" s="179" t="n">
        <f aca="false">A142+BG$35</f>
        <v>40422</v>
      </c>
      <c r="BH142" s="179" t="n">
        <f aca="false">A143-1</f>
        <v>40451</v>
      </c>
      <c r="BJ142" s="179" t="n">
        <f aca="true">IF(BJ$35=0,TODAY(),IF(BJ$36="NYMEX",VLOOKUP($A142,expiration,2,FALSE())+1,BG142))</f>
        <v>40418</v>
      </c>
      <c r="BK142" s="73"/>
      <c r="BL142" s="73" t="n">
        <f aca="false">IF($A142&gt;=BM$32,IF($A142&lt;=BM$33,$BF142,0),0)</f>
        <v>0</v>
      </c>
      <c r="BM142" s="73" t="e">
        <f aca="false">BO142/BL142</f>
        <v>#DIV/0!</v>
      </c>
      <c r="BN142" s="1" t="n">
        <f aca="false">BL142*($B142+B$15)</f>
        <v>0</v>
      </c>
      <c r="BO142" s="47" t="n">
        <f aca="false">IF(ISNUMBER(((BN142/BL142)+B$16+$D142+$B$14)*BL142),((BN142/BL142)+B$16+$D142+$B$14)*BL142,0)</f>
        <v>0</v>
      </c>
      <c r="BP142" s="76" t="n">
        <f aca="false">IF($BL142=0,0,OSTRIP($BM142,$I142,$BJ142-$B$2,$BG142-$BJ142,$BH142-$BJ142,$B$10,$BE142,$F142,$G142,$B$23,$J142,$BQ$34,0))</f>
        <v>0</v>
      </c>
      <c r="BQ142" s="76" t="n">
        <f aca="false">IF($BL142=0,0,OSTRIP($BM142,$I142,$BJ142-$B$2,$BG142-$BJ142,$BH142-$BJ142,$B$10,$BE142,$F142,$G142,$B$23,$J142,$BQ$34,1))</f>
        <v>0</v>
      </c>
      <c r="BR142" s="76" t="n">
        <f aca="false">IF($BL142=0,0,OSTRIP($BM142,$I142,$BJ142-$B$2,$BG142-$BJ142,$BH142-$BJ142,$B$10,$BE142,$F142,$G142,$B$23,$J142,$BQ$34,BQ$35))</f>
        <v>0</v>
      </c>
      <c r="BS142" s="37" t="n">
        <f aca="false">BL142*BP142</f>
        <v>0</v>
      </c>
      <c r="BT142" s="37" t="n">
        <f aca="false">BL142*BQ142</f>
        <v>0</v>
      </c>
      <c r="BU142" s="37" t="n">
        <f aca="false">BL142*BR142</f>
        <v>0</v>
      </c>
      <c r="BV142" s="37" t="n">
        <f aca="false">BL142*G142</f>
        <v>0</v>
      </c>
      <c r="BX142" s="73" t="n">
        <f aca="false">IF($A142&gt;=BY$32,IF($A142&lt;=BY$33,$BF142,0),0)</f>
        <v>0</v>
      </c>
      <c r="BY142" s="186" t="e">
        <f aca="false">CA142/BX142</f>
        <v>#DIV/0!</v>
      </c>
      <c r="BZ142" s="1" t="n">
        <f aca="false">BX142*($B142+$D$15)</f>
        <v>0</v>
      </c>
      <c r="CA142" s="47" t="n">
        <f aca="false">IF(ISNUMBER(((BZ142/BX142)+$D$16+$N142+$D$14)*BX142),((BZ142/BX142)+$D$16+$N142+$D$14)*BX142,0)</f>
        <v>0</v>
      </c>
      <c r="CB142" s="76" t="n">
        <f aca="false">IF($BX142=0,0,OSTRIP($BY142,$S142,$BJ142-$B$2,$BG142-$BJ142,$BH142-$BJ142,$B$10,$BE142,$P142,$Q142,$D$23,$T142,$CC$34,0))</f>
        <v>0</v>
      </c>
      <c r="CC142" s="76" t="n">
        <f aca="false">IF($BX142=0,0,OSTRIP($BY142,$S142,$BJ142-$B$2,$BG142-$BJ142,$BH142-$BJ142,$B$10,$BE142,$P142,$Q142,$D$23,$T142,$CC$34,1))</f>
        <v>0</v>
      </c>
      <c r="CD142" s="76" t="n">
        <f aca="false">IF($BX142=0,0,OSTRIP($BY142,$S142,$BJ142-$B$2,$BG142-$BJ142,$BH142-$BJ142,$B$10,$BE142,$P142,$Q142,$D$23,$T142,$CC$34,CC$35))</f>
        <v>0</v>
      </c>
      <c r="CE142" s="37" t="n">
        <f aca="false">BX142*CB142</f>
        <v>0</v>
      </c>
      <c r="CF142" s="37" t="n">
        <f aca="false">BX142*CC142</f>
        <v>0</v>
      </c>
      <c r="CG142" s="37" t="n">
        <f aca="false">BX142*CD142</f>
        <v>0</v>
      </c>
      <c r="CH142" s="37" t="n">
        <f aca="false">BX142*Q142</f>
        <v>0</v>
      </c>
      <c r="CJ142" s="73" t="n">
        <f aca="false">IF($A142&gt;=CK$32,IF($A142&lt;=CK$33,$BF142,0),0)</f>
        <v>0</v>
      </c>
      <c r="CK142" s="186" t="e">
        <f aca="false">CM142/CJ142</f>
        <v>#DIV/0!</v>
      </c>
      <c r="CL142" s="1" t="n">
        <f aca="false">CJ142*($B142+$F$15)</f>
        <v>0</v>
      </c>
      <c r="CM142" s="47" t="n">
        <f aca="false">IF(ISNUMBER(((CL142/CJ142)+$F$16+$X142+$F$14)*CJ142),((CL142/CJ142)+$F$16+$X142+$F$14)*CJ142,0)</f>
        <v>0</v>
      </c>
      <c r="CN142" s="76" t="n">
        <f aca="false">IF($CJ142=0,0,OSTRIP($CK142,$AC142,$BJ142-$B$2,$BG142-$BJ142,$BH142-$BJ142,$B$10,$BE142,$Z142,$AA142,$F$23,$AD142,$CO$34,0))</f>
        <v>0</v>
      </c>
      <c r="CO142" s="76" t="n">
        <f aca="false">IF($CJ142=0,0,OSTRIP($CK142,$AC142,$BJ142-$B$2,$BG142-$BJ142,$BH142-$BJ142,$B$10,$BE142,$Z142,$AA142,$F$23,$AD142,$CO$34,1))</f>
        <v>0</v>
      </c>
      <c r="CP142" s="76" t="n">
        <f aca="false">IF($CJ142=0,0,OSTRIP($CK142,$AC142,$BJ142-$B$2,$BG142-$BJ142,$BH142-$BJ142,$B$10,$BE142,$Z142,$AA142,$F$23,$AD142,$CO$34,$CO$35))</f>
        <v>0</v>
      </c>
      <c r="CQ142" s="37" t="n">
        <f aca="false">CJ142*CN142</f>
        <v>0</v>
      </c>
      <c r="CR142" s="37" t="n">
        <f aca="false">CJ142*CO142</f>
        <v>0</v>
      </c>
      <c r="CS142" s="37" t="n">
        <f aca="false">CJ142*CP142</f>
        <v>0</v>
      </c>
      <c r="CT142" s="37" t="n">
        <f aca="false">CJ142*AA142</f>
        <v>0</v>
      </c>
      <c r="CV142" s="73" t="n">
        <f aca="false">IF($A142&gt;=CW$32,IF($A142&lt;=CW$33,$BF142,0),0)</f>
        <v>0</v>
      </c>
      <c r="CW142" s="186" t="e">
        <f aca="false">CY142/CV142</f>
        <v>#DIV/0!</v>
      </c>
      <c r="CX142" s="1" t="n">
        <f aca="false">CV142*($B142+$H$15)</f>
        <v>0</v>
      </c>
      <c r="CY142" s="47" t="n">
        <f aca="false">IF(ISNUMBER(((CX142/CV142)+$H$16+$AH142+$H$14)*CV142),((CX142/CV142)+$H$16+$AH142+$H$14)*CV142,0)</f>
        <v>0</v>
      </c>
      <c r="CZ142" s="76" t="n">
        <f aca="false">IF($CV142=0,0,OSTRIP($CW142,$AM142,$BJ142-$B$2,$BG142-$BJ142,$BH142-$BJ142,$B$10,$BE142,$AJ142,$AK142,$H$23,$AN142,$DA$34,0))</f>
        <v>0</v>
      </c>
      <c r="DA142" s="76" t="n">
        <f aca="false">IF($CV142=0,0,OSTRIP($CW142,$AM142,$BJ142-$B$2,$BG142-$BJ142,$BH142-$BJ142,$B$10,$BE142,$AJ142,$AK142,$H$23,$AN142,$DA$34,1))</f>
        <v>0</v>
      </c>
      <c r="DB142" s="76" t="n">
        <f aca="false">IF($CV142=0,0,OSTRIP($CW142,$AM142,$BJ142-$B$2,$BG142-$BJ142,$BH142-$BJ142,$B$10,$BE142,$AJ142,$AK142,$H$23,$AN142,$DA$34,DA$35))</f>
        <v>0</v>
      </c>
      <c r="DC142" s="37" t="n">
        <f aca="false">CV142*CZ142</f>
        <v>0</v>
      </c>
      <c r="DD142" s="37" t="n">
        <f aca="false">CV142*DA142</f>
        <v>0</v>
      </c>
      <c r="DE142" s="37" t="n">
        <f aca="false">CV142*DB142</f>
        <v>0</v>
      </c>
      <c r="DF142" s="37" t="n">
        <f aca="false">CV142*AK142</f>
        <v>0</v>
      </c>
    </row>
    <row r="143" customFormat="false" ht="12.75" hidden="false" customHeight="false" outlineLevel="0" collapsed="false">
      <c r="A143" s="62" t="n">
        <f aca="false">DATE(YEAR(A142),MONTH(A142)+1,1)</f>
        <v>40452</v>
      </c>
      <c r="B143" s="63" t="n">
        <f aca="false">VLOOKUP(A143,STRADDLE,5,FALSE())</f>
        <v>3.775</v>
      </c>
      <c r="C143" s="4" t="n">
        <f aca="false">VLOOKUP(A143,STRADDLE,8,FALSE())</f>
        <v>0.185</v>
      </c>
      <c r="D143" s="63" t="n">
        <f aca="false">IF(D$35="nymex",0,VLOOKUP($A143,curvesettle,HLOOKUP(D$35,curvesettle,2,FALSE())))</f>
        <v>0.36</v>
      </c>
      <c r="E143" s="65" t="n">
        <f aca="false">IF(ISNUMBER(VLOOKUP($A143,VOLCURVES,HLOOKUP(D$35,VOLCURVES,2,FALSE()),FALSE())),VLOOKUP($A143,VOLCURVES,HLOOKUP(D$35,VOLCURVES,2,FALSE()),FALSE()),1)</f>
        <v>0.98</v>
      </c>
      <c r="F143" s="4" t="n">
        <f aca="false">(($C143+H143)*$E143)+B$17</f>
        <v>0.2813</v>
      </c>
      <c r="G143" s="65" t="n">
        <f aca="false">VLOOKUP($A143,GASDVOLCURVES,HLOOKUP(D$36,GASDVOLCURVES,2,FALSE()),FALSE())+$B$18</f>
        <v>0.7</v>
      </c>
      <c r="H143" s="4" t="n">
        <f aca="false">IF($B$20=1,VLOOKUP($A143,skewtable,HLOOKUP(ROUND(I143-BM143,1),skewtable,2,FALSE()),FALSE())/100,0)</f>
        <v>0</v>
      </c>
      <c r="I143" s="66" t="e">
        <f aca="false">IF($B$10=1,($BM143*$B$23)-$B$14,$B$22)</f>
        <v>#DIV/0!</v>
      </c>
      <c r="J143" s="67" t="e">
        <f aca="false">I143-BM143+$B$24</f>
        <v>#DIV/0!</v>
      </c>
      <c r="K143" s="67"/>
      <c r="L143" s="183"/>
      <c r="M143" s="183"/>
      <c r="N143" s="63" t="n">
        <f aca="false">IF(N$35="nymex",0,VLOOKUP($A143,curvesettle,HLOOKUP(N$35,curvesettle,2,FALSE())))</f>
        <v>0.0125</v>
      </c>
      <c r="O143" s="65" t="n">
        <f aca="false">IF(ISNUMBER(VLOOKUP($A143,VOLCURVES,HLOOKUP(N$35,VOLCURVES,2,FALSE()),FALSE())),VLOOKUP($A143,VOLCURVES,HLOOKUP(N$35,VOLCURVES,2,FALSE()),FALSE()),1)</f>
        <v>1</v>
      </c>
      <c r="P143" s="184" t="n">
        <f aca="false">(($C143+R143)*O143)+$D$17</f>
        <v>0.185</v>
      </c>
      <c r="Q143" s="65" t="n">
        <f aca="false">VLOOKUP($A143,GASDVOLCURVES,HLOOKUP(N$36,GASDVOLCURVES,2,FALSE()),FALSE())+$D$18</f>
        <v>0.7</v>
      </c>
      <c r="R143" s="4" t="n">
        <f aca="false">IF($D$20=1,VLOOKUP($A143,skewtable,HLOOKUP(ROUND(S143-BY143,1),skewtable,2,FALSE()),FALSE())/100,0)</f>
        <v>0</v>
      </c>
      <c r="S143" s="66" t="e">
        <f aca="false">IF(B$10=1,($BY143*$D$23)-$D$14,$D$22)</f>
        <v>#DIV/0!</v>
      </c>
      <c r="T143" s="67" t="e">
        <f aca="false">S143-$BY143+$D$24</f>
        <v>#DIV/0!</v>
      </c>
      <c r="U143" s="0"/>
      <c r="V143" s="0"/>
      <c r="W143" s="0"/>
      <c r="X143" s="63" t="n">
        <f aca="false">IF(X$35="nymex",0,VLOOKUP($A143,curvesettle,HLOOKUP(X$35,curvesettle,2,FALSE())))</f>
        <v>0.26</v>
      </c>
      <c r="Y143" s="65" t="n">
        <f aca="false">IF(ISNUMBER(VLOOKUP($A143,VOLCURVES,HLOOKUP(X$35,VOLCURVES,2,FALSE()),FALSE())),VLOOKUP($A143,VOLCURVES,HLOOKUP(X$35,VOLCURVES,2,FALSE()),FALSE()),1)</f>
        <v>1</v>
      </c>
      <c r="Z143" s="184" t="n">
        <f aca="false">(($C143+AB143)*Y143)+$F$17</f>
        <v>0.185</v>
      </c>
      <c r="AA143" s="65" t="n">
        <f aca="false">VLOOKUP($A143,GASDVOLCURVES,HLOOKUP(X$36,GASDVOLCURVES,2,FALSE()),FALSE())+$F$18</f>
        <v>0.7</v>
      </c>
      <c r="AB143" s="4" t="n">
        <f aca="false">IF($F$20=1,VLOOKUP($A143,skewtable,HLOOKUP(ROUND(AC143-CK143,1),skewtable,2,FALSE()),FALSE())/100,0)</f>
        <v>0</v>
      </c>
      <c r="AC143" s="66" t="e">
        <f aca="false">IF($B$10=1,($CK143*$F$23)-$F$14,$F$22)</f>
        <v>#DIV/0!</v>
      </c>
      <c r="AD143" s="67" t="e">
        <f aca="false">AC143-$CK143+$F$24</f>
        <v>#DIV/0!</v>
      </c>
      <c r="AE143" s="0"/>
      <c r="AF143" s="0"/>
      <c r="AG143" s="0"/>
      <c r="AH143" s="63" t="n">
        <f aca="false">IF(AH$35="nymex",0,VLOOKUP($A143,curvesettle,HLOOKUP(AH$35,curvesettle,2,FALSE())))</f>
        <v>0.4</v>
      </c>
      <c r="AI143" s="65" t="n">
        <f aca="false">IF(ISNUMBER(VLOOKUP($A143,VOLCURVES,HLOOKUP(AH$35,VOLCURVES,2,FALSE()),FALSE())),VLOOKUP($A143,VOLCURVES,HLOOKUP(AH$35,VOLCURVES,2,FALSE()),FALSE()),1)</f>
        <v>1</v>
      </c>
      <c r="AJ143" s="184" t="n">
        <f aca="false">(($C143+AL143)*AI143)+$H$17</f>
        <v>0.185</v>
      </c>
      <c r="AK143" s="65" t="n">
        <f aca="false">VLOOKUP($A143,GASDVOLCURVES,HLOOKUP(AH$36,GASDVOLCURVES,2,FALSE()),FALSE())+$H$18</f>
        <v>1.15</v>
      </c>
      <c r="AL143" s="4" t="n">
        <f aca="false">IF($H$20=1,VLOOKUP($A143,skewtable,HLOOKUP(ROUND(AM143-CW143,1),skewtable,2,FALSE()),FALSE())/100,0)</f>
        <v>0</v>
      </c>
      <c r="AM143" s="66" t="e">
        <f aca="false">IF($B$10=1,($CW143*$H$23)-$H$14,$H$22)</f>
        <v>#DIV/0!</v>
      </c>
      <c r="AN143" s="67" t="e">
        <f aca="false">AM143-CW143+$H$24</f>
        <v>#DIV/0!</v>
      </c>
      <c r="AO143" s="0"/>
      <c r="AP143" s="0"/>
      <c r="AQ143" s="183"/>
      <c r="AR143" s="183"/>
      <c r="AU143" s="0"/>
      <c r="AV143" s="0"/>
      <c r="AW143" s="0"/>
      <c r="AX143" s="0"/>
      <c r="AY143" s="0"/>
      <c r="AZ143" s="0"/>
      <c r="BA143" s="0"/>
      <c r="BC143" s="64"/>
      <c r="BD143" s="64"/>
      <c r="BE143" s="4" t="n">
        <f aca="false">VLOOKUP($A143,STRADDLE,14,FALSE())</f>
        <v>0.057759350034984</v>
      </c>
      <c r="BF143" s="72" t="n">
        <f aca="false">A144-A143</f>
        <v>31</v>
      </c>
      <c r="BG143" s="179" t="n">
        <f aca="false">A143+BG$35</f>
        <v>40452</v>
      </c>
      <c r="BH143" s="179" t="n">
        <f aca="false">A144-1</f>
        <v>40482</v>
      </c>
      <c r="BJ143" s="179" t="n">
        <f aca="true">IF(BJ$35=0,TODAY(),IF(BJ$36="NYMEX",VLOOKUP($A143,expiration,2,FALSE())+1,BG143))</f>
        <v>40450</v>
      </c>
      <c r="BK143" s="73"/>
      <c r="BL143" s="73" t="n">
        <f aca="false">IF($A143&gt;=BM$32,IF($A143&lt;=BM$33,$BF143,0),0)</f>
        <v>0</v>
      </c>
      <c r="BM143" s="73" t="e">
        <f aca="false">BO143/BL143</f>
        <v>#DIV/0!</v>
      </c>
      <c r="BN143" s="1" t="n">
        <f aca="false">BL143*($B143+B$15)</f>
        <v>0</v>
      </c>
      <c r="BO143" s="47" t="n">
        <f aca="false">IF(ISNUMBER(((BN143/BL143)+B$16+$D143+$B$14)*BL143),((BN143/BL143)+B$16+$D143+$B$14)*BL143,0)</f>
        <v>0</v>
      </c>
      <c r="BP143" s="76" t="n">
        <f aca="false">IF($BL143=0,0,OSTRIP($BM143,$I143,$BJ143-$B$2,$BG143-$BJ143,$BH143-$BJ143,$B$10,$BE143,$F143,$G143,$B$23,$J143,$BQ$34,0))</f>
        <v>0</v>
      </c>
      <c r="BQ143" s="76" t="n">
        <f aca="false">IF($BL143=0,0,OSTRIP($BM143,$I143,$BJ143-$B$2,$BG143-$BJ143,$BH143-$BJ143,$B$10,$BE143,$F143,$G143,$B$23,$J143,$BQ$34,1))</f>
        <v>0</v>
      </c>
      <c r="BR143" s="76" t="n">
        <f aca="false">IF($BL143=0,0,OSTRIP($BM143,$I143,$BJ143-$B$2,$BG143-$BJ143,$BH143-$BJ143,$B$10,$BE143,$F143,$G143,$B$23,$J143,$BQ$34,BQ$35))</f>
        <v>0</v>
      </c>
      <c r="BS143" s="37" t="n">
        <f aca="false">BL143*BP143</f>
        <v>0</v>
      </c>
      <c r="BT143" s="37" t="n">
        <f aca="false">BL143*BQ143</f>
        <v>0</v>
      </c>
      <c r="BU143" s="37" t="n">
        <f aca="false">BL143*BR143</f>
        <v>0</v>
      </c>
      <c r="BV143" s="37" t="n">
        <f aca="false">BL143*G143</f>
        <v>0</v>
      </c>
      <c r="BX143" s="73" t="n">
        <f aca="false">IF($A143&gt;=BY$32,IF($A143&lt;=BY$33,$BF143,0),0)</f>
        <v>0</v>
      </c>
      <c r="BY143" s="186" t="e">
        <f aca="false">CA143/BX143</f>
        <v>#DIV/0!</v>
      </c>
      <c r="BZ143" s="1" t="n">
        <f aca="false">BX143*($B143+$D$15)</f>
        <v>0</v>
      </c>
      <c r="CA143" s="47" t="n">
        <f aca="false">IF(ISNUMBER(((BZ143/BX143)+$D$16+$N143+$D$14)*BX143),((BZ143/BX143)+$D$16+$N143+$D$14)*BX143,0)</f>
        <v>0</v>
      </c>
      <c r="CB143" s="76" t="n">
        <f aca="false">IF($BX143=0,0,OSTRIP($BY143,$S143,$BJ143-$B$2,$BG143-$BJ143,$BH143-$BJ143,$B$10,$BE143,$P143,$Q143,$D$23,$T143,$CC$34,0))</f>
        <v>0</v>
      </c>
      <c r="CC143" s="76" t="n">
        <f aca="false">IF($BX143=0,0,OSTRIP($BY143,$S143,$BJ143-$B$2,$BG143-$BJ143,$BH143-$BJ143,$B$10,$BE143,$P143,$Q143,$D$23,$T143,$CC$34,1))</f>
        <v>0</v>
      </c>
      <c r="CD143" s="76" t="n">
        <f aca="false">IF($BX143=0,0,OSTRIP($BY143,$S143,$BJ143-$B$2,$BG143-$BJ143,$BH143-$BJ143,$B$10,$BE143,$P143,$Q143,$D$23,$T143,$CC$34,CC$35))</f>
        <v>0</v>
      </c>
      <c r="CE143" s="37" t="n">
        <f aca="false">BX143*CB143</f>
        <v>0</v>
      </c>
      <c r="CF143" s="37" t="n">
        <f aca="false">BX143*CC143</f>
        <v>0</v>
      </c>
      <c r="CG143" s="37" t="n">
        <f aca="false">BX143*CD143</f>
        <v>0</v>
      </c>
      <c r="CH143" s="37" t="n">
        <f aca="false">BX143*Q143</f>
        <v>0</v>
      </c>
      <c r="CJ143" s="73" t="n">
        <f aca="false">IF($A143&gt;=CK$32,IF($A143&lt;=CK$33,$BF143,0),0)</f>
        <v>0</v>
      </c>
      <c r="CK143" s="186" t="e">
        <f aca="false">CM143/CJ143</f>
        <v>#DIV/0!</v>
      </c>
      <c r="CL143" s="1" t="n">
        <f aca="false">CJ143*($B143+$F$15)</f>
        <v>0</v>
      </c>
      <c r="CM143" s="47" t="n">
        <f aca="false">IF(ISNUMBER(((CL143/CJ143)+$F$16+$X143+$F$14)*CJ143),((CL143/CJ143)+$F$16+$X143+$F$14)*CJ143,0)</f>
        <v>0</v>
      </c>
      <c r="CN143" s="76" t="n">
        <f aca="false">IF($CJ143=0,0,OSTRIP($CK143,$AC143,$BJ143-$B$2,$BG143-$BJ143,$BH143-$BJ143,$B$10,$BE143,$Z143,$AA143,$F$23,$AD143,$CO$34,0))</f>
        <v>0</v>
      </c>
      <c r="CO143" s="76" t="n">
        <f aca="false">IF($CJ143=0,0,OSTRIP($CK143,$AC143,$BJ143-$B$2,$BG143-$BJ143,$BH143-$BJ143,$B$10,$BE143,$Z143,$AA143,$F$23,$AD143,$CO$34,1))</f>
        <v>0</v>
      </c>
      <c r="CP143" s="76" t="n">
        <f aca="false">IF($CJ143=0,0,OSTRIP($CK143,$AC143,$BJ143-$B$2,$BG143-$BJ143,$BH143-$BJ143,$B$10,$BE143,$Z143,$AA143,$F$23,$AD143,$CO$34,$CO$35))</f>
        <v>0</v>
      </c>
      <c r="CQ143" s="37" t="n">
        <f aca="false">CJ143*CN143</f>
        <v>0</v>
      </c>
      <c r="CR143" s="37" t="n">
        <f aca="false">CJ143*CO143</f>
        <v>0</v>
      </c>
      <c r="CS143" s="37" t="n">
        <f aca="false">CJ143*CP143</f>
        <v>0</v>
      </c>
      <c r="CT143" s="37" t="n">
        <f aca="false">CJ143*AA143</f>
        <v>0</v>
      </c>
      <c r="CV143" s="73" t="n">
        <f aca="false">IF($A143&gt;=CW$32,IF($A143&lt;=CW$33,$BF143,0),0)</f>
        <v>0</v>
      </c>
      <c r="CW143" s="186" t="e">
        <f aca="false">CY143/CV143</f>
        <v>#DIV/0!</v>
      </c>
      <c r="CX143" s="1" t="n">
        <f aca="false">CV143*($B143+$H$15)</f>
        <v>0</v>
      </c>
      <c r="CY143" s="47" t="n">
        <f aca="false">IF(ISNUMBER(((CX143/CV143)+$H$16+$AH143+$H$14)*CV143),((CX143/CV143)+$H$16+$AH143+$H$14)*CV143,0)</f>
        <v>0</v>
      </c>
      <c r="CZ143" s="76" t="n">
        <f aca="false">IF($CV143=0,0,OSTRIP($CW143,$AM143,$BJ143-$B$2,$BG143-$BJ143,$BH143-$BJ143,$B$10,$BE143,$AJ143,$AK143,$H$23,$AN143,$DA$34,0))</f>
        <v>0</v>
      </c>
      <c r="DA143" s="76" t="n">
        <f aca="false">IF($CV143=0,0,OSTRIP($CW143,$AM143,$BJ143-$B$2,$BG143-$BJ143,$BH143-$BJ143,$B$10,$BE143,$AJ143,$AK143,$H$23,$AN143,$DA$34,1))</f>
        <v>0</v>
      </c>
      <c r="DB143" s="76" t="n">
        <f aca="false">IF($CV143=0,0,OSTRIP($CW143,$AM143,$BJ143-$B$2,$BG143-$BJ143,$BH143-$BJ143,$B$10,$BE143,$AJ143,$AK143,$H$23,$AN143,$DA$34,DA$35))</f>
        <v>0</v>
      </c>
      <c r="DC143" s="37" t="n">
        <f aca="false">CV143*CZ143</f>
        <v>0</v>
      </c>
      <c r="DD143" s="37" t="n">
        <f aca="false">CV143*DA143</f>
        <v>0</v>
      </c>
      <c r="DE143" s="37" t="n">
        <f aca="false">CV143*DB143</f>
        <v>0</v>
      </c>
      <c r="DF143" s="37" t="n">
        <f aca="false">CV143*AK143</f>
        <v>0</v>
      </c>
    </row>
    <row r="144" customFormat="false" ht="12.75" hidden="false" customHeight="false" outlineLevel="0" collapsed="false">
      <c r="A144" s="62" t="n">
        <f aca="false">DATE(YEAR(A143),MONTH(A143)+1,1)</f>
        <v>40483</v>
      </c>
      <c r="B144" s="63" t="n">
        <f aca="false">VLOOKUP(A144,STRADDLE,5,FALSE())</f>
        <v>3.927</v>
      </c>
      <c r="C144" s="4" t="n">
        <f aca="false">VLOOKUP(A144,STRADDLE,8,FALSE())</f>
        <v>0.185</v>
      </c>
      <c r="D144" s="63" t="n">
        <f aca="false">IF(D$35="nymex",0,VLOOKUP($A144,curvesettle,HLOOKUP(D$35,curvesettle,2,FALSE())))</f>
        <v>0.46</v>
      </c>
      <c r="E144" s="65" t="n">
        <f aca="false">IF(ISNUMBER(VLOOKUP($A144,VOLCURVES,HLOOKUP(D$35,VOLCURVES,2,FALSE()),FALSE())),VLOOKUP($A144,VOLCURVES,HLOOKUP(D$35,VOLCURVES,2,FALSE()),FALSE()),1)</f>
        <v>1.1</v>
      </c>
      <c r="F144" s="4" t="n">
        <f aca="false">(($C144+H144)*$E144)+B$17</f>
        <v>0.3035</v>
      </c>
      <c r="G144" s="65" t="n">
        <f aca="false">VLOOKUP($A144,GASDVOLCURVES,HLOOKUP(D$36,GASDVOLCURVES,2,FALSE()),FALSE())+$B$18</f>
        <v>0.9</v>
      </c>
      <c r="H144" s="4" t="n">
        <f aca="false">IF($B$20=1,VLOOKUP($A144,skewtable,HLOOKUP(ROUND(I144-BM144,1),skewtable,2,FALSE()),FALSE())/100,0)</f>
        <v>0</v>
      </c>
      <c r="I144" s="66" t="e">
        <f aca="false">IF($B$10=1,($BM144*$B$23)-$B$14,$B$22)</f>
        <v>#DIV/0!</v>
      </c>
      <c r="J144" s="67" t="e">
        <f aca="false">I144-BM144+$B$24</f>
        <v>#DIV/0!</v>
      </c>
      <c r="K144" s="67"/>
      <c r="L144" s="183"/>
      <c r="M144" s="183"/>
      <c r="N144" s="63" t="n">
        <f aca="false">IF(N$35="nymex",0,VLOOKUP($A144,curvesettle,HLOOKUP(N$35,curvesettle,2,FALSE())))</f>
        <v>-0.0225</v>
      </c>
      <c r="O144" s="65" t="n">
        <f aca="false">IF(ISNUMBER(VLOOKUP($A144,VOLCURVES,HLOOKUP(N$35,VOLCURVES,2,FALSE()),FALSE())),VLOOKUP($A144,VOLCURVES,HLOOKUP(N$35,VOLCURVES,2,FALSE()),FALSE()),1)</f>
        <v>1</v>
      </c>
      <c r="P144" s="184" t="n">
        <f aca="false">(($C144+R144)*O144)+$D$17</f>
        <v>0.185</v>
      </c>
      <c r="Q144" s="65" t="n">
        <f aca="false">VLOOKUP($A144,GASDVOLCURVES,HLOOKUP(N$36,GASDVOLCURVES,2,FALSE()),FALSE())+$D$18</f>
        <v>0.9</v>
      </c>
      <c r="R144" s="4" t="n">
        <f aca="false">IF($D$20=1,VLOOKUP($A144,skewtable,HLOOKUP(ROUND(S144-BY144,1),skewtable,2,FALSE()),FALSE())/100,0)</f>
        <v>0</v>
      </c>
      <c r="S144" s="66" t="e">
        <f aca="false">IF(B$10=1,($BY144*$D$23)-$D$14,$D$22)</f>
        <v>#DIV/0!</v>
      </c>
      <c r="T144" s="67" t="e">
        <f aca="false">S144-$BY144+$D$24</f>
        <v>#DIV/0!</v>
      </c>
      <c r="U144" s="0"/>
      <c r="V144" s="0"/>
      <c r="W144" s="0"/>
      <c r="X144" s="63" t="n">
        <f aca="false">IF(X$35="nymex",0,VLOOKUP($A144,curvesettle,HLOOKUP(X$35,curvesettle,2,FALSE())))</f>
        <v>0.35</v>
      </c>
      <c r="Y144" s="65" t="n">
        <f aca="false">IF(ISNUMBER(VLOOKUP($A144,VOLCURVES,HLOOKUP(X$35,VOLCURVES,2,FALSE()),FALSE())),VLOOKUP($A144,VOLCURVES,HLOOKUP(X$35,VOLCURVES,2,FALSE()),FALSE()),1)</f>
        <v>1</v>
      </c>
      <c r="Z144" s="184" t="n">
        <f aca="false">(($C144+AB144)*Y144)+$F$17</f>
        <v>0.185</v>
      </c>
      <c r="AA144" s="65" t="n">
        <f aca="false">VLOOKUP($A144,GASDVOLCURVES,HLOOKUP(X$36,GASDVOLCURVES,2,FALSE()),FALSE())+$F$18</f>
        <v>0.9</v>
      </c>
      <c r="AB144" s="4" t="n">
        <f aca="false">IF($F$20=1,VLOOKUP($A144,skewtable,HLOOKUP(ROUND(AC144-CK144,1),skewtable,2,FALSE()),FALSE())/100,0)</f>
        <v>0</v>
      </c>
      <c r="AC144" s="66" t="e">
        <f aca="false">IF($B$10=1,($CK144*$F$23)-$F$14,$F$22)</f>
        <v>#DIV/0!</v>
      </c>
      <c r="AD144" s="67" t="e">
        <f aca="false">AC144-$CK144+$F$24</f>
        <v>#DIV/0!</v>
      </c>
      <c r="AE144" s="0"/>
      <c r="AF144" s="0"/>
      <c r="AG144" s="0"/>
      <c r="AH144" s="63" t="n">
        <f aca="false">IF(AH$35="nymex",0,VLOOKUP($A144,curvesettle,HLOOKUP(AH$35,curvesettle,2,FALSE())))</f>
        <v>0.65</v>
      </c>
      <c r="AI144" s="65" t="n">
        <f aca="false">IF(ISNUMBER(VLOOKUP($A144,VOLCURVES,HLOOKUP(AH$35,VOLCURVES,2,FALSE()),FALSE())),VLOOKUP($A144,VOLCURVES,HLOOKUP(AH$35,VOLCURVES,2,FALSE()),FALSE()),1)</f>
        <v>1.1</v>
      </c>
      <c r="AJ144" s="184" t="n">
        <f aca="false">(($C144+AL144)*AI144)+$H$17</f>
        <v>0.2035</v>
      </c>
      <c r="AK144" s="65" t="n">
        <f aca="false">VLOOKUP($A144,GASDVOLCURVES,HLOOKUP(AH$36,GASDVOLCURVES,2,FALSE()),FALSE())+$H$18</f>
        <v>1.45</v>
      </c>
      <c r="AL144" s="4" t="n">
        <f aca="false">IF($H$20=1,VLOOKUP($A144,skewtable,HLOOKUP(ROUND(AM144-CW144,1),skewtable,2,FALSE()),FALSE())/100,0)</f>
        <v>0</v>
      </c>
      <c r="AM144" s="66" t="e">
        <f aca="false">IF($B$10=1,($CW144*$H$23)-$H$14,$H$22)</f>
        <v>#DIV/0!</v>
      </c>
      <c r="AN144" s="67" t="e">
        <f aca="false">AM144-CW144+$H$24</f>
        <v>#DIV/0!</v>
      </c>
      <c r="AO144" s="0"/>
      <c r="AP144" s="0"/>
      <c r="AQ144" s="183"/>
      <c r="AR144" s="183"/>
      <c r="AU144" s="0"/>
      <c r="AV144" s="0"/>
      <c r="AW144" s="0"/>
      <c r="AX144" s="0"/>
      <c r="AY144" s="0"/>
      <c r="AZ144" s="0"/>
      <c r="BA144" s="0"/>
      <c r="BC144" s="64"/>
      <c r="BD144" s="64"/>
      <c r="BE144" s="4" t="n">
        <f aca="false">VLOOKUP($A144,STRADDLE,14,FALSE())</f>
        <v>0.0578628484919417</v>
      </c>
      <c r="BF144" s="72" t="n">
        <f aca="false">A145-A144</f>
        <v>30</v>
      </c>
      <c r="BG144" s="179" t="n">
        <f aca="false">A144+BG$35</f>
        <v>40483</v>
      </c>
      <c r="BH144" s="179" t="n">
        <f aca="false">A145-1</f>
        <v>40512</v>
      </c>
      <c r="BJ144" s="179" t="n">
        <f aca="true">IF(BJ$35=0,TODAY(),IF(BJ$36="NYMEX",VLOOKUP($A144,expiration,2,FALSE())+1,BG144))</f>
        <v>40479</v>
      </c>
      <c r="BK144" s="73"/>
      <c r="BL144" s="73" t="n">
        <f aca="false">IF($A144&gt;=BM$32,IF($A144&lt;=BM$33,$BF144,0),0)</f>
        <v>0</v>
      </c>
      <c r="BM144" s="73" t="e">
        <f aca="false">BO144/BL144</f>
        <v>#DIV/0!</v>
      </c>
      <c r="BN144" s="1" t="n">
        <f aca="false">BL144*($B144+B$15)</f>
        <v>0</v>
      </c>
      <c r="BO144" s="47" t="n">
        <f aca="false">IF(ISNUMBER(((BN144/BL144)+B$16+$D144+$B$14)*BL144),((BN144/BL144)+B$16+$D144+$B$14)*BL144,0)</f>
        <v>0</v>
      </c>
      <c r="BP144" s="76" t="n">
        <f aca="false">IF($BL144=0,0,OSTRIP($BM144,$I144,$BJ144-$B$2,$BG144-$BJ144,$BH144-$BJ144,$B$10,$BE144,$F144,$G144,$B$23,$J144,$BQ$34,0))</f>
        <v>0</v>
      </c>
      <c r="BQ144" s="76" t="n">
        <f aca="false">IF($BL144=0,0,OSTRIP($BM144,$I144,$BJ144-$B$2,$BG144-$BJ144,$BH144-$BJ144,$B$10,$BE144,$F144,$G144,$B$23,$J144,$BQ$34,1))</f>
        <v>0</v>
      </c>
      <c r="BR144" s="76" t="n">
        <f aca="false">IF($BL144=0,0,OSTRIP($BM144,$I144,$BJ144-$B$2,$BG144-$BJ144,$BH144-$BJ144,$B$10,$BE144,$F144,$G144,$B$23,$J144,$BQ$34,BQ$35))</f>
        <v>0</v>
      </c>
      <c r="BS144" s="37" t="n">
        <f aca="false">BL144*BP144</f>
        <v>0</v>
      </c>
      <c r="BT144" s="37" t="n">
        <f aca="false">BL144*BQ144</f>
        <v>0</v>
      </c>
      <c r="BU144" s="37" t="n">
        <f aca="false">BL144*BR144</f>
        <v>0</v>
      </c>
      <c r="BV144" s="37" t="n">
        <f aca="false">BL144*G144</f>
        <v>0</v>
      </c>
      <c r="BX144" s="73" t="n">
        <f aca="false">IF($A144&gt;=BY$32,IF($A144&lt;=BY$33,$BF144,0),0)</f>
        <v>0</v>
      </c>
      <c r="BY144" s="186" t="e">
        <f aca="false">CA144/BX144</f>
        <v>#DIV/0!</v>
      </c>
      <c r="BZ144" s="1" t="n">
        <f aca="false">BX144*($B144+$D$15)</f>
        <v>0</v>
      </c>
      <c r="CA144" s="47" t="n">
        <f aca="false">IF(ISNUMBER(((BZ144/BX144)+$D$16+$N144+$D$14)*BX144),((BZ144/BX144)+$D$16+$N144+$D$14)*BX144,0)</f>
        <v>0</v>
      </c>
      <c r="CB144" s="76" t="n">
        <f aca="false">IF($BX144=0,0,OSTRIP($BY144,$S144,$BJ144-$B$2,$BG144-$BJ144,$BH144-$BJ144,$B$10,$BE144,$P144,$Q144,$D$23,$T144,$CC$34,0))</f>
        <v>0</v>
      </c>
      <c r="CC144" s="76" t="n">
        <f aca="false">IF($BX144=0,0,OSTRIP($BY144,$S144,$BJ144-$B$2,$BG144-$BJ144,$BH144-$BJ144,$B$10,$BE144,$P144,$Q144,$D$23,$T144,$CC$34,1))</f>
        <v>0</v>
      </c>
      <c r="CD144" s="76" t="n">
        <f aca="false">IF($BX144=0,0,OSTRIP($BY144,$S144,$BJ144-$B$2,$BG144-$BJ144,$BH144-$BJ144,$B$10,$BE144,$P144,$Q144,$D$23,$T144,$CC$34,CC$35))</f>
        <v>0</v>
      </c>
      <c r="CE144" s="37" t="n">
        <f aca="false">BX144*CB144</f>
        <v>0</v>
      </c>
      <c r="CF144" s="37" t="n">
        <f aca="false">BX144*CC144</f>
        <v>0</v>
      </c>
      <c r="CG144" s="37" t="n">
        <f aca="false">BX144*CD144</f>
        <v>0</v>
      </c>
      <c r="CH144" s="37" t="n">
        <f aca="false">BX144*Q144</f>
        <v>0</v>
      </c>
      <c r="CJ144" s="73" t="n">
        <f aca="false">IF($A144&gt;=CK$32,IF($A144&lt;=CK$33,$BF144,0),0)</f>
        <v>0</v>
      </c>
      <c r="CK144" s="186" t="e">
        <f aca="false">CM144/CJ144</f>
        <v>#DIV/0!</v>
      </c>
      <c r="CL144" s="1" t="n">
        <f aca="false">CJ144*($B144+$F$15)</f>
        <v>0</v>
      </c>
      <c r="CM144" s="47" t="n">
        <f aca="false">IF(ISNUMBER(((CL144/CJ144)+$F$16+$X144+$F$14)*CJ144),((CL144/CJ144)+$F$16+$X144+$F$14)*CJ144,0)</f>
        <v>0</v>
      </c>
      <c r="CN144" s="76" t="n">
        <f aca="false">IF($CJ144=0,0,OSTRIP($CK144,$AC144,$BJ144-$B$2,$BG144-$BJ144,$BH144-$BJ144,$B$10,$BE144,$Z144,$AA144,$F$23,$AD144,$CO$34,0))</f>
        <v>0</v>
      </c>
      <c r="CO144" s="76" t="n">
        <f aca="false">IF($CJ144=0,0,OSTRIP($CK144,$AC144,$BJ144-$B$2,$BG144-$BJ144,$BH144-$BJ144,$B$10,$BE144,$Z144,$AA144,$F$23,$AD144,$CO$34,1))</f>
        <v>0</v>
      </c>
      <c r="CP144" s="76" t="n">
        <f aca="false">IF($CJ144=0,0,OSTRIP($CK144,$AC144,$BJ144-$B$2,$BG144-$BJ144,$BH144-$BJ144,$B$10,$BE144,$Z144,$AA144,$F$23,$AD144,$CO$34,$CO$35))</f>
        <v>0</v>
      </c>
      <c r="CQ144" s="37" t="n">
        <f aca="false">CJ144*CN144</f>
        <v>0</v>
      </c>
      <c r="CR144" s="37" t="n">
        <f aca="false">CJ144*CO144</f>
        <v>0</v>
      </c>
      <c r="CS144" s="37" t="n">
        <f aca="false">CJ144*CP144</f>
        <v>0</v>
      </c>
      <c r="CT144" s="37" t="n">
        <f aca="false">CJ144*AA144</f>
        <v>0</v>
      </c>
      <c r="CV144" s="73" t="n">
        <f aca="false">IF($A144&gt;=CW$32,IF($A144&lt;=CW$33,$BF144,0),0)</f>
        <v>0</v>
      </c>
      <c r="CW144" s="186" t="e">
        <f aca="false">CY144/CV144</f>
        <v>#DIV/0!</v>
      </c>
      <c r="CX144" s="1" t="n">
        <f aca="false">CV144*($B144+$H$15)</f>
        <v>0</v>
      </c>
      <c r="CY144" s="47" t="n">
        <f aca="false">IF(ISNUMBER(((CX144/CV144)+$H$16+$AH144+$H$14)*CV144),((CX144/CV144)+$H$16+$AH144+$H$14)*CV144,0)</f>
        <v>0</v>
      </c>
      <c r="CZ144" s="76" t="n">
        <f aca="false">IF($CV144=0,0,OSTRIP($CW144,$AM144,$BJ144-$B$2,$BG144-$BJ144,$BH144-$BJ144,$B$10,$BE144,$AJ144,$AK144,$H$23,$AN144,$DA$34,0))</f>
        <v>0</v>
      </c>
      <c r="DA144" s="76" t="n">
        <f aca="false">IF($CV144=0,0,OSTRIP($CW144,$AM144,$BJ144-$B$2,$BG144-$BJ144,$BH144-$BJ144,$B$10,$BE144,$AJ144,$AK144,$H$23,$AN144,$DA$34,1))</f>
        <v>0</v>
      </c>
      <c r="DB144" s="76" t="n">
        <f aca="false">IF($CV144=0,0,OSTRIP($CW144,$AM144,$BJ144-$B$2,$BG144-$BJ144,$BH144-$BJ144,$B$10,$BE144,$AJ144,$AK144,$H$23,$AN144,$DA$34,DA$35))</f>
        <v>0</v>
      </c>
      <c r="DC144" s="37" t="n">
        <f aca="false">CV144*CZ144</f>
        <v>0</v>
      </c>
      <c r="DD144" s="37" t="n">
        <f aca="false">CV144*DA144</f>
        <v>0</v>
      </c>
      <c r="DE144" s="37" t="n">
        <f aca="false">CV144*DB144</f>
        <v>0</v>
      </c>
      <c r="DF144" s="37" t="n">
        <f aca="false">CV144*AK144</f>
        <v>0</v>
      </c>
    </row>
    <row r="145" customFormat="false" ht="12.75" hidden="false" customHeight="false" outlineLevel="0" collapsed="false">
      <c r="A145" s="62" t="n">
        <f aca="false">DATE(YEAR(A144),MONTH(A144)+1,1)</f>
        <v>40513</v>
      </c>
      <c r="B145" s="63" t="n">
        <f aca="false">VLOOKUP(A145,STRADDLE,5,FALSE())</f>
        <v>4.07</v>
      </c>
      <c r="C145" s="4" t="n">
        <f aca="false">VLOOKUP(A145,STRADDLE,8,FALSE())</f>
        <v>0.185</v>
      </c>
      <c r="D145" s="63" t="n">
        <f aca="false">IF(D$35="nymex",0,VLOOKUP($A145,curvesettle,HLOOKUP(D$35,curvesettle,2,FALSE())))</f>
        <v>0.77</v>
      </c>
      <c r="E145" s="65" t="n">
        <f aca="false">IF(ISNUMBER(VLOOKUP($A145,VOLCURVES,HLOOKUP(D$35,VOLCURVES,2,FALSE()),FALSE())),VLOOKUP($A145,VOLCURVES,HLOOKUP(D$35,VOLCURVES,2,FALSE()),FALSE()),1)</f>
        <v>1.1</v>
      </c>
      <c r="F145" s="4" t="n">
        <f aca="false">(($C145+H145)*$E145)+B$17</f>
        <v>0.3035</v>
      </c>
      <c r="G145" s="65" t="n">
        <f aca="false">VLOOKUP($A145,GASDVOLCURVES,HLOOKUP(D$36,GASDVOLCURVES,2,FALSE()),FALSE())+$B$18</f>
        <v>1.1</v>
      </c>
      <c r="H145" s="4" t="n">
        <f aca="false">IF($B$20=1,VLOOKUP($A145,skewtable,HLOOKUP(ROUND(I145-BM145,1),skewtable,2,FALSE()),FALSE())/100,0)</f>
        <v>0</v>
      </c>
      <c r="I145" s="66" t="e">
        <f aca="false">IF($B$10=1,($BM145*$B$23)-$B$14,$B$22)</f>
        <v>#DIV/0!</v>
      </c>
      <c r="J145" s="67" t="e">
        <f aca="false">I145-BM145+$B$24</f>
        <v>#DIV/0!</v>
      </c>
      <c r="K145" s="67"/>
      <c r="L145" s="183"/>
      <c r="M145" s="183"/>
      <c r="N145" s="63" t="n">
        <f aca="false">IF(N$35="nymex",0,VLOOKUP($A145,curvesettle,HLOOKUP(N$35,curvesettle,2,FALSE())))</f>
        <v>-0.045</v>
      </c>
      <c r="O145" s="65" t="n">
        <f aca="false">IF(ISNUMBER(VLOOKUP($A145,VOLCURVES,HLOOKUP(N$35,VOLCURVES,2,FALSE()),FALSE())),VLOOKUP($A145,VOLCURVES,HLOOKUP(N$35,VOLCURVES,2,FALSE()),FALSE()),1)</f>
        <v>1</v>
      </c>
      <c r="P145" s="184" t="n">
        <f aca="false">(($C145+R145)*O145)+$D$17</f>
        <v>0.185</v>
      </c>
      <c r="Q145" s="65" t="n">
        <f aca="false">VLOOKUP($A145,GASDVOLCURVES,HLOOKUP(N$36,GASDVOLCURVES,2,FALSE()),FALSE())+$D$18</f>
        <v>1.1</v>
      </c>
      <c r="R145" s="4" t="n">
        <f aca="false">IF($D$20=1,VLOOKUP($A145,skewtable,HLOOKUP(ROUND(S145-BY145,1),skewtable,2,FALSE()),FALSE())/100,0)</f>
        <v>0</v>
      </c>
      <c r="S145" s="66" t="e">
        <f aca="false">IF(B$10=1,($BY145*$D$23)-$D$14,$D$22)</f>
        <v>#DIV/0!</v>
      </c>
      <c r="T145" s="67" t="e">
        <f aca="false">S145-$BY145+$D$24</f>
        <v>#DIV/0!</v>
      </c>
      <c r="U145" s="0"/>
      <c r="V145" s="0"/>
      <c r="W145" s="0"/>
      <c r="X145" s="63" t="n">
        <f aca="false">IF(X$35="nymex",0,VLOOKUP($A145,curvesettle,HLOOKUP(X$35,curvesettle,2,FALSE())))</f>
        <v>0.35</v>
      </c>
      <c r="Y145" s="65" t="n">
        <f aca="false">IF(ISNUMBER(VLOOKUP($A145,VOLCURVES,HLOOKUP(X$35,VOLCURVES,2,FALSE()),FALSE())),VLOOKUP($A145,VOLCURVES,HLOOKUP(X$35,VOLCURVES,2,FALSE()),FALSE()),1)</f>
        <v>1</v>
      </c>
      <c r="Z145" s="184" t="n">
        <f aca="false">(($C145+AB145)*Y145)+$F$17</f>
        <v>0.185</v>
      </c>
      <c r="AA145" s="65" t="n">
        <f aca="false">VLOOKUP($A145,GASDVOLCURVES,HLOOKUP(X$36,GASDVOLCURVES,2,FALSE()),FALSE())+$F$18</f>
        <v>1.1</v>
      </c>
      <c r="AB145" s="4" t="n">
        <f aca="false">IF($F$20=1,VLOOKUP($A145,skewtable,HLOOKUP(ROUND(AC145-CK145,1),skewtable,2,FALSE()),FALSE())/100,0)</f>
        <v>0</v>
      </c>
      <c r="AC145" s="66" t="e">
        <f aca="false">IF($B$10=1,($CK145*$F$23)-$F$14,$F$22)</f>
        <v>#DIV/0!</v>
      </c>
      <c r="AD145" s="67" t="e">
        <f aca="false">AC145-$CK145+$F$24</f>
        <v>#DIV/0!</v>
      </c>
      <c r="AE145" s="0"/>
      <c r="AF145" s="0"/>
      <c r="AG145" s="0"/>
      <c r="AH145" s="63" t="n">
        <f aca="false">IF(AH$35="nymex",0,VLOOKUP($A145,curvesettle,HLOOKUP(AH$35,curvesettle,2,FALSE())))</f>
        <v>0.98</v>
      </c>
      <c r="AI145" s="65" t="n">
        <f aca="false">IF(ISNUMBER(VLOOKUP($A145,VOLCURVES,HLOOKUP(AH$35,VOLCURVES,2,FALSE()),FALSE())),VLOOKUP($A145,VOLCURVES,HLOOKUP(AH$35,VOLCURVES,2,FALSE()),FALSE()),1)</f>
        <v>1.02</v>
      </c>
      <c r="AJ145" s="184" t="n">
        <f aca="false">(($C145+AL145)*AI145)+$H$17</f>
        <v>0.1887</v>
      </c>
      <c r="AK145" s="65" t="n">
        <f aca="false">VLOOKUP($A145,GASDVOLCURVES,HLOOKUP(AH$36,GASDVOLCURVES,2,FALSE()),FALSE())+$H$18</f>
        <v>1.75</v>
      </c>
      <c r="AL145" s="4" t="n">
        <f aca="false">IF($H$20=1,VLOOKUP($A145,skewtable,HLOOKUP(ROUND(AM145-CW145,1),skewtable,2,FALSE()),FALSE())/100,0)</f>
        <v>0</v>
      </c>
      <c r="AM145" s="66" t="e">
        <f aca="false">IF($B$10=1,($CW145*$H$23)-$H$14,$H$22)</f>
        <v>#DIV/0!</v>
      </c>
      <c r="AN145" s="67" t="e">
        <f aca="false">AM145-CW145+$H$24</f>
        <v>#DIV/0!</v>
      </c>
      <c r="AO145" s="0"/>
      <c r="AP145" s="0"/>
      <c r="AQ145" s="183"/>
      <c r="AR145" s="183"/>
      <c r="AU145" s="0"/>
      <c r="AV145" s="0"/>
      <c r="AW145" s="0"/>
      <c r="AX145" s="0"/>
      <c r="AY145" s="0"/>
      <c r="AZ145" s="0"/>
      <c r="BA145" s="0"/>
      <c r="BC145" s="64"/>
      <c r="BD145" s="64"/>
      <c r="BE145" s="4" t="n">
        <f aca="false">VLOOKUP($A145,STRADDLE,14,FALSE())</f>
        <v>0.0579630082923899</v>
      </c>
      <c r="BF145" s="72" t="n">
        <f aca="false">A146-A145</f>
        <v>31</v>
      </c>
      <c r="BG145" s="179" t="n">
        <f aca="false">A145+BG$35</f>
        <v>40513</v>
      </c>
      <c r="BH145" s="179" t="n">
        <f aca="false">A146-1</f>
        <v>40543</v>
      </c>
      <c r="BJ145" s="179" t="n">
        <f aca="true">IF(BJ$35=0,TODAY(),IF(BJ$36="NYMEX",VLOOKUP($A145,expiration,2,FALSE())+1,BG145))</f>
        <v>40509</v>
      </c>
      <c r="BK145" s="73"/>
      <c r="BL145" s="73" t="n">
        <f aca="false">IF($A145&gt;=BM$32,IF($A145&lt;=BM$33,$BF145,0),0)</f>
        <v>0</v>
      </c>
      <c r="BM145" s="73" t="e">
        <f aca="false">BO145/BL145</f>
        <v>#DIV/0!</v>
      </c>
      <c r="BN145" s="1" t="n">
        <f aca="false">BL145*($B145+B$15)</f>
        <v>0</v>
      </c>
      <c r="BO145" s="47" t="n">
        <f aca="false">IF(ISNUMBER(((BN145/BL145)+B$16+$D145+$B$14)*BL145),((BN145/BL145)+B$16+$D145+$B$14)*BL145,0)</f>
        <v>0</v>
      </c>
      <c r="BP145" s="76" t="n">
        <f aca="false">IF($BL145=0,0,OSTRIP($BM145,$I145,$BJ145-$B$2,$BG145-$BJ145,$BH145-$BJ145,$B$10,$BE145,$F145,$G145,$B$23,$J145,$BQ$34,0))</f>
        <v>0</v>
      </c>
      <c r="BQ145" s="76" t="n">
        <f aca="false">IF($BL145=0,0,OSTRIP($BM145,$I145,$BJ145-$B$2,$BG145-$BJ145,$BH145-$BJ145,$B$10,$BE145,$F145,$G145,$B$23,$J145,$BQ$34,1))</f>
        <v>0</v>
      </c>
      <c r="BR145" s="76" t="n">
        <f aca="false">IF($BL145=0,0,OSTRIP($BM145,$I145,$BJ145-$B$2,$BG145-$BJ145,$BH145-$BJ145,$B$10,$BE145,$F145,$G145,$B$23,$J145,$BQ$34,BQ$35))</f>
        <v>0</v>
      </c>
      <c r="BS145" s="37" t="n">
        <f aca="false">BL145*BP145</f>
        <v>0</v>
      </c>
      <c r="BT145" s="37" t="n">
        <f aca="false">BL145*BQ145</f>
        <v>0</v>
      </c>
      <c r="BU145" s="37" t="n">
        <f aca="false">BL145*BR145</f>
        <v>0</v>
      </c>
      <c r="BV145" s="37" t="n">
        <f aca="false">BL145*G145</f>
        <v>0</v>
      </c>
      <c r="BX145" s="73" t="n">
        <f aca="false">IF($A145&gt;=BY$32,IF($A145&lt;=BY$33,$BF145,0),0)</f>
        <v>0</v>
      </c>
      <c r="BY145" s="186" t="e">
        <f aca="false">CA145/BX145</f>
        <v>#DIV/0!</v>
      </c>
      <c r="BZ145" s="1" t="n">
        <f aca="false">BX145*($B145+$D$15)</f>
        <v>0</v>
      </c>
      <c r="CA145" s="47" t="n">
        <f aca="false">IF(ISNUMBER(((BZ145/BX145)+$D$16+$N145+$D$14)*BX145),((BZ145/BX145)+$D$16+$N145+$D$14)*BX145,0)</f>
        <v>0</v>
      </c>
      <c r="CB145" s="76" t="n">
        <f aca="false">IF($BX145=0,0,OSTRIP($BY145,$S145,$BJ145-$B$2,$BG145-$BJ145,$BH145-$BJ145,$B$10,$BE145,$P145,$Q145,$D$23,$T145,$CC$34,0))</f>
        <v>0</v>
      </c>
      <c r="CC145" s="76" t="n">
        <f aca="false">IF($BX145=0,0,OSTRIP($BY145,$S145,$BJ145-$B$2,$BG145-$BJ145,$BH145-$BJ145,$B$10,$BE145,$P145,$Q145,$D$23,$T145,$CC$34,1))</f>
        <v>0</v>
      </c>
      <c r="CD145" s="76" t="n">
        <f aca="false">IF($BX145=0,0,OSTRIP($BY145,$S145,$BJ145-$B$2,$BG145-$BJ145,$BH145-$BJ145,$B$10,$BE145,$P145,$Q145,$D$23,$T145,$CC$34,CC$35))</f>
        <v>0</v>
      </c>
      <c r="CE145" s="37" t="n">
        <f aca="false">BX145*CB145</f>
        <v>0</v>
      </c>
      <c r="CF145" s="37" t="n">
        <f aca="false">BX145*CC145</f>
        <v>0</v>
      </c>
      <c r="CG145" s="37" t="n">
        <f aca="false">BX145*CD145</f>
        <v>0</v>
      </c>
      <c r="CH145" s="37" t="n">
        <f aca="false">BX145*Q145</f>
        <v>0</v>
      </c>
      <c r="CJ145" s="73" t="n">
        <f aca="false">IF($A145&gt;=CK$32,IF($A145&lt;=CK$33,$BF145,0),0)</f>
        <v>0</v>
      </c>
      <c r="CK145" s="186" t="e">
        <f aca="false">CM145/CJ145</f>
        <v>#DIV/0!</v>
      </c>
      <c r="CL145" s="1" t="n">
        <f aca="false">CJ145*($B145+$F$15)</f>
        <v>0</v>
      </c>
      <c r="CM145" s="47" t="n">
        <f aca="false">IF(ISNUMBER(((CL145/CJ145)+$F$16+$X145+$F$14)*CJ145),((CL145/CJ145)+$F$16+$X145+$F$14)*CJ145,0)</f>
        <v>0</v>
      </c>
      <c r="CN145" s="76" t="n">
        <f aca="false">IF($CJ145=0,0,OSTRIP($CK145,$AC145,$BJ145-$B$2,$BG145-$BJ145,$BH145-$BJ145,$B$10,$BE145,$Z145,$AA145,$F$23,$AD145,$CO$34,0))</f>
        <v>0</v>
      </c>
      <c r="CO145" s="76" t="n">
        <f aca="false">IF($CJ145=0,0,OSTRIP($CK145,$AC145,$BJ145-$B$2,$BG145-$BJ145,$BH145-$BJ145,$B$10,$BE145,$Z145,$AA145,$F$23,$AD145,$CO$34,1))</f>
        <v>0</v>
      </c>
      <c r="CP145" s="76" t="n">
        <f aca="false">IF($CJ145=0,0,OSTRIP($CK145,$AC145,$BJ145-$B$2,$BG145-$BJ145,$BH145-$BJ145,$B$10,$BE145,$Z145,$AA145,$F$23,$AD145,$CO$34,$CO$35))</f>
        <v>0</v>
      </c>
      <c r="CQ145" s="37" t="n">
        <f aca="false">CJ145*CN145</f>
        <v>0</v>
      </c>
      <c r="CR145" s="37" t="n">
        <f aca="false">CJ145*CO145</f>
        <v>0</v>
      </c>
      <c r="CS145" s="37" t="n">
        <f aca="false">CJ145*CP145</f>
        <v>0</v>
      </c>
      <c r="CT145" s="37" t="n">
        <f aca="false">CJ145*AA145</f>
        <v>0</v>
      </c>
      <c r="CV145" s="73" t="n">
        <f aca="false">IF($A145&gt;=CW$32,IF($A145&lt;=CW$33,$BF145,0),0)</f>
        <v>0</v>
      </c>
      <c r="CW145" s="186" t="e">
        <f aca="false">CY145/CV145</f>
        <v>#DIV/0!</v>
      </c>
      <c r="CX145" s="1" t="n">
        <f aca="false">CV145*($B145+$H$15)</f>
        <v>0</v>
      </c>
      <c r="CY145" s="47" t="n">
        <f aca="false">IF(ISNUMBER(((CX145/CV145)+$H$16+$AH145+$H$14)*CV145),((CX145/CV145)+$H$16+$AH145+$H$14)*CV145,0)</f>
        <v>0</v>
      </c>
      <c r="CZ145" s="76" t="n">
        <f aca="false">IF($CV145=0,0,OSTRIP($CW145,$AM145,$BJ145-$B$2,$BG145-$BJ145,$BH145-$BJ145,$B$10,$BE145,$AJ145,$AK145,$H$23,$AN145,$DA$34,0))</f>
        <v>0</v>
      </c>
      <c r="DA145" s="76" t="n">
        <f aca="false">IF($CV145=0,0,OSTRIP($CW145,$AM145,$BJ145-$B$2,$BG145-$BJ145,$BH145-$BJ145,$B$10,$BE145,$AJ145,$AK145,$H$23,$AN145,$DA$34,1))</f>
        <v>0</v>
      </c>
      <c r="DB145" s="76" t="n">
        <f aca="false">IF($CV145=0,0,OSTRIP($CW145,$AM145,$BJ145-$B$2,$BG145-$BJ145,$BH145-$BJ145,$B$10,$BE145,$AJ145,$AK145,$H$23,$AN145,$DA$34,DA$35))</f>
        <v>0</v>
      </c>
      <c r="DC145" s="37" t="n">
        <f aca="false">CV145*CZ145</f>
        <v>0</v>
      </c>
      <c r="DD145" s="37" t="n">
        <f aca="false">CV145*DA145</f>
        <v>0</v>
      </c>
      <c r="DE145" s="37" t="n">
        <f aca="false">CV145*DB145</f>
        <v>0</v>
      </c>
      <c r="DF145" s="37" t="n">
        <f aca="false">CV145*AK145</f>
        <v>0</v>
      </c>
    </row>
    <row r="146" customFormat="false" ht="12.75" hidden="false" customHeight="false" outlineLevel="0" collapsed="false">
      <c r="A146" s="62" t="n">
        <f aca="false">DATE(YEAR(A145),MONTH(A145)+1,1)</f>
        <v>40544</v>
      </c>
      <c r="B146" s="63" t="n">
        <f aca="false">VLOOKUP(A146,STRADDLE,5,FALSE())</f>
        <v>4.1275</v>
      </c>
      <c r="C146" s="4" t="n">
        <f aca="false">VLOOKUP(A146,STRADDLE,8,FALSE())</f>
        <v>0.185</v>
      </c>
      <c r="D146" s="63" t="n">
        <f aca="false">IF(D$35="nymex",0,VLOOKUP($A146,curvesettle,HLOOKUP(D$35,curvesettle,2,FALSE())))</f>
        <v>1.04</v>
      </c>
      <c r="E146" s="65" t="n">
        <f aca="false">IF(ISNUMBER(VLOOKUP($A146,VOLCURVES,HLOOKUP(D$35,VOLCURVES,2,FALSE()),FALSE())),VLOOKUP($A146,VOLCURVES,HLOOKUP(D$35,VOLCURVES,2,FALSE()),FALSE()),1)</f>
        <v>1.1</v>
      </c>
      <c r="F146" s="4" t="n">
        <f aca="false">(($C146+H146)*$E146)+B$17</f>
        <v>0.3035</v>
      </c>
      <c r="G146" s="65" t="n">
        <f aca="false">VLOOKUP($A146,GASDVOLCURVES,HLOOKUP(D$36,GASDVOLCURVES,2,FALSE()),FALSE())+$B$18</f>
        <v>1.1</v>
      </c>
      <c r="H146" s="4" t="n">
        <f aca="false">IF($B$20=1,VLOOKUP($A146,skewtable,HLOOKUP(ROUND(I146-BM146,1),skewtable,2,FALSE()),FALSE())/100,0)</f>
        <v>0</v>
      </c>
      <c r="I146" s="66" t="e">
        <f aca="false">IF($B$10=1,($BM146*$B$23)-$B$14,$B$22)</f>
        <v>#DIV/0!</v>
      </c>
      <c r="J146" s="67" t="e">
        <f aca="false">I146-BM146+$B$24</f>
        <v>#DIV/0!</v>
      </c>
      <c r="K146" s="67"/>
      <c r="L146" s="183"/>
      <c r="M146" s="183"/>
      <c r="N146" s="63" t="n">
        <f aca="false">IF(N$35="nymex",0,VLOOKUP($A146,curvesettle,HLOOKUP(N$35,curvesettle,2,FALSE())))</f>
        <v>-0.0475</v>
      </c>
      <c r="O146" s="65" t="n">
        <f aca="false">IF(ISNUMBER(VLOOKUP($A146,VOLCURVES,HLOOKUP(N$35,VOLCURVES,2,FALSE()),FALSE())),VLOOKUP($A146,VOLCURVES,HLOOKUP(N$35,VOLCURVES,2,FALSE()),FALSE()),1)</f>
        <v>1</v>
      </c>
      <c r="P146" s="184" t="n">
        <f aca="false">(($C146+R146)*O146)+$D$17</f>
        <v>0.185</v>
      </c>
      <c r="Q146" s="65" t="n">
        <f aca="false">VLOOKUP($A146,GASDVOLCURVES,HLOOKUP(N$36,GASDVOLCURVES,2,FALSE()),FALSE())+$D$18</f>
        <v>1.1</v>
      </c>
      <c r="R146" s="4" t="n">
        <f aca="false">IF($D$20=1,VLOOKUP($A146,skewtable,HLOOKUP(ROUND(S146-BY146,1),skewtable,2,FALSE()),FALSE())/100,0)</f>
        <v>0</v>
      </c>
      <c r="S146" s="66" t="e">
        <f aca="false">IF(B$10=1,($BY146*$D$23)-$D$14,$D$22)</f>
        <v>#DIV/0!</v>
      </c>
      <c r="T146" s="67" t="e">
        <f aca="false">S146-$BY146+$D$24</f>
        <v>#DIV/0!</v>
      </c>
      <c r="U146" s="0"/>
      <c r="V146" s="0"/>
      <c r="W146" s="0"/>
      <c r="X146" s="63" t="n">
        <f aca="false">IF(X$35="nymex",0,VLOOKUP($A146,curvesettle,HLOOKUP(X$35,curvesettle,2,FALSE())))</f>
        <v>0.35</v>
      </c>
      <c r="Y146" s="65" t="n">
        <f aca="false">IF(ISNUMBER(VLOOKUP($A146,VOLCURVES,HLOOKUP(X$35,VOLCURVES,2,FALSE()),FALSE())),VLOOKUP($A146,VOLCURVES,HLOOKUP(X$35,VOLCURVES,2,FALSE()),FALSE()),1)</f>
        <v>1</v>
      </c>
      <c r="Z146" s="184" t="n">
        <f aca="false">(($C146+AB146)*Y146)+$F$17</f>
        <v>0.185</v>
      </c>
      <c r="AA146" s="65" t="n">
        <f aca="false">VLOOKUP($A146,GASDVOLCURVES,HLOOKUP(X$36,GASDVOLCURVES,2,FALSE()),FALSE())+$F$18</f>
        <v>1.1</v>
      </c>
      <c r="AB146" s="4" t="n">
        <f aca="false">IF($F$20=1,VLOOKUP($A146,skewtable,HLOOKUP(ROUND(AC146-CK146,1),skewtable,2,FALSE()),FALSE())/100,0)</f>
        <v>0</v>
      </c>
      <c r="AC146" s="66" t="e">
        <f aca="false">IF($B$10=1,($CK146*$F$23)-$F$14,$F$22)</f>
        <v>#DIV/0!</v>
      </c>
      <c r="AD146" s="67" t="e">
        <f aca="false">AC146-$CK146+$F$24</f>
        <v>#DIV/0!</v>
      </c>
      <c r="AE146" s="0"/>
      <c r="AF146" s="0"/>
      <c r="AG146" s="0"/>
      <c r="AH146" s="63" t="n">
        <f aca="false">IF(AH$35="nymex",0,VLOOKUP($A146,curvesettle,HLOOKUP(AH$35,curvesettle,2,FALSE())))</f>
        <v>1.6</v>
      </c>
      <c r="AI146" s="65" t="n">
        <f aca="false">IF(ISNUMBER(VLOOKUP($A146,VOLCURVES,HLOOKUP(AH$35,VOLCURVES,2,FALSE()),FALSE())),VLOOKUP($A146,VOLCURVES,HLOOKUP(AH$35,VOLCURVES,2,FALSE()),FALSE()),1)</f>
        <v>1.04</v>
      </c>
      <c r="AJ146" s="184" t="n">
        <f aca="false">(($C146+AL146)*AI146)+$H$17</f>
        <v>0.1924</v>
      </c>
      <c r="AK146" s="65" t="n">
        <f aca="false">VLOOKUP($A146,GASDVOLCURVES,HLOOKUP(AH$36,GASDVOLCURVES,2,FALSE()),FALSE())+$H$18</f>
        <v>1.95</v>
      </c>
      <c r="AL146" s="4" t="n">
        <f aca="false">IF($H$20=1,VLOOKUP($A146,skewtable,HLOOKUP(ROUND(AM146-CW146,1),skewtable,2,FALSE()),FALSE())/100,0)</f>
        <v>0</v>
      </c>
      <c r="AM146" s="66" t="e">
        <f aca="false">IF($B$10=1,($CW146*$H$23)-$H$14,$H$22)</f>
        <v>#DIV/0!</v>
      </c>
      <c r="AN146" s="67" t="e">
        <f aca="false">AM146-CW146+$H$24</f>
        <v>#DIV/0!</v>
      </c>
      <c r="AO146" s="0"/>
      <c r="AP146" s="0"/>
      <c r="AQ146" s="183"/>
      <c r="AR146" s="183"/>
      <c r="AU146" s="0"/>
      <c r="AV146" s="0"/>
      <c r="AW146" s="0"/>
      <c r="AX146" s="0"/>
      <c r="AY146" s="0"/>
      <c r="AZ146" s="0"/>
      <c r="BA146" s="0"/>
      <c r="BC146" s="64"/>
      <c r="BD146" s="64"/>
      <c r="BE146" s="4" t="n">
        <f aca="false">VLOOKUP($A146,STRADDLE,14,FALSE())</f>
        <v>0.0580665067563584</v>
      </c>
      <c r="BF146" s="72" t="n">
        <f aca="false">A147-A146</f>
        <v>31</v>
      </c>
      <c r="BG146" s="179" t="n">
        <f aca="false">A146+BG$35</f>
        <v>40544</v>
      </c>
      <c r="BH146" s="179" t="n">
        <f aca="false">A147-1</f>
        <v>40574</v>
      </c>
      <c r="BJ146" s="179" t="n">
        <f aca="true">IF(BJ$35=0,TODAY(),IF(BJ$36="NYMEX",VLOOKUP($A146,expiration,2,FALSE())+1,BG146))</f>
        <v>40541</v>
      </c>
      <c r="BK146" s="73"/>
      <c r="BL146" s="73" t="n">
        <f aca="false">IF($A146&gt;=BM$32,IF($A146&lt;=BM$33,$BF146,0),0)</f>
        <v>0</v>
      </c>
      <c r="BM146" s="73" t="e">
        <f aca="false">BO146/BL146</f>
        <v>#DIV/0!</v>
      </c>
      <c r="BN146" s="1" t="n">
        <f aca="false">BL146*($B146+B$15)</f>
        <v>0</v>
      </c>
      <c r="BO146" s="47" t="n">
        <f aca="false">IF(ISNUMBER(((BN146/BL146)+B$16+$D146+$B$14)*BL146),((BN146/BL146)+B$16+$D146+$B$14)*BL146,0)</f>
        <v>0</v>
      </c>
      <c r="BP146" s="76" t="n">
        <f aca="false">IF($BL146=0,0,OSTRIP($BM146,$I146,$BJ146-$B$2,$BG146-$BJ146,$BH146-$BJ146,$B$10,$BE146,$F146,$G146,$B$23,$J146,$BQ$34,0))</f>
        <v>0</v>
      </c>
      <c r="BQ146" s="76" t="n">
        <f aca="false">IF($BL146=0,0,OSTRIP($BM146,$I146,$BJ146-$B$2,$BG146-$BJ146,$BH146-$BJ146,$B$10,$BE146,$F146,$G146,$B$23,$J146,$BQ$34,1))</f>
        <v>0</v>
      </c>
      <c r="BR146" s="76" t="n">
        <f aca="false">IF($BL146=0,0,OSTRIP($BM146,$I146,$BJ146-$B$2,$BG146-$BJ146,$BH146-$BJ146,$B$10,$BE146,$F146,$G146,$B$23,$J146,$BQ$34,BQ$35))</f>
        <v>0</v>
      </c>
      <c r="BS146" s="37" t="n">
        <f aca="false">BL146*BP146</f>
        <v>0</v>
      </c>
      <c r="BT146" s="37" t="n">
        <f aca="false">BL146*BQ146</f>
        <v>0</v>
      </c>
      <c r="BU146" s="37" t="n">
        <f aca="false">BL146*BR146</f>
        <v>0</v>
      </c>
      <c r="BV146" s="37" t="n">
        <f aca="false">BL146*G146</f>
        <v>0</v>
      </c>
      <c r="BX146" s="73" t="n">
        <f aca="false">IF($A146&gt;=BY$32,IF($A146&lt;=BY$33,$BF146,0),0)</f>
        <v>0</v>
      </c>
      <c r="BY146" s="186" t="e">
        <f aca="false">CA146/BX146</f>
        <v>#DIV/0!</v>
      </c>
      <c r="BZ146" s="1" t="n">
        <f aca="false">BX146*($B146+$D$15)</f>
        <v>0</v>
      </c>
      <c r="CA146" s="47" t="n">
        <f aca="false">IF(ISNUMBER(((BZ146/BX146)+$D$16+$N146+$D$14)*BX146),((BZ146/BX146)+$D$16+$N146+$D$14)*BX146,0)</f>
        <v>0</v>
      </c>
      <c r="CB146" s="76" t="n">
        <f aca="false">IF($BX146=0,0,OSTRIP($BY146,$S146,$BJ146-$B$2,$BG146-$BJ146,$BH146-$BJ146,$B$10,$BE146,$P146,$Q146,$D$23,$T146,$CC$34,0))</f>
        <v>0</v>
      </c>
      <c r="CC146" s="76" t="n">
        <f aca="false">IF($BX146=0,0,OSTRIP($BY146,$S146,$BJ146-$B$2,$BG146-$BJ146,$BH146-$BJ146,$B$10,$BE146,$P146,$Q146,$D$23,$T146,$CC$34,1))</f>
        <v>0</v>
      </c>
      <c r="CD146" s="76" t="n">
        <f aca="false">IF($BX146=0,0,OSTRIP($BY146,$S146,$BJ146-$B$2,$BG146-$BJ146,$BH146-$BJ146,$B$10,$BE146,$P146,$Q146,$D$23,$T146,$CC$34,CC$35))</f>
        <v>0</v>
      </c>
      <c r="CE146" s="37" t="n">
        <f aca="false">BX146*CB146</f>
        <v>0</v>
      </c>
      <c r="CF146" s="37" t="n">
        <f aca="false">BX146*CC146</f>
        <v>0</v>
      </c>
      <c r="CG146" s="37" t="n">
        <f aca="false">BX146*CD146</f>
        <v>0</v>
      </c>
      <c r="CH146" s="37" t="n">
        <f aca="false">BX146*Q146</f>
        <v>0</v>
      </c>
      <c r="CJ146" s="73" t="n">
        <f aca="false">IF($A146&gt;=CK$32,IF($A146&lt;=CK$33,$BF146,0),0)</f>
        <v>0</v>
      </c>
      <c r="CK146" s="186" t="e">
        <f aca="false">CM146/CJ146</f>
        <v>#DIV/0!</v>
      </c>
      <c r="CL146" s="1" t="n">
        <f aca="false">CJ146*($B146+$F$15)</f>
        <v>0</v>
      </c>
      <c r="CM146" s="47" t="n">
        <f aca="false">IF(ISNUMBER(((CL146/CJ146)+$F$16+$X146+$F$14)*CJ146),((CL146/CJ146)+$F$16+$X146+$F$14)*CJ146,0)</f>
        <v>0</v>
      </c>
      <c r="CN146" s="76" t="n">
        <f aca="false">IF($CJ146=0,0,OSTRIP($CK146,$AC146,$BJ146-$B$2,$BG146-$BJ146,$BH146-$BJ146,$B$10,$BE146,$Z146,$AA146,$F$23,$AD146,$CO$34,0))</f>
        <v>0</v>
      </c>
      <c r="CO146" s="76" t="n">
        <f aca="false">IF($CJ146=0,0,OSTRIP($CK146,$AC146,$BJ146-$B$2,$BG146-$BJ146,$BH146-$BJ146,$B$10,$BE146,$Z146,$AA146,$F$23,$AD146,$CO$34,1))</f>
        <v>0</v>
      </c>
      <c r="CP146" s="76" t="n">
        <f aca="false">IF($CJ146=0,0,OSTRIP($CK146,$AC146,$BJ146-$B$2,$BG146-$BJ146,$BH146-$BJ146,$B$10,$BE146,$Z146,$AA146,$F$23,$AD146,$CO$34,$CO$35))</f>
        <v>0</v>
      </c>
      <c r="CQ146" s="37" t="n">
        <f aca="false">CJ146*CN146</f>
        <v>0</v>
      </c>
      <c r="CR146" s="37" t="n">
        <f aca="false">CJ146*CO146</f>
        <v>0</v>
      </c>
      <c r="CS146" s="37" t="n">
        <f aca="false">CJ146*CP146</f>
        <v>0</v>
      </c>
      <c r="CT146" s="37" t="n">
        <f aca="false">CJ146*AA146</f>
        <v>0</v>
      </c>
      <c r="CV146" s="73" t="n">
        <f aca="false">IF($A146&gt;=CW$32,IF($A146&lt;=CW$33,$BF146,0),0)</f>
        <v>0</v>
      </c>
      <c r="CW146" s="186" t="e">
        <f aca="false">CY146/CV146</f>
        <v>#DIV/0!</v>
      </c>
      <c r="CX146" s="1" t="n">
        <f aca="false">CV146*($B146+$H$15)</f>
        <v>0</v>
      </c>
      <c r="CY146" s="47" t="n">
        <f aca="false">IF(ISNUMBER(((CX146/CV146)+$H$16+$AH146+$H$14)*CV146),((CX146/CV146)+$H$16+$AH146+$H$14)*CV146,0)</f>
        <v>0</v>
      </c>
      <c r="CZ146" s="76" t="n">
        <f aca="false">IF($CV146=0,0,OSTRIP($CW146,$AM146,$BJ146-$B$2,$BG146-$BJ146,$BH146-$BJ146,$B$10,$BE146,$AJ146,$AK146,$H$23,$AN146,$DA$34,0))</f>
        <v>0</v>
      </c>
      <c r="DA146" s="76" t="n">
        <f aca="false">IF($CV146=0,0,OSTRIP($CW146,$AM146,$BJ146-$B$2,$BG146-$BJ146,$BH146-$BJ146,$B$10,$BE146,$AJ146,$AK146,$H$23,$AN146,$DA$34,1))</f>
        <v>0</v>
      </c>
      <c r="DB146" s="76" t="n">
        <f aca="false">IF($CV146=0,0,OSTRIP($CW146,$AM146,$BJ146-$B$2,$BG146-$BJ146,$BH146-$BJ146,$B$10,$BE146,$AJ146,$AK146,$H$23,$AN146,$DA$34,DA$35))</f>
        <v>0</v>
      </c>
      <c r="DC146" s="37" t="n">
        <f aca="false">CV146*CZ146</f>
        <v>0</v>
      </c>
      <c r="DD146" s="37" t="n">
        <f aca="false">CV146*DA146</f>
        <v>0</v>
      </c>
      <c r="DE146" s="37" t="n">
        <f aca="false">CV146*DB146</f>
        <v>0</v>
      </c>
      <c r="DF146" s="37" t="n">
        <f aca="false">CV146*AK146</f>
        <v>0</v>
      </c>
    </row>
    <row r="147" customFormat="false" ht="12.75" hidden="false" customHeight="false" outlineLevel="0" collapsed="false">
      <c r="A147" s="62" t="n">
        <f aca="false">DATE(YEAR(A146),MONTH(A146)+1,1)</f>
        <v>40575</v>
      </c>
      <c r="B147" s="63" t="n">
        <f aca="false">VLOOKUP(A147,STRADDLE,5,FALSE())</f>
        <v>4.0425</v>
      </c>
      <c r="C147" s="4" t="n">
        <f aca="false">VLOOKUP(A147,STRADDLE,8,FALSE())</f>
        <v>0.185</v>
      </c>
      <c r="D147" s="63" t="n">
        <f aca="false">IF(D$35="nymex",0,VLOOKUP($A147,curvesettle,HLOOKUP(D$35,curvesettle,2,FALSE())))</f>
        <v>1.04</v>
      </c>
      <c r="E147" s="65" t="n">
        <f aca="false">IF(ISNUMBER(VLOOKUP($A147,VOLCURVES,HLOOKUP(D$35,VOLCURVES,2,FALSE()),FALSE())),VLOOKUP($A147,VOLCURVES,HLOOKUP(D$35,VOLCURVES,2,FALSE()),FALSE()),1)</f>
        <v>1.1</v>
      </c>
      <c r="F147" s="4" t="n">
        <f aca="false">(($C147+H147)*$E147)+B$17</f>
        <v>0.3035</v>
      </c>
      <c r="G147" s="65" t="n">
        <f aca="false">VLOOKUP($A147,GASDVOLCURVES,HLOOKUP(D$36,GASDVOLCURVES,2,FALSE()),FALSE())+$B$18</f>
        <v>1.1</v>
      </c>
      <c r="H147" s="4" t="n">
        <f aca="false">IF($B$20=1,VLOOKUP($A147,skewtable,HLOOKUP(ROUND(I147-BM147,1),skewtable,2,FALSE()),FALSE())/100,0)</f>
        <v>0</v>
      </c>
      <c r="I147" s="66" t="e">
        <f aca="false">IF($B$10=1,($BM147*$B$23)-$B$14,$B$22)</f>
        <v>#DIV/0!</v>
      </c>
      <c r="J147" s="67" t="e">
        <f aca="false">I147-BM147+$B$24</f>
        <v>#DIV/0!</v>
      </c>
      <c r="K147" s="67"/>
      <c r="L147" s="183"/>
      <c r="M147" s="183"/>
      <c r="N147" s="63" t="n">
        <f aca="false">IF(N$35="nymex",0,VLOOKUP($A147,curvesettle,HLOOKUP(N$35,curvesettle,2,FALSE())))</f>
        <v>-0.03</v>
      </c>
      <c r="O147" s="65" t="n">
        <f aca="false">IF(ISNUMBER(VLOOKUP($A147,VOLCURVES,HLOOKUP(N$35,VOLCURVES,2,FALSE()),FALSE())),VLOOKUP($A147,VOLCURVES,HLOOKUP(N$35,VOLCURVES,2,FALSE()),FALSE()),1)</f>
        <v>1</v>
      </c>
      <c r="P147" s="184" t="n">
        <f aca="false">(($C147+R147)*O147)+$D$17</f>
        <v>0.185</v>
      </c>
      <c r="Q147" s="65" t="n">
        <f aca="false">VLOOKUP($A147,GASDVOLCURVES,HLOOKUP(N$36,GASDVOLCURVES,2,FALSE()),FALSE())+$D$18</f>
        <v>1.1</v>
      </c>
      <c r="R147" s="4" t="n">
        <f aca="false">IF($D$20=1,VLOOKUP($A147,skewtable,HLOOKUP(ROUND(S147-BY147,1),skewtable,2,FALSE()),FALSE())/100,0)</f>
        <v>0</v>
      </c>
      <c r="S147" s="66" t="e">
        <f aca="false">IF(B$10=1,($BY147*$D$23)-$D$14,$D$22)</f>
        <v>#DIV/0!</v>
      </c>
      <c r="T147" s="67" t="e">
        <f aca="false">S147-$BY147+$D$24</f>
        <v>#DIV/0!</v>
      </c>
      <c r="U147" s="0"/>
      <c r="V147" s="0"/>
      <c r="W147" s="0"/>
      <c r="X147" s="63" t="n">
        <f aca="false">IF(X$35="nymex",0,VLOOKUP($A147,curvesettle,HLOOKUP(X$35,curvesettle,2,FALSE())))</f>
        <v>0.35</v>
      </c>
      <c r="Y147" s="65" t="n">
        <f aca="false">IF(ISNUMBER(VLOOKUP($A147,VOLCURVES,HLOOKUP(X$35,VOLCURVES,2,FALSE()),FALSE())),VLOOKUP($A147,VOLCURVES,HLOOKUP(X$35,VOLCURVES,2,FALSE()),FALSE()),1)</f>
        <v>1</v>
      </c>
      <c r="Z147" s="184" t="n">
        <f aca="false">(($C147+AB147)*Y147)+$F$17</f>
        <v>0.185</v>
      </c>
      <c r="AA147" s="65" t="n">
        <f aca="false">VLOOKUP($A147,GASDVOLCURVES,HLOOKUP(X$36,GASDVOLCURVES,2,FALSE()),FALSE())+$F$18</f>
        <v>1.1</v>
      </c>
      <c r="AB147" s="4" t="n">
        <f aca="false">IF($F$20=1,VLOOKUP($A147,skewtable,HLOOKUP(ROUND(AC147-CK147,1),skewtable,2,FALSE()),FALSE())/100,0)</f>
        <v>0</v>
      </c>
      <c r="AC147" s="66" t="e">
        <f aca="false">IF($B$10=1,($CK147*$F$23)-$F$14,$F$22)</f>
        <v>#DIV/0!</v>
      </c>
      <c r="AD147" s="67" t="e">
        <f aca="false">AC147-$CK147+$F$24</f>
        <v>#DIV/0!</v>
      </c>
      <c r="AE147" s="0"/>
      <c r="AF147" s="0"/>
      <c r="AG147" s="0"/>
      <c r="AH147" s="63" t="n">
        <f aca="false">IF(AH$35="nymex",0,VLOOKUP($A147,curvesettle,HLOOKUP(AH$35,curvesettle,2,FALSE())))</f>
        <v>1.6</v>
      </c>
      <c r="AI147" s="65" t="n">
        <f aca="false">IF(ISNUMBER(VLOOKUP($A147,VOLCURVES,HLOOKUP(AH$35,VOLCURVES,2,FALSE()),FALSE())),VLOOKUP($A147,VOLCURVES,HLOOKUP(AH$35,VOLCURVES,2,FALSE()),FALSE()),1)</f>
        <v>1.04</v>
      </c>
      <c r="AJ147" s="184" t="n">
        <f aca="false">(($C147+AL147)*AI147)+$H$17</f>
        <v>0.1924</v>
      </c>
      <c r="AK147" s="65" t="n">
        <f aca="false">VLOOKUP($A147,GASDVOLCURVES,HLOOKUP(AH$36,GASDVOLCURVES,2,FALSE()),FALSE())+$H$18</f>
        <v>1.95</v>
      </c>
      <c r="AL147" s="4" t="n">
        <f aca="false">IF($H$20=1,VLOOKUP($A147,skewtable,HLOOKUP(ROUND(AM147-CW147,1),skewtable,2,FALSE()),FALSE())/100,0)</f>
        <v>0</v>
      </c>
      <c r="AM147" s="66" t="e">
        <f aca="false">IF($B$10=1,($CW147*$H$23)-$H$14,$H$22)</f>
        <v>#DIV/0!</v>
      </c>
      <c r="AN147" s="67" t="e">
        <f aca="false">AM147-CW147+$H$24</f>
        <v>#DIV/0!</v>
      </c>
      <c r="AO147" s="0"/>
      <c r="AP147" s="0"/>
      <c r="AQ147" s="183"/>
      <c r="AR147" s="183"/>
      <c r="AU147" s="0"/>
      <c r="AV147" s="0"/>
      <c r="AW147" s="0"/>
      <c r="AX147" s="0"/>
      <c r="AY147" s="0"/>
      <c r="AZ147" s="0"/>
      <c r="BA147" s="0"/>
      <c r="BC147" s="64"/>
      <c r="BD147" s="64"/>
      <c r="BE147" s="4" t="n">
        <f aca="false">VLOOKUP($A147,STRADDLE,14,FALSE())</f>
        <v>0.0581700052238889</v>
      </c>
      <c r="BF147" s="72" t="n">
        <f aca="false">A148-A147</f>
        <v>28</v>
      </c>
      <c r="BG147" s="179" t="n">
        <f aca="false">A147+BG$35</f>
        <v>40575</v>
      </c>
      <c r="BH147" s="179" t="n">
        <f aca="false">A148-1</f>
        <v>40602</v>
      </c>
      <c r="BJ147" s="179" t="n">
        <f aca="true">IF(BJ$35=0,TODAY(),IF(BJ$36="NYMEX",VLOOKUP($A147,expiration,2,FALSE())+1,BG147))</f>
        <v>40571</v>
      </c>
      <c r="BK147" s="73"/>
      <c r="BL147" s="73" t="n">
        <f aca="false">IF($A147&gt;=BM$32,IF($A147&lt;=BM$33,$BF147,0),0)</f>
        <v>0</v>
      </c>
      <c r="BM147" s="73" t="e">
        <f aca="false">BO147/BL147</f>
        <v>#DIV/0!</v>
      </c>
      <c r="BN147" s="1" t="n">
        <f aca="false">BL147*($B147+B$15)</f>
        <v>0</v>
      </c>
      <c r="BO147" s="47" t="n">
        <f aca="false">IF(ISNUMBER(((BN147/BL147)+B$16+$D147+$B$14)*BL147),((BN147/BL147)+B$16+$D147+$B$14)*BL147,0)</f>
        <v>0</v>
      </c>
      <c r="BP147" s="76" t="n">
        <f aca="false">IF($BL147=0,0,OSTRIP($BM147,$I147,$BJ147-$B$2,$BG147-$BJ147,$BH147-$BJ147,$B$10,$BE147,$F147,$G147,$B$23,$J147,$BQ$34,0))</f>
        <v>0</v>
      </c>
      <c r="BQ147" s="76" t="n">
        <f aca="false">IF($BL147=0,0,OSTRIP($BM147,$I147,$BJ147-$B$2,$BG147-$BJ147,$BH147-$BJ147,$B$10,$BE147,$F147,$G147,$B$23,$J147,$BQ$34,1))</f>
        <v>0</v>
      </c>
      <c r="BR147" s="76" t="n">
        <f aca="false">IF($BL147=0,0,OSTRIP($BM147,$I147,$BJ147-$B$2,$BG147-$BJ147,$BH147-$BJ147,$B$10,$BE147,$F147,$G147,$B$23,$J147,$BQ$34,BQ$35))</f>
        <v>0</v>
      </c>
      <c r="BS147" s="37" t="n">
        <f aca="false">BL147*BP147</f>
        <v>0</v>
      </c>
      <c r="BT147" s="37" t="n">
        <f aca="false">BL147*BQ147</f>
        <v>0</v>
      </c>
      <c r="BU147" s="37" t="n">
        <f aca="false">BL147*BR147</f>
        <v>0</v>
      </c>
      <c r="BV147" s="37" t="n">
        <f aca="false">BL147*G147</f>
        <v>0</v>
      </c>
      <c r="BX147" s="73" t="n">
        <f aca="false">IF($A147&gt;=BY$32,IF($A147&lt;=BY$33,$BF147,0),0)</f>
        <v>0</v>
      </c>
      <c r="BY147" s="186" t="e">
        <f aca="false">CA147/BX147</f>
        <v>#DIV/0!</v>
      </c>
      <c r="BZ147" s="1" t="n">
        <f aca="false">BX147*($B147+$D$15)</f>
        <v>0</v>
      </c>
      <c r="CA147" s="47" t="n">
        <f aca="false">IF(ISNUMBER(((BZ147/BX147)+$D$16+$N147+$D$14)*BX147),((BZ147/BX147)+$D$16+$N147+$D$14)*BX147,0)</f>
        <v>0</v>
      </c>
      <c r="CB147" s="76" t="n">
        <f aca="false">IF($BX147=0,0,OSTRIP($BY147,$S147,$BJ147-$B$2,$BG147-$BJ147,$BH147-$BJ147,$B$10,$BE147,$P147,$Q147,$D$23,$T147,$CC$34,0))</f>
        <v>0</v>
      </c>
      <c r="CC147" s="76" t="n">
        <f aca="false">IF($BX147=0,0,OSTRIP($BY147,$S147,$BJ147-$B$2,$BG147-$BJ147,$BH147-$BJ147,$B$10,$BE147,$P147,$Q147,$D$23,$T147,$CC$34,1))</f>
        <v>0</v>
      </c>
      <c r="CD147" s="76" t="n">
        <f aca="false">IF($BX147=0,0,OSTRIP($BY147,$S147,$BJ147-$B$2,$BG147-$BJ147,$BH147-$BJ147,$B$10,$BE147,$P147,$Q147,$D$23,$T147,$CC$34,CC$35))</f>
        <v>0</v>
      </c>
      <c r="CE147" s="37" t="n">
        <f aca="false">BX147*CB147</f>
        <v>0</v>
      </c>
      <c r="CF147" s="37" t="n">
        <f aca="false">BX147*CC147</f>
        <v>0</v>
      </c>
      <c r="CG147" s="37" t="n">
        <f aca="false">BX147*CD147</f>
        <v>0</v>
      </c>
      <c r="CH147" s="37" t="n">
        <f aca="false">BX147*Q147</f>
        <v>0</v>
      </c>
      <c r="CJ147" s="73" t="n">
        <f aca="false">IF($A147&gt;=CK$32,IF($A147&lt;=CK$33,$BF147,0),0)</f>
        <v>0</v>
      </c>
      <c r="CK147" s="186" t="e">
        <f aca="false">CM147/CJ147</f>
        <v>#DIV/0!</v>
      </c>
      <c r="CL147" s="1" t="n">
        <f aca="false">CJ147*($B147+$F$15)</f>
        <v>0</v>
      </c>
      <c r="CM147" s="47" t="n">
        <f aca="false">IF(ISNUMBER(((CL147/CJ147)+$F$16+$X147+$F$14)*CJ147),((CL147/CJ147)+$F$16+$X147+$F$14)*CJ147,0)</f>
        <v>0</v>
      </c>
      <c r="CN147" s="76" t="n">
        <f aca="false">IF($CJ147=0,0,OSTRIP($CK147,$AC147,$BJ147-$B$2,$BG147-$BJ147,$BH147-$BJ147,$B$10,$BE147,$Z147,$AA147,$F$23,$AD147,$CO$34,0))</f>
        <v>0</v>
      </c>
      <c r="CO147" s="76" t="n">
        <f aca="false">IF($CJ147=0,0,OSTRIP($CK147,$AC147,$BJ147-$B$2,$BG147-$BJ147,$BH147-$BJ147,$B$10,$BE147,$Z147,$AA147,$F$23,$AD147,$CO$34,1))</f>
        <v>0</v>
      </c>
      <c r="CP147" s="76" t="n">
        <f aca="false">IF($CJ147=0,0,OSTRIP($CK147,$AC147,$BJ147-$B$2,$BG147-$BJ147,$BH147-$BJ147,$B$10,$BE147,$Z147,$AA147,$F$23,$AD147,$CO$34,$CO$35))</f>
        <v>0</v>
      </c>
      <c r="CQ147" s="37" t="n">
        <f aca="false">CJ147*CN147</f>
        <v>0</v>
      </c>
      <c r="CR147" s="37" t="n">
        <f aca="false">CJ147*CO147</f>
        <v>0</v>
      </c>
      <c r="CS147" s="37" t="n">
        <f aca="false">CJ147*CP147</f>
        <v>0</v>
      </c>
      <c r="CT147" s="37" t="n">
        <f aca="false">CJ147*AA147</f>
        <v>0</v>
      </c>
      <c r="CV147" s="73" t="n">
        <f aca="false">IF($A147&gt;=CW$32,IF($A147&lt;=CW$33,$BF147,0),0)</f>
        <v>0</v>
      </c>
      <c r="CW147" s="186" t="e">
        <f aca="false">CY147/CV147</f>
        <v>#DIV/0!</v>
      </c>
      <c r="CX147" s="1" t="n">
        <f aca="false">CV147*($B147+$H$15)</f>
        <v>0</v>
      </c>
      <c r="CY147" s="47" t="n">
        <f aca="false">IF(ISNUMBER(((CX147/CV147)+$H$16+$AH147+$H$14)*CV147),((CX147/CV147)+$H$16+$AH147+$H$14)*CV147,0)</f>
        <v>0</v>
      </c>
      <c r="CZ147" s="76" t="n">
        <f aca="false">IF($CV147=0,0,OSTRIP($CW147,$AM147,$BJ147-$B$2,$BG147-$BJ147,$BH147-$BJ147,$B$10,$BE147,$AJ147,$AK147,$H$23,$AN147,$DA$34,0))</f>
        <v>0</v>
      </c>
      <c r="DA147" s="76" t="n">
        <f aca="false">IF($CV147=0,0,OSTRIP($CW147,$AM147,$BJ147-$B$2,$BG147-$BJ147,$BH147-$BJ147,$B$10,$BE147,$AJ147,$AK147,$H$23,$AN147,$DA$34,1))</f>
        <v>0</v>
      </c>
      <c r="DB147" s="76" t="n">
        <f aca="false">IF($CV147=0,0,OSTRIP($CW147,$AM147,$BJ147-$B$2,$BG147-$BJ147,$BH147-$BJ147,$B$10,$BE147,$AJ147,$AK147,$H$23,$AN147,$DA$34,DA$35))</f>
        <v>0</v>
      </c>
      <c r="DC147" s="37" t="n">
        <f aca="false">CV147*CZ147</f>
        <v>0</v>
      </c>
      <c r="DD147" s="37" t="n">
        <f aca="false">CV147*DA147</f>
        <v>0</v>
      </c>
      <c r="DE147" s="37" t="n">
        <f aca="false">CV147*DB147</f>
        <v>0</v>
      </c>
      <c r="DF147" s="37" t="n">
        <f aca="false">CV147*AK147</f>
        <v>0</v>
      </c>
    </row>
    <row r="148" customFormat="false" ht="12.75" hidden="false" customHeight="false" outlineLevel="0" collapsed="false">
      <c r="A148" s="62" t="n">
        <f aca="false">DATE(YEAR(A147),MONTH(A147)+1,1)</f>
        <v>40603</v>
      </c>
      <c r="B148" s="63" t="n">
        <f aca="false">VLOOKUP(A148,STRADDLE,5,FALSE())</f>
        <v>3.9125</v>
      </c>
      <c r="C148" s="4" t="n">
        <f aca="false">VLOOKUP(A148,STRADDLE,8,FALSE())</f>
        <v>0.18</v>
      </c>
      <c r="D148" s="63" t="n">
        <f aca="false">IF(D$35="nymex",0,VLOOKUP($A148,curvesettle,HLOOKUP(D$35,curvesettle,2,FALSE())))</f>
        <v>0.54</v>
      </c>
      <c r="E148" s="65" t="n">
        <f aca="false">IF(ISNUMBER(VLOOKUP($A148,VOLCURVES,HLOOKUP(D$35,VOLCURVES,2,FALSE()),FALSE())),VLOOKUP($A148,VOLCURVES,HLOOKUP(D$35,VOLCURVES,2,FALSE()),FALSE()),1)</f>
        <v>1.1</v>
      </c>
      <c r="F148" s="4" t="n">
        <f aca="false">(($C148+H148)*$E148)+B$17</f>
        <v>0.298</v>
      </c>
      <c r="G148" s="65" t="n">
        <f aca="false">VLOOKUP($A148,GASDVOLCURVES,HLOOKUP(D$36,GASDVOLCURVES,2,FALSE()),FALSE())+$B$18</f>
        <v>0.85</v>
      </c>
      <c r="H148" s="4" t="n">
        <f aca="false">IF($B$20=1,VLOOKUP($A148,skewtable,HLOOKUP(ROUND(I148-BM148,1),skewtable,2,FALSE()),FALSE())/100,0)</f>
        <v>0</v>
      </c>
      <c r="I148" s="66" t="e">
        <f aca="false">IF($B$10=1,($BM148*$B$23)-$B$14,$B$22)</f>
        <v>#DIV/0!</v>
      </c>
      <c r="J148" s="67" t="e">
        <f aca="false">I148-BM148+$B$24</f>
        <v>#DIV/0!</v>
      </c>
      <c r="K148" s="67"/>
      <c r="L148" s="183"/>
      <c r="M148" s="183"/>
      <c r="N148" s="63" t="n">
        <f aca="false">IF(N$35="nymex",0,VLOOKUP($A148,curvesettle,HLOOKUP(N$35,curvesettle,2,FALSE())))</f>
        <v>-0.0175</v>
      </c>
      <c r="O148" s="65" t="n">
        <f aca="false">IF(ISNUMBER(VLOOKUP($A148,VOLCURVES,HLOOKUP(N$35,VOLCURVES,2,FALSE()),FALSE())),VLOOKUP($A148,VOLCURVES,HLOOKUP(N$35,VOLCURVES,2,FALSE()),FALSE()),1)</f>
        <v>1</v>
      </c>
      <c r="P148" s="184" t="n">
        <f aca="false">(($C148+R148)*O148)+$D$17</f>
        <v>0.18</v>
      </c>
      <c r="Q148" s="65" t="n">
        <f aca="false">VLOOKUP($A148,GASDVOLCURVES,HLOOKUP(N$36,GASDVOLCURVES,2,FALSE()),FALSE())+$D$18</f>
        <v>0.85</v>
      </c>
      <c r="R148" s="4" t="n">
        <f aca="false">IF($D$20=1,VLOOKUP($A148,skewtable,HLOOKUP(ROUND(S148-BY148,1),skewtable,2,FALSE()),FALSE())/100,0)</f>
        <v>0</v>
      </c>
      <c r="S148" s="66" t="e">
        <f aca="false">IF(B$10=1,($BY148*$D$23)-$D$14,$D$22)</f>
        <v>#DIV/0!</v>
      </c>
      <c r="T148" s="67" t="e">
        <f aca="false">S148-$BY148+$D$24</f>
        <v>#DIV/0!</v>
      </c>
      <c r="U148" s="0"/>
      <c r="V148" s="0"/>
      <c r="W148" s="0"/>
      <c r="X148" s="63" t="n">
        <f aca="false">IF(X$35="nymex",0,VLOOKUP($A148,curvesettle,HLOOKUP(X$35,curvesettle,2,FALSE())))</f>
        <v>0.35</v>
      </c>
      <c r="Y148" s="65" t="n">
        <f aca="false">IF(ISNUMBER(VLOOKUP($A148,VOLCURVES,HLOOKUP(X$35,VOLCURVES,2,FALSE()),FALSE())),VLOOKUP($A148,VOLCURVES,HLOOKUP(X$35,VOLCURVES,2,FALSE()),FALSE()),1)</f>
        <v>1</v>
      </c>
      <c r="Z148" s="184" t="n">
        <f aca="false">(($C148+AB148)*Y148)+$F$17</f>
        <v>0.18</v>
      </c>
      <c r="AA148" s="65" t="n">
        <f aca="false">VLOOKUP($A148,GASDVOLCURVES,HLOOKUP(X$36,GASDVOLCURVES,2,FALSE()),FALSE())+$F$18</f>
        <v>0.85</v>
      </c>
      <c r="AB148" s="4" t="n">
        <f aca="false">IF($F$20=1,VLOOKUP($A148,skewtable,HLOOKUP(ROUND(AC148-CK148,1),skewtable,2,FALSE()),FALSE())/100,0)</f>
        <v>0</v>
      </c>
      <c r="AC148" s="66" t="e">
        <f aca="false">IF($B$10=1,($CK148*$F$23)-$F$14,$F$22)</f>
        <v>#DIV/0!</v>
      </c>
      <c r="AD148" s="67" t="e">
        <f aca="false">AC148-$CK148+$F$24</f>
        <v>#DIV/0!</v>
      </c>
      <c r="AE148" s="0"/>
      <c r="AF148" s="0"/>
      <c r="AG148" s="0"/>
      <c r="AH148" s="63" t="n">
        <f aca="false">IF(AH$35="nymex",0,VLOOKUP($A148,curvesettle,HLOOKUP(AH$35,curvesettle,2,FALSE())))</f>
        <v>0.64</v>
      </c>
      <c r="AI148" s="65" t="n">
        <f aca="false">IF(ISNUMBER(VLOOKUP($A148,VOLCURVES,HLOOKUP(AH$35,VOLCURVES,2,FALSE()),FALSE())),VLOOKUP($A148,VOLCURVES,HLOOKUP(AH$35,VOLCURVES,2,FALSE()),FALSE()),1)</f>
        <v>1.04</v>
      </c>
      <c r="AJ148" s="184" t="n">
        <f aca="false">(($C148+AL148)*AI148)+$H$17</f>
        <v>0.1872</v>
      </c>
      <c r="AK148" s="65" t="n">
        <f aca="false">VLOOKUP($A148,GASDVOLCURVES,HLOOKUP(AH$36,GASDVOLCURVES,2,FALSE()),FALSE())+$H$18</f>
        <v>1.5</v>
      </c>
      <c r="AL148" s="4" t="n">
        <f aca="false">IF($H$20=1,VLOOKUP($A148,skewtable,HLOOKUP(ROUND(AM148-CW148,1),skewtable,2,FALSE()),FALSE())/100,0)</f>
        <v>0</v>
      </c>
      <c r="AM148" s="66" t="e">
        <f aca="false">IF($B$10=1,($CW148*$H$23)-$H$14,$H$22)</f>
        <v>#DIV/0!</v>
      </c>
      <c r="AN148" s="67" t="e">
        <f aca="false">AM148-CW148+$H$24</f>
        <v>#DIV/0!</v>
      </c>
      <c r="AO148" s="0"/>
      <c r="AP148" s="0"/>
      <c r="AQ148" s="183"/>
      <c r="AR148" s="183"/>
      <c r="AU148" s="0"/>
      <c r="AV148" s="0"/>
      <c r="AW148" s="0"/>
      <c r="AX148" s="0"/>
      <c r="AY148" s="0"/>
      <c r="AZ148" s="0"/>
      <c r="BA148" s="0"/>
      <c r="BC148" s="64"/>
      <c r="BD148" s="64"/>
      <c r="BE148" s="4" t="n">
        <f aca="false">VLOOKUP($A148,STRADDLE,14,FALSE())</f>
        <v>0.0582634877137527</v>
      </c>
      <c r="BF148" s="72" t="n">
        <f aca="false">A149-A148</f>
        <v>31</v>
      </c>
      <c r="BG148" s="179" t="n">
        <f aca="false">A148+BG$35</f>
        <v>40603</v>
      </c>
      <c r="BH148" s="179" t="n">
        <f aca="false">A149-1</f>
        <v>40633</v>
      </c>
      <c r="BJ148" s="179" t="n">
        <f aca="true">IF(BJ$35=0,TODAY(),IF(BJ$36="NYMEX",VLOOKUP($A148,expiration,2,FALSE())+1,BG148))</f>
        <v>40599</v>
      </c>
      <c r="BK148" s="73"/>
      <c r="BL148" s="73" t="n">
        <f aca="false">IF($A148&gt;=BM$32,IF($A148&lt;=BM$33,$BF148,0),0)</f>
        <v>0</v>
      </c>
      <c r="BM148" s="73" t="e">
        <f aca="false">BO148/BL148</f>
        <v>#DIV/0!</v>
      </c>
      <c r="BN148" s="1" t="n">
        <f aca="false">BL148*($B148+B$15)</f>
        <v>0</v>
      </c>
      <c r="BO148" s="47" t="n">
        <f aca="false">IF(ISNUMBER(((BN148/BL148)+B$16+$D148+$B$14)*BL148),((BN148/BL148)+B$16+$D148+$B$14)*BL148,0)</f>
        <v>0</v>
      </c>
      <c r="BP148" s="76" t="n">
        <f aca="false">IF($BL148=0,0,OSTRIP($BM148,$I148,$BJ148-$B$2,$BG148-$BJ148,$BH148-$BJ148,$B$10,$BE148,$F148,$G148,$B$23,$J148,$BQ$34,0))</f>
        <v>0</v>
      </c>
      <c r="BQ148" s="76" t="n">
        <f aca="false">IF($BL148=0,0,OSTRIP($BM148,$I148,$BJ148-$B$2,$BG148-$BJ148,$BH148-$BJ148,$B$10,$BE148,$F148,$G148,$B$23,$J148,$BQ$34,1))</f>
        <v>0</v>
      </c>
      <c r="BR148" s="76" t="n">
        <f aca="false">IF($BL148=0,0,OSTRIP($BM148,$I148,$BJ148-$B$2,$BG148-$BJ148,$BH148-$BJ148,$B$10,$BE148,$F148,$G148,$B$23,$J148,$BQ$34,BQ$35))</f>
        <v>0</v>
      </c>
      <c r="BS148" s="37" t="n">
        <f aca="false">BL148*BP148</f>
        <v>0</v>
      </c>
      <c r="BT148" s="37" t="n">
        <f aca="false">BL148*BQ148</f>
        <v>0</v>
      </c>
      <c r="BU148" s="37" t="n">
        <f aca="false">BL148*BR148</f>
        <v>0</v>
      </c>
      <c r="BV148" s="37" t="n">
        <f aca="false">BL148*G148</f>
        <v>0</v>
      </c>
      <c r="BX148" s="73" t="n">
        <f aca="false">IF($A148&gt;=BY$32,IF($A148&lt;=BY$33,$BF148,0),0)</f>
        <v>0</v>
      </c>
      <c r="BY148" s="186" t="e">
        <f aca="false">CA148/BX148</f>
        <v>#DIV/0!</v>
      </c>
      <c r="BZ148" s="1" t="n">
        <f aca="false">BX148*($B148+$D$15)</f>
        <v>0</v>
      </c>
      <c r="CA148" s="47" t="n">
        <f aca="false">IF(ISNUMBER(((BZ148/BX148)+$D$16+$N148+$D$14)*BX148),((BZ148/BX148)+$D$16+$N148+$D$14)*BX148,0)</f>
        <v>0</v>
      </c>
      <c r="CB148" s="76" t="n">
        <f aca="false">IF($BX148=0,0,OSTRIP($BY148,$S148,$BJ148-$B$2,$BG148-$BJ148,$BH148-$BJ148,$B$10,$BE148,$P148,$Q148,$D$23,$T148,$CC$34,0))</f>
        <v>0</v>
      </c>
      <c r="CC148" s="76" t="n">
        <f aca="false">IF($BX148=0,0,OSTRIP($BY148,$S148,$BJ148-$B$2,$BG148-$BJ148,$BH148-$BJ148,$B$10,$BE148,$P148,$Q148,$D$23,$T148,$CC$34,1))</f>
        <v>0</v>
      </c>
      <c r="CD148" s="76" t="n">
        <f aca="false">IF($BX148=0,0,OSTRIP($BY148,$S148,$BJ148-$B$2,$BG148-$BJ148,$BH148-$BJ148,$B$10,$BE148,$P148,$Q148,$D$23,$T148,$CC$34,CC$35))</f>
        <v>0</v>
      </c>
      <c r="CE148" s="37" t="n">
        <f aca="false">BX148*CB148</f>
        <v>0</v>
      </c>
      <c r="CF148" s="37" t="n">
        <f aca="false">BX148*CC148</f>
        <v>0</v>
      </c>
      <c r="CG148" s="37" t="n">
        <f aca="false">BX148*CD148</f>
        <v>0</v>
      </c>
      <c r="CH148" s="37" t="n">
        <f aca="false">BX148*Q148</f>
        <v>0</v>
      </c>
      <c r="CJ148" s="73" t="n">
        <f aca="false">IF($A148&gt;=CK$32,IF($A148&lt;=CK$33,$BF148,0),0)</f>
        <v>0</v>
      </c>
      <c r="CK148" s="186" t="e">
        <f aca="false">CM148/CJ148</f>
        <v>#DIV/0!</v>
      </c>
      <c r="CL148" s="1" t="n">
        <f aca="false">CJ148*($B148+$F$15)</f>
        <v>0</v>
      </c>
      <c r="CM148" s="47" t="n">
        <f aca="false">IF(ISNUMBER(((CL148/CJ148)+$F$16+$X148+$F$14)*CJ148),((CL148/CJ148)+$F$16+$X148+$F$14)*CJ148,0)</f>
        <v>0</v>
      </c>
      <c r="CN148" s="76" t="n">
        <f aca="false">IF($CJ148=0,0,OSTRIP($CK148,$AC148,$BJ148-$B$2,$BG148-$BJ148,$BH148-$BJ148,$B$10,$BE148,$Z148,$AA148,$F$23,$AD148,$CO$34,0))</f>
        <v>0</v>
      </c>
      <c r="CO148" s="76" t="n">
        <f aca="false">IF($CJ148=0,0,OSTRIP($CK148,$AC148,$BJ148-$B$2,$BG148-$BJ148,$BH148-$BJ148,$B$10,$BE148,$Z148,$AA148,$F$23,$AD148,$CO$34,1))</f>
        <v>0</v>
      </c>
      <c r="CP148" s="76" t="n">
        <f aca="false">IF($CJ148=0,0,OSTRIP($CK148,$AC148,$BJ148-$B$2,$BG148-$BJ148,$BH148-$BJ148,$B$10,$BE148,$Z148,$AA148,$F$23,$AD148,$CO$34,$CO$35))</f>
        <v>0</v>
      </c>
      <c r="CQ148" s="37" t="n">
        <f aca="false">CJ148*CN148</f>
        <v>0</v>
      </c>
      <c r="CR148" s="37" t="n">
        <f aca="false">CJ148*CO148</f>
        <v>0</v>
      </c>
      <c r="CS148" s="37" t="n">
        <f aca="false">CJ148*CP148</f>
        <v>0</v>
      </c>
      <c r="CT148" s="37" t="n">
        <f aca="false">CJ148*AA148</f>
        <v>0</v>
      </c>
      <c r="CV148" s="73" t="n">
        <f aca="false">IF($A148&gt;=CW$32,IF($A148&lt;=CW$33,$BF148,0),0)</f>
        <v>0</v>
      </c>
      <c r="CW148" s="186" t="e">
        <f aca="false">CY148/CV148</f>
        <v>#DIV/0!</v>
      </c>
      <c r="CX148" s="1" t="n">
        <f aca="false">CV148*($B148+$H$15)</f>
        <v>0</v>
      </c>
      <c r="CY148" s="47" t="n">
        <f aca="false">IF(ISNUMBER(((CX148/CV148)+$H$16+$AH148+$H$14)*CV148),((CX148/CV148)+$H$16+$AH148+$H$14)*CV148,0)</f>
        <v>0</v>
      </c>
      <c r="CZ148" s="76" t="n">
        <f aca="false">IF($CV148=0,0,OSTRIP($CW148,$AM148,$BJ148-$B$2,$BG148-$BJ148,$BH148-$BJ148,$B$10,$BE148,$AJ148,$AK148,$H$23,$AN148,$DA$34,0))</f>
        <v>0</v>
      </c>
      <c r="DA148" s="76" t="n">
        <f aca="false">IF($CV148=0,0,OSTRIP($CW148,$AM148,$BJ148-$B$2,$BG148-$BJ148,$BH148-$BJ148,$B$10,$BE148,$AJ148,$AK148,$H$23,$AN148,$DA$34,1))</f>
        <v>0</v>
      </c>
      <c r="DB148" s="76" t="n">
        <f aca="false">IF($CV148=0,0,OSTRIP($CW148,$AM148,$BJ148-$B$2,$BG148-$BJ148,$BH148-$BJ148,$B$10,$BE148,$AJ148,$AK148,$H$23,$AN148,$DA$34,DA$35))</f>
        <v>0</v>
      </c>
      <c r="DC148" s="37" t="n">
        <f aca="false">CV148*CZ148</f>
        <v>0</v>
      </c>
      <c r="DD148" s="37" t="n">
        <f aca="false">CV148*DA148</f>
        <v>0</v>
      </c>
      <c r="DE148" s="37" t="n">
        <f aca="false">CV148*DB148</f>
        <v>0</v>
      </c>
      <c r="DF148" s="37" t="n">
        <f aca="false">CV148*AK148</f>
        <v>0</v>
      </c>
    </row>
    <row r="149" customFormat="false" ht="12.75" hidden="false" customHeight="false" outlineLevel="0" collapsed="false">
      <c r="A149" s="62" t="n">
        <f aca="false">DATE(YEAR(A148),MONTH(A148)+1,1)</f>
        <v>40634</v>
      </c>
      <c r="B149" s="63" t="n">
        <f aca="false">VLOOKUP(A149,STRADDLE,5,FALSE())</f>
        <v>3.7275</v>
      </c>
      <c r="C149" s="4" t="n">
        <f aca="false">VLOOKUP(A149,STRADDLE,8,FALSE())</f>
        <v>0.18</v>
      </c>
      <c r="D149" s="63" t="n">
        <f aca="false">IF(D$35="nymex",0,VLOOKUP($A149,curvesettle,HLOOKUP(D$35,curvesettle,2,FALSE())))</f>
        <v>0.36</v>
      </c>
      <c r="E149" s="65" t="n">
        <f aca="false">IF(ISNUMBER(VLOOKUP($A149,VOLCURVES,HLOOKUP(D$35,VOLCURVES,2,FALSE()),FALSE())),VLOOKUP($A149,VOLCURVES,HLOOKUP(D$35,VOLCURVES,2,FALSE()),FALSE()),1)</f>
        <v>0.98</v>
      </c>
      <c r="F149" s="4" t="n">
        <f aca="false">(($C149+H149)*$E149)+B$17</f>
        <v>0.2764</v>
      </c>
      <c r="G149" s="65" t="n">
        <f aca="false">VLOOKUP($A149,GASDVOLCURVES,HLOOKUP(D$36,GASDVOLCURVES,2,FALSE()),FALSE())+$B$18</f>
        <v>0.5</v>
      </c>
      <c r="H149" s="4" t="n">
        <f aca="false">IF($B$20=1,VLOOKUP($A149,skewtable,HLOOKUP(ROUND(I149-BM149,1),skewtable,2,FALSE()),FALSE())/100,0)</f>
        <v>0</v>
      </c>
      <c r="I149" s="66" t="e">
        <f aca="false">IF($B$10=1,($BM149*$B$23)-$B$14,$B$22)</f>
        <v>#DIV/0!</v>
      </c>
      <c r="J149" s="67" t="e">
        <f aca="false">I149-BM149+$B$24</f>
        <v>#DIV/0!</v>
      </c>
      <c r="K149" s="67"/>
      <c r="L149" s="183"/>
      <c r="M149" s="183"/>
      <c r="N149" s="63" t="n">
        <f aca="false">IF(N$35="nymex",0,VLOOKUP($A149,curvesettle,HLOOKUP(N$35,curvesettle,2,FALSE())))</f>
        <v>0.02</v>
      </c>
      <c r="O149" s="65" t="n">
        <f aca="false">IF(ISNUMBER(VLOOKUP($A149,VOLCURVES,HLOOKUP(N$35,VOLCURVES,2,FALSE()),FALSE())),VLOOKUP($A149,VOLCURVES,HLOOKUP(N$35,VOLCURVES,2,FALSE()),FALSE()),1)</f>
        <v>1</v>
      </c>
      <c r="P149" s="184" t="n">
        <f aca="false">(($C149+R149)*O149)+$D$17</f>
        <v>0.18</v>
      </c>
      <c r="Q149" s="65" t="n">
        <f aca="false">VLOOKUP($A149,GASDVOLCURVES,HLOOKUP(N$36,GASDVOLCURVES,2,FALSE()),FALSE())+$D$18</f>
        <v>0.5</v>
      </c>
      <c r="R149" s="4" t="n">
        <f aca="false">IF($D$20=1,VLOOKUP($A149,skewtable,HLOOKUP(ROUND(S149-BY149,1),skewtable,2,FALSE()),FALSE())/100,0)</f>
        <v>0</v>
      </c>
      <c r="S149" s="66" t="e">
        <f aca="false">IF(B$10=1,($BY149*$D$23)-$D$14,$D$22)</f>
        <v>#DIV/0!</v>
      </c>
      <c r="T149" s="67" t="e">
        <f aca="false">S149-$BY149+$D$24</f>
        <v>#DIV/0!</v>
      </c>
      <c r="U149" s="0"/>
      <c r="V149" s="0"/>
      <c r="W149" s="0"/>
      <c r="X149" s="63" t="n">
        <f aca="false">IF(X$35="nymex",0,VLOOKUP($A149,curvesettle,HLOOKUP(X$35,curvesettle,2,FALSE())))</f>
        <v>0.43</v>
      </c>
      <c r="Y149" s="65" t="n">
        <f aca="false">IF(ISNUMBER(VLOOKUP($A149,VOLCURVES,HLOOKUP(X$35,VOLCURVES,2,FALSE()),FALSE())),VLOOKUP($A149,VOLCURVES,HLOOKUP(X$35,VOLCURVES,2,FALSE()),FALSE()),1)</f>
        <v>1</v>
      </c>
      <c r="Z149" s="184" t="n">
        <f aca="false">(($C149+AB149)*Y149)+$F$17</f>
        <v>0.18</v>
      </c>
      <c r="AA149" s="65" t="n">
        <f aca="false">VLOOKUP($A149,GASDVOLCURVES,HLOOKUP(X$36,GASDVOLCURVES,2,FALSE()),FALSE())+$F$18</f>
        <v>0.55</v>
      </c>
      <c r="AB149" s="4" t="n">
        <f aca="false">IF($F$20=1,VLOOKUP($A149,skewtable,HLOOKUP(ROUND(AC149-CK149,1),skewtable,2,FALSE()),FALSE())/100,0)</f>
        <v>0</v>
      </c>
      <c r="AC149" s="66" t="e">
        <f aca="false">IF($B$10=1,($CK149*$F$23)-$F$14,$F$22)</f>
        <v>#DIV/0!</v>
      </c>
      <c r="AD149" s="67" t="e">
        <f aca="false">AC149-$CK149+$F$24</f>
        <v>#DIV/0!</v>
      </c>
      <c r="AE149" s="0"/>
      <c r="AF149" s="0"/>
      <c r="AG149" s="0"/>
      <c r="AH149" s="63" t="n">
        <f aca="false">IF(AH$35="nymex",0,VLOOKUP($A149,curvesettle,HLOOKUP(AH$35,curvesettle,2,FALSE())))</f>
        <v>0.38</v>
      </c>
      <c r="AI149" s="65" t="n">
        <f aca="false">IF(ISNUMBER(VLOOKUP($A149,VOLCURVES,HLOOKUP(AH$35,VOLCURVES,2,FALSE()),FALSE())),VLOOKUP($A149,VOLCURVES,HLOOKUP(AH$35,VOLCURVES,2,FALSE()),FALSE()),1)</f>
        <v>1</v>
      </c>
      <c r="AJ149" s="184" t="n">
        <f aca="false">(($C149+AL149)*AI149)+$H$17</f>
        <v>0.18</v>
      </c>
      <c r="AK149" s="65" t="n">
        <f aca="false">VLOOKUP($A149,GASDVOLCURVES,HLOOKUP(AH$36,GASDVOLCURVES,2,FALSE()),FALSE())+$H$18</f>
        <v>0.95</v>
      </c>
      <c r="AL149" s="4" t="n">
        <f aca="false">IF($H$20=1,VLOOKUP($A149,skewtable,HLOOKUP(ROUND(AM149-CW149,1),skewtable,2,FALSE()),FALSE())/100,0)</f>
        <v>0</v>
      </c>
      <c r="AM149" s="66" t="e">
        <f aca="false">IF($B$10=1,($CW149*$H$23)-$H$14,$H$22)</f>
        <v>#DIV/0!</v>
      </c>
      <c r="AN149" s="67" t="e">
        <f aca="false">AM149-CW149+$H$24</f>
        <v>#DIV/0!</v>
      </c>
      <c r="AO149" s="0"/>
      <c r="AP149" s="0"/>
      <c r="AQ149" s="183"/>
      <c r="AR149" s="183"/>
      <c r="AU149" s="0"/>
      <c r="AV149" s="0"/>
      <c r="AW149" s="0"/>
      <c r="AX149" s="0"/>
      <c r="AY149" s="0"/>
      <c r="AZ149" s="0"/>
      <c r="BA149" s="0"/>
      <c r="BC149" s="64"/>
      <c r="BD149" s="64"/>
      <c r="BE149" s="4" t="n">
        <f aca="false">VLOOKUP($A149,STRADDLE,14,FALSE())</f>
        <v>0.0583669861880636</v>
      </c>
      <c r="BF149" s="72" t="n">
        <f aca="false">A150-A149</f>
        <v>30</v>
      </c>
      <c r="BG149" s="179" t="n">
        <f aca="false">A149+BG$35</f>
        <v>40634</v>
      </c>
      <c r="BH149" s="179" t="n">
        <f aca="false">A150-1</f>
        <v>40663</v>
      </c>
      <c r="BJ149" s="179" t="n">
        <f aca="true">IF(BJ$35=0,TODAY(),IF(BJ$36="NYMEX",VLOOKUP($A149,expiration,2,FALSE())+1,BG149))</f>
        <v>40632</v>
      </c>
      <c r="BK149" s="73"/>
      <c r="BL149" s="73" t="n">
        <f aca="false">IF($A149&gt;=BM$32,IF($A149&lt;=BM$33,$BF149,0),0)</f>
        <v>0</v>
      </c>
      <c r="BM149" s="73" t="e">
        <f aca="false">BO149/BL149</f>
        <v>#DIV/0!</v>
      </c>
      <c r="BN149" s="1" t="n">
        <f aca="false">BL149*($B149+B$15)</f>
        <v>0</v>
      </c>
      <c r="BO149" s="47" t="n">
        <f aca="false">IF(ISNUMBER(((BN149/BL149)+B$16+$D149+$B$14)*BL149),((BN149/BL149)+B$16+$D149+$B$14)*BL149,0)</f>
        <v>0</v>
      </c>
      <c r="BP149" s="76" t="n">
        <f aca="false">IF($BL149=0,0,OSTRIP($BM149,$I149,$BJ149-$B$2,$BG149-$BJ149,$BH149-$BJ149,$B$10,$BE149,$F149,$G149,$B$23,$J149,$BQ$34,0))</f>
        <v>0</v>
      </c>
      <c r="BQ149" s="76" t="n">
        <f aca="false">IF($BL149=0,0,OSTRIP($BM149,$I149,$BJ149-$B$2,$BG149-$BJ149,$BH149-$BJ149,$B$10,$BE149,$F149,$G149,$B$23,$J149,$BQ$34,1))</f>
        <v>0</v>
      </c>
      <c r="BR149" s="76" t="n">
        <f aca="false">IF($BL149=0,0,OSTRIP($BM149,$I149,$BJ149-$B$2,$BG149-$BJ149,$BH149-$BJ149,$B$10,$BE149,$F149,$G149,$B$23,$J149,$BQ$34,BQ$35))</f>
        <v>0</v>
      </c>
      <c r="BS149" s="37" t="n">
        <f aca="false">BL149*BP149</f>
        <v>0</v>
      </c>
      <c r="BT149" s="37" t="n">
        <f aca="false">BL149*BQ149</f>
        <v>0</v>
      </c>
      <c r="BU149" s="37" t="n">
        <f aca="false">BL149*BR149</f>
        <v>0</v>
      </c>
      <c r="BV149" s="37" t="n">
        <f aca="false">BL149*G149</f>
        <v>0</v>
      </c>
      <c r="BX149" s="73" t="n">
        <f aca="false">IF($A149&gt;=BY$32,IF($A149&lt;=BY$33,$BF149,0),0)</f>
        <v>0</v>
      </c>
      <c r="BY149" s="186" t="e">
        <f aca="false">CA149/BX149</f>
        <v>#DIV/0!</v>
      </c>
      <c r="BZ149" s="1" t="n">
        <f aca="false">BX149*($B149+$D$15)</f>
        <v>0</v>
      </c>
      <c r="CA149" s="47" t="n">
        <f aca="false">IF(ISNUMBER(((BZ149/BX149)+$D$16+$N149+$D$14)*BX149),((BZ149/BX149)+$D$16+$N149+$D$14)*BX149,0)</f>
        <v>0</v>
      </c>
      <c r="CB149" s="76" t="n">
        <f aca="false">IF($BX149=0,0,OSTRIP($BY149,$S149,$BJ149-$B$2,$BG149-$BJ149,$BH149-$BJ149,$B$10,$BE149,$P149,$Q149,$D$23,$T149,$CC$34,0))</f>
        <v>0</v>
      </c>
      <c r="CC149" s="76" t="n">
        <f aca="false">IF($BX149=0,0,OSTRIP($BY149,$S149,$BJ149-$B$2,$BG149-$BJ149,$BH149-$BJ149,$B$10,$BE149,$P149,$Q149,$D$23,$T149,$CC$34,1))</f>
        <v>0</v>
      </c>
      <c r="CD149" s="76" t="n">
        <f aca="false">IF($BX149=0,0,OSTRIP($BY149,$S149,$BJ149-$B$2,$BG149-$BJ149,$BH149-$BJ149,$B$10,$BE149,$P149,$Q149,$D$23,$T149,$CC$34,CC$35))</f>
        <v>0</v>
      </c>
      <c r="CE149" s="37" t="n">
        <f aca="false">BX149*CB149</f>
        <v>0</v>
      </c>
      <c r="CF149" s="37" t="n">
        <f aca="false">BX149*CC149</f>
        <v>0</v>
      </c>
      <c r="CG149" s="37" t="n">
        <f aca="false">BX149*CD149</f>
        <v>0</v>
      </c>
      <c r="CH149" s="37" t="n">
        <f aca="false">BX149*Q149</f>
        <v>0</v>
      </c>
      <c r="CJ149" s="73" t="n">
        <f aca="false">IF($A149&gt;=CK$32,IF($A149&lt;=CK$33,$BF149,0),0)</f>
        <v>0</v>
      </c>
      <c r="CK149" s="186" t="e">
        <f aca="false">CM149/CJ149</f>
        <v>#DIV/0!</v>
      </c>
      <c r="CL149" s="1" t="n">
        <f aca="false">CJ149*($B149+$F$15)</f>
        <v>0</v>
      </c>
      <c r="CM149" s="47" t="n">
        <f aca="false">IF(ISNUMBER(((CL149/CJ149)+$F$16+$X149+$F$14)*CJ149),((CL149/CJ149)+$F$16+$X149+$F$14)*CJ149,0)</f>
        <v>0</v>
      </c>
      <c r="CN149" s="76" t="n">
        <f aca="false">IF($CJ149=0,0,OSTRIP($CK149,$AC149,$BJ149-$B$2,$BG149-$BJ149,$BH149-$BJ149,$B$10,$BE149,$Z149,$AA149,$F$23,$AD149,$CO$34,0))</f>
        <v>0</v>
      </c>
      <c r="CO149" s="76" t="n">
        <f aca="false">IF($CJ149=0,0,OSTRIP($CK149,$AC149,$BJ149-$B$2,$BG149-$BJ149,$BH149-$BJ149,$B$10,$BE149,$Z149,$AA149,$F$23,$AD149,$CO$34,1))</f>
        <v>0</v>
      </c>
      <c r="CP149" s="76" t="n">
        <f aca="false">IF($CJ149=0,0,OSTRIP($CK149,$AC149,$BJ149-$B$2,$BG149-$BJ149,$BH149-$BJ149,$B$10,$BE149,$Z149,$AA149,$F$23,$AD149,$CO$34,$CO$35))</f>
        <v>0</v>
      </c>
      <c r="CQ149" s="37" t="n">
        <f aca="false">CJ149*CN149</f>
        <v>0</v>
      </c>
      <c r="CR149" s="37" t="n">
        <f aca="false">CJ149*CO149</f>
        <v>0</v>
      </c>
      <c r="CS149" s="37" t="n">
        <f aca="false">CJ149*CP149</f>
        <v>0</v>
      </c>
      <c r="CT149" s="37" t="n">
        <f aca="false">CJ149*AA149</f>
        <v>0</v>
      </c>
      <c r="CV149" s="73" t="n">
        <f aca="false">IF($A149&gt;=CW$32,IF($A149&lt;=CW$33,$BF149,0),0)</f>
        <v>0</v>
      </c>
      <c r="CW149" s="186" t="e">
        <f aca="false">CY149/CV149</f>
        <v>#DIV/0!</v>
      </c>
      <c r="CX149" s="1" t="n">
        <f aca="false">CV149*($B149+$H$15)</f>
        <v>0</v>
      </c>
      <c r="CY149" s="47" t="n">
        <f aca="false">IF(ISNUMBER(((CX149/CV149)+$H$16+$AH149+$H$14)*CV149),((CX149/CV149)+$H$16+$AH149+$H$14)*CV149,0)</f>
        <v>0</v>
      </c>
      <c r="CZ149" s="76" t="n">
        <f aca="false">IF($CV149=0,0,OSTRIP($CW149,$AM149,$BJ149-$B$2,$BG149-$BJ149,$BH149-$BJ149,$B$10,$BE149,$AJ149,$AK149,$H$23,$AN149,$DA$34,0))</f>
        <v>0</v>
      </c>
      <c r="DA149" s="76" t="n">
        <f aca="false">IF($CV149=0,0,OSTRIP($CW149,$AM149,$BJ149-$B$2,$BG149-$BJ149,$BH149-$BJ149,$B$10,$BE149,$AJ149,$AK149,$H$23,$AN149,$DA$34,1))</f>
        <v>0</v>
      </c>
      <c r="DB149" s="76" t="n">
        <f aca="false">IF($CV149=0,0,OSTRIP($CW149,$AM149,$BJ149-$B$2,$BG149-$BJ149,$BH149-$BJ149,$B$10,$BE149,$AJ149,$AK149,$H$23,$AN149,$DA$34,DA$35))</f>
        <v>0</v>
      </c>
      <c r="DC149" s="37" t="n">
        <f aca="false">CV149*CZ149</f>
        <v>0</v>
      </c>
      <c r="DD149" s="37" t="n">
        <f aca="false">CV149*DA149</f>
        <v>0</v>
      </c>
      <c r="DE149" s="37" t="n">
        <f aca="false">CV149*DB149</f>
        <v>0</v>
      </c>
      <c r="DF149" s="37" t="n">
        <f aca="false">CV149*AK149</f>
        <v>0</v>
      </c>
    </row>
    <row r="150" customFormat="false" ht="12.75" hidden="false" customHeight="false" outlineLevel="0" collapsed="false">
      <c r="A150" s="62" t="n">
        <f aca="false">DATE(YEAR(A149),MONTH(A149)+1,1)</f>
        <v>40664</v>
      </c>
      <c r="B150" s="63" t="n">
        <f aca="false">VLOOKUP(A150,STRADDLE,5,FALSE())</f>
        <v>3.7225</v>
      </c>
      <c r="C150" s="4" t="n">
        <f aca="false">VLOOKUP(A150,STRADDLE,8,FALSE())</f>
        <v>0.18</v>
      </c>
      <c r="D150" s="63" t="n">
        <f aca="false">IF(D$35="nymex",0,VLOOKUP($A150,curvesettle,HLOOKUP(D$35,curvesettle,2,FALSE())))</f>
        <v>0.325</v>
      </c>
      <c r="E150" s="65" t="n">
        <f aca="false">IF(ISNUMBER(VLOOKUP($A150,VOLCURVES,HLOOKUP(D$35,VOLCURVES,2,FALSE()),FALSE())),VLOOKUP($A150,VOLCURVES,HLOOKUP(D$35,VOLCURVES,2,FALSE()),FALSE()),1)</f>
        <v>0.98</v>
      </c>
      <c r="F150" s="4" t="n">
        <f aca="false">(($C150+H150)*$E150)+B$17</f>
        <v>0.2764</v>
      </c>
      <c r="G150" s="65" t="n">
        <f aca="false">VLOOKUP($A150,GASDVOLCURVES,HLOOKUP(D$36,GASDVOLCURVES,2,FALSE()),FALSE())+$B$18</f>
        <v>0.55</v>
      </c>
      <c r="H150" s="4" t="n">
        <f aca="false">IF($B$20=1,VLOOKUP($A150,skewtable,HLOOKUP(ROUND(I150-BM150,1),skewtable,2,FALSE()),FALSE())/100,0)</f>
        <v>0</v>
      </c>
      <c r="I150" s="66" t="e">
        <f aca="false">IF($B$10=1,($BM150*$B$23)-$B$14,$B$22)</f>
        <v>#DIV/0!</v>
      </c>
      <c r="J150" s="67" t="e">
        <f aca="false">I150-BM150+$B$24</f>
        <v>#DIV/0!</v>
      </c>
      <c r="K150" s="67"/>
      <c r="L150" s="183"/>
      <c r="M150" s="183"/>
      <c r="N150" s="63" t="n">
        <f aca="false">IF(N$35="nymex",0,VLOOKUP($A150,curvesettle,HLOOKUP(N$35,curvesettle,2,FALSE())))</f>
        <v>0.02</v>
      </c>
      <c r="O150" s="65" t="n">
        <f aca="false">IF(ISNUMBER(VLOOKUP($A150,VOLCURVES,HLOOKUP(N$35,VOLCURVES,2,FALSE()),FALSE())),VLOOKUP($A150,VOLCURVES,HLOOKUP(N$35,VOLCURVES,2,FALSE()),FALSE()),1)</f>
        <v>1</v>
      </c>
      <c r="P150" s="184" t="n">
        <f aca="false">(($C150+R150)*O150)+$D$17</f>
        <v>0.18</v>
      </c>
      <c r="Q150" s="65" t="n">
        <f aca="false">VLOOKUP($A150,GASDVOLCURVES,HLOOKUP(N$36,GASDVOLCURVES,2,FALSE()),FALSE())+$D$18</f>
        <v>0.55</v>
      </c>
      <c r="R150" s="4" t="n">
        <f aca="false">IF($D$20=1,VLOOKUP($A150,skewtable,HLOOKUP(ROUND(S150-BY150,1),skewtable,2,FALSE()),FALSE())/100,0)</f>
        <v>0</v>
      </c>
      <c r="S150" s="66" t="e">
        <f aca="false">IF(B$10=1,($BY150*$D$23)-$D$14,$D$22)</f>
        <v>#DIV/0!</v>
      </c>
      <c r="T150" s="67" t="e">
        <f aca="false">S150-$BY150+$D$24</f>
        <v>#DIV/0!</v>
      </c>
      <c r="U150" s="0"/>
      <c r="V150" s="0"/>
      <c r="W150" s="0"/>
      <c r="X150" s="63" t="n">
        <f aca="false">IF(X$35="nymex",0,VLOOKUP($A150,curvesettle,HLOOKUP(X$35,curvesettle,2,FALSE())))</f>
        <v>0.43</v>
      </c>
      <c r="Y150" s="65" t="n">
        <f aca="false">IF(ISNUMBER(VLOOKUP($A150,VOLCURVES,HLOOKUP(X$35,VOLCURVES,2,FALSE()),FALSE())),VLOOKUP($A150,VOLCURVES,HLOOKUP(X$35,VOLCURVES,2,FALSE()),FALSE()),1)</f>
        <v>1</v>
      </c>
      <c r="Z150" s="184" t="n">
        <f aca="false">(($C150+AB150)*Y150)+$F$17</f>
        <v>0.18</v>
      </c>
      <c r="AA150" s="65" t="n">
        <f aca="false">VLOOKUP($A150,GASDVOLCURVES,HLOOKUP(X$36,GASDVOLCURVES,2,FALSE()),FALSE())+$F$18</f>
        <v>0.5</v>
      </c>
      <c r="AB150" s="4" t="n">
        <f aca="false">IF($F$20=1,VLOOKUP($A150,skewtable,HLOOKUP(ROUND(AC150-CK150,1),skewtable,2,FALSE()),FALSE())/100,0)</f>
        <v>0</v>
      </c>
      <c r="AC150" s="66" t="e">
        <f aca="false">IF($B$10=1,($CK150*$F$23)-$F$14,$F$22)</f>
        <v>#DIV/0!</v>
      </c>
      <c r="AD150" s="67" t="e">
        <f aca="false">AC150-$CK150+$F$24</f>
        <v>#DIV/0!</v>
      </c>
      <c r="AE150" s="0"/>
      <c r="AF150" s="0"/>
      <c r="AG150" s="0"/>
      <c r="AH150" s="63" t="n">
        <f aca="false">IF(AH$35="nymex",0,VLOOKUP($A150,curvesettle,HLOOKUP(AH$35,curvesettle,2,FALSE())))</f>
        <v>0.33</v>
      </c>
      <c r="AI150" s="65" t="n">
        <f aca="false">IF(ISNUMBER(VLOOKUP($A150,VOLCURVES,HLOOKUP(AH$35,VOLCURVES,2,FALSE()),FALSE())),VLOOKUP($A150,VOLCURVES,HLOOKUP(AH$35,VOLCURVES,2,FALSE()),FALSE()),1)</f>
        <v>1</v>
      </c>
      <c r="AJ150" s="184" t="n">
        <f aca="false">(($C150+AL150)*AI150)+$H$17</f>
        <v>0.18</v>
      </c>
      <c r="AK150" s="65" t="n">
        <f aca="false">VLOOKUP($A150,GASDVOLCURVES,HLOOKUP(AH$36,GASDVOLCURVES,2,FALSE()),FALSE())+$H$18</f>
        <v>1</v>
      </c>
      <c r="AL150" s="4" t="n">
        <f aca="false">IF($H$20=1,VLOOKUP($A150,skewtable,HLOOKUP(ROUND(AM150-CW150,1),skewtable,2,FALSE()),FALSE())/100,0)</f>
        <v>0</v>
      </c>
      <c r="AM150" s="66" t="e">
        <f aca="false">IF($B$10=1,($CW150*$H$23)-$H$14,$H$22)</f>
        <v>#DIV/0!</v>
      </c>
      <c r="AN150" s="67" t="e">
        <f aca="false">AM150-CW150+$H$24</f>
        <v>#DIV/0!</v>
      </c>
      <c r="AO150" s="0"/>
      <c r="AP150" s="0"/>
      <c r="AQ150" s="183"/>
      <c r="AR150" s="183"/>
      <c r="AU150" s="0"/>
      <c r="AV150" s="0"/>
      <c r="AW150" s="0"/>
      <c r="AX150" s="0"/>
      <c r="AY150" s="0"/>
      <c r="AZ150" s="0"/>
      <c r="BA150" s="0"/>
      <c r="BC150" s="64"/>
      <c r="BD150" s="64"/>
      <c r="BE150" s="4" t="n">
        <f aca="false">VLOOKUP($A150,STRADDLE,14,FALSE())</f>
        <v>0.0584671460053037</v>
      </c>
      <c r="BF150" s="72" t="n">
        <f aca="false">A151-A150</f>
        <v>31</v>
      </c>
      <c r="BG150" s="179" t="n">
        <f aca="false">A150+BG$35</f>
        <v>40664</v>
      </c>
      <c r="BH150" s="179" t="n">
        <f aca="false">A151-1</f>
        <v>40694</v>
      </c>
      <c r="BJ150" s="179" t="n">
        <f aca="true">IF(BJ$35=0,TODAY(),IF(BJ$36="NYMEX",VLOOKUP($A150,expiration,2,FALSE())+1,BG150))</f>
        <v>40661</v>
      </c>
      <c r="BK150" s="73"/>
      <c r="BL150" s="73" t="n">
        <f aca="false">IF($A150&gt;=BM$32,IF($A150&lt;=BM$33,$BF150,0),0)</f>
        <v>0</v>
      </c>
      <c r="BM150" s="73" t="e">
        <f aca="false">BO150/BL150</f>
        <v>#DIV/0!</v>
      </c>
      <c r="BN150" s="1" t="n">
        <f aca="false">BL150*($B150+B$15)</f>
        <v>0</v>
      </c>
      <c r="BO150" s="47" t="n">
        <f aca="false">IF(ISNUMBER(((BN150/BL150)+B$16+$D150+$B$14)*BL150),((BN150/BL150)+B$16+$D150+$B$14)*BL150,0)</f>
        <v>0</v>
      </c>
      <c r="BP150" s="76" t="n">
        <f aca="false">IF($BL150=0,0,OSTRIP($BM150,$I150,$BJ150-$B$2,$BG150-$BJ150,$BH150-$BJ150,$B$10,$BE150,$F150,$G150,$B$23,$J150,$BQ$34,0))</f>
        <v>0</v>
      </c>
      <c r="BQ150" s="76" t="n">
        <f aca="false">IF($BL150=0,0,OSTRIP($BM150,$I150,$BJ150-$B$2,$BG150-$BJ150,$BH150-$BJ150,$B$10,$BE150,$F150,$G150,$B$23,$J150,$BQ$34,1))</f>
        <v>0</v>
      </c>
      <c r="BR150" s="76" t="n">
        <f aca="false">IF($BL150=0,0,OSTRIP($BM150,$I150,$BJ150-$B$2,$BG150-$BJ150,$BH150-$BJ150,$B$10,$BE150,$F150,$G150,$B$23,$J150,$BQ$34,BQ$35))</f>
        <v>0</v>
      </c>
      <c r="BS150" s="37" t="n">
        <f aca="false">BL150*BP150</f>
        <v>0</v>
      </c>
      <c r="BT150" s="37" t="n">
        <f aca="false">BL150*BQ150</f>
        <v>0</v>
      </c>
      <c r="BU150" s="37" t="n">
        <f aca="false">BL150*BR150</f>
        <v>0</v>
      </c>
      <c r="BV150" s="37" t="n">
        <f aca="false">BL150*G150</f>
        <v>0</v>
      </c>
      <c r="BX150" s="73" t="n">
        <f aca="false">IF($A150&gt;=BY$32,IF($A150&lt;=BY$33,$BF150,0),0)</f>
        <v>0</v>
      </c>
      <c r="BY150" s="186" t="e">
        <f aca="false">CA150/BX150</f>
        <v>#DIV/0!</v>
      </c>
      <c r="BZ150" s="1" t="n">
        <f aca="false">BX150*($B150+$D$15)</f>
        <v>0</v>
      </c>
      <c r="CA150" s="47" t="n">
        <f aca="false">IF(ISNUMBER(((BZ150/BX150)+$D$16+$N150+$D$14)*BX150),((BZ150/BX150)+$D$16+$N150+$D$14)*BX150,0)</f>
        <v>0</v>
      </c>
      <c r="CB150" s="76" t="n">
        <f aca="false">IF($BX150=0,0,OSTRIP($BY150,$S150,$BJ150-$B$2,$BG150-$BJ150,$BH150-$BJ150,$B$10,$BE150,$P150,$Q150,$D$23,$T150,$CC$34,0))</f>
        <v>0</v>
      </c>
      <c r="CC150" s="76" t="n">
        <f aca="false">IF($BX150=0,0,OSTRIP($BY150,$S150,$BJ150-$B$2,$BG150-$BJ150,$BH150-$BJ150,$B$10,$BE150,$P150,$Q150,$D$23,$T150,$CC$34,1))</f>
        <v>0</v>
      </c>
      <c r="CD150" s="76" t="n">
        <f aca="false">IF($BX150=0,0,OSTRIP($BY150,$S150,$BJ150-$B$2,$BG150-$BJ150,$BH150-$BJ150,$B$10,$BE150,$P150,$Q150,$D$23,$T150,$CC$34,CC$35))</f>
        <v>0</v>
      </c>
      <c r="CE150" s="37" t="n">
        <f aca="false">BX150*CB150</f>
        <v>0</v>
      </c>
      <c r="CF150" s="37" t="n">
        <f aca="false">BX150*CC150</f>
        <v>0</v>
      </c>
      <c r="CG150" s="37" t="n">
        <f aca="false">BX150*CD150</f>
        <v>0</v>
      </c>
      <c r="CH150" s="37" t="n">
        <f aca="false">BX150*Q150</f>
        <v>0</v>
      </c>
      <c r="CJ150" s="73" t="n">
        <f aca="false">IF($A150&gt;=CK$32,IF($A150&lt;=CK$33,$BF150,0),0)</f>
        <v>0</v>
      </c>
      <c r="CK150" s="186" t="e">
        <f aca="false">CM150/CJ150</f>
        <v>#DIV/0!</v>
      </c>
      <c r="CL150" s="1" t="n">
        <f aca="false">CJ150*($B150+$F$15)</f>
        <v>0</v>
      </c>
      <c r="CM150" s="47" t="n">
        <f aca="false">IF(ISNUMBER(((CL150/CJ150)+$F$16+$X150+$F$14)*CJ150),((CL150/CJ150)+$F$16+$X150+$F$14)*CJ150,0)</f>
        <v>0</v>
      </c>
      <c r="CN150" s="76" t="n">
        <f aca="false">IF($CJ150=0,0,OSTRIP($CK150,$AC150,$BJ150-$B$2,$BG150-$BJ150,$BH150-$BJ150,$B$10,$BE150,$Z150,$AA150,$F$23,$AD150,$CO$34,0))</f>
        <v>0</v>
      </c>
      <c r="CO150" s="76" t="n">
        <f aca="false">IF($CJ150=0,0,OSTRIP($CK150,$AC150,$BJ150-$B$2,$BG150-$BJ150,$BH150-$BJ150,$B$10,$BE150,$Z150,$AA150,$F$23,$AD150,$CO$34,1))</f>
        <v>0</v>
      </c>
      <c r="CP150" s="76" t="n">
        <f aca="false">IF($CJ150=0,0,OSTRIP($CK150,$AC150,$BJ150-$B$2,$BG150-$BJ150,$BH150-$BJ150,$B$10,$BE150,$Z150,$AA150,$F$23,$AD150,$CO$34,$CO$35))</f>
        <v>0</v>
      </c>
      <c r="CQ150" s="37" t="n">
        <f aca="false">CJ150*CN150</f>
        <v>0</v>
      </c>
      <c r="CR150" s="37" t="n">
        <f aca="false">CJ150*CO150</f>
        <v>0</v>
      </c>
      <c r="CS150" s="37" t="n">
        <f aca="false">CJ150*CP150</f>
        <v>0</v>
      </c>
      <c r="CT150" s="37" t="n">
        <f aca="false">CJ150*AA150</f>
        <v>0</v>
      </c>
      <c r="CV150" s="73" t="n">
        <f aca="false">IF($A150&gt;=CW$32,IF($A150&lt;=CW$33,$BF150,0),0)</f>
        <v>0</v>
      </c>
      <c r="CW150" s="186" t="e">
        <f aca="false">CY150/CV150</f>
        <v>#DIV/0!</v>
      </c>
      <c r="CX150" s="1" t="n">
        <f aca="false">CV150*($B150+$H$15)</f>
        <v>0</v>
      </c>
      <c r="CY150" s="47" t="n">
        <f aca="false">IF(ISNUMBER(((CX150/CV150)+$H$16+$AH150+$H$14)*CV150),((CX150/CV150)+$H$16+$AH150+$H$14)*CV150,0)</f>
        <v>0</v>
      </c>
      <c r="CZ150" s="76" t="n">
        <f aca="false">IF($CV150=0,0,OSTRIP($CW150,$AM150,$BJ150-$B$2,$BG150-$BJ150,$BH150-$BJ150,$B$10,$BE150,$AJ150,$AK150,$H$23,$AN150,$DA$34,0))</f>
        <v>0</v>
      </c>
      <c r="DA150" s="76" t="n">
        <f aca="false">IF($CV150=0,0,OSTRIP($CW150,$AM150,$BJ150-$B$2,$BG150-$BJ150,$BH150-$BJ150,$B$10,$BE150,$AJ150,$AK150,$H$23,$AN150,$DA$34,1))</f>
        <v>0</v>
      </c>
      <c r="DB150" s="76" t="n">
        <f aca="false">IF($CV150=0,0,OSTRIP($CW150,$AM150,$BJ150-$B$2,$BG150-$BJ150,$BH150-$BJ150,$B$10,$BE150,$AJ150,$AK150,$H$23,$AN150,$DA$34,DA$35))</f>
        <v>0</v>
      </c>
      <c r="DC150" s="37" t="n">
        <f aca="false">CV150*CZ150</f>
        <v>0</v>
      </c>
      <c r="DD150" s="37" t="n">
        <f aca="false">CV150*DA150</f>
        <v>0</v>
      </c>
      <c r="DE150" s="37" t="n">
        <f aca="false">CV150*DB150</f>
        <v>0</v>
      </c>
      <c r="DF150" s="37" t="n">
        <f aca="false">CV150*AK150</f>
        <v>0</v>
      </c>
    </row>
    <row r="151" customFormat="false" ht="12.75" hidden="false" customHeight="false" outlineLevel="0" collapsed="false">
      <c r="A151" s="62" t="n">
        <f aca="false">DATE(YEAR(A150),MONTH(A150)+1,1)</f>
        <v>40695</v>
      </c>
      <c r="B151" s="63" t="n">
        <f aca="false">VLOOKUP(A151,STRADDLE,5,FALSE())</f>
        <v>3.7575</v>
      </c>
      <c r="C151" s="4" t="n">
        <f aca="false">VLOOKUP(A151,STRADDLE,8,FALSE())</f>
        <v>0.18</v>
      </c>
      <c r="D151" s="63" t="n">
        <f aca="false">IF(D$35="nymex",0,VLOOKUP($A151,curvesettle,HLOOKUP(D$35,curvesettle,2,FALSE())))</f>
        <v>0.335</v>
      </c>
      <c r="E151" s="65" t="n">
        <f aca="false">IF(ISNUMBER(VLOOKUP($A151,VOLCURVES,HLOOKUP(D$35,VOLCURVES,2,FALSE()),FALSE())),VLOOKUP($A151,VOLCURVES,HLOOKUP(D$35,VOLCURVES,2,FALSE()),FALSE()),1)</f>
        <v>0.98</v>
      </c>
      <c r="F151" s="4" t="n">
        <f aca="false">(($C151+H151)*$E151)+B$17</f>
        <v>0.2764</v>
      </c>
      <c r="G151" s="65" t="n">
        <f aca="false">VLOOKUP($A151,GASDVOLCURVES,HLOOKUP(D$36,GASDVOLCURVES,2,FALSE()),FALSE())+$B$18</f>
        <v>0.55</v>
      </c>
      <c r="H151" s="4" t="n">
        <f aca="false">IF($B$20=1,VLOOKUP($A151,skewtable,HLOOKUP(ROUND(I151-BM151,1),skewtable,2,FALSE()),FALSE())/100,0)</f>
        <v>0</v>
      </c>
      <c r="I151" s="66" t="e">
        <f aca="false">IF($B$10=1,($BM151*$B$23)-$B$14,$B$22)</f>
        <v>#DIV/0!</v>
      </c>
      <c r="J151" s="67" t="e">
        <f aca="false">I151-BM151+$B$24</f>
        <v>#DIV/0!</v>
      </c>
      <c r="K151" s="67"/>
      <c r="L151" s="183"/>
      <c r="M151" s="183"/>
      <c r="N151" s="63" t="n">
        <f aca="false">IF(N$35="nymex",0,VLOOKUP($A151,curvesettle,HLOOKUP(N$35,curvesettle,2,FALSE())))</f>
        <v>0.025</v>
      </c>
      <c r="O151" s="65" t="n">
        <f aca="false">IF(ISNUMBER(VLOOKUP($A151,VOLCURVES,HLOOKUP(N$35,VOLCURVES,2,FALSE()),FALSE())),VLOOKUP($A151,VOLCURVES,HLOOKUP(N$35,VOLCURVES,2,FALSE()),FALSE()),1)</f>
        <v>1</v>
      </c>
      <c r="P151" s="184" t="n">
        <f aca="false">(($C151+R151)*O151)+$D$17</f>
        <v>0.18</v>
      </c>
      <c r="Q151" s="65" t="n">
        <f aca="false">VLOOKUP($A151,GASDVOLCURVES,HLOOKUP(N$36,GASDVOLCURVES,2,FALSE()),FALSE())+$D$18</f>
        <v>0.55</v>
      </c>
      <c r="R151" s="4" t="n">
        <f aca="false">IF($D$20=1,VLOOKUP($A151,skewtable,HLOOKUP(ROUND(S151-BY151,1),skewtable,2,FALSE()),FALSE())/100,0)</f>
        <v>0</v>
      </c>
      <c r="S151" s="66" t="e">
        <f aca="false">IF(B$10=1,($BY151*$D$23)-$D$14,$D$22)</f>
        <v>#DIV/0!</v>
      </c>
      <c r="T151" s="67" t="e">
        <f aca="false">S151-$BY151+$D$24</f>
        <v>#DIV/0!</v>
      </c>
      <c r="U151" s="0"/>
      <c r="V151" s="0"/>
      <c r="W151" s="0"/>
      <c r="X151" s="63" t="n">
        <f aca="false">IF(X$35="nymex",0,VLOOKUP($A151,curvesettle,HLOOKUP(X$35,curvesettle,2,FALSE())))</f>
        <v>0.43</v>
      </c>
      <c r="Y151" s="65" t="n">
        <f aca="false">IF(ISNUMBER(VLOOKUP($A151,VOLCURVES,HLOOKUP(X$35,VOLCURVES,2,FALSE()),FALSE())),VLOOKUP($A151,VOLCURVES,HLOOKUP(X$35,VOLCURVES,2,FALSE()),FALSE()),1)</f>
        <v>1</v>
      </c>
      <c r="Z151" s="184" t="n">
        <f aca="false">(($C151+AB151)*Y151)+$F$17</f>
        <v>0.18</v>
      </c>
      <c r="AA151" s="65" t="n">
        <f aca="false">VLOOKUP($A151,GASDVOLCURVES,HLOOKUP(X$36,GASDVOLCURVES,2,FALSE()),FALSE())+$F$18</f>
        <v>0.6</v>
      </c>
      <c r="AB151" s="4" t="n">
        <f aca="false">IF($F$20=1,VLOOKUP($A151,skewtable,HLOOKUP(ROUND(AC151-CK151,1),skewtable,2,FALSE()),FALSE())/100,0)</f>
        <v>0</v>
      </c>
      <c r="AC151" s="66" t="e">
        <f aca="false">IF($B$10=1,($CK151*$F$23)-$F$14,$F$22)</f>
        <v>#DIV/0!</v>
      </c>
      <c r="AD151" s="67" t="e">
        <f aca="false">AC151-$CK151+$F$24</f>
        <v>#DIV/0!</v>
      </c>
      <c r="AE151" s="0"/>
      <c r="AF151" s="0"/>
      <c r="AG151" s="0"/>
      <c r="AH151" s="63" t="n">
        <f aca="false">IF(AH$35="nymex",0,VLOOKUP($A151,curvesettle,HLOOKUP(AH$35,curvesettle,2,FALSE())))</f>
        <v>0.37</v>
      </c>
      <c r="AI151" s="65" t="n">
        <f aca="false">IF(ISNUMBER(VLOOKUP($A151,VOLCURVES,HLOOKUP(AH$35,VOLCURVES,2,FALSE()),FALSE())),VLOOKUP($A151,VOLCURVES,HLOOKUP(AH$35,VOLCURVES,2,FALSE()),FALSE()),1)</f>
        <v>1</v>
      </c>
      <c r="AJ151" s="184" t="n">
        <f aca="false">(($C151+AL151)*AI151)+$H$17</f>
        <v>0.18</v>
      </c>
      <c r="AK151" s="65" t="n">
        <f aca="false">VLOOKUP($A151,GASDVOLCURVES,HLOOKUP(AH$36,GASDVOLCURVES,2,FALSE()),FALSE())+$H$18</f>
        <v>1</v>
      </c>
      <c r="AL151" s="4" t="n">
        <f aca="false">IF($H$20=1,VLOOKUP($A151,skewtable,HLOOKUP(ROUND(AM151-CW151,1),skewtable,2,FALSE()),FALSE())/100,0)</f>
        <v>0</v>
      </c>
      <c r="AM151" s="66" t="e">
        <f aca="false">IF($B$10=1,($CW151*$H$23)-$H$14,$H$22)</f>
        <v>#DIV/0!</v>
      </c>
      <c r="AN151" s="67" t="e">
        <f aca="false">AM151-CW151+$H$24</f>
        <v>#DIV/0!</v>
      </c>
      <c r="AO151" s="0"/>
      <c r="AP151" s="0"/>
      <c r="AQ151" s="183"/>
      <c r="AR151" s="183"/>
      <c r="AU151" s="0"/>
      <c r="AV151" s="0"/>
      <c r="AW151" s="0"/>
      <c r="AX151" s="0"/>
      <c r="AY151" s="0"/>
      <c r="AZ151" s="0"/>
      <c r="BA151" s="0"/>
      <c r="BC151" s="64"/>
      <c r="BD151" s="64"/>
      <c r="BE151" s="4" t="n">
        <f aca="false">VLOOKUP($A151,STRADDLE,14,FALSE())</f>
        <v>0.0585706444866236</v>
      </c>
      <c r="BF151" s="72" t="n">
        <f aca="false">A152-A151</f>
        <v>30</v>
      </c>
      <c r="BG151" s="179" t="n">
        <f aca="false">A151+BG$35</f>
        <v>40695</v>
      </c>
      <c r="BH151" s="179" t="n">
        <f aca="false">A152-1</f>
        <v>40724</v>
      </c>
      <c r="BJ151" s="179" t="n">
        <f aca="true">IF(BJ$35=0,TODAY(),IF(BJ$36="NYMEX",VLOOKUP($A151,expiration,2,FALSE())+1,BG151))</f>
        <v>40690</v>
      </c>
      <c r="BK151" s="73"/>
      <c r="BL151" s="73" t="n">
        <f aca="false">IF($A151&gt;=BM$32,IF($A151&lt;=BM$33,$BF151,0),0)</f>
        <v>0</v>
      </c>
      <c r="BM151" s="73" t="e">
        <f aca="false">BO151/BL151</f>
        <v>#DIV/0!</v>
      </c>
      <c r="BN151" s="1" t="n">
        <f aca="false">BL151*($B151+B$15)</f>
        <v>0</v>
      </c>
      <c r="BO151" s="47" t="n">
        <f aca="false">IF(ISNUMBER(((BN151/BL151)+B$16+$D151+$B$14)*BL151),((BN151/BL151)+B$16+$D151+$B$14)*BL151,0)</f>
        <v>0</v>
      </c>
      <c r="BP151" s="76" t="n">
        <f aca="false">IF($BL151=0,0,OSTRIP($BM151,$I151,$BJ151-$B$2,$BG151-$BJ151,$BH151-$BJ151,$B$10,$BE151,$F151,$G151,$B$23,$J151,$BQ$34,0))</f>
        <v>0</v>
      </c>
      <c r="BQ151" s="76" t="n">
        <f aca="false">IF($BL151=0,0,OSTRIP($BM151,$I151,$BJ151-$B$2,$BG151-$BJ151,$BH151-$BJ151,$B$10,$BE151,$F151,$G151,$B$23,$J151,$BQ$34,1))</f>
        <v>0</v>
      </c>
      <c r="BR151" s="76" t="n">
        <f aca="false">IF($BL151=0,0,OSTRIP($BM151,$I151,$BJ151-$B$2,$BG151-$BJ151,$BH151-$BJ151,$B$10,$BE151,$F151,$G151,$B$23,$J151,$BQ$34,BQ$35))</f>
        <v>0</v>
      </c>
      <c r="BS151" s="37" t="n">
        <f aca="false">BL151*BP151</f>
        <v>0</v>
      </c>
      <c r="BT151" s="37" t="n">
        <f aca="false">BL151*BQ151</f>
        <v>0</v>
      </c>
      <c r="BU151" s="37" t="n">
        <f aca="false">BL151*BR151</f>
        <v>0</v>
      </c>
      <c r="BV151" s="37" t="n">
        <f aca="false">BL151*G151</f>
        <v>0</v>
      </c>
      <c r="BX151" s="73" t="n">
        <f aca="false">IF($A151&gt;=BY$32,IF($A151&lt;=BY$33,$BF151,0),0)</f>
        <v>0</v>
      </c>
      <c r="BY151" s="186" t="e">
        <f aca="false">CA151/BX151</f>
        <v>#DIV/0!</v>
      </c>
      <c r="BZ151" s="1" t="n">
        <f aca="false">BX151*($B151+$D$15)</f>
        <v>0</v>
      </c>
      <c r="CA151" s="47" t="n">
        <f aca="false">IF(ISNUMBER(((BZ151/BX151)+$D$16+$N151+$D$14)*BX151),((BZ151/BX151)+$D$16+$N151+$D$14)*BX151,0)</f>
        <v>0</v>
      </c>
      <c r="CB151" s="76" t="n">
        <f aca="false">IF($BX151=0,0,OSTRIP($BY151,$S151,$BJ151-$B$2,$BG151-$BJ151,$BH151-$BJ151,$B$10,$BE151,$P151,$Q151,$D$23,$T151,$CC$34,0))</f>
        <v>0</v>
      </c>
      <c r="CC151" s="76" t="n">
        <f aca="false">IF($BX151=0,0,OSTRIP($BY151,$S151,$BJ151-$B$2,$BG151-$BJ151,$BH151-$BJ151,$B$10,$BE151,$P151,$Q151,$D$23,$T151,$CC$34,1))</f>
        <v>0</v>
      </c>
      <c r="CD151" s="76" t="n">
        <f aca="false">IF($BX151=0,0,OSTRIP($BY151,$S151,$BJ151-$B$2,$BG151-$BJ151,$BH151-$BJ151,$B$10,$BE151,$P151,$Q151,$D$23,$T151,$CC$34,CC$35))</f>
        <v>0</v>
      </c>
      <c r="CE151" s="37" t="n">
        <f aca="false">BX151*CB151</f>
        <v>0</v>
      </c>
      <c r="CF151" s="37" t="n">
        <f aca="false">BX151*CC151</f>
        <v>0</v>
      </c>
      <c r="CG151" s="37" t="n">
        <f aca="false">BX151*CD151</f>
        <v>0</v>
      </c>
      <c r="CH151" s="37" t="n">
        <f aca="false">BX151*Q151</f>
        <v>0</v>
      </c>
      <c r="CJ151" s="73" t="n">
        <f aca="false">IF($A151&gt;=CK$32,IF($A151&lt;=CK$33,$BF151,0),0)</f>
        <v>0</v>
      </c>
      <c r="CK151" s="186" t="e">
        <f aca="false">CM151/CJ151</f>
        <v>#DIV/0!</v>
      </c>
      <c r="CL151" s="1" t="n">
        <f aca="false">CJ151*($B151+$F$15)</f>
        <v>0</v>
      </c>
      <c r="CM151" s="47" t="n">
        <f aca="false">IF(ISNUMBER(((CL151/CJ151)+$F$16+$X151+$F$14)*CJ151),((CL151/CJ151)+$F$16+$X151+$F$14)*CJ151,0)</f>
        <v>0</v>
      </c>
      <c r="CN151" s="76" t="n">
        <f aca="false">IF($CJ151=0,0,OSTRIP($CK151,$AC151,$BJ151-$B$2,$BG151-$BJ151,$BH151-$BJ151,$B$10,$BE151,$Z151,$AA151,$F$23,$AD151,$CO$34,0))</f>
        <v>0</v>
      </c>
      <c r="CO151" s="76" t="n">
        <f aca="false">IF($CJ151=0,0,OSTRIP($CK151,$AC151,$BJ151-$B$2,$BG151-$BJ151,$BH151-$BJ151,$B$10,$BE151,$Z151,$AA151,$F$23,$AD151,$CO$34,1))</f>
        <v>0</v>
      </c>
      <c r="CP151" s="76" t="n">
        <f aca="false">IF($CJ151=0,0,OSTRIP($CK151,$AC151,$BJ151-$B$2,$BG151-$BJ151,$BH151-$BJ151,$B$10,$BE151,$Z151,$AA151,$F$23,$AD151,$CO$34,$CO$35))</f>
        <v>0</v>
      </c>
      <c r="CQ151" s="37" t="n">
        <f aca="false">CJ151*CN151</f>
        <v>0</v>
      </c>
      <c r="CR151" s="37" t="n">
        <f aca="false">CJ151*CO151</f>
        <v>0</v>
      </c>
      <c r="CS151" s="37" t="n">
        <f aca="false">CJ151*CP151</f>
        <v>0</v>
      </c>
      <c r="CT151" s="37" t="n">
        <f aca="false">CJ151*AA151</f>
        <v>0</v>
      </c>
      <c r="CV151" s="73" t="n">
        <f aca="false">IF($A151&gt;=CW$32,IF($A151&lt;=CW$33,$BF151,0),0)</f>
        <v>0</v>
      </c>
      <c r="CW151" s="186" t="e">
        <f aca="false">CY151/CV151</f>
        <v>#DIV/0!</v>
      </c>
      <c r="CX151" s="1" t="n">
        <f aca="false">CV151*($B151+$H$15)</f>
        <v>0</v>
      </c>
      <c r="CY151" s="47" t="n">
        <f aca="false">IF(ISNUMBER(((CX151/CV151)+$H$16+$AH151+$H$14)*CV151),((CX151/CV151)+$H$16+$AH151+$H$14)*CV151,0)</f>
        <v>0</v>
      </c>
      <c r="CZ151" s="76" t="n">
        <f aca="false">IF($CV151=0,0,OSTRIP($CW151,$AM151,$BJ151-$B$2,$BG151-$BJ151,$BH151-$BJ151,$B$10,$BE151,$AJ151,$AK151,$H$23,$AN151,$DA$34,0))</f>
        <v>0</v>
      </c>
      <c r="DA151" s="76" t="n">
        <f aca="false">IF($CV151=0,0,OSTRIP($CW151,$AM151,$BJ151-$B$2,$BG151-$BJ151,$BH151-$BJ151,$B$10,$BE151,$AJ151,$AK151,$H$23,$AN151,$DA$34,1))</f>
        <v>0</v>
      </c>
      <c r="DB151" s="76" t="n">
        <f aca="false">IF($CV151=0,0,OSTRIP($CW151,$AM151,$BJ151-$B$2,$BG151-$BJ151,$BH151-$BJ151,$B$10,$BE151,$AJ151,$AK151,$H$23,$AN151,$DA$34,DA$35))</f>
        <v>0</v>
      </c>
      <c r="DC151" s="37" t="n">
        <f aca="false">CV151*CZ151</f>
        <v>0</v>
      </c>
      <c r="DD151" s="37" t="n">
        <f aca="false">CV151*DA151</f>
        <v>0</v>
      </c>
      <c r="DE151" s="37" t="n">
        <f aca="false">CV151*DB151</f>
        <v>0</v>
      </c>
      <c r="DF151" s="37" t="n">
        <f aca="false">CV151*AK151</f>
        <v>0</v>
      </c>
    </row>
    <row r="152" customFormat="false" ht="12.75" hidden="false" customHeight="false" outlineLevel="0" collapsed="false">
      <c r="A152" s="62" t="n">
        <f aca="false">DATE(YEAR(A151),MONTH(A151)+1,1)</f>
        <v>40725</v>
      </c>
      <c r="B152" s="63" t="n">
        <f aca="false">VLOOKUP(A152,STRADDLE,5,FALSE())</f>
        <v>3.7975</v>
      </c>
      <c r="C152" s="4" t="n">
        <f aca="false">VLOOKUP(A152,STRADDLE,8,FALSE())</f>
        <v>0.18</v>
      </c>
      <c r="D152" s="63" t="n">
        <f aca="false">IF(D$35="nymex",0,VLOOKUP($A152,curvesettle,HLOOKUP(D$35,curvesettle,2,FALSE())))</f>
        <v>0.35</v>
      </c>
      <c r="E152" s="65" t="n">
        <f aca="false">IF(ISNUMBER(VLOOKUP($A152,VOLCURVES,HLOOKUP(D$35,VOLCURVES,2,FALSE()),FALSE())),VLOOKUP($A152,VOLCURVES,HLOOKUP(D$35,VOLCURVES,2,FALSE()),FALSE()),1)</f>
        <v>0.98</v>
      </c>
      <c r="F152" s="4" t="n">
        <f aca="false">(($C152+H152)*$E152)+B$17</f>
        <v>0.2764</v>
      </c>
      <c r="G152" s="65" t="n">
        <f aca="false">VLOOKUP($A152,GASDVOLCURVES,HLOOKUP(D$36,GASDVOLCURVES,2,FALSE()),FALSE())+$B$18</f>
        <v>0.6</v>
      </c>
      <c r="H152" s="4" t="n">
        <f aca="false">IF($B$20=1,VLOOKUP($A152,skewtable,HLOOKUP(ROUND(I152-BM152,1),skewtable,2,FALSE()),FALSE())/100,0)</f>
        <v>0</v>
      </c>
      <c r="I152" s="66" t="e">
        <f aca="false">IF($B$10=1,($BM152*$B$23)-$B$14,$B$22)</f>
        <v>#DIV/0!</v>
      </c>
      <c r="J152" s="67" t="e">
        <f aca="false">I152-BM152+$B$24</f>
        <v>#DIV/0!</v>
      </c>
      <c r="K152" s="67"/>
      <c r="L152" s="183"/>
      <c r="M152" s="183"/>
      <c r="N152" s="63" t="n">
        <f aca="false">IF(N$35="nymex",0,VLOOKUP($A152,curvesettle,HLOOKUP(N$35,curvesettle,2,FALSE())))</f>
        <v>0.0275</v>
      </c>
      <c r="O152" s="65" t="n">
        <f aca="false">IF(ISNUMBER(VLOOKUP($A152,VOLCURVES,HLOOKUP(N$35,VOLCURVES,2,FALSE()),FALSE())),VLOOKUP($A152,VOLCURVES,HLOOKUP(N$35,VOLCURVES,2,FALSE()),FALSE()),1)</f>
        <v>1</v>
      </c>
      <c r="P152" s="184" t="n">
        <f aca="false">(($C152+R152)*O152)+$D$17</f>
        <v>0.18</v>
      </c>
      <c r="Q152" s="65" t="n">
        <f aca="false">VLOOKUP($A152,GASDVOLCURVES,HLOOKUP(N$36,GASDVOLCURVES,2,FALSE()),FALSE())+$D$18</f>
        <v>0.6</v>
      </c>
      <c r="R152" s="4" t="n">
        <f aca="false">IF($D$20=1,VLOOKUP($A152,skewtable,HLOOKUP(ROUND(S152-BY152,1),skewtable,2,FALSE()),FALSE())/100,0)</f>
        <v>0</v>
      </c>
      <c r="S152" s="66" t="e">
        <f aca="false">IF(B$10=1,($BY152*$D$23)-$D$14,$D$22)</f>
        <v>#DIV/0!</v>
      </c>
      <c r="T152" s="67" t="e">
        <f aca="false">S152-$BY152+$D$24</f>
        <v>#DIV/0!</v>
      </c>
      <c r="U152" s="0"/>
      <c r="V152" s="0"/>
      <c r="W152" s="0"/>
      <c r="X152" s="63" t="n">
        <f aca="false">IF(X$35="nymex",0,VLOOKUP($A152,curvesettle,HLOOKUP(X$35,curvesettle,2,FALSE())))</f>
        <v>0.43</v>
      </c>
      <c r="Y152" s="65" t="n">
        <f aca="false">IF(ISNUMBER(VLOOKUP($A152,VOLCURVES,HLOOKUP(X$35,VOLCURVES,2,FALSE()),FALSE())),VLOOKUP($A152,VOLCURVES,HLOOKUP(X$35,VOLCURVES,2,FALSE()),FALSE()),1)</f>
        <v>1</v>
      </c>
      <c r="Z152" s="184" t="n">
        <f aca="false">(($C152+AB152)*Y152)+$F$17</f>
        <v>0.18</v>
      </c>
      <c r="AA152" s="65" t="n">
        <f aca="false">VLOOKUP($A152,GASDVOLCURVES,HLOOKUP(X$36,GASDVOLCURVES,2,FALSE()),FALSE())+$F$18</f>
        <v>0.6</v>
      </c>
      <c r="AB152" s="4" t="n">
        <f aca="false">IF($F$20=1,VLOOKUP($A152,skewtable,HLOOKUP(ROUND(AC152-CK152,1),skewtable,2,FALSE()),FALSE())/100,0)</f>
        <v>0</v>
      </c>
      <c r="AC152" s="66" t="e">
        <f aca="false">IF($B$10=1,($CK152*$F$23)-$F$14,$F$22)</f>
        <v>#DIV/0!</v>
      </c>
      <c r="AD152" s="67" t="e">
        <f aca="false">AC152-$CK152+$F$24</f>
        <v>#DIV/0!</v>
      </c>
      <c r="AE152" s="0"/>
      <c r="AF152" s="0"/>
      <c r="AG152" s="0"/>
      <c r="AH152" s="63" t="n">
        <f aca="false">IF(AH$35="nymex",0,VLOOKUP($A152,curvesettle,HLOOKUP(AH$35,curvesettle,2,FALSE())))</f>
        <v>0.41</v>
      </c>
      <c r="AI152" s="65" t="n">
        <f aca="false">IF(ISNUMBER(VLOOKUP($A152,VOLCURVES,HLOOKUP(AH$35,VOLCURVES,2,FALSE()),FALSE())),VLOOKUP($A152,VOLCURVES,HLOOKUP(AH$35,VOLCURVES,2,FALSE()),FALSE()),1)</f>
        <v>1</v>
      </c>
      <c r="AJ152" s="184" t="n">
        <f aca="false">(($C152+AL152)*AI152)+$H$17</f>
        <v>0.18</v>
      </c>
      <c r="AK152" s="65" t="n">
        <f aca="false">VLOOKUP($A152,GASDVOLCURVES,HLOOKUP(AH$36,GASDVOLCURVES,2,FALSE()),FALSE())+$H$18</f>
        <v>1</v>
      </c>
      <c r="AL152" s="4" t="n">
        <f aca="false">IF($H$20=1,VLOOKUP($A152,skewtable,HLOOKUP(ROUND(AM152-CW152,1),skewtable,2,FALSE()),FALSE())/100,0)</f>
        <v>0</v>
      </c>
      <c r="AM152" s="66" t="e">
        <f aca="false">IF($B$10=1,($CW152*$H$23)-$H$14,$H$22)</f>
        <v>#DIV/0!</v>
      </c>
      <c r="AN152" s="67" t="e">
        <f aca="false">AM152-CW152+$H$24</f>
        <v>#DIV/0!</v>
      </c>
      <c r="AO152" s="0"/>
      <c r="AP152" s="0"/>
      <c r="AQ152" s="183"/>
      <c r="AR152" s="183"/>
      <c r="AU152" s="0"/>
      <c r="AV152" s="0"/>
      <c r="AW152" s="0"/>
      <c r="AX152" s="0"/>
      <c r="AY152" s="0"/>
      <c r="AZ152" s="0"/>
      <c r="BA152" s="0"/>
      <c r="BC152" s="64"/>
      <c r="BD152" s="64"/>
      <c r="BE152" s="4" t="n">
        <f aca="false">VLOOKUP($A152,STRADDLE,14,FALSE())</f>
        <v>0.0586708043106468</v>
      </c>
      <c r="BF152" s="72" t="n">
        <f aca="false">A153-A152</f>
        <v>31</v>
      </c>
      <c r="BG152" s="179" t="n">
        <f aca="false">A152+BG$35</f>
        <v>40725</v>
      </c>
      <c r="BH152" s="179" t="n">
        <f aca="false">A153-1</f>
        <v>40755</v>
      </c>
      <c r="BJ152" s="179" t="n">
        <f aca="true">IF(BJ$35=0,TODAY(),IF(BJ$36="NYMEX",VLOOKUP($A152,expiration,2,FALSE())+1,BG152))</f>
        <v>40723</v>
      </c>
      <c r="BK152" s="73"/>
      <c r="BL152" s="73" t="n">
        <f aca="false">IF($A152&gt;=BM$32,IF($A152&lt;=BM$33,$BF152,0),0)</f>
        <v>0</v>
      </c>
      <c r="BM152" s="73" t="e">
        <f aca="false">BO152/BL152</f>
        <v>#DIV/0!</v>
      </c>
      <c r="BN152" s="1" t="n">
        <f aca="false">BL152*($B152+B$15)</f>
        <v>0</v>
      </c>
      <c r="BO152" s="47" t="n">
        <f aca="false">IF(ISNUMBER(((BN152/BL152)+B$16+$D152+$B$14)*BL152),((BN152/BL152)+B$16+$D152+$B$14)*BL152,0)</f>
        <v>0</v>
      </c>
      <c r="BP152" s="76" t="n">
        <f aca="false">IF($BL152=0,0,OSTRIP($BM152,$I152,$BJ152-$B$2,$BG152-$BJ152,$BH152-$BJ152,$B$10,$BE152,$F152,$G152,$B$23,$J152,$BQ$34,0))</f>
        <v>0</v>
      </c>
      <c r="BQ152" s="76" t="n">
        <f aca="false">IF($BL152=0,0,OSTRIP($BM152,$I152,$BJ152-$B$2,$BG152-$BJ152,$BH152-$BJ152,$B$10,$BE152,$F152,$G152,$B$23,$J152,$BQ$34,1))</f>
        <v>0</v>
      </c>
      <c r="BR152" s="76" t="n">
        <f aca="false">IF($BL152=0,0,OSTRIP($BM152,$I152,$BJ152-$B$2,$BG152-$BJ152,$BH152-$BJ152,$B$10,$BE152,$F152,$G152,$B$23,$J152,$BQ$34,BQ$35))</f>
        <v>0</v>
      </c>
      <c r="BS152" s="37" t="n">
        <f aca="false">BL152*BP152</f>
        <v>0</v>
      </c>
      <c r="BT152" s="37" t="n">
        <f aca="false">BL152*BQ152</f>
        <v>0</v>
      </c>
      <c r="BU152" s="37" t="n">
        <f aca="false">BL152*BR152</f>
        <v>0</v>
      </c>
      <c r="BV152" s="37" t="n">
        <f aca="false">BL152*G152</f>
        <v>0</v>
      </c>
      <c r="BX152" s="73" t="n">
        <f aca="false">IF($A152&gt;=BY$32,IF($A152&lt;=BY$33,$BF152,0),0)</f>
        <v>0</v>
      </c>
      <c r="BY152" s="186" t="e">
        <f aca="false">CA152/BX152</f>
        <v>#DIV/0!</v>
      </c>
      <c r="BZ152" s="1" t="n">
        <f aca="false">BX152*($B152+$D$15)</f>
        <v>0</v>
      </c>
      <c r="CA152" s="47" t="n">
        <f aca="false">IF(ISNUMBER(((BZ152/BX152)+$D$16+$N152+$D$14)*BX152),((BZ152/BX152)+$D$16+$N152+$D$14)*BX152,0)</f>
        <v>0</v>
      </c>
      <c r="CB152" s="76" t="n">
        <f aca="false">IF($BX152=0,0,OSTRIP($BY152,$S152,$BJ152-$B$2,$BG152-$BJ152,$BH152-$BJ152,$B$10,$BE152,$P152,$Q152,$D$23,$T152,$CC$34,0))</f>
        <v>0</v>
      </c>
      <c r="CC152" s="76" t="n">
        <f aca="false">IF($BX152=0,0,OSTRIP($BY152,$S152,$BJ152-$B$2,$BG152-$BJ152,$BH152-$BJ152,$B$10,$BE152,$P152,$Q152,$D$23,$T152,$CC$34,1))</f>
        <v>0</v>
      </c>
      <c r="CD152" s="76" t="n">
        <f aca="false">IF($BX152=0,0,OSTRIP($BY152,$S152,$BJ152-$B$2,$BG152-$BJ152,$BH152-$BJ152,$B$10,$BE152,$P152,$Q152,$D$23,$T152,$CC$34,CC$35))</f>
        <v>0</v>
      </c>
      <c r="CE152" s="37" t="n">
        <f aca="false">BX152*CB152</f>
        <v>0</v>
      </c>
      <c r="CF152" s="37" t="n">
        <f aca="false">BX152*CC152</f>
        <v>0</v>
      </c>
      <c r="CG152" s="37" t="n">
        <f aca="false">BX152*CD152</f>
        <v>0</v>
      </c>
      <c r="CH152" s="37" t="n">
        <f aca="false">BX152*Q152</f>
        <v>0</v>
      </c>
      <c r="CJ152" s="73" t="n">
        <f aca="false">IF($A152&gt;=CK$32,IF($A152&lt;=CK$33,$BF152,0),0)</f>
        <v>0</v>
      </c>
      <c r="CK152" s="186" t="e">
        <f aca="false">CM152/CJ152</f>
        <v>#DIV/0!</v>
      </c>
      <c r="CL152" s="1" t="n">
        <f aca="false">CJ152*($B152+$F$15)</f>
        <v>0</v>
      </c>
      <c r="CM152" s="47" t="n">
        <f aca="false">IF(ISNUMBER(((CL152/CJ152)+$F$16+$X152+$F$14)*CJ152),((CL152/CJ152)+$F$16+$X152+$F$14)*CJ152,0)</f>
        <v>0</v>
      </c>
      <c r="CN152" s="76" t="n">
        <f aca="false">IF($CJ152=0,0,OSTRIP($CK152,$AC152,$BJ152-$B$2,$BG152-$BJ152,$BH152-$BJ152,$B$10,$BE152,$Z152,$AA152,$F$23,$AD152,$CO$34,0))</f>
        <v>0</v>
      </c>
      <c r="CO152" s="76" t="n">
        <f aca="false">IF($CJ152=0,0,OSTRIP($CK152,$AC152,$BJ152-$B$2,$BG152-$BJ152,$BH152-$BJ152,$B$10,$BE152,$Z152,$AA152,$F$23,$AD152,$CO$34,1))</f>
        <v>0</v>
      </c>
      <c r="CP152" s="76" t="n">
        <f aca="false">IF($CJ152=0,0,OSTRIP($CK152,$AC152,$BJ152-$B$2,$BG152-$BJ152,$BH152-$BJ152,$B$10,$BE152,$Z152,$AA152,$F$23,$AD152,$CO$34,$CO$35))</f>
        <v>0</v>
      </c>
      <c r="CQ152" s="37" t="n">
        <f aca="false">CJ152*CN152</f>
        <v>0</v>
      </c>
      <c r="CR152" s="37" t="n">
        <f aca="false">CJ152*CO152</f>
        <v>0</v>
      </c>
      <c r="CS152" s="37" t="n">
        <f aca="false">CJ152*CP152</f>
        <v>0</v>
      </c>
      <c r="CT152" s="37" t="n">
        <f aca="false">CJ152*AA152</f>
        <v>0</v>
      </c>
      <c r="CV152" s="73" t="n">
        <f aca="false">IF($A152&gt;=CW$32,IF($A152&lt;=CW$33,$BF152,0),0)</f>
        <v>0</v>
      </c>
      <c r="CW152" s="186" t="e">
        <f aca="false">CY152/CV152</f>
        <v>#DIV/0!</v>
      </c>
      <c r="CX152" s="1" t="n">
        <f aca="false">CV152*($B152+$H$15)</f>
        <v>0</v>
      </c>
      <c r="CY152" s="47" t="n">
        <f aca="false">IF(ISNUMBER(((CX152/CV152)+$H$16+$AH152+$H$14)*CV152),((CX152/CV152)+$H$16+$AH152+$H$14)*CV152,0)</f>
        <v>0</v>
      </c>
      <c r="CZ152" s="76" t="n">
        <f aca="false">IF($CV152=0,0,OSTRIP($CW152,$AM152,$BJ152-$B$2,$BG152-$BJ152,$BH152-$BJ152,$B$10,$BE152,$AJ152,$AK152,$H$23,$AN152,$DA$34,0))</f>
        <v>0</v>
      </c>
      <c r="DA152" s="76" t="n">
        <f aca="false">IF($CV152=0,0,OSTRIP($CW152,$AM152,$BJ152-$B$2,$BG152-$BJ152,$BH152-$BJ152,$B$10,$BE152,$AJ152,$AK152,$H$23,$AN152,$DA$34,1))</f>
        <v>0</v>
      </c>
      <c r="DB152" s="76" t="n">
        <f aca="false">IF($CV152=0,0,OSTRIP($CW152,$AM152,$BJ152-$B$2,$BG152-$BJ152,$BH152-$BJ152,$B$10,$BE152,$AJ152,$AK152,$H$23,$AN152,$DA$34,DA$35))</f>
        <v>0</v>
      </c>
      <c r="DC152" s="37" t="n">
        <f aca="false">CV152*CZ152</f>
        <v>0</v>
      </c>
      <c r="DD152" s="37" t="n">
        <f aca="false">CV152*DA152</f>
        <v>0</v>
      </c>
      <c r="DE152" s="37" t="n">
        <f aca="false">CV152*DB152</f>
        <v>0</v>
      </c>
      <c r="DF152" s="37" t="n">
        <f aca="false">CV152*AK152</f>
        <v>0</v>
      </c>
    </row>
    <row r="153" customFormat="false" ht="12.75" hidden="false" customHeight="false" outlineLevel="0" collapsed="false">
      <c r="A153" s="62" t="n">
        <f aca="false">DATE(YEAR(A152),MONTH(A152)+1,1)</f>
        <v>40756</v>
      </c>
      <c r="B153" s="63" t="n">
        <f aca="false">VLOOKUP(A153,STRADDLE,5,FALSE())</f>
        <v>3.8375</v>
      </c>
      <c r="C153" s="4" t="n">
        <f aca="false">VLOOKUP(A153,STRADDLE,8,FALSE())</f>
        <v>0.18</v>
      </c>
      <c r="D153" s="63" t="n">
        <f aca="false">IF(D$35="nymex",0,VLOOKUP($A153,curvesettle,HLOOKUP(D$35,curvesettle,2,FALSE())))</f>
        <v>0.35</v>
      </c>
      <c r="E153" s="65" t="n">
        <f aca="false">IF(ISNUMBER(VLOOKUP($A153,VOLCURVES,HLOOKUP(D$35,VOLCURVES,2,FALSE()),FALSE())),VLOOKUP($A153,VOLCURVES,HLOOKUP(D$35,VOLCURVES,2,FALSE()),FALSE()),1)</f>
        <v>0.98</v>
      </c>
      <c r="F153" s="4" t="n">
        <f aca="false">(($C153+H153)*$E153)+B$17</f>
        <v>0.2764</v>
      </c>
      <c r="G153" s="65" t="n">
        <f aca="false">VLOOKUP($A153,GASDVOLCURVES,HLOOKUP(D$36,GASDVOLCURVES,2,FALSE()),FALSE())+$B$18</f>
        <v>0.65</v>
      </c>
      <c r="H153" s="4" t="n">
        <f aca="false">IF($B$20=1,VLOOKUP($A153,skewtable,HLOOKUP(ROUND(I153-BM153,1),skewtable,2,FALSE()),FALSE())/100,0)</f>
        <v>0</v>
      </c>
      <c r="I153" s="66" t="e">
        <f aca="false">IF($B$10=1,($BM153*$B$23)-$B$14,$B$22)</f>
        <v>#DIV/0!</v>
      </c>
      <c r="J153" s="67" t="e">
        <f aca="false">I153-BM153+$B$24</f>
        <v>#DIV/0!</v>
      </c>
      <c r="K153" s="67"/>
      <c r="L153" s="183"/>
      <c r="M153" s="183"/>
      <c r="N153" s="63" t="n">
        <f aca="false">IF(N$35="nymex",0,VLOOKUP($A153,curvesettle,HLOOKUP(N$35,curvesettle,2,FALSE())))</f>
        <v>0.03</v>
      </c>
      <c r="O153" s="65" t="n">
        <f aca="false">IF(ISNUMBER(VLOOKUP($A153,VOLCURVES,HLOOKUP(N$35,VOLCURVES,2,FALSE()),FALSE())),VLOOKUP($A153,VOLCURVES,HLOOKUP(N$35,VOLCURVES,2,FALSE()),FALSE()),1)</f>
        <v>1</v>
      </c>
      <c r="P153" s="184" t="n">
        <f aca="false">(($C153+R153)*O153)+$D$17</f>
        <v>0.18</v>
      </c>
      <c r="Q153" s="65" t="n">
        <f aca="false">VLOOKUP($A153,GASDVOLCURVES,HLOOKUP(N$36,GASDVOLCURVES,2,FALSE()),FALSE())+$D$18</f>
        <v>0.65</v>
      </c>
      <c r="R153" s="4" t="n">
        <f aca="false">IF($D$20=1,VLOOKUP($A153,skewtable,HLOOKUP(ROUND(S153-BY153,1),skewtable,2,FALSE()),FALSE())/100,0)</f>
        <v>0</v>
      </c>
      <c r="S153" s="66" t="e">
        <f aca="false">IF(B$10=1,($BY153*$D$23)-$D$14,$D$22)</f>
        <v>#DIV/0!</v>
      </c>
      <c r="T153" s="67" t="e">
        <f aca="false">S153-$BY153+$D$24</f>
        <v>#DIV/0!</v>
      </c>
      <c r="U153" s="0"/>
      <c r="V153" s="0"/>
      <c r="W153" s="0"/>
      <c r="X153" s="63" t="n">
        <f aca="false">IF(X$35="nymex",0,VLOOKUP($A153,curvesettle,HLOOKUP(X$35,curvesettle,2,FALSE())))</f>
        <v>0.43</v>
      </c>
      <c r="Y153" s="65" t="n">
        <f aca="false">IF(ISNUMBER(VLOOKUP($A153,VOLCURVES,HLOOKUP(X$35,VOLCURVES,2,FALSE()),FALSE())),VLOOKUP($A153,VOLCURVES,HLOOKUP(X$35,VOLCURVES,2,FALSE()),FALSE()),1)</f>
        <v>1</v>
      </c>
      <c r="Z153" s="184" t="n">
        <f aca="false">(($C153+AB153)*Y153)+$F$17</f>
        <v>0.18</v>
      </c>
      <c r="AA153" s="65" t="n">
        <f aca="false">VLOOKUP($A153,GASDVOLCURVES,HLOOKUP(X$36,GASDVOLCURVES,2,FALSE()),FALSE())+$F$18</f>
        <v>0.7</v>
      </c>
      <c r="AB153" s="4" t="n">
        <f aca="false">IF($F$20=1,VLOOKUP($A153,skewtable,HLOOKUP(ROUND(AC153-CK153,1),skewtable,2,FALSE()),FALSE())/100,0)</f>
        <v>0</v>
      </c>
      <c r="AC153" s="66" t="e">
        <f aca="false">IF($B$10=1,($CK153*$F$23)-$F$14,$F$22)</f>
        <v>#DIV/0!</v>
      </c>
      <c r="AD153" s="67" t="e">
        <f aca="false">AC153-$CK153+$F$24</f>
        <v>#DIV/0!</v>
      </c>
      <c r="AE153" s="0"/>
      <c r="AF153" s="0"/>
      <c r="AG153" s="0"/>
      <c r="AH153" s="63" t="n">
        <f aca="false">IF(AH$35="nymex",0,VLOOKUP($A153,curvesettle,HLOOKUP(AH$35,curvesettle,2,FALSE())))</f>
        <v>0.41</v>
      </c>
      <c r="AI153" s="65" t="n">
        <f aca="false">IF(ISNUMBER(VLOOKUP($A153,VOLCURVES,HLOOKUP(AH$35,VOLCURVES,2,FALSE()),FALSE())),VLOOKUP($A153,VOLCURVES,HLOOKUP(AH$35,VOLCURVES,2,FALSE()),FALSE()),1)</f>
        <v>1</v>
      </c>
      <c r="AJ153" s="184" t="n">
        <f aca="false">(($C153+AL153)*AI153)+$H$17</f>
        <v>0.18</v>
      </c>
      <c r="AK153" s="65" t="n">
        <f aca="false">VLOOKUP($A153,GASDVOLCURVES,HLOOKUP(AH$36,GASDVOLCURVES,2,FALSE()),FALSE())+$H$18</f>
        <v>1.1</v>
      </c>
      <c r="AL153" s="4" t="n">
        <f aca="false">IF($H$20=1,VLOOKUP($A153,skewtable,HLOOKUP(ROUND(AM153-CW153,1),skewtable,2,FALSE()),FALSE())/100,0)</f>
        <v>0</v>
      </c>
      <c r="AM153" s="66" t="e">
        <f aca="false">IF($B$10=1,($CW153*$H$23)-$H$14,$H$22)</f>
        <v>#DIV/0!</v>
      </c>
      <c r="AN153" s="67" t="e">
        <f aca="false">AM153-CW153+$H$24</f>
        <v>#DIV/0!</v>
      </c>
      <c r="AO153" s="0"/>
      <c r="AP153" s="0"/>
      <c r="AQ153" s="183"/>
      <c r="AR153" s="183"/>
      <c r="AU153" s="0"/>
      <c r="AV153" s="0"/>
      <c r="AW153" s="0"/>
      <c r="AX153" s="0"/>
      <c r="AY153" s="0"/>
      <c r="AZ153" s="0"/>
      <c r="BA153" s="0"/>
      <c r="BC153" s="64"/>
      <c r="BD153" s="64"/>
      <c r="BE153" s="4" t="n">
        <f aca="false">VLOOKUP($A153,STRADDLE,14,FALSE())</f>
        <v>0.0587743027989744</v>
      </c>
      <c r="BF153" s="72" t="n">
        <f aca="false">A154-A153</f>
        <v>31</v>
      </c>
      <c r="BG153" s="179" t="n">
        <f aca="false">A153+BG$35</f>
        <v>40756</v>
      </c>
      <c r="BH153" s="179" t="n">
        <f aca="false">A154-1</f>
        <v>40786</v>
      </c>
      <c r="BJ153" s="179" t="n">
        <f aca="true">IF(BJ$35=0,TODAY(),IF(BJ$36="NYMEX",VLOOKUP($A153,expiration,2,FALSE())+1,BG153))</f>
        <v>40752</v>
      </c>
      <c r="BK153" s="73"/>
      <c r="BL153" s="73" t="n">
        <f aca="false">IF($A153&gt;=BM$32,IF($A153&lt;=BM$33,$BF153,0),0)</f>
        <v>0</v>
      </c>
      <c r="BM153" s="73" t="e">
        <f aca="false">BO153/BL153</f>
        <v>#DIV/0!</v>
      </c>
      <c r="BN153" s="1" t="n">
        <f aca="false">BL153*($B153+B$15)</f>
        <v>0</v>
      </c>
      <c r="BO153" s="47" t="n">
        <f aca="false">IF(ISNUMBER(((BN153/BL153)+B$16+$D153+$B$14)*BL153),((BN153/BL153)+B$16+$D153+$B$14)*BL153,0)</f>
        <v>0</v>
      </c>
      <c r="BP153" s="76" t="n">
        <f aca="false">IF($BL153=0,0,OSTRIP($BM153,$I153,$BJ153-$B$2,$BG153-$BJ153,$BH153-$BJ153,$B$10,$BE153,$F153,$G153,$B$23,$J153,$BQ$34,0))</f>
        <v>0</v>
      </c>
      <c r="BQ153" s="76" t="n">
        <f aca="false">IF($BL153=0,0,OSTRIP($BM153,$I153,$BJ153-$B$2,$BG153-$BJ153,$BH153-$BJ153,$B$10,$BE153,$F153,$G153,$B$23,$J153,$BQ$34,1))</f>
        <v>0</v>
      </c>
      <c r="BR153" s="76" t="n">
        <f aca="false">IF($BL153=0,0,OSTRIP($BM153,$I153,$BJ153-$B$2,$BG153-$BJ153,$BH153-$BJ153,$B$10,$BE153,$F153,$G153,$B$23,$J153,$BQ$34,BQ$35))</f>
        <v>0</v>
      </c>
      <c r="BS153" s="37" t="n">
        <f aca="false">BL153*BP153</f>
        <v>0</v>
      </c>
      <c r="BT153" s="37" t="n">
        <f aca="false">BL153*BQ153</f>
        <v>0</v>
      </c>
      <c r="BU153" s="37" t="n">
        <f aca="false">BL153*BR153</f>
        <v>0</v>
      </c>
      <c r="BV153" s="37" t="n">
        <f aca="false">BL153*G153</f>
        <v>0</v>
      </c>
      <c r="BX153" s="73" t="n">
        <f aca="false">IF($A153&gt;=BY$32,IF($A153&lt;=BY$33,$BF153,0),0)</f>
        <v>0</v>
      </c>
      <c r="BY153" s="186" t="e">
        <f aca="false">CA153/BX153</f>
        <v>#DIV/0!</v>
      </c>
      <c r="BZ153" s="1" t="n">
        <f aca="false">BX153*($B153+$D$15)</f>
        <v>0</v>
      </c>
      <c r="CA153" s="47" t="n">
        <f aca="false">IF(ISNUMBER(((BZ153/BX153)+$D$16+$N153+$D$14)*BX153),((BZ153/BX153)+$D$16+$N153+$D$14)*BX153,0)</f>
        <v>0</v>
      </c>
      <c r="CB153" s="76" t="n">
        <f aca="false">IF($BX153=0,0,OSTRIP($BY153,$S153,$BJ153-$B$2,$BG153-$BJ153,$BH153-$BJ153,$B$10,$BE153,$P153,$Q153,$D$23,$T153,$CC$34,0))</f>
        <v>0</v>
      </c>
      <c r="CC153" s="76" t="n">
        <f aca="false">IF($BX153=0,0,OSTRIP($BY153,$S153,$BJ153-$B$2,$BG153-$BJ153,$BH153-$BJ153,$B$10,$BE153,$P153,$Q153,$D$23,$T153,$CC$34,1))</f>
        <v>0</v>
      </c>
      <c r="CD153" s="76" t="n">
        <f aca="false">IF($BX153=0,0,OSTRIP($BY153,$S153,$BJ153-$B$2,$BG153-$BJ153,$BH153-$BJ153,$B$10,$BE153,$P153,$Q153,$D$23,$T153,$CC$34,CC$35))</f>
        <v>0</v>
      </c>
      <c r="CE153" s="37" t="n">
        <f aca="false">BX153*CB153</f>
        <v>0</v>
      </c>
      <c r="CF153" s="37" t="n">
        <f aca="false">BX153*CC153</f>
        <v>0</v>
      </c>
      <c r="CG153" s="37" t="n">
        <f aca="false">BX153*CD153</f>
        <v>0</v>
      </c>
      <c r="CH153" s="37" t="n">
        <f aca="false">BX153*Q153</f>
        <v>0</v>
      </c>
      <c r="CJ153" s="73" t="n">
        <f aca="false">IF($A153&gt;=CK$32,IF($A153&lt;=CK$33,$BF153,0),0)</f>
        <v>0</v>
      </c>
      <c r="CK153" s="186" t="e">
        <f aca="false">CM153/CJ153</f>
        <v>#DIV/0!</v>
      </c>
      <c r="CL153" s="1" t="n">
        <f aca="false">CJ153*($B153+$F$15)</f>
        <v>0</v>
      </c>
      <c r="CM153" s="47" t="n">
        <f aca="false">IF(ISNUMBER(((CL153/CJ153)+$F$16+$X153+$F$14)*CJ153),((CL153/CJ153)+$F$16+$X153+$F$14)*CJ153,0)</f>
        <v>0</v>
      </c>
      <c r="CN153" s="76" t="n">
        <f aca="false">IF($CJ153=0,0,OSTRIP($CK153,$AC153,$BJ153-$B$2,$BG153-$BJ153,$BH153-$BJ153,$B$10,$BE153,$Z153,$AA153,$F$23,$AD153,$CO$34,0))</f>
        <v>0</v>
      </c>
      <c r="CO153" s="76" t="n">
        <f aca="false">IF($CJ153=0,0,OSTRIP($CK153,$AC153,$BJ153-$B$2,$BG153-$BJ153,$BH153-$BJ153,$B$10,$BE153,$Z153,$AA153,$F$23,$AD153,$CO$34,1))</f>
        <v>0</v>
      </c>
      <c r="CP153" s="76" t="n">
        <f aca="false">IF($CJ153=0,0,OSTRIP($CK153,$AC153,$BJ153-$B$2,$BG153-$BJ153,$BH153-$BJ153,$B$10,$BE153,$Z153,$AA153,$F$23,$AD153,$CO$34,$CO$35))</f>
        <v>0</v>
      </c>
      <c r="CQ153" s="37" t="n">
        <f aca="false">CJ153*CN153</f>
        <v>0</v>
      </c>
      <c r="CR153" s="37" t="n">
        <f aca="false">CJ153*CO153</f>
        <v>0</v>
      </c>
      <c r="CS153" s="37" t="n">
        <f aca="false">CJ153*CP153</f>
        <v>0</v>
      </c>
      <c r="CT153" s="37" t="n">
        <f aca="false">CJ153*AA153</f>
        <v>0</v>
      </c>
      <c r="CV153" s="73" t="n">
        <f aca="false">IF($A153&gt;=CW$32,IF($A153&lt;=CW$33,$BF153,0),0)</f>
        <v>0</v>
      </c>
      <c r="CW153" s="186" t="e">
        <f aca="false">CY153/CV153</f>
        <v>#DIV/0!</v>
      </c>
      <c r="CX153" s="1" t="n">
        <f aca="false">CV153*($B153+$H$15)</f>
        <v>0</v>
      </c>
      <c r="CY153" s="47" t="n">
        <f aca="false">IF(ISNUMBER(((CX153/CV153)+$H$16+$AH153+$H$14)*CV153),((CX153/CV153)+$H$16+$AH153+$H$14)*CV153,0)</f>
        <v>0</v>
      </c>
      <c r="CZ153" s="76" t="n">
        <f aca="false">IF($CV153=0,0,OSTRIP($CW153,$AM153,$BJ153-$B$2,$BG153-$BJ153,$BH153-$BJ153,$B$10,$BE153,$AJ153,$AK153,$H$23,$AN153,$DA$34,0))</f>
        <v>0</v>
      </c>
      <c r="DA153" s="76" t="n">
        <f aca="false">IF($CV153=0,0,OSTRIP($CW153,$AM153,$BJ153-$B$2,$BG153-$BJ153,$BH153-$BJ153,$B$10,$BE153,$AJ153,$AK153,$H$23,$AN153,$DA$34,1))</f>
        <v>0</v>
      </c>
      <c r="DB153" s="76" t="n">
        <f aca="false">IF($CV153=0,0,OSTRIP($CW153,$AM153,$BJ153-$B$2,$BG153-$BJ153,$BH153-$BJ153,$B$10,$BE153,$AJ153,$AK153,$H$23,$AN153,$DA$34,DA$35))</f>
        <v>0</v>
      </c>
      <c r="DC153" s="37" t="n">
        <f aca="false">CV153*CZ153</f>
        <v>0</v>
      </c>
      <c r="DD153" s="37" t="n">
        <f aca="false">CV153*DA153</f>
        <v>0</v>
      </c>
      <c r="DE153" s="37" t="n">
        <f aca="false">CV153*DB153</f>
        <v>0</v>
      </c>
      <c r="DF153" s="37" t="n">
        <f aca="false">CV153*AK153</f>
        <v>0</v>
      </c>
    </row>
    <row r="154" customFormat="false" ht="12.75" hidden="false" customHeight="false" outlineLevel="0" collapsed="false">
      <c r="A154" s="62" t="n">
        <f aca="false">DATE(YEAR(A153),MONTH(A153)+1,1)</f>
        <v>40787</v>
      </c>
      <c r="B154" s="63" t="n">
        <f aca="false">VLOOKUP(A154,STRADDLE,5,FALSE())</f>
        <v>3.8325</v>
      </c>
      <c r="C154" s="4" t="n">
        <f aca="false">VLOOKUP(A154,STRADDLE,8,FALSE())</f>
        <v>0.18</v>
      </c>
      <c r="D154" s="63" t="n">
        <f aca="false">IF(D$35="nymex",0,VLOOKUP($A154,curvesettle,HLOOKUP(D$35,curvesettle,2,FALSE())))</f>
        <v>0.315</v>
      </c>
      <c r="E154" s="65" t="n">
        <f aca="false">IF(ISNUMBER(VLOOKUP($A154,VOLCURVES,HLOOKUP(D$35,VOLCURVES,2,FALSE()),FALSE())),VLOOKUP($A154,VOLCURVES,HLOOKUP(D$35,VOLCURVES,2,FALSE()),FALSE()),1)</f>
        <v>0.98</v>
      </c>
      <c r="F154" s="4" t="n">
        <f aca="false">(($C154+H154)*$E154)+B$17</f>
        <v>0.2764</v>
      </c>
      <c r="G154" s="65" t="n">
        <f aca="false">VLOOKUP($A154,GASDVOLCURVES,HLOOKUP(D$36,GASDVOLCURVES,2,FALSE()),FALSE())+$B$18</f>
        <v>0.65</v>
      </c>
      <c r="H154" s="4" t="n">
        <f aca="false">IF($B$20=1,VLOOKUP($A154,skewtable,HLOOKUP(ROUND(I154-BM154,1),skewtable,2,FALSE()),FALSE())/100,0)</f>
        <v>0</v>
      </c>
      <c r="I154" s="66" t="e">
        <f aca="false">IF($B$10=1,($BM154*$B$23)-$B$14,$B$22)</f>
        <v>#DIV/0!</v>
      </c>
      <c r="J154" s="67" t="e">
        <f aca="false">I154-BM154+$B$24</f>
        <v>#DIV/0!</v>
      </c>
      <c r="K154" s="67"/>
      <c r="L154" s="183"/>
      <c r="M154" s="183"/>
      <c r="N154" s="63" t="n">
        <f aca="false">IF(N$35="nymex",0,VLOOKUP($A154,curvesettle,HLOOKUP(N$35,curvesettle,2,FALSE())))</f>
        <v>0.0225</v>
      </c>
      <c r="O154" s="65" t="n">
        <f aca="false">IF(ISNUMBER(VLOOKUP($A154,VOLCURVES,HLOOKUP(N$35,VOLCURVES,2,FALSE()),FALSE())),VLOOKUP($A154,VOLCURVES,HLOOKUP(N$35,VOLCURVES,2,FALSE()),FALSE()),1)</f>
        <v>1</v>
      </c>
      <c r="P154" s="184" t="n">
        <f aca="false">(($C154+R154)*O154)+$D$17</f>
        <v>0.18</v>
      </c>
      <c r="Q154" s="65" t="n">
        <f aca="false">VLOOKUP($A154,GASDVOLCURVES,HLOOKUP(N$36,GASDVOLCURVES,2,FALSE()),FALSE())+$D$18</f>
        <v>0.65</v>
      </c>
      <c r="R154" s="4" t="n">
        <f aca="false">IF($D$20=1,VLOOKUP($A154,skewtable,HLOOKUP(ROUND(S154-BY154,1),skewtable,2,FALSE()),FALSE())/100,0)</f>
        <v>0</v>
      </c>
      <c r="S154" s="66" t="e">
        <f aca="false">IF(B$10=1,($BY154*$D$23)-$D$14,$D$22)</f>
        <v>#DIV/0!</v>
      </c>
      <c r="T154" s="67" t="e">
        <f aca="false">S154-$BY154+$D$24</f>
        <v>#DIV/0!</v>
      </c>
      <c r="U154" s="0"/>
      <c r="V154" s="0"/>
      <c r="W154" s="0"/>
      <c r="X154" s="63" t="n">
        <f aca="false">IF(X$35="nymex",0,VLOOKUP($A154,curvesettle,HLOOKUP(X$35,curvesettle,2,FALSE())))</f>
        <v>0.43</v>
      </c>
      <c r="Y154" s="65" t="n">
        <f aca="false">IF(ISNUMBER(VLOOKUP($A154,VOLCURVES,HLOOKUP(X$35,VOLCURVES,2,FALSE()),FALSE())),VLOOKUP($A154,VOLCURVES,HLOOKUP(X$35,VOLCURVES,2,FALSE()),FALSE()),1)</f>
        <v>1</v>
      </c>
      <c r="Z154" s="184" t="n">
        <f aca="false">(($C154+AB154)*Y154)+$F$17</f>
        <v>0.18</v>
      </c>
      <c r="AA154" s="65" t="n">
        <f aca="false">VLOOKUP($A154,GASDVOLCURVES,HLOOKUP(X$36,GASDVOLCURVES,2,FALSE()),FALSE())+$F$18</f>
        <v>0.65</v>
      </c>
      <c r="AB154" s="4" t="n">
        <f aca="false">IF($F$20=1,VLOOKUP($A154,skewtable,HLOOKUP(ROUND(AC154-CK154,1),skewtable,2,FALSE()),FALSE())/100,0)</f>
        <v>0</v>
      </c>
      <c r="AC154" s="66" t="e">
        <f aca="false">IF($B$10=1,($CK154*$F$23)-$F$14,$F$22)</f>
        <v>#DIV/0!</v>
      </c>
      <c r="AD154" s="67" t="e">
        <f aca="false">AC154-$CK154+$F$24</f>
        <v>#DIV/0!</v>
      </c>
      <c r="AE154" s="0"/>
      <c r="AF154" s="0"/>
      <c r="AG154" s="0"/>
      <c r="AH154" s="63" t="n">
        <f aca="false">IF(AH$35="nymex",0,VLOOKUP($A154,curvesettle,HLOOKUP(AH$35,curvesettle,2,FALSE())))</f>
        <v>0.36</v>
      </c>
      <c r="AI154" s="65" t="n">
        <f aca="false">IF(ISNUMBER(VLOOKUP($A154,VOLCURVES,HLOOKUP(AH$35,VOLCURVES,2,FALSE()),FALSE())),VLOOKUP($A154,VOLCURVES,HLOOKUP(AH$35,VOLCURVES,2,FALSE()),FALSE()),1)</f>
        <v>1</v>
      </c>
      <c r="AJ154" s="184" t="n">
        <f aca="false">(($C154+AL154)*AI154)+$H$17</f>
        <v>0.18</v>
      </c>
      <c r="AK154" s="65" t="n">
        <f aca="false">VLOOKUP($A154,GASDVOLCURVES,HLOOKUP(AH$36,GASDVOLCURVES,2,FALSE()),FALSE())+$H$18</f>
        <v>1.1</v>
      </c>
      <c r="AL154" s="4" t="n">
        <f aca="false">IF($H$20=1,VLOOKUP($A154,skewtable,HLOOKUP(ROUND(AM154-CW154,1),skewtable,2,FALSE()),FALSE())/100,0)</f>
        <v>0</v>
      </c>
      <c r="AM154" s="66" t="e">
        <f aca="false">IF($B$10=1,($CW154*$H$23)-$H$14,$H$22)</f>
        <v>#DIV/0!</v>
      </c>
      <c r="AN154" s="67" t="e">
        <f aca="false">AM154-CW154+$H$24</f>
        <v>#DIV/0!</v>
      </c>
      <c r="AO154" s="0"/>
      <c r="AP154" s="0"/>
      <c r="AQ154" s="183"/>
      <c r="AR154" s="183"/>
      <c r="AU154" s="0"/>
      <c r="AV154" s="0"/>
      <c r="AW154" s="0"/>
      <c r="AX154" s="0"/>
      <c r="AY154" s="0"/>
      <c r="AZ154" s="0"/>
      <c r="BA154" s="0"/>
      <c r="BC154" s="64"/>
      <c r="BD154" s="64"/>
      <c r="BE154" s="4" t="n">
        <f aca="false">VLOOKUP($A154,STRADDLE,14,FALSE())</f>
        <v>0.0588778012908637</v>
      </c>
      <c r="BF154" s="72" t="n">
        <f aca="false">A155-A154</f>
        <v>30</v>
      </c>
      <c r="BG154" s="179" t="n">
        <f aca="false">A154+BG$35</f>
        <v>40787</v>
      </c>
      <c r="BH154" s="179" t="n">
        <f aca="false">A155-1</f>
        <v>40816</v>
      </c>
      <c r="BJ154" s="179" t="n">
        <f aca="true">IF(BJ$35=0,TODAY(),IF(BJ$36="NYMEX",VLOOKUP($A154,expiration,2,FALSE())+1,BG154))</f>
        <v>40785</v>
      </c>
      <c r="BK154" s="73"/>
      <c r="BL154" s="73" t="n">
        <f aca="false">IF($A154&gt;=BM$32,IF($A154&lt;=BM$33,$BF154,0),0)</f>
        <v>0</v>
      </c>
      <c r="BM154" s="73" t="e">
        <f aca="false">BO154/BL154</f>
        <v>#DIV/0!</v>
      </c>
      <c r="BN154" s="1" t="n">
        <f aca="false">BL154*($B154+B$15)</f>
        <v>0</v>
      </c>
      <c r="BO154" s="47" t="n">
        <f aca="false">IF(ISNUMBER(((BN154/BL154)+B$16+$D154+$B$14)*BL154),((BN154/BL154)+B$16+$D154+$B$14)*BL154,0)</f>
        <v>0</v>
      </c>
      <c r="BP154" s="76" t="n">
        <f aca="false">IF($BL154=0,0,OSTRIP($BM154,$I154,$BJ154-$B$2,$BG154-$BJ154,$BH154-$BJ154,$B$10,$BE154,$F154,$G154,$B$23,$J154,$BQ$34,0))</f>
        <v>0</v>
      </c>
      <c r="BQ154" s="76" t="n">
        <f aca="false">IF($BL154=0,0,OSTRIP($BM154,$I154,$BJ154-$B$2,$BG154-$BJ154,$BH154-$BJ154,$B$10,$BE154,$F154,$G154,$B$23,$J154,$BQ$34,1))</f>
        <v>0</v>
      </c>
      <c r="BR154" s="76" t="n">
        <f aca="false">IF($BL154=0,0,OSTRIP($BM154,$I154,$BJ154-$B$2,$BG154-$BJ154,$BH154-$BJ154,$B$10,$BE154,$F154,$G154,$B$23,$J154,$BQ$34,BQ$35))</f>
        <v>0</v>
      </c>
      <c r="BS154" s="37" t="n">
        <f aca="false">BL154*BP154</f>
        <v>0</v>
      </c>
      <c r="BT154" s="37" t="n">
        <f aca="false">BL154*BQ154</f>
        <v>0</v>
      </c>
      <c r="BU154" s="37" t="n">
        <f aca="false">BL154*BR154</f>
        <v>0</v>
      </c>
      <c r="BV154" s="37" t="n">
        <f aca="false">BL154*G154</f>
        <v>0</v>
      </c>
      <c r="BX154" s="73" t="n">
        <f aca="false">IF($A154&gt;=BY$32,IF($A154&lt;=BY$33,$BF154,0),0)</f>
        <v>0</v>
      </c>
      <c r="BY154" s="186" t="e">
        <f aca="false">CA154/BX154</f>
        <v>#DIV/0!</v>
      </c>
      <c r="BZ154" s="1" t="n">
        <f aca="false">BX154*($B154+$D$15)</f>
        <v>0</v>
      </c>
      <c r="CA154" s="47" t="n">
        <f aca="false">IF(ISNUMBER(((BZ154/BX154)+$D$16+$N154+$D$14)*BX154),((BZ154/BX154)+$D$16+$N154+$D$14)*BX154,0)</f>
        <v>0</v>
      </c>
      <c r="CB154" s="76" t="n">
        <f aca="false">IF($BX154=0,0,OSTRIP($BY154,$S154,$BJ154-$B$2,$BG154-$BJ154,$BH154-$BJ154,$B$10,$BE154,$P154,$Q154,$D$23,$T154,$CC$34,0))</f>
        <v>0</v>
      </c>
      <c r="CC154" s="76" t="n">
        <f aca="false">IF($BX154=0,0,OSTRIP($BY154,$S154,$BJ154-$B$2,$BG154-$BJ154,$BH154-$BJ154,$B$10,$BE154,$P154,$Q154,$D$23,$T154,$CC$34,1))</f>
        <v>0</v>
      </c>
      <c r="CD154" s="76" t="n">
        <f aca="false">IF($BX154=0,0,OSTRIP($BY154,$S154,$BJ154-$B$2,$BG154-$BJ154,$BH154-$BJ154,$B$10,$BE154,$P154,$Q154,$D$23,$T154,$CC$34,CC$35))</f>
        <v>0</v>
      </c>
      <c r="CE154" s="37" t="n">
        <f aca="false">BX154*CB154</f>
        <v>0</v>
      </c>
      <c r="CF154" s="37" t="n">
        <f aca="false">BX154*CC154</f>
        <v>0</v>
      </c>
      <c r="CG154" s="37" t="n">
        <f aca="false">BX154*CD154</f>
        <v>0</v>
      </c>
      <c r="CH154" s="37" t="n">
        <f aca="false">BX154*Q154</f>
        <v>0</v>
      </c>
      <c r="CJ154" s="73" t="n">
        <f aca="false">IF($A154&gt;=CK$32,IF($A154&lt;=CK$33,$BF154,0),0)</f>
        <v>0</v>
      </c>
      <c r="CK154" s="186" t="e">
        <f aca="false">CM154/CJ154</f>
        <v>#DIV/0!</v>
      </c>
      <c r="CL154" s="1" t="n">
        <f aca="false">CJ154*($B154+$F$15)</f>
        <v>0</v>
      </c>
      <c r="CM154" s="47" t="n">
        <f aca="false">IF(ISNUMBER(((CL154/CJ154)+$F$16+$X154+$F$14)*CJ154),((CL154/CJ154)+$F$16+$X154+$F$14)*CJ154,0)</f>
        <v>0</v>
      </c>
      <c r="CN154" s="76" t="n">
        <f aca="false">IF($CJ154=0,0,OSTRIP($CK154,$AC154,$BJ154-$B$2,$BG154-$BJ154,$BH154-$BJ154,$B$10,$BE154,$Z154,$AA154,$F$23,$AD154,$CO$34,0))</f>
        <v>0</v>
      </c>
      <c r="CO154" s="76" t="n">
        <f aca="false">IF($CJ154=0,0,OSTRIP($CK154,$AC154,$BJ154-$B$2,$BG154-$BJ154,$BH154-$BJ154,$B$10,$BE154,$Z154,$AA154,$F$23,$AD154,$CO$34,1))</f>
        <v>0</v>
      </c>
      <c r="CP154" s="76" t="n">
        <f aca="false">IF($CJ154=0,0,OSTRIP($CK154,$AC154,$BJ154-$B$2,$BG154-$BJ154,$BH154-$BJ154,$B$10,$BE154,$Z154,$AA154,$F$23,$AD154,$CO$34,$CO$35))</f>
        <v>0</v>
      </c>
      <c r="CQ154" s="37" t="n">
        <f aca="false">CJ154*CN154</f>
        <v>0</v>
      </c>
      <c r="CR154" s="37" t="n">
        <f aca="false">CJ154*CO154</f>
        <v>0</v>
      </c>
      <c r="CS154" s="37" t="n">
        <f aca="false">CJ154*CP154</f>
        <v>0</v>
      </c>
      <c r="CT154" s="37" t="n">
        <f aca="false">CJ154*AA154</f>
        <v>0</v>
      </c>
      <c r="CV154" s="73" t="n">
        <f aca="false">IF($A154&gt;=CW$32,IF($A154&lt;=CW$33,$BF154,0),0)</f>
        <v>0</v>
      </c>
      <c r="CW154" s="186" t="e">
        <f aca="false">CY154/CV154</f>
        <v>#DIV/0!</v>
      </c>
      <c r="CX154" s="1" t="n">
        <f aca="false">CV154*($B154+$H$15)</f>
        <v>0</v>
      </c>
      <c r="CY154" s="47" t="n">
        <f aca="false">IF(ISNUMBER(((CX154/CV154)+$H$16+$AH154+$H$14)*CV154),((CX154/CV154)+$H$16+$AH154+$H$14)*CV154,0)</f>
        <v>0</v>
      </c>
      <c r="CZ154" s="76" t="n">
        <f aca="false">IF($CV154=0,0,OSTRIP($CW154,$AM154,$BJ154-$B$2,$BG154-$BJ154,$BH154-$BJ154,$B$10,$BE154,$AJ154,$AK154,$H$23,$AN154,$DA$34,0))</f>
        <v>0</v>
      </c>
      <c r="DA154" s="76" t="n">
        <f aca="false">IF($CV154=0,0,OSTRIP($CW154,$AM154,$BJ154-$B$2,$BG154-$BJ154,$BH154-$BJ154,$B$10,$BE154,$AJ154,$AK154,$H$23,$AN154,$DA$34,1))</f>
        <v>0</v>
      </c>
      <c r="DB154" s="76" t="n">
        <f aca="false">IF($CV154=0,0,OSTRIP($CW154,$AM154,$BJ154-$B$2,$BG154-$BJ154,$BH154-$BJ154,$B$10,$BE154,$AJ154,$AK154,$H$23,$AN154,$DA$34,DA$35))</f>
        <v>0</v>
      </c>
      <c r="DC154" s="37" t="n">
        <f aca="false">CV154*CZ154</f>
        <v>0</v>
      </c>
      <c r="DD154" s="37" t="n">
        <f aca="false">CV154*DA154</f>
        <v>0</v>
      </c>
      <c r="DE154" s="37" t="n">
        <f aca="false">CV154*DB154</f>
        <v>0</v>
      </c>
      <c r="DF154" s="37" t="n">
        <f aca="false">CV154*AK154</f>
        <v>0</v>
      </c>
    </row>
    <row r="155" customFormat="false" ht="12.75" hidden="false" customHeight="false" outlineLevel="0" collapsed="false">
      <c r="A155" s="62" t="n">
        <f aca="false">DATE(YEAR(A154),MONTH(A154)+1,1)</f>
        <v>40817</v>
      </c>
      <c r="B155" s="63" t="n">
        <f aca="false">VLOOKUP(A155,STRADDLE,5,FALSE())</f>
        <v>3.8575</v>
      </c>
      <c r="C155" s="4" t="n">
        <f aca="false">VLOOKUP(A155,STRADDLE,8,FALSE())</f>
        <v>0.18</v>
      </c>
      <c r="D155" s="63" t="n">
        <f aca="false">IF(D$35="nymex",0,VLOOKUP($A155,curvesettle,HLOOKUP(D$35,curvesettle,2,FALSE())))</f>
        <v>0.36</v>
      </c>
      <c r="E155" s="65" t="n">
        <f aca="false">IF(ISNUMBER(VLOOKUP($A155,VOLCURVES,HLOOKUP(D$35,VOLCURVES,2,FALSE()),FALSE())),VLOOKUP($A155,VOLCURVES,HLOOKUP(D$35,VOLCURVES,2,FALSE()),FALSE()),1)</f>
        <v>0.98</v>
      </c>
      <c r="F155" s="4" t="n">
        <f aca="false">(($C155+H155)*$E155)+B$17</f>
        <v>0.2764</v>
      </c>
      <c r="G155" s="65" t="n">
        <f aca="false">VLOOKUP($A155,GASDVOLCURVES,HLOOKUP(D$36,GASDVOLCURVES,2,FALSE()),FALSE())+$B$18</f>
        <v>0.7</v>
      </c>
      <c r="H155" s="4" t="n">
        <f aca="false">IF($B$20=1,VLOOKUP($A155,skewtable,HLOOKUP(ROUND(I155-BM155,1),skewtable,2,FALSE()),FALSE())/100,0)</f>
        <v>0</v>
      </c>
      <c r="I155" s="66" t="e">
        <f aca="false">IF($B$10=1,($BM155*$B$23)-$B$14,$B$22)</f>
        <v>#DIV/0!</v>
      </c>
      <c r="J155" s="67" t="e">
        <f aca="false">I155-BM155+$B$24</f>
        <v>#DIV/0!</v>
      </c>
      <c r="K155" s="67"/>
      <c r="L155" s="183"/>
      <c r="M155" s="183"/>
      <c r="N155" s="63" t="n">
        <f aca="false">IF(N$35="nymex",0,VLOOKUP($A155,curvesettle,HLOOKUP(N$35,curvesettle,2,FALSE())))</f>
        <v>0.0125</v>
      </c>
      <c r="O155" s="65" t="n">
        <f aca="false">IF(ISNUMBER(VLOOKUP($A155,VOLCURVES,HLOOKUP(N$35,VOLCURVES,2,FALSE()),FALSE())),VLOOKUP($A155,VOLCURVES,HLOOKUP(N$35,VOLCURVES,2,FALSE()),FALSE()),1)</f>
        <v>1</v>
      </c>
      <c r="P155" s="184" t="n">
        <f aca="false">(($C155+R155)*O155)+$D$17</f>
        <v>0.18</v>
      </c>
      <c r="Q155" s="65" t="n">
        <f aca="false">VLOOKUP($A155,GASDVOLCURVES,HLOOKUP(N$36,GASDVOLCURVES,2,FALSE()),FALSE())+$D$18</f>
        <v>0.7</v>
      </c>
      <c r="R155" s="4" t="n">
        <f aca="false">IF($D$20=1,VLOOKUP($A155,skewtable,HLOOKUP(ROUND(S155-BY155,1),skewtable,2,FALSE()),FALSE())/100,0)</f>
        <v>0</v>
      </c>
      <c r="S155" s="66" t="e">
        <f aca="false">IF(B$10=1,($BY155*$D$23)-$D$14,$D$22)</f>
        <v>#DIV/0!</v>
      </c>
      <c r="T155" s="67" t="e">
        <f aca="false">S155-$BY155+$D$24</f>
        <v>#DIV/0!</v>
      </c>
      <c r="U155" s="0"/>
      <c r="V155" s="0"/>
      <c r="W155" s="0"/>
      <c r="X155" s="63" t="n">
        <f aca="false">IF(X$35="nymex",0,VLOOKUP($A155,curvesettle,HLOOKUP(X$35,curvesettle,2,FALSE())))</f>
        <v>0.43</v>
      </c>
      <c r="Y155" s="65" t="n">
        <f aca="false">IF(ISNUMBER(VLOOKUP($A155,VOLCURVES,HLOOKUP(X$35,VOLCURVES,2,FALSE()),FALSE())),VLOOKUP($A155,VOLCURVES,HLOOKUP(X$35,VOLCURVES,2,FALSE()),FALSE()),1)</f>
        <v>1</v>
      </c>
      <c r="Z155" s="184" t="n">
        <f aca="false">(($C155+AB155)*Y155)+$F$17</f>
        <v>0.18</v>
      </c>
      <c r="AA155" s="65" t="n">
        <f aca="false">VLOOKUP($A155,GASDVOLCURVES,HLOOKUP(X$36,GASDVOLCURVES,2,FALSE()),FALSE())+$F$18</f>
        <v>0.7</v>
      </c>
      <c r="AB155" s="4" t="n">
        <f aca="false">IF($F$20=1,VLOOKUP($A155,skewtable,HLOOKUP(ROUND(AC155-CK155,1),skewtable,2,FALSE()),FALSE())/100,0)</f>
        <v>0</v>
      </c>
      <c r="AC155" s="66" t="e">
        <f aca="false">IF($B$10=1,($CK155*$F$23)-$F$14,$F$22)</f>
        <v>#DIV/0!</v>
      </c>
      <c r="AD155" s="67" t="e">
        <f aca="false">AC155-$CK155+$F$24</f>
        <v>#DIV/0!</v>
      </c>
      <c r="AE155" s="0"/>
      <c r="AF155" s="0"/>
      <c r="AG155" s="0"/>
      <c r="AH155" s="63" t="n">
        <f aca="false">IF(AH$35="nymex",0,VLOOKUP($A155,curvesettle,HLOOKUP(AH$35,curvesettle,2,FALSE())))</f>
        <v>0.4</v>
      </c>
      <c r="AI155" s="65" t="n">
        <f aca="false">IF(ISNUMBER(VLOOKUP($A155,VOLCURVES,HLOOKUP(AH$35,VOLCURVES,2,FALSE()),FALSE())),VLOOKUP($A155,VOLCURVES,HLOOKUP(AH$35,VOLCURVES,2,FALSE()),FALSE()),1)</f>
        <v>1</v>
      </c>
      <c r="AJ155" s="184" t="n">
        <f aca="false">(($C155+AL155)*AI155)+$H$17</f>
        <v>0.18</v>
      </c>
      <c r="AK155" s="65" t="n">
        <f aca="false">VLOOKUP($A155,GASDVOLCURVES,HLOOKUP(AH$36,GASDVOLCURVES,2,FALSE()),FALSE())+$H$18</f>
        <v>1.15</v>
      </c>
      <c r="AL155" s="4" t="n">
        <f aca="false">IF($H$20=1,VLOOKUP($A155,skewtable,HLOOKUP(ROUND(AM155-CW155,1),skewtable,2,FALSE()),FALSE())/100,0)</f>
        <v>0</v>
      </c>
      <c r="AM155" s="66" t="e">
        <f aca="false">IF($B$10=1,($CW155*$H$23)-$H$14,$H$22)</f>
        <v>#DIV/0!</v>
      </c>
      <c r="AN155" s="67" t="e">
        <f aca="false">AM155-CW155+$H$24</f>
        <v>#DIV/0!</v>
      </c>
      <c r="AO155" s="0"/>
      <c r="AP155" s="0"/>
      <c r="AQ155" s="183"/>
      <c r="AR155" s="183"/>
      <c r="AU155" s="0"/>
      <c r="AV155" s="0"/>
      <c r="AW155" s="0"/>
      <c r="AX155" s="0"/>
      <c r="AY155" s="0"/>
      <c r="AZ155" s="0"/>
      <c r="BA155" s="0"/>
      <c r="BC155" s="64"/>
      <c r="BD155" s="64"/>
      <c r="BE155" s="4" t="n">
        <f aca="false">VLOOKUP($A155,STRADDLE,14,FALSE())</f>
        <v>0.0589779611251142</v>
      </c>
      <c r="BF155" s="72" t="n">
        <f aca="false">A156-A155</f>
        <v>31</v>
      </c>
      <c r="BG155" s="179" t="n">
        <f aca="false">A155+BG$35</f>
        <v>40817</v>
      </c>
      <c r="BH155" s="179" t="n">
        <f aca="false">A156-1</f>
        <v>40847</v>
      </c>
      <c r="BJ155" s="179" t="n">
        <f aca="true">IF(BJ$35=0,TODAY(),IF(BJ$36="NYMEX",VLOOKUP($A155,expiration,2,FALSE())+1,BG155))</f>
        <v>40815</v>
      </c>
      <c r="BK155" s="73"/>
      <c r="BL155" s="73" t="n">
        <f aca="false">IF($A155&gt;=BM$32,IF($A155&lt;=BM$33,$BF155,0),0)</f>
        <v>0</v>
      </c>
      <c r="BM155" s="73" t="e">
        <f aca="false">BO155/BL155</f>
        <v>#DIV/0!</v>
      </c>
      <c r="BN155" s="1" t="n">
        <f aca="false">BL155*($B155+B$15)</f>
        <v>0</v>
      </c>
      <c r="BO155" s="47" t="n">
        <f aca="false">IF(ISNUMBER(((BN155/BL155)+B$16+$D155+$B$14)*BL155),((BN155/BL155)+B$16+$D155+$B$14)*BL155,0)</f>
        <v>0</v>
      </c>
      <c r="BP155" s="76" t="n">
        <f aca="false">IF($BL155=0,0,OSTRIP($BM155,$I155,$BJ155-$B$2,$BG155-$BJ155,$BH155-$BJ155,$B$10,$BE155,$F155,$G155,$B$23,$J155,$BQ$34,0))</f>
        <v>0</v>
      </c>
      <c r="BQ155" s="76" t="n">
        <f aca="false">IF($BL155=0,0,OSTRIP($BM155,$I155,$BJ155-$B$2,$BG155-$BJ155,$BH155-$BJ155,$B$10,$BE155,$F155,$G155,$B$23,$J155,$BQ$34,1))</f>
        <v>0</v>
      </c>
      <c r="BR155" s="76" t="n">
        <f aca="false">IF($BL155=0,0,OSTRIP($BM155,$I155,$BJ155-$B$2,$BG155-$BJ155,$BH155-$BJ155,$B$10,$BE155,$F155,$G155,$B$23,$J155,$BQ$34,BQ$35))</f>
        <v>0</v>
      </c>
      <c r="BS155" s="37" t="n">
        <f aca="false">BL155*BP155</f>
        <v>0</v>
      </c>
      <c r="BT155" s="37" t="n">
        <f aca="false">BL155*BQ155</f>
        <v>0</v>
      </c>
      <c r="BU155" s="37" t="n">
        <f aca="false">BL155*BR155</f>
        <v>0</v>
      </c>
      <c r="BV155" s="37" t="n">
        <f aca="false">BL155*G155</f>
        <v>0</v>
      </c>
      <c r="BX155" s="73" t="n">
        <f aca="false">IF($A155&gt;=BY$32,IF($A155&lt;=BY$33,$BF155,0),0)</f>
        <v>0</v>
      </c>
      <c r="BY155" s="186" t="e">
        <f aca="false">CA155/BX155</f>
        <v>#DIV/0!</v>
      </c>
      <c r="BZ155" s="1" t="n">
        <f aca="false">BX155*($B155+$D$15)</f>
        <v>0</v>
      </c>
      <c r="CA155" s="47" t="n">
        <f aca="false">IF(ISNUMBER(((BZ155/BX155)+$D$16+$N155+$D$14)*BX155),((BZ155/BX155)+$D$16+$N155+$D$14)*BX155,0)</f>
        <v>0</v>
      </c>
      <c r="CB155" s="76" t="n">
        <f aca="false">IF($BX155=0,0,OSTRIP($BY155,$S155,$BJ155-$B$2,$BG155-$BJ155,$BH155-$BJ155,$B$10,$BE155,$P155,$Q155,$D$23,$T155,$CC$34,0))</f>
        <v>0</v>
      </c>
      <c r="CC155" s="76" t="n">
        <f aca="false">IF($BX155=0,0,OSTRIP($BY155,$S155,$BJ155-$B$2,$BG155-$BJ155,$BH155-$BJ155,$B$10,$BE155,$P155,$Q155,$D$23,$T155,$CC$34,1))</f>
        <v>0</v>
      </c>
      <c r="CD155" s="76" t="n">
        <f aca="false">IF($BX155=0,0,OSTRIP($BY155,$S155,$BJ155-$B$2,$BG155-$BJ155,$BH155-$BJ155,$B$10,$BE155,$P155,$Q155,$D$23,$T155,$CC$34,CC$35))</f>
        <v>0</v>
      </c>
      <c r="CE155" s="37" t="n">
        <f aca="false">BX155*CB155</f>
        <v>0</v>
      </c>
      <c r="CF155" s="37" t="n">
        <f aca="false">BX155*CC155</f>
        <v>0</v>
      </c>
      <c r="CG155" s="37" t="n">
        <f aca="false">BX155*CD155</f>
        <v>0</v>
      </c>
      <c r="CH155" s="37" t="n">
        <f aca="false">BX155*Q155</f>
        <v>0</v>
      </c>
      <c r="CJ155" s="73" t="n">
        <f aca="false">IF($A155&gt;=CK$32,IF($A155&lt;=CK$33,$BF155,0),0)</f>
        <v>0</v>
      </c>
      <c r="CK155" s="186" t="e">
        <f aca="false">CM155/CJ155</f>
        <v>#DIV/0!</v>
      </c>
      <c r="CL155" s="1" t="n">
        <f aca="false">CJ155*($B155+$F$15)</f>
        <v>0</v>
      </c>
      <c r="CM155" s="47" t="n">
        <f aca="false">IF(ISNUMBER(((CL155/CJ155)+$F$16+$X155+$F$14)*CJ155),((CL155/CJ155)+$F$16+$X155+$F$14)*CJ155,0)</f>
        <v>0</v>
      </c>
      <c r="CN155" s="76" t="n">
        <f aca="false">IF($CJ155=0,0,OSTRIP($CK155,$AC155,$BJ155-$B$2,$BG155-$BJ155,$BH155-$BJ155,$B$10,$BE155,$Z155,$AA155,$F$23,$AD155,$CO$34,0))</f>
        <v>0</v>
      </c>
      <c r="CO155" s="76" t="n">
        <f aca="false">IF($CJ155=0,0,OSTRIP($CK155,$AC155,$BJ155-$B$2,$BG155-$BJ155,$BH155-$BJ155,$B$10,$BE155,$Z155,$AA155,$F$23,$AD155,$CO$34,1))</f>
        <v>0</v>
      </c>
      <c r="CP155" s="76" t="n">
        <f aca="false">IF($CJ155=0,0,OSTRIP($CK155,$AC155,$BJ155-$B$2,$BG155-$BJ155,$BH155-$BJ155,$B$10,$BE155,$Z155,$AA155,$F$23,$AD155,$CO$34,$CO$35))</f>
        <v>0</v>
      </c>
      <c r="CQ155" s="37" t="n">
        <f aca="false">CJ155*CN155</f>
        <v>0</v>
      </c>
      <c r="CR155" s="37" t="n">
        <f aca="false">CJ155*CO155</f>
        <v>0</v>
      </c>
      <c r="CS155" s="37" t="n">
        <f aca="false">CJ155*CP155</f>
        <v>0</v>
      </c>
      <c r="CT155" s="37" t="n">
        <f aca="false">CJ155*AA155</f>
        <v>0</v>
      </c>
      <c r="CV155" s="73" t="n">
        <f aca="false">IF($A155&gt;=CW$32,IF($A155&lt;=CW$33,$BF155,0),0)</f>
        <v>0</v>
      </c>
      <c r="CW155" s="186" t="e">
        <f aca="false">CY155/CV155</f>
        <v>#DIV/0!</v>
      </c>
      <c r="CX155" s="1" t="n">
        <f aca="false">CV155*($B155+$H$15)</f>
        <v>0</v>
      </c>
      <c r="CY155" s="47" t="n">
        <f aca="false">IF(ISNUMBER(((CX155/CV155)+$H$16+$AH155+$H$14)*CV155),((CX155/CV155)+$H$16+$AH155+$H$14)*CV155,0)</f>
        <v>0</v>
      </c>
      <c r="CZ155" s="76" t="n">
        <f aca="false">IF($CV155=0,0,OSTRIP($CW155,$AM155,$BJ155-$B$2,$BG155-$BJ155,$BH155-$BJ155,$B$10,$BE155,$AJ155,$AK155,$H$23,$AN155,$DA$34,0))</f>
        <v>0</v>
      </c>
      <c r="DA155" s="76" t="n">
        <f aca="false">IF($CV155=0,0,OSTRIP($CW155,$AM155,$BJ155-$B$2,$BG155-$BJ155,$BH155-$BJ155,$B$10,$BE155,$AJ155,$AK155,$H$23,$AN155,$DA$34,1))</f>
        <v>0</v>
      </c>
      <c r="DB155" s="76" t="n">
        <f aca="false">IF($CV155=0,0,OSTRIP($CW155,$AM155,$BJ155-$B$2,$BG155-$BJ155,$BH155-$BJ155,$B$10,$BE155,$AJ155,$AK155,$H$23,$AN155,$DA$34,DA$35))</f>
        <v>0</v>
      </c>
      <c r="DC155" s="37" t="n">
        <f aca="false">CV155*CZ155</f>
        <v>0</v>
      </c>
      <c r="DD155" s="37" t="n">
        <f aca="false">CV155*DA155</f>
        <v>0</v>
      </c>
      <c r="DE155" s="37" t="n">
        <f aca="false">CV155*DB155</f>
        <v>0</v>
      </c>
      <c r="DF155" s="37" t="n">
        <f aca="false">CV155*AK155</f>
        <v>0</v>
      </c>
    </row>
    <row r="156" customFormat="false" ht="12.75" hidden="false" customHeight="false" outlineLevel="0" collapsed="false">
      <c r="A156" s="62" t="n">
        <f aca="false">DATE(YEAR(A155),MONTH(A155)+1,1)</f>
        <v>40848</v>
      </c>
      <c r="B156" s="63" t="n">
        <f aca="false">VLOOKUP(A156,STRADDLE,5,FALSE())</f>
        <v>4.0095</v>
      </c>
      <c r="C156" s="4" t="n">
        <f aca="false">VLOOKUP(A156,STRADDLE,8,FALSE())</f>
        <v>0.18</v>
      </c>
      <c r="D156" s="63" t="n">
        <f aca="false">IF(D$35="nymex",0,VLOOKUP($A156,curvesettle,HLOOKUP(D$35,curvesettle,2,FALSE())))</f>
        <v>0.46</v>
      </c>
      <c r="E156" s="65" t="n">
        <f aca="false">IF(ISNUMBER(VLOOKUP($A156,VOLCURVES,HLOOKUP(D$35,VOLCURVES,2,FALSE()),FALSE())),VLOOKUP($A156,VOLCURVES,HLOOKUP(D$35,VOLCURVES,2,FALSE()),FALSE()),1)</f>
        <v>1.1</v>
      </c>
      <c r="F156" s="4" t="n">
        <f aca="false">(($C156+H156)*$E156)+B$17</f>
        <v>0.298</v>
      </c>
      <c r="G156" s="65" t="n">
        <f aca="false">VLOOKUP($A156,GASDVOLCURVES,HLOOKUP(D$36,GASDVOLCURVES,2,FALSE()),FALSE())+$B$18</f>
        <v>0.9</v>
      </c>
      <c r="H156" s="4" t="n">
        <f aca="false">IF($B$20=1,VLOOKUP($A156,skewtable,HLOOKUP(ROUND(I156-BM156,1),skewtable,2,FALSE()),FALSE())/100,0)</f>
        <v>0</v>
      </c>
      <c r="I156" s="66" t="e">
        <f aca="false">IF($B$10=1,($BM156*$B$23)-$B$14,$B$22)</f>
        <v>#DIV/0!</v>
      </c>
      <c r="J156" s="67" t="e">
        <f aca="false">I156-BM156+$B$24</f>
        <v>#DIV/0!</v>
      </c>
      <c r="K156" s="67"/>
      <c r="L156" s="183"/>
      <c r="M156" s="183"/>
      <c r="N156" s="63" t="n">
        <f aca="false">IF(N$35="nymex",0,VLOOKUP($A156,curvesettle,HLOOKUP(N$35,curvesettle,2,FALSE())))</f>
        <v>-0.0225</v>
      </c>
      <c r="O156" s="65" t="n">
        <f aca="false">IF(ISNUMBER(VLOOKUP($A156,VOLCURVES,HLOOKUP(N$35,VOLCURVES,2,FALSE()),FALSE())),VLOOKUP($A156,VOLCURVES,HLOOKUP(N$35,VOLCURVES,2,FALSE()),FALSE()),1)</f>
        <v>1</v>
      </c>
      <c r="P156" s="184" t="n">
        <f aca="false">(($C156+R156)*O156)+$D$17</f>
        <v>0.18</v>
      </c>
      <c r="Q156" s="65" t="n">
        <f aca="false">VLOOKUP($A156,GASDVOLCURVES,HLOOKUP(N$36,GASDVOLCURVES,2,FALSE()),FALSE())+$D$18</f>
        <v>0.9</v>
      </c>
      <c r="R156" s="4" t="n">
        <f aca="false">IF($D$20=1,VLOOKUP($A156,skewtable,HLOOKUP(ROUND(S156-BY156,1),skewtable,2,FALSE()),FALSE())/100,0)</f>
        <v>0</v>
      </c>
      <c r="S156" s="66" t="e">
        <f aca="false">IF(B$10=1,($BY156*$D$23)-$D$14,$D$22)</f>
        <v>#DIV/0!</v>
      </c>
      <c r="T156" s="67" t="e">
        <f aca="false">S156-$BY156+$D$24</f>
        <v>#DIV/0!</v>
      </c>
      <c r="U156" s="0"/>
      <c r="V156" s="0"/>
      <c r="W156" s="0"/>
      <c r="X156" s="63" t="n">
        <f aca="false">IF(X$35="nymex",0,VLOOKUP($A156,curvesettle,HLOOKUP(X$35,curvesettle,2,FALSE())))</f>
        <v>0.35</v>
      </c>
      <c r="Y156" s="65" t="n">
        <f aca="false">IF(ISNUMBER(VLOOKUP($A156,VOLCURVES,HLOOKUP(X$35,VOLCURVES,2,FALSE()),FALSE())),VLOOKUP($A156,VOLCURVES,HLOOKUP(X$35,VOLCURVES,2,FALSE()),FALSE()),1)</f>
        <v>1</v>
      </c>
      <c r="Z156" s="184" t="n">
        <f aca="false">(($C156+AB156)*Y156)+$F$17</f>
        <v>0.18</v>
      </c>
      <c r="AA156" s="65" t="n">
        <f aca="false">VLOOKUP($A156,GASDVOLCURVES,HLOOKUP(X$36,GASDVOLCURVES,2,FALSE()),FALSE())+$F$18</f>
        <v>0.9</v>
      </c>
      <c r="AB156" s="4" t="n">
        <f aca="false">IF($F$20=1,VLOOKUP($A156,skewtable,HLOOKUP(ROUND(AC156-CK156,1),skewtable,2,FALSE()),FALSE())/100,0)</f>
        <v>0</v>
      </c>
      <c r="AC156" s="66" t="e">
        <f aca="false">IF($B$10=1,($CK156*$F$23)-$F$14,$F$22)</f>
        <v>#DIV/0!</v>
      </c>
      <c r="AD156" s="67" t="e">
        <f aca="false">AC156-$CK156+$F$24</f>
        <v>#DIV/0!</v>
      </c>
      <c r="AE156" s="0"/>
      <c r="AF156" s="0"/>
      <c r="AG156" s="0"/>
      <c r="AH156" s="63" t="n">
        <f aca="false">IF(AH$35="nymex",0,VLOOKUP($A156,curvesettle,HLOOKUP(AH$35,curvesettle,2,FALSE())))</f>
        <v>0.65</v>
      </c>
      <c r="AI156" s="65" t="n">
        <f aca="false">IF(ISNUMBER(VLOOKUP($A156,VOLCURVES,HLOOKUP(AH$35,VOLCURVES,2,FALSE()),FALSE())),VLOOKUP($A156,VOLCURVES,HLOOKUP(AH$35,VOLCURVES,2,FALSE()),FALSE()),1)</f>
        <v>1.1</v>
      </c>
      <c r="AJ156" s="184" t="n">
        <f aca="false">(($C156+AL156)*AI156)+$H$17</f>
        <v>0.198</v>
      </c>
      <c r="AK156" s="65" t="n">
        <f aca="false">VLOOKUP($A156,GASDVOLCURVES,HLOOKUP(AH$36,GASDVOLCURVES,2,FALSE()),FALSE())+$H$18</f>
        <v>1.45</v>
      </c>
      <c r="AL156" s="4" t="n">
        <f aca="false">IF($H$20=1,VLOOKUP($A156,skewtable,HLOOKUP(ROUND(AM156-CW156,1),skewtable,2,FALSE()),FALSE())/100,0)</f>
        <v>0</v>
      </c>
      <c r="AM156" s="66" t="e">
        <f aca="false">IF($B$10=1,($CW156*$H$23)-$H$14,$H$22)</f>
        <v>#DIV/0!</v>
      </c>
      <c r="AN156" s="67" t="e">
        <f aca="false">AM156-CW156+$H$24</f>
        <v>#DIV/0!</v>
      </c>
      <c r="AO156" s="0"/>
      <c r="AP156" s="0"/>
      <c r="AQ156" s="183"/>
      <c r="AR156" s="183"/>
      <c r="AU156" s="0"/>
      <c r="AV156" s="0"/>
      <c r="AW156" s="0"/>
      <c r="AX156" s="0"/>
      <c r="AY156" s="0"/>
      <c r="AZ156" s="0"/>
      <c r="BA156" s="0"/>
      <c r="BC156" s="64"/>
      <c r="BD156" s="64"/>
      <c r="BE156" s="4" t="n">
        <f aca="false">VLOOKUP($A156,STRADDLE,14,FALSE())</f>
        <v>0.0590814596240108</v>
      </c>
      <c r="BF156" s="72" t="n">
        <f aca="false">A157-A156</f>
        <v>30</v>
      </c>
      <c r="BG156" s="179" t="n">
        <f aca="false">A156+BG$35</f>
        <v>40848</v>
      </c>
      <c r="BH156" s="179" t="n">
        <f aca="false">A157-1</f>
        <v>40877</v>
      </c>
      <c r="BJ156" s="179" t="n">
        <f aca="true">IF(BJ$35=0,TODAY(),IF(BJ$36="NYMEX",VLOOKUP($A156,expiration,2,FALSE())+1,BG156))</f>
        <v>40844</v>
      </c>
      <c r="BK156" s="73"/>
      <c r="BL156" s="73" t="n">
        <f aca="false">IF($A156&gt;=BM$32,IF($A156&lt;=BM$33,$BF156,0),0)</f>
        <v>0</v>
      </c>
      <c r="BM156" s="73" t="e">
        <f aca="false">BO156/BL156</f>
        <v>#DIV/0!</v>
      </c>
      <c r="BN156" s="1" t="n">
        <f aca="false">BL156*($B156+B$15)</f>
        <v>0</v>
      </c>
      <c r="BO156" s="47" t="n">
        <f aca="false">IF(ISNUMBER(((BN156/BL156)+B$16+$D156+$B$14)*BL156),((BN156/BL156)+B$16+$D156+$B$14)*BL156,0)</f>
        <v>0</v>
      </c>
      <c r="BP156" s="76" t="n">
        <f aca="false">IF($BL156=0,0,OSTRIP($BM156,$I156,$BJ156-$B$2,$BG156-$BJ156,$BH156-$BJ156,$B$10,$BE156,$F156,$G156,$B$23,$J156,$BQ$34,0))</f>
        <v>0</v>
      </c>
      <c r="BQ156" s="76" t="n">
        <f aca="false">IF($BL156=0,0,OSTRIP($BM156,$I156,$BJ156-$B$2,$BG156-$BJ156,$BH156-$BJ156,$B$10,$BE156,$F156,$G156,$B$23,$J156,$BQ$34,1))</f>
        <v>0</v>
      </c>
      <c r="BR156" s="76" t="n">
        <f aca="false">IF($BL156=0,0,OSTRIP($BM156,$I156,$BJ156-$B$2,$BG156-$BJ156,$BH156-$BJ156,$B$10,$BE156,$F156,$G156,$B$23,$J156,$BQ$34,BQ$35))</f>
        <v>0</v>
      </c>
      <c r="BS156" s="37" t="n">
        <f aca="false">BL156*BP156</f>
        <v>0</v>
      </c>
      <c r="BT156" s="37" t="n">
        <f aca="false">BL156*BQ156</f>
        <v>0</v>
      </c>
      <c r="BU156" s="37" t="n">
        <f aca="false">BL156*BR156</f>
        <v>0</v>
      </c>
      <c r="BV156" s="37" t="n">
        <f aca="false">BL156*G156</f>
        <v>0</v>
      </c>
      <c r="BX156" s="73" t="n">
        <f aca="false">IF($A156&gt;=BY$32,IF($A156&lt;=BY$33,$BF156,0),0)</f>
        <v>0</v>
      </c>
      <c r="BY156" s="186" t="e">
        <f aca="false">CA156/BX156</f>
        <v>#DIV/0!</v>
      </c>
      <c r="BZ156" s="1" t="n">
        <f aca="false">BX156*($B156+$D$15)</f>
        <v>0</v>
      </c>
      <c r="CA156" s="47" t="n">
        <f aca="false">IF(ISNUMBER(((BZ156/BX156)+$D$16+$N156+$D$14)*BX156),((BZ156/BX156)+$D$16+$N156+$D$14)*BX156,0)</f>
        <v>0</v>
      </c>
      <c r="CB156" s="76" t="n">
        <f aca="false">IF($BX156=0,0,OSTRIP($BY156,$S156,$BJ156-$B$2,$BG156-$BJ156,$BH156-$BJ156,$B$10,$BE156,$P156,$Q156,$D$23,$T156,$CC$34,0))</f>
        <v>0</v>
      </c>
      <c r="CC156" s="76" t="n">
        <f aca="false">IF($BX156=0,0,OSTRIP($BY156,$S156,$BJ156-$B$2,$BG156-$BJ156,$BH156-$BJ156,$B$10,$BE156,$P156,$Q156,$D$23,$T156,$CC$34,1))</f>
        <v>0</v>
      </c>
      <c r="CD156" s="76" t="n">
        <f aca="false">IF($BX156=0,0,OSTRIP($BY156,$S156,$BJ156-$B$2,$BG156-$BJ156,$BH156-$BJ156,$B$10,$BE156,$P156,$Q156,$D$23,$T156,$CC$34,CC$35))</f>
        <v>0</v>
      </c>
      <c r="CE156" s="37" t="n">
        <f aca="false">BX156*CB156</f>
        <v>0</v>
      </c>
      <c r="CF156" s="37" t="n">
        <f aca="false">BX156*CC156</f>
        <v>0</v>
      </c>
      <c r="CG156" s="37" t="n">
        <f aca="false">BX156*CD156</f>
        <v>0</v>
      </c>
      <c r="CH156" s="37" t="n">
        <f aca="false">BX156*Q156</f>
        <v>0</v>
      </c>
      <c r="CJ156" s="73" t="n">
        <f aca="false">IF($A156&gt;=CK$32,IF($A156&lt;=CK$33,$BF156,0),0)</f>
        <v>0</v>
      </c>
      <c r="CK156" s="186" t="e">
        <f aca="false">CM156/CJ156</f>
        <v>#DIV/0!</v>
      </c>
      <c r="CL156" s="1" t="n">
        <f aca="false">CJ156*($B156+$F$15)</f>
        <v>0</v>
      </c>
      <c r="CM156" s="47" t="n">
        <f aca="false">IF(ISNUMBER(((CL156/CJ156)+$F$16+$X156+$F$14)*CJ156),((CL156/CJ156)+$F$16+$X156+$F$14)*CJ156,0)</f>
        <v>0</v>
      </c>
      <c r="CN156" s="76" t="n">
        <f aca="false">IF($CJ156=0,0,OSTRIP($CK156,$AC156,$BJ156-$B$2,$BG156-$BJ156,$BH156-$BJ156,$B$10,$BE156,$Z156,$AA156,$F$23,$AD156,$CO$34,0))</f>
        <v>0</v>
      </c>
      <c r="CO156" s="76" t="n">
        <f aca="false">IF($CJ156=0,0,OSTRIP($CK156,$AC156,$BJ156-$B$2,$BG156-$BJ156,$BH156-$BJ156,$B$10,$BE156,$Z156,$AA156,$F$23,$AD156,$CO$34,1))</f>
        <v>0</v>
      </c>
      <c r="CP156" s="76" t="n">
        <f aca="false">IF($CJ156=0,0,OSTRIP($CK156,$AC156,$BJ156-$B$2,$BG156-$BJ156,$BH156-$BJ156,$B$10,$BE156,$Z156,$AA156,$F$23,$AD156,$CO$34,$CO$35))</f>
        <v>0</v>
      </c>
      <c r="CQ156" s="37" t="n">
        <f aca="false">CJ156*CN156</f>
        <v>0</v>
      </c>
      <c r="CR156" s="37" t="n">
        <f aca="false">CJ156*CO156</f>
        <v>0</v>
      </c>
      <c r="CS156" s="37" t="n">
        <f aca="false">CJ156*CP156</f>
        <v>0</v>
      </c>
      <c r="CT156" s="37" t="n">
        <f aca="false">CJ156*AA156</f>
        <v>0</v>
      </c>
      <c r="CV156" s="73" t="n">
        <f aca="false">IF($A156&gt;=CW$32,IF($A156&lt;=CW$33,$BF156,0),0)</f>
        <v>0</v>
      </c>
      <c r="CW156" s="186" t="e">
        <f aca="false">CY156/CV156</f>
        <v>#DIV/0!</v>
      </c>
      <c r="CX156" s="1" t="n">
        <f aca="false">CV156*($B156+$H$15)</f>
        <v>0</v>
      </c>
      <c r="CY156" s="47" t="n">
        <f aca="false">IF(ISNUMBER(((CX156/CV156)+$H$16+$AH156+$H$14)*CV156),((CX156/CV156)+$H$16+$AH156+$H$14)*CV156,0)</f>
        <v>0</v>
      </c>
      <c r="CZ156" s="76" t="n">
        <f aca="false">IF($CV156=0,0,OSTRIP($CW156,$AM156,$BJ156-$B$2,$BG156-$BJ156,$BH156-$BJ156,$B$10,$BE156,$AJ156,$AK156,$H$23,$AN156,$DA$34,0))</f>
        <v>0</v>
      </c>
      <c r="DA156" s="76" t="n">
        <f aca="false">IF($CV156=0,0,OSTRIP($CW156,$AM156,$BJ156-$B$2,$BG156-$BJ156,$BH156-$BJ156,$B$10,$BE156,$AJ156,$AK156,$H$23,$AN156,$DA$34,1))</f>
        <v>0</v>
      </c>
      <c r="DB156" s="76" t="n">
        <f aca="false">IF($CV156=0,0,OSTRIP($CW156,$AM156,$BJ156-$B$2,$BG156-$BJ156,$BH156-$BJ156,$B$10,$BE156,$AJ156,$AK156,$H$23,$AN156,$DA$34,DA$35))</f>
        <v>0</v>
      </c>
      <c r="DC156" s="37" t="n">
        <f aca="false">CV156*CZ156</f>
        <v>0</v>
      </c>
      <c r="DD156" s="37" t="n">
        <f aca="false">CV156*DA156</f>
        <v>0</v>
      </c>
      <c r="DE156" s="37" t="n">
        <f aca="false">CV156*DB156</f>
        <v>0</v>
      </c>
      <c r="DF156" s="37" t="n">
        <f aca="false">CV156*AK156</f>
        <v>0</v>
      </c>
    </row>
    <row r="157" customFormat="false" ht="12.75" hidden="false" customHeight="false" outlineLevel="0" collapsed="false">
      <c r="A157" s="62" t="n">
        <f aca="false">DATE(YEAR(A156),MONTH(A156)+1,1)</f>
        <v>40878</v>
      </c>
      <c r="B157" s="63" t="n">
        <f aca="false">VLOOKUP(A157,STRADDLE,5,FALSE())</f>
        <v>4.1525</v>
      </c>
      <c r="C157" s="4" t="n">
        <f aca="false">VLOOKUP(A157,STRADDLE,8,FALSE())</f>
        <v>0.18</v>
      </c>
      <c r="D157" s="63" t="n">
        <f aca="false">IF(D$35="nymex",0,VLOOKUP($A157,curvesettle,HLOOKUP(D$35,curvesettle,2,FALSE())))</f>
        <v>0.77</v>
      </c>
      <c r="E157" s="65" t="n">
        <f aca="false">IF(ISNUMBER(VLOOKUP($A157,VOLCURVES,HLOOKUP(D$35,VOLCURVES,2,FALSE()),FALSE())),VLOOKUP($A157,VOLCURVES,HLOOKUP(D$35,VOLCURVES,2,FALSE()),FALSE()),1)</f>
        <v>1.1</v>
      </c>
      <c r="F157" s="4" t="n">
        <f aca="false">(($C157+H157)*$E157)+B$17</f>
        <v>0.298</v>
      </c>
      <c r="G157" s="65" t="n">
        <f aca="false">VLOOKUP($A157,GASDVOLCURVES,HLOOKUP(D$36,GASDVOLCURVES,2,FALSE()),FALSE())+$B$18</f>
        <v>0.1</v>
      </c>
      <c r="H157" s="4" t="n">
        <f aca="false">IF($B$20=1,VLOOKUP($A157,skewtable,HLOOKUP(ROUND(I157-BM157,1),skewtable,2,FALSE()),FALSE())/100,0)</f>
        <v>0</v>
      </c>
      <c r="I157" s="66" t="e">
        <f aca="false">IF($B$10=1,($BM157*$B$23)-$B$14,$B$22)</f>
        <v>#DIV/0!</v>
      </c>
      <c r="J157" s="67" t="e">
        <f aca="false">I157-BM157+$B$24</f>
        <v>#DIV/0!</v>
      </c>
      <c r="K157" s="67"/>
      <c r="L157" s="183"/>
      <c r="M157" s="183"/>
      <c r="N157" s="63" t="n">
        <f aca="false">IF(N$35="nymex",0,VLOOKUP($A157,curvesettle,HLOOKUP(N$35,curvesettle,2,FALSE())))</f>
        <v>-0.045</v>
      </c>
      <c r="O157" s="65" t="n">
        <f aca="false">IF(ISNUMBER(VLOOKUP($A157,VOLCURVES,HLOOKUP(N$35,VOLCURVES,2,FALSE()),FALSE())),VLOOKUP($A157,VOLCURVES,HLOOKUP(N$35,VOLCURVES,2,FALSE()),FALSE()),1)</f>
        <v>1</v>
      </c>
      <c r="P157" s="184" t="n">
        <f aca="false">(($C157+R157)*O157)+$D$17</f>
        <v>0.18</v>
      </c>
      <c r="Q157" s="65" t="n">
        <f aca="false">VLOOKUP($A157,GASDVOLCURVES,HLOOKUP(N$36,GASDVOLCURVES,2,FALSE()),FALSE())+$D$18</f>
        <v>0.1</v>
      </c>
      <c r="R157" s="4" t="n">
        <f aca="false">IF($D$20=1,VLOOKUP($A157,skewtable,HLOOKUP(ROUND(S157-BY157,1),skewtable,2,FALSE()),FALSE())/100,0)</f>
        <v>0</v>
      </c>
      <c r="S157" s="66" t="e">
        <f aca="false">IF(B$10=1,($BY157*$D$23)-$D$14,$D$22)</f>
        <v>#DIV/0!</v>
      </c>
      <c r="T157" s="67" t="e">
        <f aca="false">S157-$BY157+$D$24</f>
        <v>#DIV/0!</v>
      </c>
      <c r="U157" s="0"/>
      <c r="V157" s="0"/>
      <c r="W157" s="0"/>
      <c r="X157" s="63" t="n">
        <f aca="false">IF(X$35="nymex",0,VLOOKUP($A157,curvesettle,HLOOKUP(X$35,curvesettle,2,FALSE())))</f>
        <v>0.35</v>
      </c>
      <c r="Y157" s="65" t="n">
        <f aca="false">IF(ISNUMBER(VLOOKUP($A157,VOLCURVES,HLOOKUP(X$35,VOLCURVES,2,FALSE()),FALSE())),VLOOKUP($A157,VOLCURVES,HLOOKUP(X$35,VOLCURVES,2,FALSE()),FALSE()),1)</f>
        <v>1</v>
      </c>
      <c r="Z157" s="184" t="n">
        <f aca="false">(($C157+AB157)*Y157)+$F$17</f>
        <v>0.18</v>
      </c>
      <c r="AA157" s="65" t="n">
        <f aca="false">VLOOKUP($A157,GASDVOLCURVES,HLOOKUP(X$36,GASDVOLCURVES,2,FALSE()),FALSE())+$F$18</f>
        <v>0.1</v>
      </c>
      <c r="AB157" s="4" t="n">
        <f aca="false">IF($F$20=1,VLOOKUP($A157,skewtable,HLOOKUP(ROUND(AC157-CK157,1),skewtable,2,FALSE()),FALSE())/100,0)</f>
        <v>0</v>
      </c>
      <c r="AC157" s="66" t="e">
        <f aca="false">IF($B$10=1,($CK157*$F$23)-$F$14,$F$22)</f>
        <v>#DIV/0!</v>
      </c>
      <c r="AD157" s="67" t="e">
        <f aca="false">AC157-$CK157+$F$24</f>
        <v>#DIV/0!</v>
      </c>
      <c r="AE157" s="0"/>
      <c r="AF157" s="0"/>
      <c r="AG157" s="0"/>
      <c r="AH157" s="63" t="n">
        <f aca="false">IF(AH$35="nymex",0,VLOOKUP($A157,curvesettle,HLOOKUP(AH$35,curvesettle,2,FALSE())))</f>
        <v>0.98</v>
      </c>
      <c r="AI157" s="65" t="n">
        <f aca="false">IF(ISNUMBER(VLOOKUP($A157,VOLCURVES,HLOOKUP(AH$35,VOLCURVES,2,FALSE()),FALSE())),VLOOKUP($A157,VOLCURVES,HLOOKUP(AH$35,VOLCURVES,2,FALSE()),FALSE()),1)</f>
        <v>1.02</v>
      </c>
      <c r="AJ157" s="184" t="n">
        <f aca="false">(($C157+AL157)*AI157)+$H$17</f>
        <v>0.1836</v>
      </c>
      <c r="AK157" s="65" t="n">
        <f aca="false">VLOOKUP($A157,GASDVOLCURVES,HLOOKUP(AH$36,GASDVOLCURVES,2,FALSE()),FALSE())+$H$18</f>
        <v>0.75</v>
      </c>
      <c r="AL157" s="4" t="n">
        <f aca="false">IF($H$20=1,VLOOKUP($A157,skewtable,HLOOKUP(ROUND(AM157-CW157,1),skewtable,2,FALSE()),FALSE())/100,0)</f>
        <v>0</v>
      </c>
      <c r="AM157" s="66" t="e">
        <f aca="false">IF($B$10=1,($CW157*$H$23)-$H$14,$H$22)</f>
        <v>#DIV/0!</v>
      </c>
      <c r="AN157" s="67" t="e">
        <f aca="false">AM157-CW157+$H$24</f>
        <v>#DIV/0!</v>
      </c>
      <c r="AO157" s="0"/>
      <c r="AP157" s="0"/>
      <c r="AQ157" s="183"/>
      <c r="AR157" s="183"/>
      <c r="AU157" s="0"/>
      <c r="AV157" s="0"/>
      <c r="AW157" s="0"/>
      <c r="AX157" s="0"/>
      <c r="AY157" s="0"/>
      <c r="AZ157" s="0"/>
      <c r="BA157" s="0"/>
      <c r="BC157" s="64"/>
      <c r="BD157" s="64"/>
      <c r="BE157" s="4" t="n">
        <f aca="false">VLOOKUP($A157,STRADDLE,14,FALSE())</f>
        <v>0.0591816194650425</v>
      </c>
      <c r="BF157" s="72" t="n">
        <f aca="false">A158-A157</f>
        <v>31</v>
      </c>
      <c r="BG157" s="179" t="n">
        <f aca="false">A157+BG$35</f>
        <v>40878</v>
      </c>
      <c r="BH157" s="179" t="n">
        <f aca="false">A158-1</f>
        <v>40908</v>
      </c>
      <c r="BJ157" s="179" t="n">
        <f aca="true">IF(BJ$35=0,TODAY(),IF(BJ$36="NYMEX",VLOOKUP($A157,expiration,2,FALSE())+1,BG157))</f>
        <v>40876</v>
      </c>
      <c r="BK157" s="73"/>
      <c r="BL157" s="73" t="n">
        <f aca="false">IF($A157&gt;=BM$32,IF($A157&lt;=BM$33,$BF157,0),0)</f>
        <v>0</v>
      </c>
      <c r="BM157" s="73" t="e">
        <f aca="false">BO157/BL157</f>
        <v>#DIV/0!</v>
      </c>
      <c r="BN157" s="1" t="n">
        <f aca="false">BL157*($B157+B$15)</f>
        <v>0</v>
      </c>
      <c r="BO157" s="47" t="n">
        <f aca="false">IF(ISNUMBER(((BN157/BL157)+B$16+$D157+$B$14)*BL157),((BN157/BL157)+B$16+$D157+$B$14)*BL157,0)</f>
        <v>0</v>
      </c>
      <c r="BP157" s="76" t="n">
        <f aca="false">IF($BL157=0,0,OSTRIP($BM157,$I157,$BJ157-$B$2,$BG157-$BJ157,$BH157-$BJ157,$B$10,$BE157,$F157,$G157,$B$23,$J157,$BQ$34,0))</f>
        <v>0</v>
      </c>
      <c r="BQ157" s="76" t="n">
        <f aca="false">IF($BL157=0,0,OSTRIP($BM157,$I157,$BJ157-$B$2,$BG157-$BJ157,$BH157-$BJ157,$B$10,$BE157,$F157,$G157,$B$23,$J157,$BQ$34,1))</f>
        <v>0</v>
      </c>
      <c r="BR157" s="76" t="n">
        <f aca="false">IF($BL157=0,0,OSTRIP($BM157,$I157,$BJ157-$B$2,$BG157-$BJ157,$BH157-$BJ157,$B$10,$BE157,$F157,$G157,$B$23,$J157,$BQ$34,BQ$35))</f>
        <v>0</v>
      </c>
      <c r="BS157" s="37" t="n">
        <f aca="false">BL157*BP157</f>
        <v>0</v>
      </c>
      <c r="BT157" s="37" t="n">
        <f aca="false">BL157*BQ157</f>
        <v>0</v>
      </c>
      <c r="BU157" s="37" t="n">
        <f aca="false">BL157*BR157</f>
        <v>0</v>
      </c>
      <c r="BV157" s="37" t="n">
        <f aca="false">BL157*G157</f>
        <v>0</v>
      </c>
      <c r="BX157" s="73" t="n">
        <f aca="false">IF($A157&gt;=BY$32,IF($A157&lt;=BY$33,$BF157,0),0)</f>
        <v>0</v>
      </c>
      <c r="BY157" s="186" t="e">
        <f aca="false">CA157/BX157</f>
        <v>#DIV/0!</v>
      </c>
      <c r="BZ157" s="1" t="n">
        <f aca="false">BX157*($B157+$D$15)</f>
        <v>0</v>
      </c>
      <c r="CA157" s="47" t="n">
        <f aca="false">IF(ISNUMBER(((BZ157/BX157)+$D$16+$N157+$D$14)*BX157),((BZ157/BX157)+$D$16+$N157+$D$14)*BX157,0)</f>
        <v>0</v>
      </c>
      <c r="CB157" s="76" t="n">
        <f aca="false">IF($BX157=0,0,OSTRIP($BY157,$S157,$BJ157-$B$2,$BG157-$BJ157,$BH157-$BJ157,$B$10,$BE157,$P157,$Q157,$D$23,$T157,$CC$34,0))</f>
        <v>0</v>
      </c>
      <c r="CC157" s="76" t="n">
        <f aca="false">IF($BX157=0,0,OSTRIP($BY157,$S157,$BJ157-$B$2,$BG157-$BJ157,$BH157-$BJ157,$B$10,$BE157,$P157,$Q157,$D$23,$T157,$CC$34,1))</f>
        <v>0</v>
      </c>
      <c r="CD157" s="76" t="n">
        <f aca="false">IF($BX157=0,0,OSTRIP($BY157,$S157,$BJ157-$B$2,$BG157-$BJ157,$BH157-$BJ157,$B$10,$BE157,$P157,$Q157,$D$23,$T157,$CC$34,CC$35))</f>
        <v>0</v>
      </c>
      <c r="CE157" s="37" t="n">
        <f aca="false">BX157*CB157</f>
        <v>0</v>
      </c>
      <c r="CF157" s="37" t="n">
        <f aca="false">BX157*CC157</f>
        <v>0</v>
      </c>
      <c r="CG157" s="37" t="n">
        <f aca="false">BX157*CD157</f>
        <v>0</v>
      </c>
      <c r="CH157" s="37" t="n">
        <f aca="false">BX157*Q157</f>
        <v>0</v>
      </c>
      <c r="CJ157" s="73" t="n">
        <f aca="false">IF($A157&gt;=CK$32,IF($A157&lt;=CK$33,$BF157,0),0)</f>
        <v>0</v>
      </c>
      <c r="CK157" s="186" t="e">
        <f aca="false">CM157/CJ157</f>
        <v>#DIV/0!</v>
      </c>
      <c r="CL157" s="1" t="n">
        <f aca="false">CJ157*($B157+$F$15)</f>
        <v>0</v>
      </c>
      <c r="CM157" s="47" t="n">
        <f aca="false">IF(ISNUMBER(((CL157/CJ157)+$F$16+$X157+$F$14)*CJ157),((CL157/CJ157)+$F$16+$X157+$F$14)*CJ157,0)</f>
        <v>0</v>
      </c>
      <c r="CN157" s="76" t="n">
        <f aca="false">IF($CJ157=0,0,OSTRIP($CK157,$AC157,$BJ157-$B$2,$BG157-$BJ157,$BH157-$BJ157,$B$10,$BE157,$Z157,$AA157,$F$23,$AD157,$CO$34,0))</f>
        <v>0</v>
      </c>
      <c r="CO157" s="76" t="n">
        <f aca="false">IF($CJ157=0,0,OSTRIP($CK157,$AC157,$BJ157-$B$2,$BG157-$BJ157,$BH157-$BJ157,$B$10,$BE157,$Z157,$AA157,$F$23,$AD157,$CO$34,1))</f>
        <v>0</v>
      </c>
      <c r="CP157" s="76" t="n">
        <f aca="false">IF($CJ157=0,0,OSTRIP($CK157,$AC157,$BJ157-$B$2,$BG157-$BJ157,$BH157-$BJ157,$B$10,$BE157,$Z157,$AA157,$F$23,$AD157,$CO$34,$CO$35))</f>
        <v>0</v>
      </c>
      <c r="CQ157" s="37" t="n">
        <f aca="false">CJ157*CN157</f>
        <v>0</v>
      </c>
      <c r="CR157" s="37" t="n">
        <f aca="false">CJ157*CO157</f>
        <v>0</v>
      </c>
      <c r="CS157" s="37" t="n">
        <f aca="false">CJ157*CP157</f>
        <v>0</v>
      </c>
      <c r="CT157" s="37" t="n">
        <f aca="false">CJ157*AA157</f>
        <v>0</v>
      </c>
      <c r="CV157" s="73" t="n">
        <f aca="false">IF($A157&gt;=CW$32,IF($A157&lt;=CW$33,$BF157,0),0)</f>
        <v>0</v>
      </c>
      <c r="CW157" s="186" t="e">
        <f aca="false">CY157/CV157</f>
        <v>#DIV/0!</v>
      </c>
      <c r="CX157" s="1" t="n">
        <f aca="false">CV157*($B157+$H$15)</f>
        <v>0</v>
      </c>
      <c r="CY157" s="47" t="n">
        <f aca="false">IF(ISNUMBER(((CX157/CV157)+$H$16+$AH157+$H$14)*CV157),((CX157/CV157)+$H$16+$AH157+$H$14)*CV157,0)</f>
        <v>0</v>
      </c>
      <c r="CZ157" s="76" t="n">
        <f aca="false">IF($CV157=0,0,OSTRIP($CW157,$AM157,$BJ157-$B$2,$BG157-$BJ157,$BH157-$BJ157,$B$10,$BE157,$AJ157,$AK157,$H$23,$AN157,$DA$34,0))</f>
        <v>0</v>
      </c>
      <c r="DA157" s="76" t="n">
        <f aca="false">IF($CV157=0,0,OSTRIP($CW157,$AM157,$BJ157-$B$2,$BG157-$BJ157,$BH157-$BJ157,$B$10,$BE157,$AJ157,$AK157,$H$23,$AN157,$DA$34,1))</f>
        <v>0</v>
      </c>
      <c r="DB157" s="76" t="n">
        <f aca="false">IF($CV157=0,0,OSTRIP($CW157,$AM157,$BJ157-$B$2,$BG157-$BJ157,$BH157-$BJ157,$B$10,$BE157,$AJ157,$AK157,$H$23,$AN157,$DA$34,DA$35))</f>
        <v>0</v>
      </c>
      <c r="DC157" s="37" t="n">
        <f aca="false">CV157*CZ157</f>
        <v>0</v>
      </c>
      <c r="DD157" s="37" t="n">
        <f aca="false">CV157*DA157</f>
        <v>0</v>
      </c>
      <c r="DE157" s="37" t="n">
        <f aca="false">CV157*DB157</f>
        <v>0</v>
      </c>
      <c r="DF157" s="37" t="n">
        <f aca="false">CV157*AK157</f>
        <v>0</v>
      </c>
    </row>
    <row r="158" customFormat="false" ht="12.75" hidden="false" customHeight="false" outlineLevel="0" collapsed="false">
      <c r="A158" s="62" t="n">
        <f aca="false">DATE(YEAR(A157),MONTH(A157)+1,1)</f>
        <v>40909</v>
      </c>
      <c r="B158" s="78"/>
      <c r="C158" s="79"/>
      <c r="E158" s="80"/>
      <c r="F158" s="80"/>
      <c r="G158" s="80"/>
      <c r="H158" s="81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38"/>
      <c r="BL158" s="8"/>
      <c r="BM158" s="38"/>
      <c r="BX158" s="8"/>
      <c r="BY158" s="38"/>
      <c r="CJ158" s="8"/>
      <c r="CK158" s="38"/>
      <c r="CV158" s="8"/>
      <c r="CW158" s="38"/>
    </row>
    <row r="159" customFormat="false" ht="12.75" hidden="false" customHeight="false" outlineLevel="0" collapsed="false">
      <c r="A159" s="82"/>
      <c r="B159" s="78"/>
      <c r="C159" s="79"/>
      <c r="E159" s="80"/>
      <c r="F159" s="80"/>
      <c r="G159" s="80"/>
      <c r="H159" s="81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38"/>
      <c r="BL159" s="8"/>
      <c r="BM159" s="38"/>
      <c r="BX159" s="8"/>
      <c r="BY159" s="38"/>
      <c r="CJ159" s="8"/>
      <c r="CK159" s="38"/>
      <c r="CV159" s="8"/>
      <c r="CW159" s="38"/>
    </row>
    <row r="160" customFormat="false" ht="12.75" hidden="false" customHeight="false" outlineLevel="0" collapsed="false">
      <c r="A160" s="82"/>
      <c r="B160" s="78"/>
      <c r="C160" s="79"/>
      <c r="E160" s="80"/>
      <c r="F160" s="80"/>
      <c r="G160" s="80"/>
      <c r="H160" s="81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38"/>
      <c r="BL160" s="8"/>
      <c r="BM160" s="38"/>
      <c r="BX160" s="8"/>
      <c r="BY160" s="38"/>
      <c r="CJ160" s="8"/>
      <c r="CK160" s="38"/>
      <c r="CV160" s="8"/>
      <c r="CW160" s="38"/>
    </row>
    <row r="161" customFormat="false" ht="12.75" hidden="false" customHeight="false" outlineLevel="0" collapsed="false">
      <c r="A161" s="82"/>
      <c r="B161" s="78"/>
      <c r="C161" s="79"/>
      <c r="E161" s="80"/>
      <c r="F161" s="80"/>
      <c r="G161" s="80"/>
      <c r="H161" s="81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38"/>
      <c r="BL161" s="8"/>
      <c r="BM161" s="38"/>
      <c r="BX161" s="8"/>
      <c r="BY161" s="38"/>
      <c r="CJ161" s="8"/>
      <c r="CK161" s="38"/>
      <c r="CV161" s="8"/>
      <c r="CW161" s="38"/>
    </row>
    <row r="162" customFormat="false" ht="12.75" hidden="false" customHeight="false" outlineLevel="0" collapsed="false">
      <c r="A162" s="82"/>
      <c r="B162" s="78"/>
      <c r="C162" s="79"/>
      <c r="E162" s="80"/>
      <c r="F162" s="80"/>
      <c r="G162" s="80"/>
      <c r="H162" s="81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38"/>
      <c r="BL162" s="8"/>
      <c r="BM162" s="38"/>
      <c r="BX162" s="8"/>
      <c r="BY162" s="38"/>
      <c r="CJ162" s="8"/>
      <c r="CK162" s="38"/>
      <c r="CV162" s="8"/>
      <c r="CW162" s="38"/>
    </row>
    <row r="163" customFormat="false" ht="12.75" hidden="false" customHeight="false" outlineLevel="0" collapsed="false">
      <c r="A163" s="82"/>
      <c r="B163" s="78"/>
      <c r="C163" s="79"/>
      <c r="E163" s="80"/>
      <c r="F163" s="80"/>
      <c r="G163" s="80"/>
      <c r="H163" s="81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38"/>
      <c r="BL163" s="8"/>
      <c r="BM163" s="38"/>
      <c r="BX163" s="8"/>
      <c r="BY163" s="38"/>
      <c r="CJ163" s="8"/>
      <c r="CK163" s="38"/>
      <c r="CV163" s="8"/>
      <c r="CW163" s="38"/>
    </row>
    <row r="164" customFormat="false" ht="12.75" hidden="false" customHeight="false" outlineLevel="0" collapsed="false">
      <c r="A164" s="82"/>
      <c r="B164" s="78"/>
      <c r="C164" s="79"/>
      <c r="E164" s="80"/>
      <c r="F164" s="80"/>
      <c r="G164" s="80"/>
      <c r="H164" s="81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38"/>
      <c r="BL164" s="8"/>
      <c r="BM164" s="38"/>
      <c r="BX164" s="8"/>
      <c r="BY164" s="38"/>
      <c r="CJ164" s="8"/>
      <c r="CK164" s="38"/>
      <c r="CV164" s="8"/>
      <c r="CW164" s="38"/>
    </row>
    <row r="165" customFormat="false" ht="12.75" hidden="false" customHeight="false" outlineLevel="0" collapsed="false">
      <c r="A165" s="82"/>
      <c r="B165" s="78"/>
      <c r="C165" s="79"/>
      <c r="E165" s="80"/>
      <c r="F165" s="80"/>
      <c r="G165" s="80"/>
      <c r="H165" s="81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38"/>
      <c r="BL165" s="8"/>
      <c r="BM165" s="38"/>
      <c r="BX165" s="8"/>
      <c r="BY165" s="38"/>
      <c r="CJ165" s="8"/>
      <c r="CK165" s="38"/>
      <c r="CV165" s="8"/>
      <c r="CW165" s="38"/>
    </row>
    <row r="166" customFormat="false" ht="12.75" hidden="false" customHeight="false" outlineLevel="0" collapsed="false">
      <c r="A166" s="82"/>
      <c r="B166" s="78"/>
      <c r="C166" s="79"/>
      <c r="E166" s="80"/>
      <c r="F166" s="80"/>
      <c r="G166" s="80"/>
      <c r="H166" s="81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38"/>
      <c r="BL166" s="8"/>
      <c r="BM166" s="38"/>
      <c r="BX166" s="8"/>
      <c r="BY166" s="38"/>
      <c r="CJ166" s="8"/>
      <c r="CK166" s="38"/>
      <c r="CV166" s="8"/>
      <c r="CW166" s="38"/>
    </row>
    <row r="167" customFormat="false" ht="12.75" hidden="false" customHeight="false" outlineLevel="0" collapsed="false">
      <c r="A167" s="82"/>
      <c r="B167" s="78"/>
      <c r="C167" s="79"/>
      <c r="E167" s="80"/>
      <c r="F167" s="80"/>
      <c r="G167" s="80"/>
      <c r="H167" s="81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38"/>
      <c r="BL167" s="8"/>
      <c r="BM167" s="38"/>
      <c r="BX167" s="8"/>
      <c r="BY167" s="38"/>
      <c r="CJ167" s="8"/>
      <c r="CK167" s="38"/>
      <c r="CV167" s="8"/>
      <c r="CW167" s="38"/>
    </row>
    <row r="168" customFormat="false" ht="12.75" hidden="false" customHeight="false" outlineLevel="0" collapsed="false">
      <c r="A168" s="82"/>
      <c r="B168" s="78"/>
      <c r="C168" s="79"/>
      <c r="E168" s="80"/>
      <c r="F168" s="80"/>
      <c r="G168" s="80"/>
      <c r="H168" s="81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38"/>
      <c r="BL168" s="8"/>
      <c r="BM168" s="38"/>
      <c r="BX168" s="8"/>
      <c r="BY168" s="38"/>
      <c r="CJ168" s="8"/>
      <c r="CK168" s="38"/>
      <c r="CV168" s="8"/>
      <c r="CW168" s="38"/>
    </row>
    <row r="169" customFormat="false" ht="12.75" hidden="false" customHeight="false" outlineLevel="0" collapsed="false">
      <c r="A169" s="83"/>
      <c r="E169" s="84"/>
      <c r="F169" s="84"/>
      <c r="G169" s="84"/>
      <c r="H169" s="81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38"/>
      <c r="BL169" s="8"/>
      <c r="BM169" s="38"/>
      <c r="BX169" s="8"/>
      <c r="BY169" s="38"/>
      <c r="CJ169" s="8"/>
      <c r="CK169" s="38"/>
      <c r="CV169" s="8"/>
      <c r="CW169" s="38"/>
    </row>
    <row r="170" customFormat="false" ht="12.75" hidden="false" customHeight="false" outlineLevel="0" collapsed="false">
      <c r="A170" s="82"/>
      <c r="B170" s="78"/>
      <c r="C170" s="79"/>
      <c r="E170" s="80"/>
      <c r="F170" s="80"/>
      <c r="G170" s="80"/>
      <c r="H170" s="81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38"/>
      <c r="BL170" s="8"/>
      <c r="BM170" s="38"/>
      <c r="BX170" s="8"/>
      <c r="BY170" s="38"/>
      <c r="CJ170" s="8"/>
      <c r="CK170" s="38"/>
      <c r="CV170" s="8"/>
      <c r="CW170" s="38"/>
    </row>
    <row r="171" customFormat="false" ht="12.75" hidden="false" customHeight="false" outlineLevel="0" collapsed="false">
      <c r="B171" s="82"/>
      <c r="C171" s="85"/>
      <c r="D171" s="86"/>
      <c r="E171" s="58"/>
      <c r="F171" s="58"/>
      <c r="G171" s="58"/>
      <c r="H171" s="80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  <c r="BD171" s="87"/>
      <c r="BE171" s="8"/>
      <c r="BF171" s="58"/>
      <c r="BG171" s="58"/>
      <c r="BH171" s="58"/>
      <c r="BI171" s="8"/>
      <c r="BJ171" s="8"/>
      <c r="BK171" s="38"/>
      <c r="BL171" s="8"/>
      <c r="BM171" s="38"/>
      <c r="BX171" s="8"/>
      <c r="BY171" s="38"/>
      <c r="CJ171" s="8"/>
      <c r="CK171" s="38"/>
      <c r="CV171" s="8"/>
      <c r="CW171" s="38"/>
    </row>
    <row r="172" customFormat="false" ht="12.75" hidden="false" customHeight="false" outlineLevel="0" collapsed="false">
      <c r="B172" s="82"/>
      <c r="C172" s="85"/>
      <c r="D172" s="86"/>
      <c r="E172" s="58"/>
      <c r="F172" s="58"/>
      <c r="G172" s="58"/>
      <c r="H172" s="80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  <c r="BD172" s="87"/>
      <c r="BE172" s="8"/>
      <c r="BF172" s="58"/>
      <c r="BG172" s="58"/>
      <c r="BH172" s="58"/>
      <c r="BI172" s="8"/>
      <c r="BJ172" s="8"/>
      <c r="BK172" s="38"/>
      <c r="BL172" s="8"/>
      <c r="BM172" s="38"/>
      <c r="BX172" s="8"/>
      <c r="BY172" s="38"/>
      <c r="CJ172" s="8"/>
      <c r="CK172" s="38"/>
      <c r="CV172" s="8"/>
      <c r="CW172" s="38"/>
    </row>
    <row r="173" customFormat="false" ht="12.75" hidden="false" customHeight="false" outlineLevel="0" collapsed="false">
      <c r="B173" s="82"/>
      <c r="C173" s="85"/>
      <c r="D173" s="86"/>
      <c r="E173" s="58"/>
      <c r="F173" s="58"/>
      <c r="G173" s="58"/>
      <c r="H173" s="80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  <c r="BD173" s="87"/>
      <c r="BE173" s="8"/>
      <c r="BF173" s="58"/>
      <c r="BG173" s="58"/>
      <c r="BH173" s="58"/>
      <c r="BI173" s="8"/>
      <c r="BJ173" s="8"/>
      <c r="BK173" s="38"/>
      <c r="BL173" s="8"/>
      <c r="BM173" s="38"/>
      <c r="BX173" s="8"/>
      <c r="BY173" s="38"/>
      <c r="CJ173" s="8"/>
      <c r="CK173" s="38"/>
      <c r="CV173" s="8"/>
      <c r="CW173" s="38"/>
    </row>
    <row r="174" customFormat="false" ht="12.75" hidden="false" customHeight="false" outlineLevel="0" collapsed="false">
      <c r="B174" s="82"/>
      <c r="C174" s="85"/>
      <c r="D174" s="86"/>
      <c r="E174" s="58"/>
      <c r="F174" s="58"/>
      <c r="G174" s="58"/>
      <c r="H174" s="80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  <c r="BD174" s="87"/>
      <c r="BE174" s="8"/>
      <c r="BF174" s="58"/>
      <c r="BG174" s="58"/>
      <c r="BH174" s="58"/>
      <c r="BI174" s="8"/>
      <c r="BJ174" s="8"/>
      <c r="BK174" s="38"/>
      <c r="BL174" s="8"/>
      <c r="BM174" s="38"/>
      <c r="BX174" s="8"/>
      <c r="BY174" s="38"/>
      <c r="CJ174" s="8"/>
      <c r="CK174" s="38"/>
      <c r="CV174" s="8"/>
      <c r="CW174" s="38"/>
    </row>
    <row r="175" customFormat="false" ht="12.75" hidden="false" customHeight="false" outlineLevel="0" collapsed="false">
      <c r="B175" s="82"/>
      <c r="C175" s="85"/>
      <c r="D175" s="86"/>
      <c r="E175" s="58"/>
      <c r="F175" s="58"/>
      <c r="G175" s="58"/>
      <c r="H175" s="80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  <c r="BD175" s="87"/>
      <c r="BE175" s="8"/>
      <c r="BF175" s="58"/>
      <c r="BG175" s="58"/>
      <c r="BH175" s="58"/>
      <c r="BI175" s="8"/>
      <c r="BJ175" s="8"/>
      <c r="BK175" s="38"/>
      <c r="BL175" s="8"/>
      <c r="BM175" s="38"/>
      <c r="BX175" s="8"/>
      <c r="BY175" s="38"/>
      <c r="CJ175" s="8"/>
      <c r="CK175" s="38"/>
      <c r="CV175" s="8"/>
      <c r="CW175" s="38"/>
    </row>
    <row r="176" customFormat="false" ht="12.75" hidden="false" customHeight="false" outlineLevel="0" collapsed="false">
      <c r="B176" s="82"/>
      <c r="C176" s="85"/>
      <c r="D176" s="86"/>
      <c r="E176" s="58"/>
      <c r="F176" s="58"/>
      <c r="G176" s="58"/>
      <c r="H176" s="80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  <c r="BD176" s="87"/>
      <c r="BE176" s="8"/>
      <c r="BF176" s="58"/>
      <c r="BG176" s="58"/>
      <c r="BH176" s="58"/>
      <c r="BI176" s="8"/>
      <c r="BJ176" s="8"/>
      <c r="BK176" s="38"/>
      <c r="BL176" s="8"/>
      <c r="BM176" s="38"/>
      <c r="BX176" s="8"/>
      <c r="BY176" s="38"/>
      <c r="CJ176" s="8"/>
      <c r="CK176" s="38"/>
      <c r="CV176" s="8"/>
      <c r="CW176" s="38"/>
    </row>
    <row r="177" customFormat="false" ht="12.75" hidden="false" customHeight="false" outlineLevel="0" collapsed="false">
      <c r="B177" s="82"/>
      <c r="C177" s="85"/>
      <c r="D177" s="86"/>
      <c r="E177" s="58"/>
      <c r="F177" s="58"/>
      <c r="G177" s="58"/>
      <c r="H177" s="80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  <c r="BD177" s="87"/>
      <c r="BE177" s="8"/>
      <c r="BF177" s="58"/>
      <c r="BG177" s="58"/>
      <c r="BH177" s="58"/>
      <c r="BI177" s="8"/>
      <c r="BJ177" s="8"/>
      <c r="BK177" s="38"/>
      <c r="BL177" s="8"/>
      <c r="BM177" s="38"/>
      <c r="BX177" s="8"/>
      <c r="BY177" s="38"/>
      <c r="CJ177" s="8"/>
      <c r="CK177" s="38"/>
      <c r="CV177" s="8"/>
      <c r="CW177" s="38"/>
    </row>
    <row r="178" customFormat="false" ht="12.75" hidden="false" customHeight="false" outlineLevel="0" collapsed="false">
      <c r="B178" s="82"/>
      <c r="C178" s="85"/>
      <c r="D178" s="86"/>
      <c r="E178" s="58"/>
      <c r="F178" s="58"/>
      <c r="G178" s="58"/>
      <c r="H178" s="80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  <c r="BD178" s="87"/>
      <c r="BE178" s="8"/>
      <c r="BF178" s="58"/>
      <c r="BG178" s="58"/>
      <c r="BH178" s="58"/>
      <c r="BI178" s="8"/>
      <c r="BJ178" s="8"/>
      <c r="BK178" s="38"/>
      <c r="BL178" s="8"/>
      <c r="BM178" s="38"/>
      <c r="BX178" s="8"/>
      <c r="BY178" s="38"/>
      <c r="CJ178" s="8"/>
      <c r="CK178" s="38"/>
      <c r="CV178" s="8"/>
      <c r="CW178" s="38"/>
    </row>
    <row r="179" customFormat="false" ht="12.75" hidden="false" customHeight="false" outlineLevel="0" collapsed="false">
      <c r="B179" s="82"/>
      <c r="C179" s="85"/>
      <c r="D179" s="86"/>
      <c r="E179" s="58"/>
      <c r="F179" s="58"/>
      <c r="G179" s="58"/>
      <c r="H179" s="80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  <c r="BD179" s="87"/>
      <c r="BE179" s="8"/>
      <c r="BF179" s="58"/>
      <c r="BG179" s="58"/>
      <c r="BH179" s="58"/>
      <c r="BI179" s="8"/>
      <c r="BJ179" s="8"/>
      <c r="BK179" s="38"/>
      <c r="BL179" s="8"/>
      <c r="BM179" s="38"/>
      <c r="BX179" s="8"/>
      <c r="BY179" s="38"/>
      <c r="CJ179" s="8"/>
      <c r="CK179" s="38"/>
      <c r="CV179" s="8"/>
      <c r="CW179" s="38"/>
    </row>
    <row r="180" customFormat="false" ht="12.75" hidden="false" customHeight="false" outlineLevel="0" collapsed="false">
      <c r="B180" s="82"/>
      <c r="C180" s="85"/>
      <c r="D180" s="86"/>
      <c r="E180" s="58"/>
      <c r="F180" s="58"/>
      <c r="G180" s="58"/>
      <c r="H180" s="80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  <c r="BD180" s="87"/>
      <c r="BE180" s="8"/>
      <c r="BF180" s="58"/>
      <c r="BG180" s="58"/>
      <c r="BH180" s="58"/>
      <c r="BI180" s="8"/>
      <c r="BJ180" s="8"/>
      <c r="BK180" s="38"/>
      <c r="BL180" s="8"/>
      <c r="BM180" s="38"/>
      <c r="BX180" s="8"/>
      <c r="BY180" s="38"/>
      <c r="CJ180" s="8"/>
      <c r="CK180" s="38"/>
      <c r="CV180" s="8"/>
      <c r="CW180" s="38"/>
    </row>
    <row r="181" customFormat="false" ht="12.75" hidden="false" customHeight="false" outlineLevel="0" collapsed="false">
      <c r="B181" s="82"/>
      <c r="C181" s="85"/>
      <c r="D181" s="86"/>
      <c r="E181" s="58"/>
      <c r="F181" s="58"/>
      <c r="G181" s="58"/>
      <c r="H181" s="80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  <c r="BD181" s="87"/>
      <c r="BE181" s="8"/>
      <c r="BF181" s="58"/>
      <c r="BG181" s="58"/>
      <c r="BH181" s="58"/>
      <c r="BI181" s="8"/>
      <c r="BJ181" s="8"/>
      <c r="BK181" s="38"/>
      <c r="BL181" s="8"/>
      <c r="BM181" s="38"/>
      <c r="BX181" s="8"/>
      <c r="BY181" s="38"/>
      <c r="CJ181" s="8"/>
      <c r="CK181" s="38"/>
      <c r="CV181" s="8"/>
      <c r="CW181" s="38"/>
    </row>
    <row r="182" customFormat="false" ht="12.75" hidden="false" customHeight="false" outlineLevel="0" collapsed="false">
      <c r="B182" s="82"/>
      <c r="C182" s="85"/>
      <c r="D182" s="86"/>
      <c r="E182" s="58"/>
      <c r="F182" s="58"/>
      <c r="G182" s="58"/>
      <c r="H182" s="80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  <c r="BD182" s="87"/>
      <c r="BE182" s="8"/>
      <c r="BF182" s="58"/>
      <c r="BG182" s="58"/>
      <c r="BH182" s="58"/>
      <c r="BI182" s="8"/>
      <c r="BJ182" s="8"/>
      <c r="BK182" s="38"/>
      <c r="BL182" s="8"/>
      <c r="BM182" s="38"/>
      <c r="BX182" s="8"/>
      <c r="BY182" s="38"/>
      <c r="CJ182" s="8"/>
      <c r="CK182" s="38"/>
      <c r="CV182" s="8"/>
      <c r="CW182" s="38"/>
    </row>
    <row r="183" customFormat="false" ht="13.5" hidden="false" customHeight="false" outlineLevel="0" collapsed="false">
      <c r="B183" s="82"/>
      <c r="C183" s="85"/>
      <c r="D183" s="88"/>
      <c r="E183" s="58"/>
      <c r="F183" s="58"/>
      <c r="G183" s="58"/>
      <c r="H183" s="80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  <c r="BD183" s="87"/>
      <c r="BE183" s="8"/>
      <c r="BF183" s="8"/>
      <c r="BG183" s="8"/>
      <c r="BH183" s="8"/>
      <c r="BI183" s="8"/>
      <c r="BJ183" s="8"/>
      <c r="BK183" s="38"/>
      <c r="BL183" s="8"/>
      <c r="BM183" s="38"/>
      <c r="BX183" s="8"/>
      <c r="BY183" s="38"/>
      <c r="CJ183" s="8"/>
      <c r="CK183" s="38"/>
      <c r="CV183" s="8"/>
      <c r="CW183" s="38"/>
    </row>
    <row r="184" customFormat="false" ht="12.75" hidden="false" customHeight="false" outlineLevel="0" collapsed="false">
      <c r="B184" s="82"/>
      <c r="C184" s="85"/>
      <c r="D184" s="89"/>
      <c r="E184" s="58"/>
      <c r="F184" s="58"/>
      <c r="G184" s="58"/>
      <c r="H184" s="80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  <c r="BD184" s="87"/>
      <c r="BE184" s="8"/>
      <c r="BF184" s="8"/>
      <c r="BG184" s="8"/>
      <c r="BH184" s="8"/>
      <c r="BI184" s="8"/>
      <c r="BJ184" s="8"/>
      <c r="BK184" s="38"/>
      <c r="BL184" s="8"/>
      <c r="BM184" s="38"/>
      <c r="BX184" s="8"/>
      <c r="BY184" s="38"/>
      <c r="CJ184" s="8"/>
      <c r="CK184" s="38"/>
      <c r="CV184" s="8"/>
      <c r="CW184" s="38"/>
    </row>
    <row r="185" customFormat="false" ht="13.5" hidden="false" customHeight="false" outlineLevel="0" collapsed="false">
      <c r="B185" s="82"/>
      <c r="C185" s="85"/>
      <c r="D185" s="90"/>
      <c r="E185" s="58"/>
      <c r="F185" s="58"/>
      <c r="G185" s="58"/>
      <c r="H185" s="80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  <c r="BD185" s="87"/>
      <c r="BE185" s="8"/>
      <c r="BF185" s="8"/>
      <c r="BG185" s="8"/>
      <c r="BH185" s="8"/>
      <c r="BI185" s="8"/>
      <c r="BJ185" s="8"/>
      <c r="BK185" s="38"/>
      <c r="BL185" s="8"/>
      <c r="BM185" s="38"/>
      <c r="BX185" s="8"/>
      <c r="BY185" s="38"/>
      <c r="CJ185" s="8"/>
      <c r="CK185" s="38"/>
      <c r="CV185" s="8"/>
      <c r="CW185" s="38"/>
    </row>
    <row r="186" customFormat="false" ht="13.5" hidden="false" customHeight="false" outlineLevel="0" collapsed="false">
      <c r="B186" s="82"/>
      <c r="C186" s="85"/>
      <c r="D186" s="90"/>
      <c r="E186" s="58"/>
      <c r="F186" s="58"/>
      <c r="G186" s="58"/>
      <c r="H186" s="80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  <c r="BD186" s="87"/>
      <c r="BE186" s="8"/>
      <c r="BF186" s="8"/>
      <c r="BG186" s="8"/>
      <c r="BH186" s="8"/>
      <c r="BI186" s="8"/>
      <c r="BJ186" s="8"/>
      <c r="BK186" s="38"/>
      <c r="BL186" s="8"/>
      <c r="BM186" s="38"/>
      <c r="BX186" s="8"/>
      <c r="BY186" s="38"/>
      <c r="CJ186" s="8"/>
      <c r="CK186" s="38"/>
      <c r="CV186" s="8"/>
      <c r="CW186" s="38"/>
    </row>
    <row r="187" customFormat="false" ht="12.75" hidden="false" customHeight="false" outlineLevel="0" collapsed="false">
      <c r="B187" s="82"/>
      <c r="C187" s="85"/>
      <c r="D187" s="91"/>
      <c r="E187" s="58"/>
      <c r="F187" s="58"/>
      <c r="G187" s="58"/>
      <c r="H187" s="80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  <c r="BD187" s="87"/>
      <c r="BE187" s="8"/>
      <c r="BF187" s="8"/>
      <c r="BG187" s="8"/>
      <c r="BH187" s="8"/>
      <c r="BI187" s="8"/>
      <c r="BJ187" s="8"/>
      <c r="BK187" s="38"/>
      <c r="BL187" s="8"/>
      <c r="BM187" s="38"/>
      <c r="BX187" s="8"/>
      <c r="BY187" s="38"/>
      <c r="CJ187" s="8"/>
      <c r="CK187" s="38"/>
      <c r="CV187" s="8"/>
      <c r="CW187" s="38"/>
    </row>
    <row r="188" customFormat="false" ht="12.75" hidden="false" customHeight="false" outlineLevel="0" collapsed="false">
      <c r="B188" s="82"/>
      <c r="C188" s="85"/>
      <c r="D188" s="91"/>
      <c r="E188" s="58"/>
      <c r="F188" s="58"/>
      <c r="G188" s="58"/>
      <c r="H188" s="80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  <c r="BD188" s="87"/>
      <c r="BE188" s="8"/>
      <c r="BF188" s="8"/>
      <c r="BG188" s="8"/>
      <c r="BH188" s="8"/>
      <c r="BI188" s="8"/>
      <c r="BJ188" s="8"/>
      <c r="BK188" s="38"/>
      <c r="BL188" s="8"/>
      <c r="BM188" s="38"/>
      <c r="BX188" s="8"/>
      <c r="BY188" s="38"/>
      <c r="CJ188" s="8"/>
      <c r="CK188" s="38"/>
      <c r="CV188" s="8"/>
      <c r="CW188" s="38"/>
    </row>
    <row r="189" customFormat="false" ht="12.75" hidden="false" customHeight="false" outlineLevel="0" collapsed="false">
      <c r="B189" s="82"/>
      <c r="C189" s="85"/>
      <c r="D189" s="91"/>
      <c r="E189" s="58"/>
      <c r="F189" s="58"/>
      <c r="G189" s="58"/>
      <c r="H189" s="80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  <c r="BD189" s="87"/>
      <c r="BE189" s="8"/>
      <c r="BF189" s="8"/>
      <c r="BG189" s="8"/>
      <c r="BH189" s="8"/>
      <c r="BI189" s="8"/>
      <c r="BJ189" s="8"/>
      <c r="BK189" s="38"/>
      <c r="BL189" s="8"/>
      <c r="BM189" s="38"/>
      <c r="BX189" s="8"/>
      <c r="BY189" s="38"/>
      <c r="CJ189" s="8"/>
      <c r="CK189" s="38"/>
      <c r="CV189" s="8"/>
      <c r="CW189" s="38"/>
    </row>
    <row r="190" customFormat="false" ht="12.75" hidden="false" customHeight="false" outlineLevel="0" collapsed="false">
      <c r="B190" s="82"/>
      <c r="C190" s="85"/>
      <c r="D190" s="91"/>
      <c r="E190" s="58"/>
      <c r="F190" s="58"/>
      <c r="G190" s="58"/>
      <c r="H190" s="80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  <c r="BD190" s="87"/>
      <c r="BE190" s="8"/>
      <c r="BF190" s="8"/>
      <c r="BG190" s="8"/>
      <c r="BH190" s="8"/>
      <c r="BI190" s="8"/>
      <c r="BJ190" s="8"/>
      <c r="BK190" s="38"/>
      <c r="BL190" s="8"/>
      <c r="BM190" s="38"/>
      <c r="BX190" s="8"/>
      <c r="BY190" s="38"/>
      <c r="CJ190" s="8"/>
      <c r="CK190" s="38"/>
      <c r="CV190" s="8"/>
      <c r="CW190" s="38"/>
    </row>
    <row r="191" customFormat="false" ht="12.75" hidden="false" customHeight="false" outlineLevel="0" collapsed="false">
      <c r="B191" s="82"/>
      <c r="C191" s="85"/>
      <c r="D191" s="91"/>
      <c r="E191" s="58"/>
      <c r="F191" s="58"/>
      <c r="G191" s="58"/>
      <c r="H191" s="80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  <c r="BD191" s="87"/>
      <c r="BE191" s="8"/>
      <c r="BF191" s="8"/>
      <c r="BG191" s="8"/>
      <c r="BH191" s="8"/>
      <c r="BI191" s="8"/>
      <c r="BJ191" s="8"/>
      <c r="BK191" s="38"/>
      <c r="BL191" s="8"/>
      <c r="BM191" s="38"/>
      <c r="BX191" s="8"/>
      <c r="BY191" s="38"/>
      <c r="CJ191" s="8"/>
      <c r="CK191" s="38"/>
      <c r="CV191" s="8"/>
      <c r="CW191" s="38"/>
    </row>
    <row r="192" customFormat="false" ht="12.75" hidden="false" customHeight="false" outlineLevel="0" collapsed="false">
      <c r="B192" s="82"/>
      <c r="C192" s="85"/>
      <c r="D192" s="91"/>
      <c r="E192" s="58"/>
      <c r="F192" s="58"/>
      <c r="G192" s="58"/>
      <c r="H192" s="80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  <c r="BD192" s="87"/>
      <c r="BE192" s="8"/>
      <c r="BI192" s="8"/>
      <c r="BJ192" s="8"/>
      <c r="BK192" s="38"/>
      <c r="BL192" s="8"/>
      <c r="BM192" s="38"/>
      <c r="BX192" s="8"/>
      <c r="BY192" s="38"/>
      <c r="CJ192" s="8"/>
      <c r="CK192" s="38"/>
      <c r="CV192" s="8"/>
      <c r="CW192" s="38"/>
    </row>
    <row r="193" customFormat="false" ht="12.75" hidden="false" customHeight="false" outlineLevel="0" collapsed="false">
      <c r="B193" s="82"/>
      <c r="C193" s="85"/>
      <c r="D193" s="91"/>
      <c r="E193" s="58"/>
      <c r="F193" s="58"/>
      <c r="G193" s="58"/>
      <c r="H193" s="80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  <c r="BD193" s="87"/>
      <c r="BE193" s="8"/>
      <c r="BF193" s="8"/>
      <c r="BG193" s="8"/>
      <c r="BH193" s="8"/>
      <c r="BI193" s="8"/>
      <c r="BJ193" s="8"/>
      <c r="BK193" s="38"/>
      <c r="BL193" s="8"/>
      <c r="BM193" s="38"/>
      <c r="BX193" s="8"/>
      <c r="BY193" s="38"/>
      <c r="CJ193" s="8"/>
      <c r="CK193" s="38"/>
      <c r="CV193" s="8"/>
      <c r="CW193" s="38"/>
    </row>
    <row r="194" customFormat="false" ht="12.75" hidden="false" customHeight="false" outlineLevel="0" collapsed="false">
      <c r="B194" s="82"/>
      <c r="C194" s="85"/>
      <c r="D194" s="91"/>
      <c r="E194" s="58"/>
      <c r="F194" s="58"/>
      <c r="G194" s="58"/>
      <c r="H194" s="80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  <c r="BD194" s="87"/>
      <c r="BE194" s="8"/>
      <c r="BF194" s="8"/>
      <c r="BG194" s="8"/>
      <c r="BH194" s="8"/>
      <c r="BI194" s="8"/>
      <c r="BJ194" s="8"/>
      <c r="BK194" s="38"/>
      <c r="BL194" s="8"/>
      <c r="BM194" s="38"/>
      <c r="BX194" s="8"/>
      <c r="BY194" s="38"/>
      <c r="CJ194" s="8"/>
      <c r="CK194" s="38"/>
      <c r="CV194" s="8"/>
      <c r="CW194" s="38"/>
    </row>
    <row r="195" customFormat="false" ht="12.75" hidden="false" customHeight="false" outlineLevel="0" collapsed="false">
      <c r="B195" s="82"/>
      <c r="C195" s="85"/>
      <c r="D195" s="91"/>
      <c r="E195" s="58"/>
      <c r="F195" s="58"/>
      <c r="G195" s="58"/>
      <c r="H195" s="80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  <c r="BD195" s="87"/>
      <c r="BE195" s="8"/>
      <c r="BF195" s="8"/>
      <c r="BG195" s="8"/>
      <c r="BH195" s="8"/>
      <c r="BI195" s="8"/>
      <c r="BJ195" s="8"/>
      <c r="BK195" s="38"/>
      <c r="BL195" s="8"/>
      <c r="BM195" s="38"/>
      <c r="BX195" s="8"/>
      <c r="BY195" s="38"/>
      <c r="CJ195" s="8"/>
      <c r="CK195" s="38"/>
      <c r="CV195" s="8"/>
      <c r="CW195" s="38"/>
    </row>
    <row r="196" customFormat="false" ht="12.75" hidden="false" customHeight="false" outlineLevel="0" collapsed="false">
      <c r="B196" s="82"/>
      <c r="C196" s="85"/>
      <c r="D196" s="91"/>
      <c r="E196" s="58"/>
      <c r="F196" s="58"/>
      <c r="G196" s="58"/>
      <c r="H196" s="80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  <c r="BD196" s="87"/>
      <c r="BE196" s="8"/>
      <c r="BF196" s="8"/>
      <c r="BG196" s="8"/>
      <c r="BH196" s="8"/>
      <c r="BI196" s="8"/>
      <c r="BJ196" s="8"/>
      <c r="BK196" s="38"/>
      <c r="BL196" s="8"/>
      <c r="BM196" s="38"/>
      <c r="BX196" s="8"/>
      <c r="BY196" s="38"/>
      <c r="CJ196" s="8"/>
      <c r="CK196" s="38"/>
      <c r="CV196" s="8"/>
      <c r="CW196" s="38"/>
    </row>
    <row r="197" customFormat="false" ht="12.75" hidden="false" customHeight="false" outlineLevel="0" collapsed="false">
      <c r="B197" s="82"/>
      <c r="C197" s="85"/>
      <c r="D197" s="91"/>
      <c r="E197" s="58"/>
      <c r="F197" s="58"/>
      <c r="G197" s="58"/>
      <c r="H197" s="80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  <c r="BD197" s="87"/>
      <c r="BE197" s="8"/>
      <c r="BF197" s="8"/>
      <c r="BG197" s="8"/>
      <c r="BH197" s="8"/>
      <c r="BI197" s="8"/>
      <c r="BJ197" s="8"/>
      <c r="BK197" s="38"/>
      <c r="BL197" s="8"/>
      <c r="BM197" s="38"/>
      <c r="BX197" s="8"/>
      <c r="BY197" s="38"/>
      <c r="CJ197" s="8"/>
      <c r="CK197" s="38"/>
      <c r="CV197" s="8"/>
      <c r="CW197" s="38"/>
    </row>
    <row r="198" customFormat="false" ht="12.75" hidden="false" customHeight="false" outlineLevel="0" collapsed="false">
      <c r="B198" s="82"/>
      <c r="C198" s="85"/>
      <c r="D198" s="91"/>
      <c r="E198" s="58"/>
      <c r="F198" s="58"/>
      <c r="G198" s="58"/>
      <c r="H198" s="80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  <c r="BD198" s="87"/>
      <c r="BE198" s="8"/>
      <c r="BF198" s="8"/>
      <c r="BG198" s="8"/>
      <c r="BH198" s="8"/>
      <c r="BI198" s="8"/>
      <c r="BJ198" s="8"/>
      <c r="BK198" s="38"/>
      <c r="BL198" s="8"/>
      <c r="BM198" s="38"/>
      <c r="BX198" s="8"/>
      <c r="BY198" s="38"/>
      <c r="CJ198" s="8"/>
      <c r="CK198" s="38"/>
      <c r="CV198" s="8"/>
      <c r="CW198" s="38"/>
    </row>
    <row r="199" customFormat="false" ht="12.75" hidden="false" customHeight="false" outlineLevel="0" collapsed="false">
      <c r="B199" s="82"/>
      <c r="C199" s="85"/>
      <c r="D199" s="91"/>
      <c r="E199" s="58"/>
      <c r="F199" s="58"/>
      <c r="G199" s="58"/>
      <c r="H199" s="80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  <c r="BD199" s="87"/>
      <c r="BE199" s="8"/>
      <c r="BF199" s="8"/>
      <c r="BG199" s="8"/>
      <c r="BH199" s="8"/>
      <c r="BI199" s="8"/>
      <c r="BJ199" s="8"/>
      <c r="BK199" s="38"/>
      <c r="BL199" s="8"/>
      <c r="BM199" s="38"/>
      <c r="BX199" s="8"/>
      <c r="BY199" s="38"/>
      <c r="CJ199" s="8"/>
      <c r="CK199" s="38"/>
      <c r="CV199" s="8"/>
      <c r="CW199" s="38"/>
    </row>
    <row r="200" customFormat="false" ht="12.75" hidden="false" customHeight="false" outlineLevel="0" collapsed="false">
      <c r="B200" s="82"/>
      <c r="C200" s="85"/>
      <c r="D200" s="91"/>
      <c r="E200" s="58"/>
      <c r="F200" s="58"/>
      <c r="G200" s="58"/>
      <c r="H200" s="80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  <c r="BD200" s="87"/>
      <c r="BE200" s="8"/>
      <c r="BF200" s="8"/>
      <c r="BG200" s="8"/>
      <c r="BH200" s="8"/>
      <c r="BI200" s="8"/>
      <c r="BJ200" s="8"/>
      <c r="BK200" s="38"/>
      <c r="BL200" s="8"/>
      <c r="BM200" s="38"/>
      <c r="BX200" s="8"/>
      <c r="BY200" s="38"/>
      <c r="CJ200" s="8"/>
      <c r="CK200" s="38"/>
      <c r="CV200" s="8"/>
      <c r="CW200" s="38"/>
    </row>
    <row r="201" customFormat="false" ht="12.75" hidden="false" customHeight="false" outlineLevel="0" collapsed="false">
      <c r="B201" s="82"/>
      <c r="C201" s="85"/>
      <c r="D201" s="91"/>
      <c r="E201" s="58"/>
      <c r="F201" s="58"/>
      <c r="G201" s="58"/>
      <c r="H201" s="80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  <c r="BD201" s="87"/>
      <c r="BE201" s="8"/>
      <c r="BF201" s="8"/>
      <c r="BG201" s="8"/>
      <c r="BH201" s="8"/>
      <c r="BI201" s="8"/>
      <c r="BJ201" s="8"/>
      <c r="BK201" s="38"/>
      <c r="BL201" s="8"/>
      <c r="BM201" s="38"/>
      <c r="BX201" s="8"/>
      <c r="BY201" s="38"/>
      <c r="CJ201" s="8"/>
      <c r="CK201" s="38"/>
      <c r="CV201" s="8"/>
      <c r="CW201" s="38"/>
    </row>
    <row r="202" customFormat="false" ht="12.75" hidden="false" customHeight="false" outlineLevel="0" collapsed="false">
      <c r="B202" s="82"/>
      <c r="C202" s="85"/>
      <c r="D202" s="91"/>
      <c r="E202" s="58"/>
      <c r="F202" s="58"/>
      <c r="G202" s="58"/>
      <c r="H202" s="80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  <c r="BD202" s="87"/>
      <c r="BE202" s="8"/>
      <c r="BF202" s="8"/>
      <c r="BG202" s="8"/>
      <c r="BH202" s="8"/>
      <c r="BI202" s="8"/>
      <c r="BJ202" s="8"/>
      <c r="BK202" s="38"/>
      <c r="BL202" s="8"/>
      <c r="BM202" s="38"/>
      <c r="BX202" s="8"/>
      <c r="BY202" s="38"/>
      <c r="CJ202" s="8"/>
      <c r="CK202" s="38"/>
      <c r="CV202" s="8"/>
      <c r="CW202" s="38"/>
    </row>
    <row r="203" customFormat="false" ht="12.75" hidden="false" customHeight="false" outlineLevel="0" collapsed="false">
      <c r="B203" s="82"/>
      <c r="C203" s="85"/>
      <c r="D203" s="91"/>
      <c r="E203" s="58"/>
      <c r="F203" s="58"/>
      <c r="G203" s="58"/>
      <c r="H203" s="80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  <c r="BD203" s="87"/>
      <c r="BE203" s="8"/>
      <c r="BF203" s="8"/>
      <c r="BG203" s="8"/>
      <c r="BH203" s="8"/>
      <c r="BI203" s="8"/>
      <c r="BJ203" s="8"/>
      <c r="BK203" s="38"/>
      <c r="BL203" s="8"/>
      <c r="BM203" s="38"/>
      <c r="BX203" s="8"/>
      <c r="BY203" s="38"/>
      <c r="CJ203" s="8"/>
      <c r="CK203" s="38"/>
      <c r="CV203" s="8"/>
      <c r="CW203" s="38"/>
    </row>
    <row r="204" customFormat="false" ht="12.75" hidden="false" customHeight="false" outlineLevel="0" collapsed="false">
      <c r="B204" s="82"/>
      <c r="C204" s="85"/>
      <c r="D204" s="91"/>
      <c r="E204" s="58"/>
      <c r="F204" s="58"/>
      <c r="G204" s="58"/>
      <c r="H204" s="80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  <c r="BD204" s="87"/>
      <c r="BE204" s="8"/>
      <c r="BF204" s="8"/>
      <c r="BG204" s="8"/>
      <c r="BH204" s="8"/>
      <c r="BI204" s="8"/>
      <c r="BJ204" s="8"/>
      <c r="BK204" s="38"/>
      <c r="BL204" s="8"/>
      <c r="BM204" s="38"/>
      <c r="BX204" s="8"/>
      <c r="BY204" s="38"/>
      <c r="CJ204" s="8"/>
      <c r="CK204" s="38"/>
      <c r="CV204" s="8"/>
      <c r="CW204" s="38"/>
    </row>
    <row r="205" customFormat="false" ht="12.75" hidden="false" customHeight="false" outlineLevel="0" collapsed="false">
      <c r="B205" s="82"/>
      <c r="C205" s="85"/>
      <c r="D205" s="91"/>
      <c r="E205" s="58"/>
      <c r="F205" s="58"/>
      <c r="G205" s="58"/>
      <c r="H205" s="80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  <c r="BD205" s="87"/>
      <c r="BE205" s="8"/>
      <c r="BF205" s="8"/>
      <c r="BG205" s="8"/>
      <c r="BH205" s="8"/>
      <c r="BI205" s="8"/>
      <c r="BJ205" s="8"/>
      <c r="BK205" s="38"/>
      <c r="BL205" s="8"/>
      <c r="BM205" s="38"/>
      <c r="BX205" s="8"/>
      <c r="BY205" s="38"/>
      <c r="CJ205" s="8"/>
      <c r="CK205" s="38"/>
      <c r="CV205" s="8"/>
      <c r="CW205" s="38"/>
    </row>
    <row r="206" customFormat="false" ht="12.75" hidden="false" customHeight="false" outlineLevel="0" collapsed="false">
      <c r="B206" s="82"/>
      <c r="C206" s="85"/>
      <c r="D206" s="91"/>
      <c r="E206" s="58"/>
      <c r="F206" s="58"/>
      <c r="G206" s="58"/>
      <c r="H206" s="80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  <c r="BD206" s="87"/>
      <c r="BE206" s="8"/>
      <c r="BF206" s="8"/>
      <c r="BG206" s="8"/>
      <c r="BH206" s="8"/>
      <c r="BI206" s="8"/>
      <c r="BJ206" s="8"/>
      <c r="BK206" s="38"/>
      <c r="BL206" s="8"/>
      <c r="BM206" s="38"/>
      <c r="BX206" s="8"/>
      <c r="BY206" s="38"/>
      <c r="CJ206" s="8"/>
      <c r="CK206" s="38"/>
      <c r="CV206" s="8"/>
      <c r="CW206" s="38"/>
    </row>
    <row r="207" customFormat="false" ht="12.75" hidden="false" customHeight="false" outlineLevel="0" collapsed="false">
      <c r="B207" s="82"/>
      <c r="C207" s="85"/>
      <c r="D207" s="91"/>
      <c r="E207" s="58"/>
      <c r="F207" s="58"/>
      <c r="G207" s="58"/>
      <c r="H207" s="80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  <c r="BD207" s="87"/>
      <c r="BE207" s="8"/>
      <c r="BF207" s="8"/>
      <c r="BG207" s="8"/>
      <c r="BH207" s="8"/>
      <c r="BI207" s="8"/>
      <c r="BJ207" s="8"/>
      <c r="BK207" s="38"/>
      <c r="BL207" s="8"/>
      <c r="BM207" s="38"/>
      <c r="BX207" s="8"/>
      <c r="BY207" s="38"/>
      <c r="CJ207" s="8"/>
      <c r="CK207" s="38"/>
      <c r="CV207" s="8"/>
      <c r="CW207" s="38"/>
    </row>
    <row r="208" customFormat="false" ht="12.75" hidden="false" customHeight="false" outlineLevel="0" collapsed="false">
      <c r="B208" s="82"/>
      <c r="C208" s="85"/>
      <c r="D208" s="91"/>
      <c r="E208" s="58"/>
      <c r="F208" s="58"/>
      <c r="G208" s="58"/>
      <c r="H208" s="80"/>
      <c r="I208" s="87"/>
      <c r="J208" s="87"/>
      <c r="K208" s="87"/>
      <c r="L208" s="87"/>
      <c r="M208" s="87"/>
      <c r="N208" s="87"/>
      <c r="O208" s="87"/>
      <c r="P208" s="87"/>
      <c r="Q208" s="87"/>
      <c r="R208" s="87"/>
      <c r="S208" s="87"/>
      <c r="T208" s="87"/>
      <c r="U208" s="87"/>
      <c r="V208" s="87"/>
      <c r="W208" s="87"/>
      <c r="X208" s="87"/>
      <c r="Y208" s="87"/>
      <c r="Z208" s="87"/>
      <c r="AA208" s="87"/>
      <c r="AB208" s="87"/>
      <c r="AC208" s="87"/>
      <c r="AD208" s="87"/>
      <c r="AE208" s="87"/>
      <c r="AF208" s="87"/>
      <c r="AG208" s="87"/>
      <c r="AH208" s="87"/>
      <c r="AI208" s="87"/>
      <c r="AJ208" s="87"/>
      <c r="AK208" s="87"/>
      <c r="AL208" s="87"/>
      <c r="AM208" s="87"/>
      <c r="AN208" s="87"/>
      <c r="AO208" s="87"/>
      <c r="AP208" s="87"/>
      <c r="AQ208" s="87"/>
      <c r="AR208" s="87"/>
      <c r="AS208" s="87"/>
      <c r="AT208" s="87"/>
      <c r="AU208" s="87"/>
      <c r="AV208" s="87"/>
      <c r="AW208" s="87"/>
      <c r="AX208" s="87"/>
      <c r="AY208" s="87"/>
      <c r="AZ208" s="87"/>
      <c r="BA208" s="87"/>
      <c r="BB208" s="87"/>
      <c r="BC208" s="87"/>
      <c r="BD208" s="87"/>
      <c r="BE208" s="8"/>
      <c r="BF208" s="8"/>
      <c r="BG208" s="8"/>
      <c r="BH208" s="8"/>
      <c r="BI208" s="8"/>
      <c r="BJ208" s="8"/>
      <c r="BK208" s="38"/>
      <c r="BL208" s="8"/>
      <c r="BM208" s="38"/>
      <c r="BX208" s="8"/>
      <c r="BY208" s="38"/>
      <c r="CJ208" s="8"/>
      <c r="CK208" s="38"/>
      <c r="CV208" s="8"/>
      <c r="CW208" s="38"/>
    </row>
    <row r="209" customFormat="false" ht="12.75" hidden="false" customHeight="false" outlineLevel="0" collapsed="false">
      <c r="B209" s="82"/>
      <c r="C209" s="85"/>
      <c r="D209" s="91"/>
      <c r="E209" s="58"/>
      <c r="F209" s="58"/>
      <c r="G209" s="58"/>
      <c r="H209" s="80"/>
      <c r="I209" s="87"/>
      <c r="J209" s="87"/>
      <c r="K209" s="87"/>
      <c r="L209" s="87"/>
      <c r="M209" s="87"/>
      <c r="N209" s="87"/>
      <c r="O209" s="87"/>
      <c r="P209" s="87"/>
      <c r="Q209" s="87"/>
      <c r="R209" s="87"/>
      <c r="S209" s="87"/>
      <c r="T209" s="87"/>
      <c r="U209" s="87"/>
      <c r="V209" s="87"/>
      <c r="W209" s="87"/>
      <c r="X209" s="87"/>
      <c r="Y209" s="87"/>
      <c r="Z209" s="87"/>
      <c r="AA209" s="87"/>
      <c r="AB209" s="87"/>
      <c r="AC209" s="87"/>
      <c r="AD209" s="87"/>
      <c r="AE209" s="87"/>
      <c r="AF209" s="87"/>
      <c r="AG209" s="87"/>
      <c r="AH209" s="87"/>
      <c r="AI209" s="87"/>
      <c r="AJ209" s="87"/>
      <c r="AK209" s="87"/>
      <c r="AL209" s="87"/>
      <c r="AM209" s="87"/>
      <c r="AN209" s="87"/>
      <c r="AO209" s="87"/>
      <c r="AP209" s="87"/>
      <c r="AQ209" s="87"/>
      <c r="AR209" s="87"/>
      <c r="AS209" s="87"/>
      <c r="AT209" s="87"/>
      <c r="AU209" s="87"/>
      <c r="AV209" s="87"/>
      <c r="AW209" s="87"/>
      <c r="AX209" s="87"/>
      <c r="AY209" s="87"/>
      <c r="AZ209" s="87"/>
      <c r="BA209" s="87"/>
      <c r="BB209" s="87"/>
      <c r="BC209" s="87"/>
      <c r="BD209" s="87"/>
      <c r="BE209" s="8"/>
      <c r="BF209" s="8"/>
      <c r="BG209" s="8"/>
      <c r="BH209" s="8"/>
      <c r="BI209" s="8"/>
      <c r="BJ209" s="8"/>
      <c r="BK209" s="38"/>
      <c r="BL209" s="8"/>
      <c r="BM209" s="38"/>
      <c r="BX209" s="8"/>
      <c r="BY209" s="38"/>
      <c r="CJ209" s="8"/>
      <c r="CK209" s="38"/>
      <c r="CV209" s="8"/>
      <c r="CW209" s="38"/>
    </row>
    <row r="210" customFormat="false" ht="12.75" hidden="false" customHeight="false" outlineLevel="0" collapsed="false">
      <c r="B210" s="82"/>
      <c r="C210" s="85"/>
      <c r="D210" s="91"/>
      <c r="E210" s="58"/>
      <c r="F210" s="58"/>
      <c r="G210" s="58"/>
      <c r="H210" s="80"/>
      <c r="I210" s="87"/>
      <c r="J210" s="87"/>
      <c r="K210" s="87"/>
      <c r="L210" s="87"/>
      <c r="M210" s="87"/>
      <c r="N210" s="87"/>
      <c r="O210" s="87"/>
      <c r="P210" s="87"/>
      <c r="Q210" s="87"/>
      <c r="R210" s="87"/>
      <c r="S210" s="87"/>
      <c r="T210" s="87"/>
      <c r="U210" s="87"/>
      <c r="V210" s="87"/>
      <c r="W210" s="87"/>
      <c r="X210" s="87"/>
      <c r="Y210" s="87"/>
      <c r="Z210" s="87"/>
      <c r="AA210" s="87"/>
      <c r="AB210" s="87"/>
      <c r="AC210" s="87"/>
      <c r="AD210" s="87"/>
      <c r="AE210" s="87"/>
      <c r="AF210" s="87"/>
      <c r="AG210" s="87"/>
      <c r="AH210" s="87"/>
      <c r="AI210" s="87"/>
      <c r="AJ210" s="87"/>
      <c r="AK210" s="87"/>
      <c r="AL210" s="87"/>
      <c r="AM210" s="87"/>
      <c r="AN210" s="87"/>
      <c r="AO210" s="87"/>
      <c r="AP210" s="87"/>
      <c r="AQ210" s="87"/>
      <c r="AR210" s="87"/>
      <c r="AS210" s="87"/>
      <c r="AT210" s="87"/>
      <c r="AU210" s="87"/>
      <c r="AV210" s="87"/>
      <c r="AW210" s="87"/>
      <c r="AX210" s="87"/>
      <c r="AY210" s="87"/>
      <c r="AZ210" s="87"/>
      <c r="BA210" s="87"/>
      <c r="BB210" s="87"/>
      <c r="BC210" s="87"/>
      <c r="BD210" s="87"/>
      <c r="BE210" s="8"/>
      <c r="BF210" s="8"/>
      <c r="BG210" s="8"/>
      <c r="BH210" s="8"/>
      <c r="BI210" s="8"/>
      <c r="BJ210" s="8"/>
      <c r="BK210" s="38"/>
      <c r="BL210" s="8"/>
      <c r="BM210" s="38"/>
      <c r="BX210" s="8"/>
      <c r="BY210" s="38"/>
      <c r="CJ210" s="8"/>
      <c r="CK210" s="38"/>
      <c r="CV210" s="8"/>
      <c r="CW210" s="38"/>
    </row>
    <row r="211" customFormat="false" ht="12.75" hidden="false" customHeight="false" outlineLevel="0" collapsed="false">
      <c r="B211" s="82"/>
      <c r="C211" s="85"/>
      <c r="D211" s="91"/>
      <c r="E211" s="58"/>
      <c r="F211" s="58"/>
      <c r="G211" s="58"/>
      <c r="H211" s="80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  <c r="Z211" s="87"/>
      <c r="AA211" s="87"/>
      <c r="AB211" s="87"/>
      <c r="AC211" s="87"/>
      <c r="AD211" s="87"/>
      <c r="AE211" s="87"/>
      <c r="AF211" s="87"/>
      <c r="AG211" s="87"/>
      <c r="AH211" s="87"/>
      <c r="AI211" s="87"/>
      <c r="AJ211" s="87"/>
      <c r="AK211" s="87"/>
      <c r="AL211" s="87"/>
      <c r="AM211" s="87"/>
      <c r="AN211" s="87"/>
      <c r="AO211" s="87"/>
      <c r="AP211" s="87"/>
      <c r="AQ211" s="87"/>
      <c r="AR211" s="87"/>
      <c r="AS211" s="87"/>
      <c r="AT211" s="87"/>
      <c r="AU211" s="87"/>
      <c r="AV211" s="87"/>
      <c r="AW211" s="87"/>
      <c r="AX211" s="87"/>
      <c r="AY211" s="87"/>
      <c r="AZ211" s="87"/>
      <c r="BA211" s="87"/>
      <c r="BB211" s="87"/>
      <c r="BC211" s="87"/>
      <c r="BD211" s="87"/>
      <c r="BE211" s="8"/>
      <c r="BF211" s="8"/>
      <c r="BG211" s="8"/>
      <c r="BH211" s="8"/>
      <c r="BI211" s="8"/>
      <c r="BJ211" s="8"/>
      <c r="BK211" s="38"/>
      <c r="BL211" s="8"/>
      <c r="BM211" s="38"/>
      <c r="BX211" s="8"/>
      <c r="BY211" s="38"/>
      <c r="CJ211" s="8"/>
      <c r="CK211" s="38"/>
      <c r="CV211" s="8"/>
      <c r="CW211" s="38"/>
    </row>
    <row r="212" customFormat="false" ht="12.75" hidden="false" customHeight="false" outlineLevel="0" collapsed="false">
      <c r="B212" s="82"/>
      <c r="C212" s="85"/>
      <c r="D212" s="91"/>
      <c r="E212" s="58"/>
      <c r="F212" s="58"/>
      <c r="G212" s="58"/>
      <c r="H212" s="80"/>
      <c r="I212" s="87"/>
      <c r="J212" s="87"/>
      <c r="K212" s="87"/>
      <c r="L212" s="87"/>
      <c r="M212" s="87"/>
      <c r="N212" s="87"/>
      <c r="O212" s="87"/>
      <c r="P212" s="87"/>
      <c r="Q212" s="87"/>
      <c r="R212" s="87"/>
      <c r="S212" s="87"/>
      <c r="T212" s="87"/>
      <c r="U212" s="87"/>
      <c r="V212" s="87"/>
      <c r="W212" s="87"/>
      <c r="X212" s="87"/>
      <c r="Y212" s="87"/>
      <c r="Z212" s="87"/>
      <c r="AA212" s="87"/>
      <c r="AB212" s="87"/>
      <c r="AC212" s="87"/>
      <c r="AD212" s="87"/>
      <c r="AE212" s="87"/>
      <c r="AF212" s="87"/>
      <c r="AG212" s="87"/>
      <c r="AH212" s="87"/>
      <c r="AI212" s="87"/>
      <c r="AJ212" s="87"/>
      <c r="AK212" s="87"/>
      <c r="AL212" s="87"/>
      <c r="AM212" s="87"/>
      <c r="AN212" s="87"/>
      <c r="AO212" s="87"/>
      <c r="AP212" s="87"/>
      <c r="AQ212" s="87"/>
      <c r="AR212" s="87"/>
      <c r="AS212" s="87"/>
      <c r="AT212" s="87"/>
      <c r="AU212" s="87"/>
      <c r="AV212" s="87"/>
      <c r="AW212" s="87"/>
      <c r="AX212" s="87"/>
      <c r="AY212" s="87"/>
      <c r="AZ212" s="87"/>
      <c r="BA212" s="87"/>
      <c r="BB212" s="87"/>
      <c r="BC212" s="87"/>
      <c r="BD212" s="87"/>
      <c r="BE212" s="8"/>
      <c r="BF212" s="8"/>
      <c r="BG212" s="8"/>
      <c r="BH212" s="8"/>
      <c r="BI212" s="8"/>
      <c r="BJ212" s="8"/>
      <c r="BK212" s="38"/>
      <c r="BL212" s="8"/>
      <c r="BM212" s="38"/>
      <c r="BX212" s="8"/>
      <c r="BY212" s="38"/>
      <c r="CJ212" s="8"/>
      <c r="CK212" s="38"/>
      <c r="CV212" s="8"/>
      <c r="CW212" s="38"/>
    </row>
    <row r="213" customFormat="false" ht="12.75" hidden="false" customHeight="false" outlineLevel="0" collapsed="false">
      <c r="B213" s="82"/>
      <c r="C213" s="85"/>
      <c r="D213" s="91"/>
      <c r="E213" s="58"/>
      <c r="F213" s="58"/>
      <c r="G213" s="58"/>
      <c r="H213" s="80"/>
      <c r="I213" s="87"/>
      <c r="J213" s="87"/>
      <c r="K213" s="87"/>
      <c r="L213" s="87"/>
      <c r="M213" s="87"/>
      <c r="N213" s="87"/>
      <c r="O213" s="87"/>
      <c r="P213" s="87"/>
      <c r="Q213" s="87"/>
      <c r="R213" s="87"/>
      <c r="S213" s="87"/>
      <c r="T213" s="87"/>
      <c r="U213" s="87"/>
      <c r="V213" s="87"/>
      <c r="W213" s="87"/>
      <c r="X213" s="87"/>
      <c r="Y213" s="87"/>
      <c r="Z213" s="87"/>
      <c r="AA213" s="87"/>
      <c r="AB213" s="87"/>
      <c r="AC213" s="87"/>
      <c r="AD213" s="87"/>
      <c r="AE213" s="87"/>
      <c r="AF213" s="87"/>
      <c r="AG213" s="87"/>
      <c r="AH213" s="87"/>
      <c r="AI213" s="87"/>
      <c r="AJ213" s="87"/>
      <c r="AK213" s="87"/>
      <c r="AL213" s="87"/>
      <c r="AM213" s="87"/>
      <c r="AN213" s="87"/>
      <c r="AO213" s="87"/>
      <c r="AP213" s="87"/>
      <c r="AQ213" s="87"/>
      <c r="AR213" s="87"/>
      <c r="AS213" s="87"/>
      <c r="AT213" s="87"/>
      <c r="AU213" s="87"/>
      <c r="AV213" s="87"/>
      <c r="AW213" s="87"/>
      <c r="AX213" s="87"/>
      <c r="AY213" s="87"/>
      <c r="AZ213" s="87"/>
      <c r="BA213" s="87"/>
      <c r="BB213" s="87"/>
      <c r="BC213" s="87"/>
      <c r="BD213" s="87"/>
      <c r="BE213" s="8"/>
      <c r="BF213" s="8"/>
      <c r="BG213" s="8"/>
      <c r="BH213" s="8"/>
      <c r="BI213" s="8"/>
      <c r="BJ213" s="8"/>
      <c r="BK213" s="38"/>
      <c r="BL213" s="8"/>
      <c r="BM213" s="38"/>
      <c r="BX213" s="8"/>
      <c r="BY213" s="38"/>
      <c r="CJ213" s="8"/>
      <c r="CK213" s="38"/>
      <c r="CV213" s="8"/>
      <c r="CW213" s="38"/>
    </row>
    <row r="214" customFormat="false" ht="12.75" hidden="false" customHeight="false" outlineLevel="0" collapsed="false">
      <c r="B214" s="82"/>
      <c r="C214" s="85"/>
      <c r="D214" s="91"/>
      <c r="E214" s="58"/>
      <c r="F214" s="58"/>
      <c r="G214" s="58"/>
      <c r="H214" s="80"/>
      <c r="I214" s="87"/>
      <c r="J214" s="87"/>
      <c r="K214" s="87"/>
      <c r="L214" s="87"/>
      <c r="M214" s="87"/>
      <c r="N214" s="87"/>
      <c r="O214" s="87"/>
      <c r="P214" s="87"/>
      <c r="Q214" s="87"/>
      <c r="R214" s="87"/>
      <c r="S214" s="87"/>
      <c r="T214" s="87"/>
      <c r="U214" s="87"/>
      <c r="V214" s="87"/>
      <c r="W214" s="87"/>
      <c r="X214" s="87"/>
      <c r="Y214" s="87"/>
      <c r="Z214" s="87"/>
      <c r="AA214" s="87"/>
      <c r="AB214" s="87"/>
      <c r="AC214" s="87"/>
      <c r="AD214" s="87"/>
      <c r="AE214" s="87"/>
      <c r="AF214" s="87"/>
      <c r="AG214" s="87"/>
      <c r="AH214" s="87"/>
      <c r="AI214" s="87"/>
      <c r="AJ214" s="87"/>
      <c r="AK214" s="87"/>
      <c r="AL214" s="87"/>
      <c r="AM214" s="87"/>
      <c r="AN214" s="87"/>
      <c r="AO214" s="87"/>
      <c r="AP214" s="87"/>
      <c r="AQ214" s="87"/>
      <c r="AR214" s="87"/>
      <c r="AS214" s="87"/>
      <c r="AT214" s="87"/>
      <c r="AU214" s="87"/>
      <c r="AV214" s="87"/>
      <c r="AW214" s="87"/>
      <c r="AX214" s="87"/>
      <c r="AY214" s="87"/>
      <c r="AZ214" s="87"/>
      <c r="BA214" s="87"/>
      <c r="BB214" s="87"/>
      <c r="BC214" s="87"/>
      <c r="BD214" s="87"/>
      <c r="BE214" s="8"/>
      <c r="BF214" s="8"/>
      <c r="BG214" s="8"/>
      <c r="BH214" s="8"/>
      <c r="BI214" s="8"/>
      <c r="BJ214" s="8"/>
      <c r="BK214" s="38"/>
      <c r="BL214" s="8"/>
      <c r="BM214" s="38"/>
      <c r="BX214" s="8"/>
      <c r="BY214" s="38"/>
      <c r="CJ214" s="8"/>
      <c r="CK214" s="38"/>
      <c r="CV214" s="8"/>
      <c r="CW214" s="38"/>
    </row>
    <row r="215" customFormat="false" ht="12.75" hidden="false" customHeight="false" outlineLevel="0" collapsed="false">
      <c r="B215" s="82"/>
      <c r="C215" s="85"/>
      <c r="D215" s="91"/>
      <c r="E215" s="58"/>
      <c r="F215" s="58"/>
      <c r="G215" s="58"/>
      <c r="H215" s="80"/>
      <c r="I215" s="87"/>
      <c r="J215" s="87"/>
      <c r="K215" s="87"/>
      <c r="L215" s="87"/>
      <c r="M215" s="87"/>
      <c r="N215" s="87"/>
      <c r="O215" s="87"/>
      <c r="P215" s="87"/>
      <c r="Q215" s="87"/>
      <c r="R215" s="87"/>
      <c r="S215" s="87"/>
      <c r="T215" s="87"/>
      <c r="U215" s="87"/>
      <c r="V215" s="87"/>
      <c r="W215" s="87"/>
      <c r="X215" s="87"/>
      <c r="Y215" s="87"/>
      <c r="Z215" s="87"/>
      <c r="AA215" s="87"/>
      <c r="AB215" s="87"/>
      <c r="AC215" s="87"/>
      <c r="AD215" s="87"/>
      <c r="AE215" s="87"/>
      <c r="AF215" s="87"/>
      <c r="AG215" s="87"/>
      <c r="AH215" s="87"/>
      <c r="AI215" s="87"/>
      <c r="AJ215" s="87"/>
      <c r="AK215" s="87"/>
      <c r="AL215" s="87"/>
      <c r="AM215" s="87"/>
      <c r="AN215" s="87"/>
      <c r="AO215" s="87"/>
      <c r="AP215" s="87"/>
      <c r="AQ215" s="87"/>
      <c r="AR215" s="87"/>
      <c r="AS215" s="87"/>
      <c r="AT215" s="87"/>
      <c r="AU215" s="87"/>
      <c r="AV215" s="87"/>
      <c r="AW215" s="87"/>
      <c r="AX215" s="87"/>
      <c r="AY215" s="87"/>
      <c r="AZ215" s="87"/>
      <c r="BA215" s="87"/>
      <c r="BB215" s="87"/>
      <c r="BC215" s="87"/>
      <c r="BD215" s="87"/>
      <c r="BE215" s="8"/>
      <c r="BF215" s="8"/>
      <c r="BG215" s="8"/>
      <c r="BH215" s="8"/>
      <c r="BI215" s="8"/>
      <c r="BJ215" s="8"/>
      <c r="BK215" s="38"/>
      <c r="BL215" s="8"/>
      <c r="BM215" s="38"/>
      <c r="BX215" s="8"/>
      <c r="BY215" s="38"/>
      <c r="CJ215" s="8"/>
      <c r="CK215" s="38"/>
      <c r="CV215" s="8"/>
      <c r="CW215" s="38"/>
    </row>
    <row r="216" customFormat="false" ht="12.75" hidden="false" customHeight="false" outlineLevel="0" collapsed="false">
      <c r="B216" s="82"/>
      <c r="C216" s="85"/>
      <c r="D216" s="91"/>
      <c r="E216" s="58"/>
      <c r="F216" s="58"/>
      <c r="G216" s="58"/>
      <c r="H216" s="80"/>
      <c r="I216" s="87"/>
      <c r="J216" s="87"/>
      <c r="K216" s="87"/>
      <c r="L216" s="87"/>
      <c r="M216" s="87"/>
      <c r="N216" s="87"/>
      <c r="O216" s="87"/>
      <c r="P216" s="87"/>
      <c r="Q216" s="87"/>
      <c r="R216" s="87"/>
      <c r="S216" s="87"/>
      <c r="T216" s="87"/>
      <c r="U216" s="87"/>
      <c r="V216" s="87"/>
      <c r="W216" s="87"/>
      <c r="X216" s="87"/>
      <c r="Y216" s="87"/>
      <c r="Z216" s="87"/>
      <c r="AA216" s="87"/>
      <c r="AB216" s="87"/>
      <c r="AC216" s="87"/>
      <c r="AD216" s="87"/>
      <c r="AE216" s="87"/>
      <c r="AF216" s="87"/>
      <c r="AG216" s="87"/>
      <c r="AH216" s="87"/>
      <c r="AI216" s="87"/>
      <c r="AJ216" s="87"/>
      <c r="AK216" s="87"/>
      <c r="AL216" s="87"/>
      <c r="AM216" s="87"/>
      <c r="AN216" s="87"/>
      <c r="AO216" s="87"/>
      <c r="AP216" s="87"/>
      <c r="AQ216" s="87"/>
      <c r="AR216" s="87"/>
      <c r="AS216" s="87"/>
      <c r="AT216" s="87"/>
      <c r="AU216" s="87"/>
      <c r="AV216" s="87"/>
      <c r="AW216" s="87"/>
      <c r="AX216" s="87"/>
      <c r="AY216" s="87"/>
      <c r="AZ216" s="87"/>
      <c r="BA216" s="87"/>
      <c r="BB216" s="87"/>
      <c r="BC216" s="87"/>
      <c r="BD216" s="87"/>
      <c r="BE216" s="8"/>
      <c r="BF216" s="8"/>
      <c r="BG216" s="8"/>
      <c r="BH216" s="8"/>
      <c r="BI216" s="8"/>
      <c r="BJ216" s="8"/>
      <c r="BK216" s="38"/>
      <c r="BL216" s="8"/>
      <c r="BM216" s="38"/>
      <c r="BX216" s="8"/>
      <c r="BY216" s="38"/>
      <c r="CJ216" s="8"/>
      <c r="CK216" s="38"/>
      <c r="CV216" s="8"/>
      <c r="CW216" s="38"/>
    </row>
    <row r="217" customFormat="false" ht="12.75" hidden="false" customHeight="false" outlineLevel="0" collapsed="false">
      <c r="B217" s="92"/>
      <c r="C217" s="91"/>
      <c r="D217" s="91"/>
      <c r="E217" s="58"/>
      <c r="F217" s="58"/>
      <c r="G217" s="58"/>
      <c r="H217" s="80"/>
      <c r="I217" s="87"/>
      <c r="J217" s="87"/>
      <c r="K217" s="87"/>
      <c r="L217" s="87"/>
      <c r="M217" s="87"/>
      <c r="N217" s="87"/>
      <c r="O217" s="87"/>
      <c r="P217" s="87"/>
      <c r="Q217" s="87"/>
      <c r="R217" s="87"/>
      <c r="S217" s="87"/>
      <c r="T217" s="87"/>
      <c r="U217" s="87"/>
      <c r="V217" s="87"/>
      <c r="W217" s="87"/>
      <c r="X217" s="87"/>
      <c r="Y217" s="87"/>
      <c r="Z217" s="87"/>
      <c r="AA217" s="87"/>
      <c r="AB217" s="87"/>
      <c r="AC217" s="87"/>
      <c r="AD217" s="87"/>
      <c r="AE217" s="87"/>
      <c r="AF217" s="87"/>
      <c r="AG217" s="87"/>
      <c r="AH217" s="87"/>
      <c r="AI217" s="87"/>
      <c r="AJ217" s="87"/>
      <c r="AK217" s="87"/>
      <c r="AL217" s="87"/>
      <c r="AM217" s="87"/>
      <c r="AN217" s="87"/>
      <c r="AO217" s="87"/>
      <c r="AP217" s="87"/>
      <c r="AQ217" s="87"/>
      <c r="AR217" s="87"/>
      <c r="AS217" s="87"/>
      <c r="AT217" s="87"/>
      <c r="AU217" s="87"/>
      <c r="AV217" s="87"/>
      <c r="AW217" s="87"/>
      <c r="AX217" s="87"/>
      <c r="AY217" s="87"/>
      <c r="AZ217" s="87"/>
      <c r="BA217" s="87"/>
      <c r="BB217" s="87"/>
      <c r="BC217" s="87"/>
      <c r="BD217" s="87"/>
      <c r="BE217" s="8"/>
      <c r="BF217" s="8"/>
      <c r="BG217" s="8"/>
      <c r="BH217" s="8"/>
      <c r="BI217" s="8"/>
      <c r="BJ217" s="8"/>
      <c r="BK217" s="38"/>
      <c r="BL217" s="8"/>
      <c r="BM217" s="38"/>
      <c r="BX217" s="8"/>
      <c r="BY217" s="38"/>
      <c r="CJ217" s="8"/>
      <c r="CK217" s="38"/>
      <c r="CV217" s="8"/>
      <c r="CW217" s="38"/>
    </row>
    <row r="218" customFormat="false" ht="12.75" hidden="false" customHeight="false" outlineLevel="0" collapsed="false">
      <c r="B218" s="92"/>
      <c r="C218" s="91"/>
      <c r="D218" s="91"/>
      <c r="E218" s="58"/>
      <c r="F218" s="58"/>
      <c r="G218" s="58"/>
      <c r="H218" s="80"/>
      <c r="I218" s="87"/>
      <c r="J218" s="87"/>
      <c r="K218" s="87"/>
      <c r="L218" s="87"/>
      <c r="M218" s="87"/>
      <c r="N218" s="87"/>
      <c r="O218" s="87"/>
      <c r="P218" s="87"/>
      <c r="Q218" s="87"/>
      <c r="R218" s="87"/>
      <c r="S218" s="87"/>
      <c r="T218" s="87"/>
      <c r="U218" s="87"/>
      <c r="V218" s="87"/>
      <c r="W218" s="87"/>
      <c r="X218" s="87"/>
      <c r="Y218" s="87"/>
      <c r="Z218" s="87"/>
      <c r="AA218" s="87"/>
      <c r="AB218" s="87"/>
      <c r="AC218" s="87"/>
      <c r="AD218" s="87"/>
      <c r="AE218" s="87"/>
      <c r="AF218" s="87"/>
      <c r="AG218" s="87"/>
      <c r="AH218" s="87"/>
      <c r="AI218" s="87"/>
      <c r="AJ218" s="87"/>
      <c r="AK218" s="87"/>
      <c r="AL218" s="87"/>
      <c r="AM218" s="87"/>
      <c r="AN218" s="87"/>
      <c r="AO218" s="87"/>
      <c r="AP218" s="87"/>
      <c r="AQ218" s="87"/>
      <c r="AR218" s="87"/>
      <c r="AS218" s="87"/>
      <c r="AT218" s="87"/>
      <c r="AU218" s="87"/>
      <c r="AV218" s="87"/>
      <c r="AW218" s="87"/>
      <c r="AX218" s="87"/>
      <c r="AY218" s="87"/>
      <c r="AZ218" s="87"/>
      <c r="BA218" s="87"/>
      <c r="BB218" s="87"/>
      <c r="BC218" s="87"/>
      <c r="BD218" s="87"/>
      <c r="BE218" s="8"/>
      <c r="BF218" s="8"/>
      <c r="BG218" s="8"/>
      <c r="BH218" s="8"/>
      <c r="BI218" s="8"/>
      <c r="BJ218" s="8"/>
      <c r="BK218" s="38"/>
      <c r="BL218" s="8"/>
      <c r="BM218" s="38"/>
      <c r="BX218" s="8"/>
      <c r="BY218" s="38"/>
      <c r="CJ218" s="8"/>
      <c r="CK218" s="38"/>
      <c r="CV218" s="8"/>
      <c r="CW218" s="38"/>
    </row>
    <row r="219" customFormat="false" ht="12.75" hidden="false" customHeight="false" outlineLevel="0" collapsed="false">
      <c r="B219" s="92"/>
      <c r="C219" s="91"/>
      <c r="D219" s="91"/>
      <c r="E219" s="58"/>
      <c r="F219" s="58"/>
      <c r="G219" s="58"/>
      <c r="H219" s="80"/>
      <c r="I219" s="87"/>
      <c r="J219" s="87"/>
      <c r="K219" s="87"/>
      <c r="L219" s="87"/>
      <c r="M219" s="87"/>
      <c r="N219" s="87"/>
      <c r="O219" s="87"/>
      <c r="P219" s="87"/>
      <c r="Q219" s="87"/>
      <c r="R219" s="87"/>
      <c r="S219" s="87"/>
      <c r="T219" s="87"/>
      <c r="U219" s="87"/>
      <c r="V219" s="87"/>
      <c r="W219" s="87"/>
      <c r="X219" s="87"/>
      <c r="Y219" s="87"/>
      <c r="Z219" s="87"/>
      <c r="AA219" s="87"/>
      <c r="AB219" s="87"/>
      <c r="AC219" s="87"/>
      <c r="AD219" s="87"/>
      <c r="AE219" s="87"/>
      <c r="AF219" s="87"/>
      <c r="AG219" s="87"/>
      <c r="AH219" s="87"/>
      <c r="AI219" s="87"/>
      <c r="AJ219" s="87"/>
      <c r="AK219" s="87"/>
      <c r="AL219" s="87"/>
      <c r="AM219" s="87"/>
      <c r="AN219" s="87"/>
      <c r="AO219" s="87"/>
      <c r="AP219" s="87"/>
      <c r="AQ219" s="87"/>
      <c r="AR219" s="87"/>
      <c r="AS219" s="87"/>
      <c r="AT219" s="87"/>
      <c r="AU219" s="87"/>
      <c r="AV219" s="87"/>
      <c r="AW219" s="87"/>
      <c r="AX219" s="87"/>
      <c r="AY219" s="87"/>
      <c r="AZ219" s="87"/>
      <c r="BA219" s="87"/>
      <c r="BB219" s="87"/>
      <c r="BC219" s="87"/>
      <c r="BD219" s="87"/>
      <c r="BE219" s="8"/>
      <c r="BF219" s="8"/>
      <c r="BG219" s="8"/>
      <c r="BH219" s="8"/>
      <c r="BI219" s="8"/>
      <c r="BJ219" s="8"/>
      <c r="BK219" s="38"/>
      <c r="BL219" s="8"/>
      <c r="BM219" s="38"/>
      <c r="BX219" s="8"/>
      <c r="BY219" s="38"/>
      <c r="CJ219" s="8"/>
      <c r="CK219" s="38"/>
      <c r="CV219" s="8"/>
      <c r="CW219" s="38"/>
    </row>
    <row r="220" customFormat="false" ht="12.75" hidden="false" customHeight="false" outlineLevel="0" collapsed="false">
      <c r="B220" s="92"/>
      <c r="C220" s="91"/>
      <c r="D220" s="91"/>
      <c r="E220" s="58"/>
      <c r="F220" s="58"/>
      <c r="G220" s="58"/>
      <c r="H220" s="80"/>
      <c r="I220" s="87"/>
      <c r="J220" s="87"/>
      <c r="K220" s="87"/>
      <c r="L220" s="87"/>
      <c r="M220" s="87"/>
      <c r="N220" s="87"/>
      <c r="O220" s="87"/>
      <c r="P220" s="87"/>
      <c r="Q220" s="87"/>
      <c r="R220" s="87"/>
      <c r="S220" s="87"/>
      <c r="T220" s="87"/>
      <c r="U220" s="87"/>
      <c r="V220" s="87"/>
      <c r="W220" s="87"/>
      <c r="X220" s="87"/>
      <c r="Y220" s="87"/>
      <c r="Z220" s="87"/>
      <c r="AA220" s="87"/>
      <c r="AB220" s="87"/>
      <c r="AC220" s="87"/>
      <c r="AD220" s="87"/>
      <c r="AE220" s="87"/>
      <c r="AF220" s="87"/>
      <c r="AG220" s="87"/>
      <c r="AH220" s="87"/>
      <c r="AI220" s="87"/>
      <c r="AJ220" s="87"/>
      <c r="AK220" s="87"/>
      <c r="AL220" s="87"/>
      <c r="AM220" s="87"/>
      <c r="AN220" s="87"/>
      <c r="AO220" s="87"/>
      <c r="AP220" s="87"/>
      <c r="AQ220" s="87"/>
      <c r="AR220" s="87"/>
      <c r="AS220" s="87"/>
      <c r="AT220" s="87"/>
      <c r="AU220" s="87"/>
      <c r="AV220" s="87"/>
      <c r="AW220" s="87"/>
      <c r="AX220" s="87"/>
      <c r="AY220" s="87"/>
      <c r="AZ220" s="87"/>
      <c r="BA220" s="87"/>
      <c r="BB220" s="87"/>
      <c r="BC220" s="87"/>
      <c r="BD220" s="87"/>
      <c r="BE220" s="8"/>
      <c r="BF220" s="8"/>
      <c r="BG220" s="8"/>
      <c r="BH220" s="8"/>
      <c r="BI220" s="8"/>
      <c r="BJ220" s="8"/>
      <c r="BK220" s="38"/>
      <c r="BL220" s="8"/>
      <c r="BM220" s="38"/>
      <c r="BX220" s="8"/>
      <c r="BY220" s="38"/>
      <c r="CJ220" s="8"/>
      <c r="CK220" s="38"/>
      <c r="CV220" s="8"/>
      <c r="CW220" s="38"/>
    </row>
    <row r="221" customFormat="false" ht="12.75" hidden="false" customHeight="false" outlineLevel="0" collapsed="false">
      <c r="B221" s="92"/>
      <c r="C221" s="91"/>
      <c r="D221" s="91"/>
      <c r="E221" s="58"/>
      <c r="F221" s="58"/>
      <c r="G221" s="58"/>
      <c r="H221" s="80"/>
      <c r="I221" s="87"/>
      <c r="J221" s="87"/>
      <c r="K221" s="87"/>
      <c r="L221" s="87"/>
      <c r="M221" s="87"/>
      <c r="N221" s="87"/>
      <c r="O221" s="87"/>
      <c r="P221" s="87"/>
      <c r="Q221" s="87"/>
      <c r="R221" s="87"/>
      <c r="S221" s="87"/>
      <c r="T221" s="87"/>
      <c r="U221" s="87"/>
      <c r="V221" s="87"/>
      <c r="W221" s="87"/>
      <c r="X221" s="87"/>
      <c r="Y221" s="87"/>
      <c r="Z221" s="87"/>
      <c r="AA221" s="87"/>
      <c r="AB221" s="87"/>
      <c r="AC221" s="87"/>
      <c r="AD221" s="87"/>
      <c r="AE221" s="87"/>
      <c r="AF221" s="87"/>
      <c r="AG221" s="87"/>
      <c r="AH221" s="87"/>
      <c r="AI221" s="87"/>
      <c r="AJ221" s="87"/>
      <c r="AK221" s="87"/>
      <c r="AL221" s="87"/>
      <c r="AM221" s="87"/>
      <c r="AN221" s="87"/>
      <c r="AO221" s="87"/>
      <c r="AP221" s="87"/>
      <c r="AQ221" s="87"/>
      <c r="AR221" s="87"/>
      <c r="AS221" s="87"/>
      <c r="AT221" s="87"/>
      <c r="AU221" s="87"/>
      <c r="AV221" s="87"/>
      <c r="AW221" s="87"/>
      <c r="AX221" s="87"/>
      <c r="AY221" s="87"/>
      <c r="AZ221" s="87"/>
      <c r="BA221" s="87"/>
      <c r="BB221" s="87"/>
      <c r="BC221" s="87"/>
      <c r="BD221" s="87"/>
      <c r="BE221" s="8"/>
      <c r="BF221" s="8"/>
      <c r="BG221" s="8"/>
      <c r="BH221" s="8"/>
      <c r="BI221" s="8"/>
      <c r="BJ221" s="8"/>
      <c r="BK221" s="38"/>
      <c r="BL221" s="8"/>
      <c r="BM221" s="38"/>
      <c r="BX221" s="8"/>
      <c r="BY221" s="38"/>
      <c r="CJ221" s="8"/>
      <c r="CK221" s="38"/>
      <c r="CV221" s="8"/>
      <c r="CW221" s="38"/>
    </row>
    <row r="222" customFormat="false" ht="12.75" hidden="false" customHeight="false" outlineLevel="0" collapsed="false">
      <c r="B222" s="92"/>
      <c r="C222" s="91"/>
      <c r="D222" s="91"/>
      <c r="E222" s="58"/>
      <c r="F222" s="58"/>
      <c r="G222" s="58"/>
      <c r="H222" s="80"/>
      <c r="I222" s="87"/>
      <c r="J222" s="87"/>
      <c r="K222" s="87"/>
      <c r="L222" s="87"/>
      <c r="M222" s="87"/>
      <c r="N222" s="87"/>
      <c r="O222" s="87"/>
      <c r="P222" s="87"/>
      <c r="Q222" s="87"/>
      <c r="R222" s="87"/>
      <c r="S222" s="87"/>
      <c r="T222" s="87"/>
      <c r="U222" s="87"/>
      <c r="V222" s="87"/>
      <c r="W222" s="87"/>
      <c r="X222" s="87"/>
      <c r="Y222" s="87"/>
      <c r="Z222" s="87"/>
      <c r="AA222" s="87"/>
      <c r="AB222" s="87"/>
      <c r="AC222" s="87"/>
      <c r="AD222" s="87"/>
      <c r="AE222" s="87"/>
      <c r="AF222" s="87"/>
      <c r="AG222" s="87"/>
      <c r="AH222" s="87"/>
      <c r="AI222" s="87"/>
      <c r="AJ222" s="87"/>
      <c r="AK222" s="87"/>
      <c r="AL222" s="87"/>
      <c r="AM222" s="87"/>
      <c r="AN222" s="87"/>
      <c r="AO222" s="87"/>
      <c r="AP222" s="87"/>
      <c r="AQ222" s="87"/>
      <c r="AR222" s="87"/>
      <c r="AS222" s="87"/>
      <c r="AT222" s="87"/>
      <c r="AU222" s="87"/>
      <c r="AV222" s="87"/>
      <c r="AW222" s="87"/>
      <c r="AX222" s="87"/>
      <c r="AY222" s="87"/>
      <c r="AZ222" s="87"/>
      <c r="BA222" s="87"/>
      <c r="BB222" s="87"/>
      <c r="BC222" s="87"/>
      <c r="BD222" s="87"/>
      <c r="BE222" s="8"/>
      <c r="BF222" s="8"/>
      <c r="BG222" s="8"/>
      <c r="BH222" s="8"/>
      <c r="BI222" s="8"/>
      <c r="BJ222" s="8"/>
      <c r="BK222" s="38"/>
      <c r="BL222" s="8"/>
      <c r="BM222" s="38"/>
      <c r="BX222" s="8"/>
      <c r="BY222" s="38"/>
      <c r="CJ222" s="8"/>
      <c r="CK222" s="38"/>
      <c r="CV222" s="8"/>
      <c r="CW222" s="38"/>
    </row>
    <row r="223" customFormat="false" ht="12.75" hidden="false" customHeight="false" outlineLevel="0" collapsed="false">
      <c r="B223" s="92"/>
      <c r="C223" s="91"/>
      <c r="D223" s="91"/>
      <c r="E223" s="58"/>
      <c r="F223" s="58"/>
      <c r="G223" s="58"/>
      <c r="H223" s="80"/>
      <c r="I223" s="87"/>
      <c r="J223" s="87"/>
      <c r="K223" s="87"/>
      <c r="L223" s="87"/>
      <c r="M223" s="87"/>
      <c r="N223" s="87"/>
      <c r="O223" s="87"/>
      <c r="P223" s="87"/>
      <c r="Q223" s="87"/>
      <c r="R223" s="87"/>
      <c r="S223" s="87"/>
      <c r="T223" s="87"/>
      <c r="U223" s="87"/>
      <c r="V223" s="87"/>
      <c r="W223" s="87"/>
      <c r="X223" s="87"/>
      <c r="Y223" s="87"/>
      <c r="Z223" s="87"/>
      <c r="AA223" s="87"/>
      <c r="AB223" s="87"/>
      <c r="AC223" s="87"/>
      <c r="AD223" s="87"/>
      <c r="AE223" s="87"/>
      <c r="AF223" s="87"/>
      <c r="AG223" s="87"/>
      <c r="AH223" s="87"/>
      <c r="AI223" s="87"/>
      <c r="AJ223" s="87"/>
      <c r="AK223" s="87"/>
      <c r="AL223" s="87"/>
      <c r="AM223" s="87"/>
      <c r="AN223" s="87"/>
      <c r="AO223" s="87"/>
      <c r="AP223" s="87"/>
      <c r="AQ223" s="87"/>
      <c r="AR223" s="87"/>
      <c r="AS223" s="87"/>
      <c r="AT223" s="87"/>
      <c r="AU223" s="87"/>
      <c r="AV223" s="87"/>
      <c r="AW223" s="87"/>
      <c r="AX223" s="87"/>
      <c r="AY223" s="87"/>
      <c r="AZ223" s="87"/>
      <c r="BA223" s="87"/>
      <c r="BB223" s="87"/>
      <c r="BC223" s="87"/>
      <c r="BD223" s="87"/>
      <c r="BE223" s="8"/>
      <c r="BF223" s="8"/>
      <c r="BG223" s="8"/>
      <c r="BH223" s="8"/>
      <c r="BI223" s="8"/>
      <c r="BJ223" s="8"/>
      <c r="BK223" s="38"/>
      <c r="BL223" s="8"/>
      <c r="BM223" s="38"/>
      <c r="BX223" s="8"/>
      <c r="BY223" s="38"/>
      <c r="CJ223" s="8"/>
      <c r="CK223" s="38"/>
      <c r="CV223" s="8"/>
      <c r="CW223" s="38"/>
    </row>
    <row r="224" customFormat="false" ht="12.75" hidden="false" customHeight="false" outlineLevel="0" collapsed="false">
      <c r="B224" s="92"/>
      <c r="C224" s="91"/>
      <c r="D224" s="91"/>
      <c r="E224" s="58"/>
      <c r="F224" s="58"/>
      <c r="G224" s="58"/>
      <c r="H224" s="80"/>
      <c r="I224" s="87"/>
      <c r="J224" s="87"/>
      <c r="K224" s="87"/>
      <c r="L224" s="87"/>
      <c r="M224" s="87"/>
      <c r="N224" s="87"/>
      <c r="O224" s="87"/>
      <c r="P224" s="87"/>
      <c r="Q224" s="87"/>
      <c r="R224" s="87"/>
      <c r="S224" s="87"/>
      <c r="T224" s="87"/>
      <c r="U224" s="87"/>
      <c r="V224" s="87"/>
      <c r="W224" s="87"/>
      <c r="X224" s="87"/>
      <c r="Y224" s="87"/>
      <c r="Z224" s="87"/>
      <c r="AA224" s="87"/>
      <c r="AB224" s="87"/>
      <c r="AC224" s="87"/>
      <c r="AD224" s="87"/>
      <c r="AE224" s="87"/>
      <c r="AF224" s="87"/>
      <c r="AG224" s="87"/>
      <c r="AH224" s="87"/>
      <c r="AI224" s="87"/>
      <c r="AJ224" s="87"/>
      <c r="AK224" s="87"/>
      <c r="AL224" s="87"/>
      <c r="AM224" s="87"/>
      <c r="AN224" s="87"/>
      <c r="AO224" s="87"/>
      <c r="AP224" s="87"/>
      <c r="AQ224" s="87"/>
      <c r="AR224" s="87"/>
      <c r="AS224" s="87"/>
      <c r="AT224" s="87"/>
      <c r="AU224" s="87"/>
      <c r="AV224" s="87"/>
      <c r="AW224" s="87"/>
      <c r="AX224" s="87"/>
      <c r="AY224" s="87"/>
      <c r="AZ224" s="87"/>
      <c r="BA224" s="87"/>
      <c r="BB224" s="87"/>
      <c r="BC224" s="87"/>
      <c r="BD224" s="87"/>
      <c r="BE224" s="8"/>
      <c r="BF224" s="8"/>
      <c r="BG224" s="8"/>
      <c r="BH224" s="8"/>
      <c r="BI224" s="8"/>
      <c r="BJ224" s="8"/>
      <c r="BK224" s="38"/>
      <c r="BL224" s="8"/>
      <c r="BM224" s="38"/>
      <c r="BX224" s="8"/>
      <c r="BY224" s="38"/>
      <c r="CJ224" s="8"/>
      <c r="CK224" s="38"/>
      <c r="CV224" s="8"/>
      <c r="CW224" s="38"/>
    </row>
    <row r="225" customFormat="false" ht="12.75" hidden="false" customHeight="false" outlineLevel="0" collapsed="false">
      <c r="B225" s="92"/>
      <c r="C225" s="91"/>
      <c r="D225" s="91"/>
      <c r="E225" s="58"/>
      <c r="F225" s="58"/>
      <c r="G225" s="58"/>
      <c r="H225" s="80"/>
      <c r="I225" s="87"/>
      <c r="J225" s="87"/>
      <c r="K225" s="87"/>
      <c r="L225" s="87"/>
      <c r="M225" s="87"/>
      <c r="N225" s="87"/>
      <c r="O225" s="87"/>
      <c r="P225" s="87"/>
      <c r="Q225" s="87"/>
      <c r="R225" s="87"/>
      <c r="S225" s="87"/>
      <c r="T225" s="87"/>
      <c r="U225" s="87"/>
      <c r="V225" s="87"/>
      <c r="W225" s="87"/>
      <c r="X225" s="87"/>
      <c r="Y225" s="87"/>
      <c r="Z225" s="87"/>
      <c r="AA225" s="87"/>
      <c r="AB225" s="87"/>
      <c r="AC225" s="87"/>
      <c r="AD225" s="87"/>
      <c r="AE225" s="87"/>
      <c r="AF225" s="87"/>
      <c r="AG225" s="87"/>
      <c r="AH225" s="87"/>
      <c r="AI225" s="87"/>
      <c r="AJ225" s="87"/>
      <c r="AK225" s="87"/>
      <c r="AL225" s="87"/>
      <c r="AM225" s="87"/>
      <c r="AN225" s="87"/>
      <c r="AO225" s="87"/>
      <c r="AP225" s="87"/>
      <c r="AQ225" s="87"/>
      <c r="AR225" s="87"/>
      <c r="AS225" s="87"/>
      <c r="AT225" s="87"/>
      <c r="AU225" s="87"/>
      <c r="AV225" s="87"/>
      <c r="AW225" s="87"/>
      <c r="AX225" s="87"/>
      <c r="AY225" s="87"/>
      <c r="AZ225" s="87"/>
      <c r="BA225" s="87"/>
      <c r="BB225" s="87"/>
      <c r="BC225" s="87"/>
      <c r="BD225" s="87"/>
      <c r="BE225" s="8"/>
      <c r="BF225" s="8"/>
      <c r="BG225" s="8"/>
      <c r="BH225" s="8"/>
      <c r="BI225" s="8"/>
      <c r="BJ225" s="8"/>
      <c r="BK225" s="38"/>
      <c r="BL225" s="8"/>
      <c r="BM225" s="38"/>
      <c r="BX225" s="8"/>
      <c r="BY225" s="38"/>
      <c r="CJ225" s="8"/>
      <c r="CK225" s="38"/>
      <c r="CV225" s="8"/>
      <c r="CW225" s="38"/>
    </row>
    <row r="226" customFormat="false" ht="12.75" hidden="false" customHeight="false" outlineLevel="0" collapsed="false">
      <c r="B226" s="92"/>
      <c r="C226" s="91"/>
      <c r="D226" s="91"/>
      <c r="E226" s="58"/>
      <c r="F226" s="58"/>
      <c r="G226" s="58"/>
      <c r="H226" s="80"/>
      <c r="I226" s="87"/>
      <c r="J226" s="87"/>
      <c r="K226" s="87"/>
      <c r="L226" s="87"/>
      <c r="M226" s="87"/>
      <c r="N226" s="87"/>
      <c r="O226" s="87"/>
      <c r="P226" s="87"/>
      <c r="Q226" s="87"/>
      <c r="R226" s="87"/>
      <c r="S226" s="87"/>
      <c r="T226" s="87"/>
      <c r="U226" s="87"/>
      <c r="V226" s="87"/>
      <c r="W226" s="87"/>
      <c r="X226" s="87"/>
      <c r="Y226" s="87"/>
      <c r="Z226" s="87"/>
      <c r="AA226" s="87"/>
      <c r="AB226" s="87"/>
      <c r="AC226" s="87"/>
      <c r="AD226" s="87"/>
      <c r="AE226" s="87"/>
      <c r="AF226" s="87"/>
      <c r="AG226" s="87"/>
      <c r="AH226" s="87"/>
      <c r="AI226" s="87"/>
      <c r="AJ226" s="87"/>
      <c r="AK226" s="87"/>
      <c r="AL226" s="87"/>
      <c r="AM226" s="87"/>
      <c r="AN226" s="87"/>
      <c r="AO226" s="87"/>
      <c r="AP226" s="87"/>
      <c r="AQ226" s="87"/>
      <c r="AR226" s="87"/>
      <c r="AS226" s="87"/>
      <c r="AT226" s="87"/>
      <c r="AU226" s="87"/>
      <c r="AV226" s="87"/>
      <c r="AW226" s="87"/>
      <c r="AX226" s="87"/>
      <c r="AY226" s="87"/>
      <c r="AZ226" s="87"/>
      <c r="BA226" s="87"/>
      <c r="BB226" s="87"/>
      <c r="BC226" s="87"/>
      <c r="BD226" s="87"/>
      <c r="BE226" s="8"/>
      <c r="BF226" s="8"/>
      <c r="BG226" s="8"/>
      <c r="BH226" s="8"/>
      <c r="BI226" s="8"/>
      <c r="BJ226" s="8"/>
      <c r="BK226" s="38"/>
      <c r="BL226" s="8"/>
      <c r="BM226" s="38"/>
      <c r="BX226" s="8"/>
      <c r="BY226" s="38"/>
      <c r="CJ226" s="8"/>
      <c r="CK226" s="38"/>
      <c r="CV226" s="8"/>
      <c r="CW226" s="38"/>
    </row>
    <row r="227" customFormat="false" ht="12.75" hidden="false" customHeight="false" outlineLevel="0" collapsed="false">
      <c r="B227" s="92"/>
      <c r="C227" s="91"/>
      <c r="D227" s="91"/>
      <c r="E227" s="58"/>
      <c r="F227" s="58"/>
      <c r="G227" s="58"/>
      <c r="H227" s="80"/>
      <c r="I227" s="87"/>
      <c r="J227" s="87"/>
      <c r="K227" s="87"/>
      <c r="L227" s="87"/>
      <c r="M227" s="87"/>
      <c r="N227" s="87"/>
      <c r="O227" s="87"/>
      <c r="P227" s="87"/>
      <c r="Q227" s="87"/>
      <c r="R227" s="87"/>
      <c r="S227" s="87"/>
      <c r="T227" s="87"/>
      <c r="U227" s="87"/>
      <c r="V227" s="87"/>
      <c r="W227" s="87"/>
      <c r="X227" s="87"/>
      <c r="Y227" s="87"/>
      <c r="Z227" s="87"/>
      <c r="AA227" s="87"/>
      <c r="AB227" s="87"/>
      <c r="AC227" s="87"/>
      <c r="AD227" s="87"/>
      <c r="AE227" s="87"/>
      <c r="AF227" s="87"/>
      <c r="AG227" s="87"/>
      <c r="AH227" s="87"/>
      <c r="AI227" s="87"/>
      <c r="AJ227" s="87"/>
      <c r="AK227" s="87"/>
      <c r="AL227" s="87"/>
      <c r="AM227" s="87"/>
      <c r="AN227" s="87"/>
      <c r="AO227" s="87"/>
      <c r="AP227" s="87"/>
      <c r="AQ227" s="87"/>
      <c r="AR227" s="87"/>
      <c r="AS227" s="87"/>
      <c r="AT227" s="87"/>
      <c r="AU227" s="87"/>
      <c r="AV227" s="87"/>
      <c r="AW227" s="87"/>
      <c r="AX227" s="87"/>
      <c r="AY227" s="87"/>
      <c r="AZ227" s="87"/>
      <c r="BA227" s="87"/>
      <c r="BB227" s="87"/>
      <c r="BC227" s="87"/>
      <c r="BD227" s="87"/>
      <c r="BE227" s="8"/>
      <c r="BF227" s="8"/>
      <c r="BG227" s="8"/>
      <c r="BH227" s="8"/>
      <c r="BI227" s="8"/>
      <c r="BJ227" s="8"/>
      <c r="BK227" s="38"/>
      <c r="BL227" s="8"/>
      <c r="BM227" s="38"/>
      <c r="BX227" s="8"/>
      <c r="BY227" s="38"/>
      <c r="CJ227" s="8"/>
      <c r="CK227" s="38"/>
      <c r="CV227" s="8"/>
      <c r="CW227" s="38"/>
    </row>
    <row r="228" customFormat="false" ht="12.75" hidden="false" customHeight="false" outlineLevel="0" collapsed="false">
      <c r="B228" s="92"/>
      <c r="C228" s="91"/>
      <c r="D228" s="91"/>
      <c r="E228" s="58"/>
      <c r="F228" s="58"/>
      <c r="G228" s="58"/>
      <c r="H228" s="80"/>
      <c r="I228" s="87"/>
      <c r="J228" s="87"/>
      <c r="K228" s="87"/>
      <c r="L228" s="87"/>
      <c r="M228" s="87"/>
      <c r="N228" s="87"/>
      <c r="O228" s="87"/>
      <c r="P228" s="87"/>
      <c r="Q228" s="87"/>
      <c r="R228" s="87"/>
      <c r="S228" s="87"/>
      <c r="T228" s="87"/>
      <c r="U228" s="87"/>
      <c r="V228" s="87"/>
      <c r="W228" s="87"/>
      <c r="X228" s="87"/>
      <c r="Y228" s="87"/>
      <c r="Z228" s="87"/>
      <c r="AA228" s="87"/>
      <c r="AB228" s="87"/>
      <c r="AC228" s="87"/>
      <c r="AD228" s="87"/>
      <c r="AE228" s="87"/>
      <c r="AF228" s="87"/>
      <c r="AG228" s="87"/>
      <c r="AH228" s="87"/>
      <c r="AI228" s="87"/>
      <c r="AJ228" s="87"/>
      <c r="AK228" s="87"/>
      <c r="AL228" s="87"/>
      <c r="AM228" s="87"/>
      <c r="AN228" s="87"/>
      <c r="AO228" s="87"/>
      <c r="AP228" s="87"/>
      <c r="AQ228" s="87"/>
      <c r="AR228" s="87"/>
      <c r="AS228" s="87"/>
      <c r="AT228" s="87"/>
      <c r="AU228" s="87"/>
      <c r="AV228" s="87"/>
      <c r="AW228" s="87"/>
      <c r="AX228" s="87"/>
      <c r="AY228" s="87"/>
      <c r="AZ228" s="87"/>
      <c r="BA228" s="87"/>
      <c r="BB228" s="87"/>
      <c r="BC228" s="87"/>
      <c r="BD228" s="87"/>
      <c r="BE228" s="8"/>
      <c r="BF228" s="8"/>
      <c r="BG228" s="8"/>
      <c r="BH228" s="8"/>
      <c r="BI228" s="8"/>
      <c r="BJ228" s="8"/>
      <c r="BK228" s="38"/>
      <c r="BL228" s="8"/>
      <c r="BM228" s="38"/>
      <c r="BX228" s="8"/>
      <c r="BY228" s="38"/>
      <c r="CJ228" s="8"/>
      <c r="CK228" s="38"/>
      <c r="CV228" s="8"/>
      <c r="CW228" s="38"/>
    </row>
    <row r="229" customFormat="false" ht="12.75" hidden="false" customHeight="false" outlineLevel="0" collapsed="false">
      <c r="B229" s="92"/>
      <c r="C229" s="91"/>
      <c r="D229" s="91"/>
      <c r="E229" s="58"/>
      <c r="F229" s="58"/>
      <c r="G229" s="58"/>
      <c r="H229" s="80"/>
      <c r="I229" s="87"/>
      <c r="J229" s="87"/>
      <c r="K229" s="87"/>
      <c r="L229" s="87"/>
      <c r="M229" s="87"/>
      <c r="N229" s="87"/>
      <c r="O229" s="87"/>
      <c r="P229" s="87"/>
      <c r="Q229" s="87"/>
      <c r="R229" s="87"/>
      <c r="S229" s="87"/>
      <c r="T229" s="87"/>
      <c r="U229" s="87"/>
      <c r="V229" s="87"/>
      <c r="W229" s="87"/>
      <c r="X229" s="87"/>
      <c r="Y229" s="87"/>
      <c r="Z229" s="87"/>
      <c r="AA229" s="87"/>
      <c r="AB229" s="87"/>
      <c r="AC229" s="87"/>
      <c r="AD229" s="87"/>
      <c r="AE229" s="87"/>
      <c r="AF229" s="87"/>
      <c r="AG229" s="87"/>
      <c r="AH229" s="87"/>
      <c r="AI229" s="87"/>
      <c r="AJ229" s="87"/>
      <c r="AK229" s="87"/>
      <c r="AL229" s="87"/>
      <c r="AM229" s="87"/>
      <c r="AN229" s="87"/>
      <c r="AO229" s="87"/>
      <c r="AP229" s="87"/>
      <c r="AQ229" s="87"/>
      <c r="AR229" s="87"/>
      <c r="AS229" s="87"/>
      <c r="AT229" s="87"/>
      <c r="AU229" s="87"/>
      <c r="AV229" s="87"/>
      <c r="AW229" s="87"/>
      <c r="AX229" s="87"/>
      <c r="AY229" s="87"/>
      <c r="AZ229" s="87"/>
      <c r="BA229" s="87"/>
      <c r="BB229" s="87"/>
      <c r="BC229" s="87"/>
      <c r="BD229" s="87"/>
      <c r="BE229" s="8"/>
      <c r="BF229" s="8"/>
      <c r="BG229" s="8"/>
      <c r="BH229" s="8"/>
      <c r="BI229" s="8"/>
      <c r="BJ229" s="8"/>
      <c r="BK229" s="38"/>
      <c r="BL229" s="8"/>
      <c r="BM229" s="38"/>
      <c r="BX229" s="8"/>
      <c r="BY229" s="38"/>
      <c r="CJ229" s="8"/>
      <c r="CK229" s="38"/>
      <c r="CV229" s="8"/>
      <c r="CW229" s="3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3" activeCellId="0" sqref="G13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9"/>
      <c r="B1" s="9"/>
      <c r="C1" s="9"/>
      <c r="D1" s="9"/>
    </row>
    <row r="2" customFormat="false" ht="15" hidden="false" customHeight="false" outlineLevel="0" collapsed="false">
      <c r="A2" s="106"/>
      <c r="B2" s="106"/>
      <c r="C2" s="106"/>
      <c r="D2" s="106"/>
    </row>
    <row r="3" customFormat="false" ht="15.75" hidden="false" customHeight="false" outlineLevel="0" collapsed="false">
      <c r="A3" s="106"/>
      <c r="B3" s="106"/>
      <c r="C3" s="106"/>
      <c r="D3" s="106"/>
      <c r="G3" s="0" t="e">
        <f aca="false">STRADDLES!AC31</f>
        <v>#N/A</v>
      </c>
      <c r="I3" s="0" t="s">
        <v>182</v>
      </c>
      <c r="K3" s="0" t="s">
        <v>183</v>
      </c>
      <c r="L3" s="0" t="s">
        <v>184</v>
      </c>
      <c r="M3" s="0" t="s">
        <v>185</v>
      </c>
      <c r="N3" s="76"/>
      <c r="O3" s="76"/>
      <c r="P3" s="76"/>
    </row>
    <row r="4" customFormat="false" ht="13.5" hidden="false" customHeight="false" outlineLevel="0" collapsed="false">
      <c r="A4" s="111"/>
      <c r="B4" s="111"/>
      <c r="C4" s="111"/>
      <c r="D4" s="111"/>
      <c r="H4" s="0" t="s">
        <v>186</v>
      </c>
      <c r="I4" s="0" t="s">
        <v>187</v>
      </c>
      <c r="K4" s="0" t="s">
        <v>188</v>
      </c>
      <c r="L4" s="0" t="s">
        <v>189</v>
      </c>
      <c r="M4" s="0" t="s">
        <v>190</v>
      </c>
      <c r="N4" s="76"/>
      <c r="O4" s="76"/>
      <c r="P4" s="76"/>
    </row>
    <row r="5" customFormat="false" ht="12.75" hidden="false" customHeight="false" outlineLevel="0" collapsed="false">
      <c r="A5" s="115"/>
      <c r="B5" s="115"/>
      <c r="C5" s="115"/>
      <c r="D5" s="115"/>
      <c r="E5" s="188"/>
      <c r="F5" s="0" t="s">
        <v>191</v>
      </c>
      <c r="G5" s="0" t="n">
        <v>-0.84</v>
      </c>
      <c r="H5" s="189" t="e">
        <f aca="false">G5+G$3</f>
        <v>#N/A</v>
      </c>
      <c r="I5" s="0" t="n">
        <f aca="false">((K5*(1-M5))+(L5*M5))</f>
        <v>2.266</v>
      </c>
      <c r="J5" s="189" t="e">
        <f aca="false">H5-I5</f>
        <v>#N/A</v>
      </c>
      <c r="K5" s="0" t="n">
        <v>2.27</v>
      </c>
      <c r="L5" s="0" t="n">
        <v>2.266</v>
      </c>
      <c r="M5" s="0" t="n">
        <v>1</v>
      </c>
      <c r="N5" s="76"/>
      <c r="O5" s="76"/>
      <c r="P5" s="76"/>
    </row>
    <row r="6" customFormat="false" ht="12.75" hidden="false" customHeight="false" outlineLevel="0" collapsed="false">
      <c r="A6" s="115"/>
      <c r="B6" s="115"/>
      <c r="C6" s="115"/>
      <c r="D6" s="115"/>
      <c r="E6" s="188"/>
      <c r="F6" s="0" t="s">
        <v>192</v>
      </c>
      <c r="G6" s="0" t="n">
        <v>-0.655</v>
      </c>
      <c r="H6" s="189" t="e">
        <f aca="false">G6+G$3</f>
        <v>#N/A</v>
      </c>
      <c r="I6" s="0" t="n">
        <f aca="false">((K6*(1-M6))+(L6*M6))</f>
        <v>2.419</v>
      </c>
      <c r="J6" s="189" t="e">
        <f aca="false">H6-I6</f>
        <v>#N/A</v>
      </c>
      <c r="K6" s="0" t="n">
        <v>2.51</v>
      </c>
      <c r="L6" s="0" t="n">
        <v>2.419</v>
      </c>
      <c r="M6" s="0" t="n">
        <v>1</v>
      </c>
      <c r="N6" s="76"/>
      <c r="O6" s="76"/>
      <c r="P6" s="76"/>
    </row>
    <row r="7" customFormat="false" ht="12.75" hidden="false" customHeight="false" outlineLevel="0" collapsed="false">
      <c r="A7" s="104"/>
      <c r="B7" s="104"/>
      <c r="C7" s="104"/>
      <c r="D7" s="104"/>
      <c r="E7" s="128"/>
      <c r="F7" s="0" t="s">
        <v>193</v>
      </c>
      <c r="G7" s="0" t="n">
        <v>0.55</v>
      </c>
      <c r="H7" s="189" t="e">
        <f aca="false">G7+G$3</f>
        <v>#N/A</v>
      </c>
      <c r="I7" s="0" t="n">
        <f aca="false">((K7*(1-M7))+(L7*M7))</f>
        <v>3.7</v>
      </c>
      <c r="J7" s="189" t="e">
        <f aca="false">H7-I7</f>
        <v>#N/A</v>
      </c>
      <c r="K7" s="0" t="n">
        <v>3.73</v>
      </c>
      <c r="L7" s="0" t="n">
        <v>3.7</v>
      </c>
      <c r="M7" s="0" t="n">
        <v>1</v>
      </c>
      <c r="N7" s="76"/>
      <c r="O7" s="76"/>
      <c r="P7" s="76"/>
    </row>
    <row r="8" customFormat="false" ht="12.75" hidden="false" customHeight="false" outlineLevel="0" collapsed="false">
      <c r="A8" s="104"/>
      <c r="B8" s="104"/>
      <c r="C8" s="104"/>
      <c r="D8" s="104"/>
      <c r="E8" s="190"/>
      <c r="F8" s="0" t="s">
        <v>194</v>
      </c>
      <c r="G8" s="0" t="n">
        <v>-0.03</v>
      </c>
      <c r="H8" s="189" t="e">
        <f aca="false">G8+G$3</f>
        <v>#N/A</v>
      </c>
      <c r="I8" s="0" t="n">
        <f aca="false">((K8*(1-M8))+(L8*M8))</f>
        <v>3.097</v>
      </c>
      <c r="J8" s="189" t="e">
        <f aca="false">H8-I8</f>
        <v>#N/A</v>
      </c>
      <c r="K8" s="0" t="n">
        <v>3.09</v>
      </c>
      <c r="L8" s="0" t="n">
        <v>3.097</v>
      </c>
      <c r="M8" s="0" t="n">
        <v>1</v>
      </c>
      <c r="N8" s="76"/>
      <c r="O8" s="76"/>
      <c r="P8" s="76"/>
    </row>
    <row r="9" customFormat="false" ht="12.75" hidden="false" customHeight="false" outlineLevel="0" collapsed="false">
      <c r="A9" s="104"/>
      <c r="B9" s="104"/>
      <c r="C9" s="104"/>
      <c r="D9" s="104"/>
      <c r="E9" s="190"/>
      <c r="N9" s="76"/>
      <c r="O9" s="76"/>
      <c r="P9" s="76"/>
    </row>
    <row r="10" customFormat="false" ht="12.75" hidden="false" customHeight="false" outlineLevel="0" collapsed="false">
      <c r="A10" s="5"/>
      <c r="B10" s="5"/>
      <c r="C10" s="5"/>
      <c r="D10" s="5"/>
      <c r="E10" s="190"/>
      <c r="N10" s="76"/>
      <c r="O10" s="76"/>
      <c r="P10" s="76"/>
    </row>
    <row r="11" customFormat="false" ht="12.75" hidden="false" customHeight="false" outlineLevel="0" collapsed="false">
      <c r="A11" s="5"/>
      <c r="B11" s="5"/>
      <c r="C11" s="5"/>
      <c r="D11" s="5"/>
      <c r="E11" s="190"/>
      <c r="N11" s="76"/>
      <c r="O11" s="76"/>
      <c r="P11" s="76"/>
    </row>
    <row r="12" customFormat="false" ht="13.5" hidden="false" customHeight="false" outlineLevel="0" collapsed="false">
      <c r="A12" s="5"/>
      <c r="B12" s="5"/>
      <c r="C12" s="5"/>
      <c r="D12" s="5"/>
      <c r="E12" s="190"/>
      <c r="N12" s="76"/>
      <c r="O12" s="76"/>
      <c r="P12" s="76"/>
    </row>
    <row r="13" customFormat="false" ht="13.5" hidden="false" customHeight="false" outlineLevel="0" collapsed="false">
      <c r="A13" s="111"/>
      <c r="B13" s="130"/>
      <c r="C13" s="130"/>
      <c r="D13" s="131"/>
      <c r="E13" s="190"/>
      <c r="N13" s="76"/>
      <c r="O13" s="76"/>
      <c r="P13" s="76"/>
    </row>
    <row r="14" customFormat="false" ht="12.75" hidden="false" customHeight="false" outlineLevel="0" collapsed="false">
      <c r="A14" s="128"/>
      <c r="B14" s="128"/>
      <c r="C14" s="128"/>
      <c r="D14" s="128"/>
      <c r="E14" s="190"/>
      <c r="N14" s="76"/>
      <c r="O14" s="76"/>
      <c r="P14" s="76"/>
    </row>
    <row r="15" customFormat="false" ht="12.75" hidden="false" customHeight="false" outlineLevel="0" collapsed="false">
      <c r="A15" s="103"/>
      <c r="B15" s="103"/>
      <c r="C15" s="103"/>
      <c r="D15" s="103"/>
      <c r="E15" s="190"/>
    </row>
    <row r="16" customFormat="false" ht="12.75" hidden="false" customHeight="false" outlineLevel="0" collapsed="false">
      <c r="A16" s="103"/>
      <c r="B16" s="103"/>
      <c r="C16" s="103"/>
      <c r="D16" s="103"/>
    </row>
    <row r="20" customFormat="false" ht="12.75" hidden="false" customHeight="false" outlineLevel="0" collapsed="false">
      <c r="H20" s="19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D221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A32" activeCellId="0" sqref="A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2.7"/>
    <col collapsed="false" customWidth="true" hidden="false" outlineLevel="0" max="2" min="2" style="1" width="9.56"/>
    <col collapsed="false" customWidth="true" hidden="false" outlineLevel="0" max="4" min="3" style="1" width="9.14"/>
    <col collapsed="false" customWidth="true" hidden="false" outlineLevel="0" max="5" min="5" style="1" width="10.13"/>
    <col collapsed="false" customWidth="true" hidden="false" outlineLevel="0" max="10" min="6" style="1" width="9.14"/>
    <col collapsed="false" customWidth="true" hidden="false" outlineLevel="0" max="11" min="11" style="1" width="10.41"/>
    <col collapsed="false" customWidth="true" hidden="false" outlineLevel="0" max="13" min="12" style="1" width="9.14"/>
    <col collapsed="false" customWidth="true" hidden="false" outlineLevel="0" max="14" min="14" style="1" width="10.13"/>
    <col collapsed="false" customWidth="true" hidden="false" outlineLevel="0" max="30" min="15" style="1" width="9.99"/>
    <col collapsed="false" customWidth="true" hidden="false" outlineLevel="0" max="40" min="31" style="1" width="9.14"/>
    <col collapsed="false" customWidth="true" hidden="false" outlineLevel="0" max="41" min="41" style="192" width="9.14"/>
    <col collapsed="false" customWidth="true" hidden="false" outlineLevel="0" max="49" min="42" style="1" width="9.14"/>
    <col collapsed="false" customWidth="true" hidden="false" outlineLevel="0" max="51" min="51" style="1" width="9.14"/>
    <col collapsed="false" customWidth="true" hidden="false" outlineLevel="0" max="52" min="52" style="192" width="9.14"/>
    <col collapsed="false" customWidth="true" hidden="false" outlineLevel="0" max="60" min="53" style="1" width="9.14"/>
    <col collapsed="false" customWidth="true" hidden="false" outlineLevel="0" max="62" min="62" style="1" width="9.14"/>
    <col collapsed="false" customWidth="true" hidden="false" outlineLevel="0" max="63" min="63" style="192" width="9.14"/>
    <col collapsed="false" customWidth="true" hidden="false" outlineLevel="0" max="71" min="64" style="1" width="9.14"/>
    <col collapsed="false" customWidth="true" hidden="false" outlineLevel="0" max="73" min="73" style="1" width="9.14"/>
    <col collapsed="false" customWidth="true" hidden="false" outlineLevel="0" max="74" min="74" style="192" width="9.14"/>
    <col collapsed="false" customWidth="true" hidden="false" outlineLevel="0" max="82" min="75" style="1" width="9.14"/>
  </cols>
  <sheetData>
    <row r="1" customFormat="false" ht="12.75" hidden="false" customHeight="false" outlineLevel="0" collapsed="false">
      <c r="A1" s="2"/>
      <c r="B1" s="3"/>
      <c r="C1" s="4"/>
      <c r="D1" s="5" t="s">
        <v>0</v>
      </c>
      <c r="E1" s="5" t="n">
        <f aca="false">summerstrip</f>
        <v>0</v>
      </c>
      <c r="F1" s="5"/>
      <c r="G1" s="6" t="s">
        <v>1</v>
      </c>
      <c r="I1" s="0"/>
      <c r="J1" s="0"/>
      <c r="K1" s="0" t="s">
        <v>2</v>
      </c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</row>
    <row r="2" customFormat="false" ht="12.75" hidden="false" customHeight="false" outlineLevel="0" collapsed="false">
      <c r="A2" s="2" t="s">
        <v>3</v>
      </c>
      <c r="B2" s="7" t="n">
        <f aca="true">TODAY()</f>
        <v>45927</v>
      </c>
      <c r="C2" s="4"/>
      <c r="D2" s="5" t="s">
        <v>4</v>
      </c>
      <c r="E2" s="5" t="n">
        <f aca="false">winterstrip</f>
        <v>0</v>
      </c>
      <c r="F2" s="5"/>
      <c r="G2" s="5"/>
      <c r="I2" s="0"/>
      <c r="J2" s="0"/>
      <c r="L2" s="0" t="s">
        <v>5</v>
      </c>
      <c r="M2" s="0" t="s">
        <v>6</v>
      </c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K2" s="8"/>
      <c r="AL2" s="8"/>
      <c r="AM2" s="38"/>
      <c r="AN2" s="8"/>
      <c r="AO2" s="193"/>
      <c r="AY2" s="8"/>
      <c r="AZ2" s="193"/>
      <c r="BJ2" s="8"/>
      <c r="BK2" s="193"/>
      <c r="BU2" s="8"/>
      <c r="BV2" s="193"/>
    </row>
    <row r="3" customFormat="false" ht="12.75" hidden="false" customHeight="false" outlineLevel="0" collapsed="false">
      <c r="A3" s="2"/>
      <c r="B3" s="3"/>
      <c r="D3" s="5"/>
      <c r="E3" s="5"/>
      <c r="F3" s="9" t="s">
        <v>16</v>
      </c>
      <c r="G3" s="5"/>
      <c r="I3" s="0"/>
      <c r="J3" s="0"/>
      <c r="K3" s="1" t="n">
        <v>1</v>
      </c>
      <c r="L3" s="11" t="e">
        <f aca="false">B21</f>
        <v>#VALUE!</v>
      </c>
      <c r="M3" s="11" t="e">
        <f aca="false">B22</f>
        <v>#VALUE!</v>
      </c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K3" s="8"/>
      <c r="AL3" s="8"/>
      <c r="AM3" s="38"/>
      <c r="AN3" s="8"/>
      <c r="AO3" s="193"/>
      <c r="AY3" s="8"/>
      <c r="AZ3" s="193"/>
      <c r="BJ3" s="8"/>
      <c r="BK3" s="193"/>
      <c r="BU3" s="8"/>
      <c r="BV3" s="193"/>
    </row>
    <row r="4" customFormat="false" ht="12.75" hidden="false" customHeight="false" outlineLevel="0" collapsed="false">
      <c r="A4" s="5" t="s">
        <v>7</v>
      </c>
      <c r="B4" s="9" t="str">
        <f aca="false">STRADDLES!$B3</f>
        <v>IF-TENN/LA</v>
      </c>
      <c r="D4" s="9" t="str">
        <f aca="false">STRADDLES!$C3</f>
        <v>IF-TENN/LA</v>
      </c>
      <c r="E4" s="5"/>
      <c r="F4" s="9" t="str">
        <f aca="false">STRADDLES!$D3</f>
        <v>IF-NWPL_ROCKY_M</v>
      </c>
      <c r="H4" s="9" t="str">
        <f aca="false">STRADDLES!$E3</f>
        <v>NYMEX</v>
      </c>
      <c r="I4" s="10"/>
      <c r="J4" s="169"/>
      <c r="K4" s="1" t="n">
        <v>-1</v>
      </c>
      <c r="L4" s="11" t="e">
        <f aca="false">D21</f>
        <v>#VALUE!</v>
      </c>
      <c r="M4" s="11" t="e">
        <f aca="false">D22</f>
        <v>#VALUE!</v>
      </c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0"/>
      <c r="AF4" s="10"/>
      <c r="AG4" s="10"/>
      <c r="AK4" s="8"/>
      <c r="AL4" s="8"/>
      <c r="AM4" s="38"/>
      <c r="AN4" s="8"/>
      <c r="AO4" s="193"/>
      <c r="AY4" s="8"/>
      <c r="AZ4" s="193"/>
      <c r="BJ4" s="8"/>
      <c r="BK4" s="193"/>
      <c r="BU4" s="8"/>
      <c r="BV4" s="193"/>
    </row>
    <row r="5" customFormat="false" ht="12.75" hidden="false" customHeight="false" outlineLevel="0" collapsed="false">
      <c r="A5" s="5"/>
      <c r="B5" s="5" t="s">
        <v>8</v>
      </c>
      <c r="D5" s="5" t="s">
        <v>9</v>
      </c>
      <c r="F5" s="5" t="s">
        <v>10</v>
      </c>
      <c r="H5" s="5" t="s">
        <v>11</v>
      </c>
      <c r="L5" s="11" t="e">
        <f aca="false">F21</f>
        <v>#VALUE!</v>
      </c>
      <c r="M5" s="11" t="e">
        <f aca="false">F22</f>
        <v>#VALUE!</v>
      </c>
      <c r="AK5" s="8"/>
      <c r="AL5" s="8"/>
      <c r="AM5" s="38"/>
      <c r="AN5" s="8"/>
      <c r="AO5" s="193"/>
      <c r="AY5" s="8"/>
      <c r="AZ5" s="193"/>
      <c r="BJ5" s="8"/>
      <c r="BK5" s="193"/>
      <c r="BU5" s="8"/>
      <c r="BV5" s="193"/>
    </row>
    <row r="6" customFormat="false" ht="12.75" hidden="false" customHeight="false" outlineLevel="0" collapsed="false">
      <c r="A6" s="5" t="s">
        <v>12</v>
      </c>
      <c r="B6" s="12" t="n">
        <f aca="false">STRADDLES!$B4</f>
        <v>37561</v>
      </c>
      <c r="C6" s="13"/>
      <c r="D6" s="12" t="n">
        <f aca="false">STRADDLES!$C4</f>
        <v>37257</v>
      </c>
      <c r="E6" s="13"/>
      <c r="F6" s="12" t="n">
        <f aca="false">STRADDLES!$D4</f>
        <v>37347</v>
      </c>
      <c r="G6" s="13"/>
      <c r="H6" s="12" t="n">
        <f aca="false">STRADDLES!$E4</f>
        <v>37347</v>
      </c>
      <c r="L6" s="11" t="e">
        <f aca="false">H21</f>
        <v>#VALUE!</v>
      </c>
      <c r="M6" s="11" t="e">
        <f aca="false">H22</f>
        <v>#VALUE!</v>
      </c>
      <c r="AK6" s="8"/>
      <c r="AL6" s="8"/>
      <c r="AM6" s="38"/>
      <c r="AN6" s="8"/>
      <c r="AO6" s="193"/>
      <c r="AY6" s="8"/>
      <c r="AZ6" s="193"/>
      <c r="BJ6" s="8"/>
      <c r="BK6" s="193"/>
      <c r="BU6" s="8"/>
      <c r="BV6" s="193"/>
    </row>
    <row r="7" customFormat="false" ht="12.75" hidden="false" customHeight="false" outlineLevel="0" collapsed="false">
      <c r="A7" s="2" t="s">
        <v>13</v>
      </c>
      <c r="B7" s="12" t="n">
        <f aca="false">STRADDLES!$B5</f>
        <v>37561</v>
      </c>
      <c r="C7" s="13"/>
      <c r="D7" s="12" t="n">
        <f aca="false">STRADDLES!$C5</f>
        <v>37288</v>
      </c>
      <c r="E7" s="13"/>
      <c r="F7" s="12" t="n">
        <f aca="false">STRADDLES!$D5</f>
        <v>37530</v>
      </c>
      <c r="G7" s="13"/>
      <c r="H7" s="12" t="n">
        <f aca="false">STRADDLES!$E5</f>
        <v>37530</v>
      </c>
      <c r="J7" s="16"/>
      <c r="L7" s="15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F7" s="9" t="s">
        <v>16</v>
      </c>
      <c r="AG7" s="9"/>
      <c r="AK7" s="8"/>
      <c r="AL7" s="8"/>
      <c r="AM7" s="38"/>
      <c r="AN7" s="8"/>
      <c r="AO7" s="193"/>
      <c r="AY7" s="8"/>
      <c r="AZ7" s="193"/>
      <c r="BJ7" s="8"/>
      <c r="BK7" s="193"/>
      <c r="BU7" s="8"/>
      <c r="BV7" s="193"/>
    </row>
    <row r="8" customFormat="false" ht="12.75" hidden="false" customHeight="false" outlineLevel="0" collapsed="false">
      <c r="I8" s="19"/>
      <c r="K8" s="9"/>
      <c r="L8" s="1" t="e">
        <f aca="false">(L3*$K3)+(L4*$K4)+(L5*$K5)+(L6*$K6)</f>
        <v>#VALUE!</v>
      </c>
      <c r="M8" s="1" t="e">
        <f aca="false">(M3*$K3)+(M4*$K4)+(M5*$K5)+(M6*$K6)</f>
        <v>#VALUE!</v>
      </c>
      <c r="AF8" s="9"/>
      <c r="AG8" s="9"/>
      <c r="AK8" s="8"/>
      <c r="AL8" s="8"/>
      <c r="AM8" s="38"/>
      <c r="AN8" s="8"/>
      <c r="AO8" s="193"/>
      <c r="AY8" s="8"/>
      <c r="AZ8" s="193"/>
      <c r="BJ8" s="8"/>
      <c r="BK8" s="193"/>
      <c r="BU8" s="8"/>
      <c r="BV8" s="193"/>
    </row>
    <row r="9" customFormat="false" ht="12.75" hidden="false" customHeight="false" outlineLevel="0" collapsed="false">
      <c r="A9" s="17" t="s">
        <v>163</v>
      </c>
      <c r="B9" s="18" t="n">
        <f aca="false">AP24</f>
        <v>3.166</v>
      </c>
      <c r="C9" s="19"/>
      <c r="D9" s="18" t="n">
        <f aca="false">BA24</f>
        <v>2.7441186440678</v>
      </c>
      <c r="E9" s="19"/>
      <c r="F9" s="18" t="n">
        <f aca="false">BL24</f>
        <v>2.8959953271028</v>
      </c>
      <c r="G9" s="19"/>
      <c r="H9" s="18" t="n">
        <f aca="false">BW24</f>
        <v>2.8959953271028</v>
      </c>
      <c r="I9" s="19"/>
      <c r="AF9" s="9" t="s">
        <v>21</v>
      </c>
      <c r="AG9" s="9"/>
      <c r="AK9" s="8"/>
      <c r="AL9" s="8"/>
      <c r="AM9" s="38"/>
      <c r="AN9" s="8"/>
      <c r="AO9" s="193"/>
      <c r="AY9" s="8"/>
      <c r="AZ9" s="193"/>
      <c r="BJ9" s="8"/>
      <c r="BK9" s="193"/>
      <c r="BU9" s="8"/>
      <c r="BV9" s="193"/>
    </row>
    <row r="10" customFormat="false" ht="12.75" hidden="false" customHeight="false" outlineLevel="0" collapsed="false">
      <c r="A10" s="17" t="s">
        <v>164</v>
      </c>
      <c r="B10" s="18" t="n">
        <f aca="false">AQ24</f>
        <v>3.091</v>
      </c>
      <c r="C10" s="19"/>
      <c r="D10" s="18" t="n">
        <f aca="false">BB24</f>
        <v>2.6616186440678</v>
      </c>
      <c r="E10" s="19"/>
      <c r="F10" s="18" t="n">
        <f aca="false">BM24</f>
        <v>2.35445327102804</v>
      </c>
      <c r="G10" s="19"/>
      <c r="H10" s="18" t="n">
        <f aca="false">BX24</f>
        <v>2.8959953271028</v>
      </c>
      <c r="I10" s="19"/>
      <c r="K10" s="9"/>
      <c r="M10" s="9"/>
      <c r="N10" s="49"/>
      <c r="O10" s="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G10" s="9"/>
      <c r="AK10" s="8"/>
      <c r="AL10" s="8"/>
      <c r="AM10" s="38"/>
      <c r="AN10" s="8"/>
      <c r="AO10" s="193"/>
      <c r="AY10" s="8"/>
      <c r="AZ10" s="193"/>
      <c r="BJ10" s="8"/>
      <c r="BK10" s="193"/>
      <c r="BU10" s="8"/>
      <c r="BV10" s="193"/>
    </row>
    <row r="11" customFormat="false" ht="12.75" hidden="false" customHeight="false" outlineLevel="0" collapsed="false">
      <c r="A11" s="17" t="s">
        <v>14</v>
      </c>
      <c r="B11" s="18" t="n">
        <f aca="false">B10-B9</f>
        <v>-0.0750000000000002</v>
      </c>
      <c r="C11" s="18"/>
      <c r="D11" s="18" t="n">
        <f aca="false">D10-D9</f>
        <v>-0.0825000000000005</v>
      </c>
      <c r="E11" s="18"/>
      <c r="F11" s="18" t="n">
        <f aca="false">F10-F9</f>
        <v>-0.541542056074766</v>
      </c>
      <c r="G11" s="18"/>
      <c r="H11" s="18" t="n">
        <f aca="false">H10-H9</f>
        <v>0</v>
      </c>
      <c r="I11" s="19"/>
      <c r="AF11" s="9"/>
      <c r="AG11" s="9"/>
      <c r="AK11" s="8"/>
      <c r="AL11" s="8"/>
      <c r="AM11" s="38"/>
      <c r="AN11" s="8"/>
      <c r="AO11" s="193"/>
      <c r="AY11" s="8"/>
      <c r="AZ11" s="193"/>
      <c r="BJ11" s="8"/>
      <c r="BK11" s="193"/>
      <c r="BU11" s="8"/>
      <c r="BV11" s="193"/>
    </row>
    <row r="12" customFormat="false" ht="12.75" hidden="false" customHeight="false" outlineLevel="0" collapsed="false">
      <c r="A12" s="17"/>
      <c r="B12" s="18"/>
      <c r="C12" s="19"/>
      <c r="D12" s="18"/>
      <c r="E12" s="19"/>
      <c r="F12" s="18"/>
      <c r="G12" s="19"/>
      <c r="H12" s="18"/>
      <c r="I12" s="19"/>
      <c r="K12" s="9"/>
      <c r="L12" s="9" t="s">
        <v>16</v>
      </c>
      <c r="M12" s="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F12" s="9"/>
      <c r="AG12" s="9"/>
      <c r="AK12" s="8"/>
      <c r="AL12" s="8"/>
      <c r="AM12" s="38"/>
      <c r="AN12" s="8"/>
      <c r="AO12" s="193"/>
      <c r="AY12" s="8"/>
      <c r="AZ12" s="193"/>
      <c r="BJ12" s="8"/>
      <c r="BK12" s="193"/>
      <c r="BU12" s="8"/>
      <c r="BV12" s="193"/>
    </row>
    <row r="13" customFormat="false" ht="12.75" hidden="false" customHeight="false" outlineLevel="0" collapsed="false">
      <c r="A13" s="17" t="s">
        <v>166</v>
      </c>
      <c r="B13" s="23" t="n">
        <f aca="false">STRADDLES!$B8</f>
        <v>0.01</v>
      </c>
      <c r="C13" s="24"/>
      <c r="D13" s="23" t="n">
        <f aca="false">STRADDLES!$C8</f>
        <v>-0.01</v>
      </c>
      <c r="E13" s="24"/>
      <c r="F13" s="23" t="n">
        <f aca="false">STRADDLES!$D8</f>
        <v>0</v>
      </c>
      <c r="G13" s="24"/>
      <c r="H13" s="23" t="n">
        <f aca="false">STRADDLES!$E8</f>
        <v>0</v>
      </c>
      <c r="I13" s="19"/>
      <c r="K13" s="9"/>
      <c r="L13" s="9" t="s">
        <v>18</v>
      </c>
      <c r="M13" s="9"/>
      <c r="N13" s="49"/>
      <c r="O13" s="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G13" s="9"/>
      <c r="AK13" s="8"/>
      <c r="AL13" s="8"/>
      <c r="AM13" s="38"/>
      <c r="AN13" s="8"/>
      <c r="AO13" s="193"/>
      <c r="AY13" s="8"/>
      <c r="AZ13" s="193"/>
      <c r="BJ13" s="8"/>
      <c r="BK13" s="193"/>
      <c r="BU13" s="8"/>
      <c r="BV13" s="193"/>
    </row>
    <row r="14" customFormat="false" ht="12.75" hidden="false" customHeight="false" outlineLevel="0" collapsed="false">
      <c r="A14" s="17" t="s">
        <v>17</v>
      </c>
      <c r="B14" s="23" t="n">
        <v>0</v>
      </c>
      <c r="C14" s="24"/>
      <c r="D14" s="23" t="n">
        <v>0</v>
      </c>
      <c r="E14" s="24"/>
      <c r="F14" s="23" t="n">
        <v>0</v>
      </c>
      <c r="G14" s="24"/>
      <c r="H14" s="23" t="n">
        <v>0</v>
      </c>
      <c r="I14" s="26"/>
      <c r="J14" s="8"/>
      <c r="K14" s="9"/>
      <c r="L14" s="9" t="s">
        <v>16</v>
      </c>
      <c r="M14" s="9"/>
      <c r="N14" s="8"/>
      <c r="O14" s="9"/>
      <c r="AG14" s="9"/>
      <c r="AJ14" s="10"/>
      <c r="AK14" s="8"/>
      <c r="AL14" s="8"/>
      <c r="AM14" s="38"/>
      <c r="AN14" s="8"/>
      <c r="AO14" s="193"/>
      <c r="AY14" s="8"/>
      <c r="AZ14" s="193"/>
      <c r="BJ14" s="8"/>
      <c r="BK14" s="193"/>
      <c r="BU14" s="8"/>
      <c r="BV14" s="193"/>
    </row>
    <row r="15" customFormat="false" ht="12.75" hidden="false" customHeight="false" outlineLevel="0" collapsed="false">
      <c r="A15" s="21" t="s">
        <v>64</v>
      </c>
      <c r="B15" s="27" t="n">
        <f aca="false">STRADDLES!$B9</f>
        <v>0</v>
      </c>
      <c r="C15" s="27"/>
      <c r="D15" s="27" t="n">
        <f aca="false">STRADDLES!$C9</f>
        <v>0.06</v>
      </c>
      <c r="E15" s="27"/>
      <c r="F15" s="27" t="n">
        <f aca="false">STRADDLES!$D9</f>
        <v>0.04</v>
      </c>
      <c r="G15" s="27"/>
      <c r="H15" s="27" t="n">
        <f aca="false">STRADDLES!$E9</f>
        <v>0</v>
      </c>
      <c r="I15" s="28"/>
      <c r="J15" s="8"/>
      <c r="K15" s="8"/>
      <c r="L15" s="9" t="s">
        <v>21</v>
      </c>
      <c r="M15" s="9"/>
      <c r="N15" s="8"/>
      <c r="O15" s="9"/>
      <c r="AG15" s="9"/>
      <c r="AJ15" s="10"/>
      <c r="AK15" s="8"/>
      <c r="AL15" s="8"/>
      <c r="AM15" s="38"/>
      <c r="AN15" s="8"/>
      <c r="AO15" s="193"/>
      <c r="AY15" s="8"/>
      <c r="AZ15" s="193"/>
      <c r="BJ15" s="8"/>
      <c r="BK15" s="193"/>
      <c r="BU15" s="8"/>
      <c r="BV15" s="193"/>
    </row>
    <row r="16" customFormat="false" ht="12.75" hidden="false" customHeight="false" outlineLevel="0" collapsed="false">
      <c r="A16" s="31" t="s">
        <v>27</v>
      </c>
      <c r="B16" s="122" t="n">
        <f aca="false">STRADDLES!$B10</f>
        <v>1</v>
      </c>
      <c r="C16" s="29"/>
      <c r="D16" s="122" t="n">
        <f aca="false">STRADDLES!$C10</f>
        <v>1</v>
      </c>
      <c r="E16" s="30"/>
      <c r="F16" s="122" t="n">
        <f aca="false">STRADDLES!$D10</f>
        <v>1</v>
      </c>
      <c r="G16" s="30"/>
      <c r="H16" s="122" t="n">
        <f aca="false">STRADDLES!$E10</f>
        <v>1</v>
      </c>
      <c r="I16" s="19"/>
      <c r="L16" s="9" t="s">
        <v>24</v>
      </c>
      <c r="AF16" s="9"/>
      <c r="AG16" s="9"/>
      <c r="AK16" s="8"/>
      <c r="AL16" s="8"/>
      <c r="AM16" s="38"/>
      <c r="AN16" s="8"/>
      <c r="AO16" s="193"/>
      <c r="AY16" s="8"/>
      <c r="AZ16" s="193"/>
      <c r="BJ16" s="8"/>
      <c r="BK16" s="193"/>
      <c r="BU16" s="8"/>
      <c r="BV16" s="193"/>
    </row>
    <row r="17" customFormat="false" ht="12.75" hidden="false" customHeight="false" outlineLevel="0" collapsed="false">
      <c r="A17" s="17"/>
      <c r="B17" s="23"/>
      <c r="C17" s="24"/>
      <c r="D17" s="23"/>
      <c r="E17" s="24"/>
      <c r="F17" s="23"/>
      <c r="G17" s="24"/>
      <c r="H17" s="23"/>
      <c r="I17" s="26"/>
      <c r="L17" s="9" t="s">
        <v>26</v>
      </c>
      <c r="M17" s="9"/>
      <c r="N17" s="49"/>
      <c r="O17" s="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G17" s="9"/>
      <c r="AK17" s="8"/>
      <c r="AL17" s="8"/>
      <c r="AM17" s="38"/>
      <c r="AN17" s="8"/>
      <c r="AO17" s="193"/>
      <c r="AY17" s="8"/>
      <c r="AZ17" s="193"/>
      <c r="BJ17" s="8"/>
      <c r="BK17" s="193"/>
      <c r="BU17" s="8"/>
      <c r="BV17" s="193"/>
    </row>
    <row r="18" customFormat="false" ht="12.75" hidden="false" customHeight="false" outlineLevel="0" collapsed="false">
      <c r="A18" s="21" t="s">
        <v>29</v>
      </c>
      <c r="B18" s="34" t="n">
        <f aca="false">STRADDLES!$B12</f>
        <v>5</v>
      </c>
      <c r="C18" s="30"/>
      <c r="D18" s="34" t="n">
        <f aca="false">STRADDLES!$C12</f>
        <v>3</v>
      </c>
      <c r="E18" s="30"/>
      <c r="F18" s="34" t="n">
        <f aca="false">STRADDLES!$D12</f>
        <v>2.55</v>
      </c>
      <c r="G18" s="30"/>
      <c r="H18" s="34" t="n">
        <f aca="false">STRADDLES!$E12</f>
        <v>2.9</v>
      </c>
      <c r="I18" s="26"/>
      <c r="J18" s="8"/>
      <c r="K18" s="9"/>
      <c r="L18" s="9" t="s">
        <v>28</v>
      </c>
      <c r="M18" s="9"/>
      <c r="N18" s="8"/>
      <c r="O18" s="9"/>
      <c r="AG18" s="9"/>
      <c r="AK18" s="8"/>
      <c r="AL18" s="8"/>
      <c r="AM18" s="38"/>
      <c r="AN18" s="8"/>
      <c r="AO18" s="193"/>
      <c r="AY18" s="8"/>
      <c r="AZ18" s="193"/>
      <c r="BJ18" s="8"/>
      <c r="BK18" s="193"/>
      <c r="BU18" s="8"/>
      <c r="BV18" s="193"/>
    </row>
    <row r="19" customFormat="false" ht="12.75" hidden="false" customHeight="false" outlineLevel="0" collapsed="false">
      <c r="A19" s="21" t="s">
        <v>31</v>
      </c>
      <c r="B19" s="35" t="n">
        <f aca="false">STRADDLES!$B11</f>
        <v>1</v>
      </c>
      <c r="C19" s="30"/>
      <c r="D19" s="35" t="n">
        <f aca="false">STRADDLES!$C11</f>
        <v>2</v>
      </c>
      <c r="E19" s="30"/>
      <c r="F19" s="35" t="n">
        <f aca="false">STRADDLES!$D11</f>
        <v>3</v>
      </c>
      <c r="G19" s="30"/>
      <c r="H19" s="35" t="n">
        <f aca="false">STRADDLES!$E11</f>
        <v>1</v>
      </c>
      <c r="L19" s="9" t="s">
        <v>30</v>
      </c>
    </row>
    <row r="20" customFormat="false" ht="12.75" hidden="false" customHeight="false" outlineLevel="0" collapsed="false">
      <c r="A20" s="1" t="s">
        <v>170</v>
      </c>
      <c r="L20" s="9" t="s">
        <v>32</v>
      </c>
      <c r="AF20" s="1" t="n">
        <f aca="false">500000/(300*10000)</f>
        <v>0.166666666666667</v>
      </c>
    </row>
    <row r="21" customFormat="false" ht="12.75" hidden="false" customHeight="false" outlineLevel="0" collapsed="false">
      <c r="A21" s="21" t="s">
        <v>34</v>
      </c>
      <c r="B21" s="33" t="e">
        <f aca="false">AU24</f>
        <v>#VALUE!</v>
      </c>
      <c r="C21" s="26"/>
      <c r="D21" s="33" t="e">
        <f aca="false">BF24</f>
        <v>#VALUE!</v>
      </c>
      <c r="E21" s="26"/>
      <c r="F21" s="33" t="e">
        <f aca="false">BQ24</f>
        <v>#VALUE!</v>
      </c>
      <c r="G21" s="26"/>
      <c r="H21" s="33" t="e">
        <f aca="false">CB24</f>
        <v>#VALUE!</v>
      </c>
      <c r="L21" s="9" t="s">
        <v>33</v>
      </c>
      <c r="AI21" s="1" t="n">
        <f aca="false">500000/181</f>
        <v>2762.43093922652</v>
      </c>
    </row>
    <row r="22" customFormat="false" ht="12.75" hidden="false" customHeight="false" outlineLevel="0" collapsed="false">
      <c r="A22" s="21" t="s">
        <v>63</v>
      </c>
      <c r="B22" s="33" t="e">
        <f aca="false">AV24</f>
        <v>#VALUE!</v>
      </c>
      <c r="C22" s="26"/>
      <c r="D22" s="33" t="e">
        <f aca="false">BG24</f>
        <v>#VALUE!</v>
      </c>
      <c r="E22" s="26"/>
      <c r="F22" s="33" t="e">
        <f aca="false">BR24</f>
        <v>#VALUE!</v>
      </c>
      <c r="G22" s="26"/>
      <c r="H22" s="33" t="e">
        <f aca="false">CC24</f>
        <v>#VALUE!</v>
      </c>
      <c r="L22" s="9" t="s">
        <v>35</v>
      </c>
    </row>
    <row r="23" customFormat="false" ht="12.75" hidden="false" customHeight="false" outlineLevel="0" collapsed="false">
      <c r="A23" s="21" t="str">
        <f aca="false">G1</f>
        <v>VEGA</v>
      </c>
      <c r="B23" s="33" t="e">
        <f aca="false">AW24</f>
        <v>#VALUE!</v>
      </c>
      <c r="C23" s="26"/>
      <c r="D23" s="33" t="e">
        <f aca="false">BH24</f>
        <v>#VALUE!</v>
      </c>
      <c r="E23" s="26"/>
      <c r="F23" s="33" t="e">
        <f aca="false">BS24</f>
        <v>#VALUE!</v>
      </c>
      <c r="G23" s="26"/>
      <c r="H23" s="33" t="e">
        <f aca="false">CD24</f>
        <v>#VALUE!</v>
      </c>
      <c r="L23" s="9" t="s">
        <v>128</v>
      </c>
      <c r="AH23" s="4" t="e">
        <f aca="false">VLOOKUP($A23,STRADDLE,14,FALSE())</f>
        <v>#N/A</v>
      </c>
    </row>
    <row r="24" customFormat="false" ht="12.75" hidden="false" customHeight="false" outlineLevel="0" collapsed="false">
      <c r="A24" s="8"/>
      <c r="B24" s="175"/>
      <c r="C24" s="8"/>
      <c r="D24" s="175"/>
      <c r="E24" s="8"/>
      <c r="F24" s="175"/>
      <c r="G24" s="8"/>
      <c r="H24" s="8"/>
      <c r="I24" s="8"/>
      <c r="J24" s="8"/>
      <c r="K24" s="9"/>
      <c r="L24" s="9" t="s">
        <v>171</v>
      </c>
      <c r="M24" s="8"/>
      <c r="N24" s="8"/>
      <c r="O24" s="9"/>
      <c r="AG24" s="9"/>
      <c r="AK24" s="8"/>
      <c r="AL24" s="8"/>
      <c r="AM24" s="38"/>
      <c r="AN24" s="8"/>
      <c r="AP24" s="1" t="n">
        <f aca="false">AP26/AN28</f>
        <v>3.166</v>
      </c>
      <c r="AQ24" s="1" t="n">
        <f aca="false">AQ26/AN28</f>
        <v>3.091</v>
      </c>
      <c r="AU24" s="41" t="e">
        <f aca="false">AU26/AN28</f>
        <v>#VALUE!</v>
      </c>
      <c r="AV24" s="41" t="e">
        <f aca="false">AV26/AN28</f>
        <v>#VALUE!</v>
      </c>
      <c r="AW24" s="41" t="e">
        <f aca="false">AW26/AN28</f>
        <v>#VALUE!</v>
      </c>
      <c r="AY24" s="8"/>
      <c r="BA24" s="1" t="n">
        <f aca="false">BA26/AY28</f>
        <v>2.7441186440678</v>
      </c>
      <c r="BB24" s="1" t="n">
        <f aca="false">BB26/AY28</f>
        <v>2.6616186440678</v>
      </c>
      <c r="BF24" s="41" t="e">
        <f aca="false">BF26/AY28</f>
        <v>#VALUE!</v>
      </c>
      <c r="BG24" s="41" t="e">
        <f aca="false">BG26/AY28</f>
        <v>#VALUE!</v>
      </c>
      <c r="BH24" s="41" t="e">
        <f aca="false">BH26/AY28</f>
        <v>#VALUE!</v>
      </c>
      <c r="BJ24" s="8"/>
      <c r="BL24" s="1" t="n">
        <f aca="false">BL26/BJ28</f>
        <v>2.8959953271028</v>
      </c>
      <c r="BM24" s="1" t="n">
        <f aca="false">BM26/BJ28</f>
        <v>2.35445327102804</v>
      </c>
      <c r="BQ24" s="41" t="e">
        <f aca="false">BQ26/BJ28</f>
        <v>#VALUE!</v>
      </c>
      <c r="BR24" s="41" t="e">
        <f aca="false">BR26/BJ28</f>
        <v>#VALUE!</v>
      </c>
      <c r="BS24" s="41" t="e">
        <f aca="false">BS26/BJ28</f>
        <v>#VALUE!</v>
      </c>
      <c r="BU24" s="8"/>
      <c r="BW24" s="1" t="n">
        <f aca="false">BW26/BU28</f>
        <v>2.8959953271028</v>
      </c>
      <c r="BX24" s="1" t="n">
        <f aca="false">BX26/BU28</f>
        <v>2.8959953271028</v>
      </c>
      <c r="CB24" s="41" t="e">
        <f aca="false">CB26/BU28</f>
        <v>#VALUE!</v>
      </c>
      <c r="CC24" s="41" t="e">
        <f aca="false">CC26/BU28</f>
        <v>#VALUE!</v>
      </c>
      <c r="CD24" s="41" t="e">
        <f aca="false">CD26/BU28</f>
        <v>#VALUE!</v>
      </c>
    </row>
    <row r="25" customFormat="false" ht="12.75" hidden="false" customHeight="false" outlineLevel="0" collapsed="false">
      <c r="A25" s="8"/>
      <c r="B25" s="175" t="e">
        <f aca="false">B21-D21</f>
        <v>#VALUE!</v>
      </c>
      <c r="C25" s="8"/>
      <c r="D25" s="8"/>
      <c r="E25" s="8"/>
      <c r="F25" s="175" t="e">
        <f aca="false">F21-H21</f>
        <v>#VALUE!</v>
      </c>
      <c r="G25" s="8"/>
      <c r="H25" s="8"/>
      <c r="I25" s="8"/>
      <c r="J25" s="8"/>
      <c r="K25" s="9"/>
      <c r="L25" s="8"/>
      <c r="M25" s="8"/>
      <c r="N25" s="8"/>
      <c r="O25" s="9"/>
      <c r="AG25" s="9"/>
      <c r="AH25" s="178"/>
      <c r="AK25" s="8"/>
      <c r="AL25" s="8"/>
      <c r="AM25" s="38"/>
      <c r="AN25" s="8"/>
      <c r="AO25" s="194" t="n">
        <f aca="false">B6</f>
        <v>37561</v>
      </c>
      <c r="AW25" s="0"/>
      <c r="AY25" s="8"/>
      <c r="AZ25" s="194" t="n">
        <f aca="false">D6</f>
        <v>37257</v>
      </c>
      <c r="BH25" s="0"/>
      <c r="BJ25" s="8"/>
      <c r="BK25" s="194" t="n">
        <f aca="false">F6</f>
        <v>37347</v>
      </c>
      <c r="BS25" s="0"/>
      <c r="BU25" s="8"/>
      <c r="BV25" s="194" t="n">
        <f aca="false">H6</f>
        <v>37347</v>
      </c>
      <c r="CD25" s="0"/>
    </row>
    <row r="26" customFormat="false" ht="12.75" hidden="false" customHeight="false" outlineLevel="0" collapsed="false">
      <c r="A26" s="8"/>
      <c r="B26" s="180"/>
      <c r="C26" s="8"/>
      <c r="D26" s="180"/>
      <c r="E26" s="8"/>
      <c r="F26" s="8"/>
      <c r="G26" s="8"/>
      <c r="H26" s="8"/>
      <c r="I26" s="8"/>
      <c r="J26" s="54"/>
      <c r="K26" s="54"/>
      <c r="L26" s="54"/>
      <c r="M26" s="54"/>
      <c r="N26" s="54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43"/>
      <c r="AF26" s="44"/>
      <c r="AG26" s="44"/>
      <c r="AH26" s="44"/>
      <c r="AI26" s="45"/>
      <c r="AJ26" s="46"/>
      <c r="AK26" s="8"/>
      <c r="AL26" s="8"/>
      <c r="AM26" s="38"/>
      <c r="AN26" s="8" t="s">
        <v>50</v>
      </c>
      <c r="AO26" s="194" t="n">
        <f aca="false">B7</f>
        <v>37561</v>
      </c>
      <c r="AP26" s="47" t="n">
        <f aca="false">SUM(AP31:AP149)</f>
        <v>94.98</v>
      </c>
      <c r="AQ26" s="47" t="n">
        <f aca="false">SUM(AQ31:AQ149)</f>
        <v>92.73</v>
      </c>
      <c r="AR26" s="47"/>
      <c r="AS26" s="47"/>
      <c r="AT26" s="47"/>
      <c r="AU26" s="47" t="e">
        <f aca="false">SUM(AU31:AU149)</f>
        <v>#VALUE!</v>
      </c>
      <c r="AV26" s="47" t="e">
        <f aca="false">SUM(AV31:AV149)</f>
        <v>#VALUE!</v>
      </c>
      <c r="AW26" s="47" t="e">
        <f aca="false">SUM(AW31:AW149)</f>
        <v>#VALUE!</v>
      </c>
      <c r="AY26" s="8" t="s">
        <v>51</v>
      </c>
      <c r="AZ26" s="194" t="n">
        <f aca="false">D7</f>
        <v>37288</v>
      </c>
      <c r="BA26" s="47" t="n">
        <f aca="false">SUM(BA31:BA149)</f>
        <v>161.903</v>
      </c>
      <c r="BB26" s="47" t="n">
        <f aca="false">SUM(BB31:BB149)</f>
        <v>157.0355</v>
      </c>
      <c r="BC26" s="47"/>
      <c r="BD26" s="47"/>
      <c r="BE26" s="47"/>
      <c r="BF26" s="47" t="e">
        <f aca="false">SUM(BF31:BF149)</f>
        <v>#VALUE!</v>
      </c>
      <c r="BG26" s="47" t="e">
        <f aca="false">SUM(BG31:BG149)</f>
        <v>#VALUE!</v>
      </c>
      <c r="BH26" s="47" t="e">
        <f aca="false">SUM(BH31:BH149)</f>
        <v>#VALUE!</v>
      </c>
      <c r="BJ26" s="8" t="s">
        <v>52</v>
      </c>
      <c r="BK26" s="194" t="n">
        <f aca="false">F7</f>
        <v>37530</v>
      </c>
      <c r="BL26" s="47" t="n">
        <f aca="false">SUM(BL31:BL149)</f>
        <v>619.743</v>
      </c>
      <c r="BM26" s="47" t="n">
        <f aca="false">SUM(BM31:BM149)</f>
        <v>503.853</v>
      </c>
      <c r="BN26" s="47"/>
      <c r="BO26" s="47"/>
      <c r="BP26" s="47"/>
      <c r="BQ26" s="47" t="e">
        <f aca="false">SUM(BQ31:BQ149)</f>
        <v>#VALUE!</v>
      </c>
      <c r="BR26" s="47" t="e">
        <f aca="false">SUM(BR31:BR149)</f>
        <v>#VALUE!</v>
      </c>
      <c r="BS26" s="47" t="e">
        <f aca="false">SUM(BS31:BS149)</f>
        <v>#VALUE!</v>
      </c>
      <c r="BU26" s="8" t="s">
        <v>53</v>
      </c>
      <c r="BV26" s="194" t="n">
        <f aca="false">H7</f>
        <v>37530</v>
      </c>
      <c r="BW26" s="47" t="n">
        <f aca="false">SUM(BW31:BW149)</f>
        <v>619.743</v>
      </c>
      <c r="BX26" s="47" t="n">
        <f aca="false">SUM(BX31:BX149)</f>
        <v>619.743</v>
      </c>
      <c r="BY26" s="47"/>
      <c r="BZ26" s="47"/>
      <c r="CA26" s="47"/>
      <c r="CB26" s="47" t="e">
        <f aca="false">SUM(CB31:CB149)</f>
        <v>#VALUE!</v>
      </c>
      <c r="CC26" s="47" t="e">
        <f aca="false">SUM(CC31:CC149)</f>
        <v>#VALUE!</v>
      </c>
      <c r="CD26" s="47" t="e">
        <f aca="false">SUM(CD31:CD149)</f>
        <v>#VALUE!</v>
      </c>
    </row>
    <row r="27" customFormat="false" ht="12.75" hidden="false" customHeight="false" outlineLevel="0" collapsed="false">
      <c r="A27" s="8"/>
      <c r="B27" s="49"/>
      <c r="C27" s="8"/>
      <c r="D27" s="5" t="s">
        <v>8</v>
      </c>
      <c r="E27" s="8"/>
      <c r="F27" s="49"/>
      <c r="G27" s="8"/>
      <c r="H27" s="49"/>
      <c r="I27" s="8"/>
      <c r="J27" s="65"/>
      <c r="K27" s="5" t="s">
        <v>9</v>
      </c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F27" s="65"/>
      <c r="AG27" s="65"/>
      <c r="AH27" s="4" t="e">
        <f aca="false">VLOOKUP($A27,STRADDLE,14,FALSE())</f>
        <v>#N/A</v>
      </c>
      <c r="AK27" s="8"/>
      <c r="AL27" s="8"/>
      <c r="AM27" s="38"/>
      <c r="AN27" s="8"/>
      <c r="AR27" s="1" t="s">
        <v>31</v>
      </c>
      <c r="AS27" s="1" t="n">
        <f aca="false">IF(B19=4,3,B19)</f>
        <v>1</v>
      </c>
      <c r="AW27" s="0"/>
      <c r="AY27" s="8"/>
      <c r="BC27" s="1" t="s">
        <v>31</v>
      </c>
      <c r="BD27" s="1" t="n">
        <f aca="false">IF(D19=4,3,D19)</f>
        <v>2</v>
      </c>
      <c r="BH27" s="0"/>
      <c r="BJ27" s="8"/>
      <c r="BN27" s="1" t="s">
        <v>31</v>
      </c>
      <c r="BO27" s="1" t="n">
        <f aca="false">IF(F19=4,3,F19)</f>
        <v>3</v>
      </c>
      <c r="BS27" s="0"/>
      <c r="BU27" s="8"/>
      <c r="BY27" s="1" t="s">
        <v>31</v>
      </c>
      <c r="BZ27" s="1" t="n">
        <f aca="false">IF(H19=4,3,H19)</f>
        <v>1</v>
      </c>
      <c r="CD27" s="0"/>
    </row>
    <row r="28" customFormat="false" ht="12.75" hidden="false" customHeight="false" outlineLevel="0" collapsed="false">
      <c r="A28" s="8"/>
      <c r="B28" s="52"/>
      <c r="C28" s="52"/>
      <c r="D28" s="9" t="str">
        <f aca="false">B4</f>
        <v>IF-TENN/LA</v>
      </c>
      <c r="E28" s="1" t="s">
        <v>60</v>
      </c>
      <c r="K28" s="9" t="str">
        <f aca="false">D4</f>
        <v>IF-TENN/LA</v>
      </c>
      <c r="Q28" s="48"/>
      <c r="R28" s="9" t="str">
        <f aca="false">F4</f>
        <v>IF-NWPL_ROCKY_M</v>
      </c>
      <c r="Y28" s="9" t="str">
        <f aca="false">H4</f>
        <v>NYMEX</v>
      </c>
      <c r="AF28" s="195" t="n">
        <v>37173</v>
      </c>
      <c r="AG28" s="54"/>
      <c r="AH28" s="4" t="e">
        <f aca="false">VLOOKUP($A28,STRADDLE,14,FALSE())</f>
        <v>#N/A</v>
      </c>
      <c r="AM28" s="38"/>
      <c r="AN28" s="55" t="n">
        <f aca="false">SUM(AN31:AN149)</f>
        <v>30</v>
      </c>
      <c r="AR28" s="1" t="s">
        <v>172</v>
      </c>
      <c r="AS28" s="1" t="n">
        <f aca="false">IF($G$1="GAMMA",3,IF($G$1="THETA",4,5))</f>
        <v>5</v>
      </c>
      <c r="AW28" s="0"/>
      <c r="AY28" s="55" t="n">
        <f aca="false">SUM(AY31:AY149)</f>
        <v>59</v>
      </c>
      <c r="BC28" s="1" t="s">
        <v>172</v>
      </c>
      <c r="BD28" s="1" t="n">
        <f aca="false">IF($G$1="GAMMA",3,IF($G$1="THETA",4,5))</f>
        <v>5</v>
      </c>
      <c r="BH28" s="0"/>
      <c r="BJ28" s="55" t="n">
        <f aca="false">SUM(BJ31:BJ149)</f>
        <v>214</v>
      </c>
      <c r="BN28" s="1" t="s">
        <v>172</v>
      </c>
      <c r="BO28" s="1" t="n">
        <f aca="false">IF($G$1="GAMMA",3,IF($G$1="THETA",4,5))</f>
        <v>5</v>
      </c>
      <c r="BS28" s="0"/>
      <c r="BU28" s="55" t="n">
        <f aca="false">SUM(BU31:BU149)</f>
        <v>214</v>
      </c>
      <c r="BY28" s="1" t="s">
        <v>172</v>
      </c>
      <c r="BZ28" s="1" t="n">
        <f aca="false">IF($G$1="GAMMA",3,IF($G$1="THETA",4,5))</f>
        <v>5</v>
      </c>
      <c r="CD28" s="0"/>
    </row>
    <row r="29" customFormat="false" ht="13.5" hidden="false" customHeight="false" outlineLevel="0" collapsed="false">
      <c r="B29" s="56"/>
      <c r="C29" s="56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43"/>
      <c r="AF29" s="1" t="s">
        <v>195</v>
      </c>
      <c r="AI29" s="72" t="e">
        <f aca="false">A30-A29</f>
        <v>#VALUE!</v>
      </c>
      <c r="AJ29" s="8"/>
      <c r="AL29" s="8"/>
      <c r="AO29" s="192" t="s">
        <v>173</v>
      </c>
      <c r="AP29" s="57" t="s">
        <v>54</v>
      </c>
      <c r="AQ29" s="57" t="s">
        <v>55</v>
      </c>
      <c r="AR29" s="57" t="s">
        <v>34</v>
      </c>
      <c r="AS29" s="57" t="s">
        <v>63</v>
      </c>
      <c r="AT29" s="57" t="str">
        <f aca="false">$G1</f>
        <v>VEGA</v>
      </c>
      <c r="AU29" s="4" t="s">
        <v>34</v>
      </c>
      <c r="AV29" s="4" t="s">
        <v>63</v>
      </c>
      <c r="AW29" s="4" t="str">
        <f aca="false">AT29</f>
        <v>VEGA</v>
      </c>
      <c r="AZ29" s="192" t="s">
        <v>173</v>
      </c>
      <c r="BA29" s="57" t="s">
        <v>54</v>
      </c>
      <c r="BB29" s="57" t="s">
        <v>55</v>
      </c>
      <c r="BC29" s="57" t="s">
        <v>34</v>
      </c>
      <c r="BD29" s="57" t="s">
        <v>63</v>
      </c>
      <c r="BE29" s="57" t="str">
        <f aca="false">$G1</f>
        <v>VEGA</v>
      </c>
      <c r="BF29" s="4" t="s">
        <v>34</v>
      </c>
      <c r="BG29" s="4" t="s">
        <v>63</v>
      </c>
      <c r="BH29" s="4" t="str">
        <f aca="false">BE29</f>
        <v>VEGA</v>
      </c>
      <c r="BK29" s="192" t="s">
        <v>173</v>
      </c>
      <c r="BL29" s="57" t="s">
        <v>54</v>
      </c>
      <c r="BM29" s="57" t="s">
        <v>55</v>
      </c>
      <c r="BN29" s="57" t="s">
        <v>34</v>
      </c>
      <c r="BO29" s="57" t="s">
        <v>63</v>
      </c>
      <c r="BP29" s="57" t="str">
        <f aca="false">$G1</f>
        <v>VEGA</v>
      </c>
      <c r="BQ29" s="4" t="s">
        <v>34</v>
      </c>
      <c r="BR29" s="4" t="s">
        <v>63</v>
      </c>
      <c r="BS29" s="4" t="str">
        <f aca="false">BP29</f>
        <v>VEGA</v>
      </c>
      <c r="BV29" s="192" t="s">
        <v>173</v>
      </c>
      <c r="BW29" s="57" t="s">
        <v>54</v>
      </c>
      <c r="BX29" s="57" t="s">
        <v>55</v>
      </c>
      <c r="BY29" s="57" t="s">
        <v>34</v>
      </c>
      <c r="BZ29" s="57" t="s">
        <v>63</v>
      </c>
      <c r="CA29" s="57" t="str">
        <f aca="false">$G1</f>
        <v>VEGA</v>
      </c>
      <c r="CB29" s="4" t="s">
        <v>34</v>
      </c>
      <c r="CC29" s="4" t="s">
        <v>63</v>
      </c>
      <c r="CD29" s="4" t="str">
        <f aca="false">CA29</f>
        <v>VEGA</v>
      </c>
    </row>
    <row r="30" customFormat="false" ht="14.25" hidden="false" customHeight="false" outlineLevel="0" collapsed="false">
      <c r="A30" s="59" t="s">
        <v>59</v>
      </c>
      <c r="B30" s="59" t="s">
        <v>60</v>
      </c>
      <c r="C30" s="59" t="s">
        <v>61</v>
      </c>
      <c r="D30" s="59" t="s">
        <v>14</v>
      </c>
      <c r="E30" s="59" t="s">
        <v>64</v>
      </c>
      <c r="F30" s="59" t="s">
        <v>62</v>
      </c>
      <c r="G30" s="59" t="s">
        <v>174</v>
      </c>
      <c r="H30" s="59" t="s">
        <v>176</v>
      </c>
      <c r="I30" s="59" t="s">
        <v>177</v>
      </c>
      <c r="K30" s="59" t="s">
        <v>14</v>
      </c>
      <c r="L30" s="59" t="s">
        <v>64</v>
      </c>
      <c r="M30" s="59" t="s">
        <v>62</v>
      </c>
      <c r="N30" s="59" t="s">
        <v>196</v>
      </c>
      <c r="O30" s="59" t="s">
        <v>197</v>
      </c>
      <c r="P30" s="59" t="s">
        <v>198</v>
      </c>
      <c r="R30" s="59" t="s">
        <v>14</v>
      </c>
      <c r="S30" s="59" t="s">
        <v>64</v>
      </c>
      <c r="T30" s="59" t="s">
        <v>62</v>
      </c>
      <c r="U30" s="59" t="s">
        <v>199</v>
      </c>
      <c r="V30" s="59" t="s">
        <v>200</v>
      </c>
      <c r="W30" s="59" t="s">
        <v>201</v>
      </c>
      <c r="X30" s="60"/>
      <c r="Y30" s="59" t="s">
        <v>14</v>
      </c>
      <c r="Z30" s="59" t="s">
        <v>64</v>
      </c>
      <c r="AA30" s="59" t="s">
        <v>62</v>
      </c>
      <c r="AB30" s="59" t="s">
        <v>202</v>
      </c>
      <c r="AC30" s="59" t="s">
        <v>203</v>
      </c>
      <c r="AD30" s="59" t="s">
        <v>204</v>
      </c>
      <c r="AF30" s="1" t="s">
        <v>205</v>
      </c>
      <c r="AG30" s="59" t="s">
        <v>206</v>
      </c>
      <c r="AH30" s="59" t="s">
        <v>67</v>
      </c>
      <c r="AI30" s="8"/>
      <c r="AL30" s="60"/>
      <c r="AN30" s="1" t="s">
        <v>68</v>
      </c>
      <c r="AQ30" s="38"/>
      <c r="AR30" s="8"/>
      <c r="AS30" s="8"/>
      <c r="AT30" s="8"/>
      <c r="AW30" s="0" t="s">
        <v>181</v>
      </c>
      <c r="AY30" s="1" t="s">
        <v>68</v>
      </c>
      <c r="BB30" s="38"/>
      <c r="BC30" s="8"/>
      <c r="BD30" s="8"/>
      <c r="BE30" s="8"/>
      <c r="BH30" s="0" t="s">
        <v>181</v>
      </c>
      <c r="BJ30" s="1" t="s">
        <v>68</v>
      </c>
      <c r="BM30" s="38"/>
      <c r="BN30" s="8"/>
      <c r="BO30" s="8"/>
      <c r="BP30" s="8"/>
      <c r="BS30" s="0" t="s">
        <v>181</v>
      </c>
      <c r="BU30" s="1" t="s">
        <v>68</v>
      </c>
      <c r="BX30" s="38"/>
      <c r="BY30" s="8"/>
      <c r="BZ30" s="8"/>
      <c r="CA30" s="8"/>
      <c r="CD30" s="0" t="s">
        <v>181</v>
      </c>
    </row>
    <row r="31" customFormat="false" ht="13.5" hidden="false" customHeight="false" outlineLevel="0" collapsed="false">
      <c r="A31" s="62" t="n">
        <v>37257</v>
      </c>
      <c r="B31" s="63" t="n">
        <f aca="false">VLOOKUP(A31,STRADDLE,5,FALSE())</f>
        <v>2.719</v>
      </c>
      <c r="C31" s="4" t="n">
        <f aca="false">VLOOKUP(A31,STRADDLE,8,FALSE())</f>
        <v>0.87</v>
      </c>
      <c r="D31" s="63" t="n">
        <f aca="false">IF(D$28="nymex",0,VLOOKUP($A31,curvesettle,HLOOKUP(D$28,curvesettle,2,FALSE())))</f>
        <v>-0.0825</v>
      </c>
      <c r="E31" s="65" t="n">
        <f aca="false">IF(ISNUMBER(VLOOKUP($A31,VOLCURVES,HLOOKUP(D$28,VOLCURVES,2,FALSE()),FALSE())),VLOOKUP($A31,VOLCURVES,HLOOKUP(D$28,VOLCURVES,2,FALSE()),FALSE()),1)</f>
        <v>1</v>
      </c>
      <c r="F31" s="64" t="n">
        <f aca="false">IF(D$28="NYMEX",$AG31,$AF31)</f>
        <v>-8675</v>
      </c>
      <c r="G31" s="4" t="e">
        <f aca="false">(($C31+H31)*$E31)+B$15</f>
        <v>#DIV/0!</v>
      </c>
      <c r="H31" s="4" t="e">
        <f aca="false">IF(B$16=1,xCalcSkew(A31,I31-AO31,b)/100,0)</f>
        <v>#DIV/0!</v>
      </c>
      <c r="I31" s="66" t="n">
        <f aca="false">IF($B$19=4,$AO31,$B$18)</f>
        <v>5</v>
      </c>
      <c r="K31" s="63" t="n">
        <f aca="false">IF(K$28="nymex",0,VLOOKUP($A31,curvesettle,HLOOKUP(K$28,curvesettle,2,FALSE())))</f>
        <v>-0.0825</v>
      </c>
      <c r="L31" s="65" t="n">
        <f aca="false">IF(ISNUMBER(VLOOKUP($A31,VOLCURVES,HLOOKUP(K$28,VOLCURVES,2,FALSE()),FALSE())),VLOOKUP($A31,VOLCURVES,HLOOKUP(K$28,VOLCURVES,2,FALSE()),FALSE()),1)</f>
        <v>1</v>
      </c>
      <c r="M31" s="64" t="n">
        <f aca="false">IF(K$28="NYMEX",$AG31,$AF31)</f>
        <v>-8675</v>
      </c>
      <c r="N31" s="184" t="e">
        <f aca="false">(($C31+O31)*$L31)+D$15</f>
        <v>#NAME?</v>
      </c>
      <c r="O31" s="4" t="e">
        <f aca="false">IF(D$16=1,xCalcSkew($A31,P31-AZ31,b)/100,0)</f>
        <v>#NAME?</v>
      </c>
      <c r="P31" s="66" t="n">
        <f aca="false">IF($D$19=4,$AZ31,$D$18)</f>
        <v>3</v>
      </c>
      <c r="R31" s="63" t="n">
        <f aca="false">IF(R$28="nymex",0,VLOOKUP($A31,curvesettle,HLOOKUP(R$28,curvesettle,2,FALSE())))</f>
        <v>-0.31</v>
      </c>
      <c r="S31" s="65" t="n">
        <f aca="false">IF(ISNUMBER(VLOOKUP($A31,VOLCURVES,HLOOKUP(R$28,VOLCURVES,2,FALSE()),FALSE())),VLOOKUP($A31,VOLCURVES,HLOOKUP(R$28,VOLCURVES,2,FALSE()),FALSE()),1)</f>
        <v>1</v>
      </c>
      <c r="T31" s="64" t="n">
        <f aca="false">IF(R$28="NYMEX",$AG31,$AF31)</f>
        <v>-8675</v>
      </c>
      <c r="U31" s="184" t="e">
        <f aca="false">(($C31+V31)*$S31)+F$15</f>
        <v>#DIV/0!</v>
      </c>
      <c r="V31" s="4" t="e">
        <f aca="false">IF(F$16=1,xCalcSkew($A31,W31-BK31,b)/100,0)</f>
        <v>#DIV/0!</v>
      </c>
      <c r="W31" s="66" t="n">
        <f aca="false">IF($F$19=4,$BK31,$F$18)</f>
        <v>2.55</v>
      </c>
      <c r="X31" s="64"/>
      <c r="Y31" s="63" t="n">
        <f aca="false">IF(Y$28="nymex",0,VLOOKUP($A31,curvesettle,HLOOKUP(Y$28,curvesettle,2,FALSE())))</f>
        <v>0</v>
      </c>
      <c r="Z31" s="65" t="n">
        <f aca="false">IF(ISNUMBER(VLOOKUP($A31,VOLCURVES,HLOOKUP(Y$28,VOLCURVES,2,FALSE()),FALSE())),VLOOKUP($A31,VOLCURVES,HLOOKUP(Y$28,VOLCURVES,2,FALSE()),FALSE()),1)</f>
        <v>1</v>
      </c>
      <c r="AA31" s="64" t="n">
        <f aca="false">IF(Y$28="NYMEX",$AG31,$AF31)</f>
        <v>-8676</v>
      </c>
      <c r="AB31" s="4" t="e">
        <f aca="false">(($C31+AC31)*$Z31)+H$15</f>
        <v>#DIV/0!</v>
      </c>
      <c r="AC31" s="4" t="e">
        <f aca="false">IF(H$16=1,xCalcSkew($A31,AD31-BV31,b)/100,0)</f>
        <v>#DIV/0!</v>
      </c>
      <c r="AD31" s="66" t="n">
        <f aca="false">IF($H$19=4,$BV31,$H$18)</f>
        <v>2.9</v>
      </c>
      <c r="AF31" s="64" t="n">
        <f aca="false">VLOOKUP($A31,expiration,2,FALSE())-$B$2</f>
        <v>-8675</v>
      </c>
      <c r="AG31" s="64" t="n">
        <f aca="false">VLOOKUP($A31,expiration,3,FALSE())-$B$2</f>
        <v>-8676</v>
      </c>
      <c r="AH31" s="4" t="n">
        <f aca="false">VLOOKUP($A31,STRADDLE,14,FALSE())</f>
        <v>0.018936902743822</v>
      </c>
      <c r="AI31" s="72" t="n">
        <f aca="false">A32-A31</f>
        <v>31</v>
      </c>
      <c r="AJ31" s="76"/>
      <c r="AK31" s="76"/>
      <c r="AL31" s="76"/>
      <c r="AM31" s="76"/>
      <c r="AN31" s="73" t="n">
        <f aca="false">IF($A31&gt;=AO$25,IF($A31&lt;=AO$26,$AI31,0),0)</f>
        <v>0</v>
      </c>
      <c r="AO31" s="196" t="e">
        <f aca="false">AQ31/AN31</f>
        <v>#DIV/0!</v>
      </c>
      <c r="AP31" s="1" t="n">
        <f aca="false">AN31*($B31+B$13)</f>
        <v>0</v>
      </c>
      <c r="AQ31" s="47" t="n">
        <f aca="false">IF(ISNUMBER(((AP31/AN31)+B$14+$D31)*AN31),((AP31/AN31)+B$14+$D31)*AN31,0)</f>
        <v>0</v>
      </c>
      <c r="AR31" s="76" t="n">
        <f aca="false">IF(AN31=0,0,bsd(1,AS$27,AO31,$I31,$F31,$G31,$AH31,0.1))</f>
        <v>0</v>
      </c>
      <c r="AS31" s="76" t="n">
        <f aca="false">IF(AN31=0,0,bsd(2,AS$27,AO31,$I31,$F31,$G31,$AH31,0.1))</f>
        <v>0</v>
      </c>
      <c r="AT31" s="76" t="n">
        <f aca="false">IF(AN31=0,0,bsd(AS$28,AS$27,AO31,$I31,$F31,$G31,$AH31,0.1))</f>
        <v>0</v>
      </c>
      <c r="AU31" s="37" t="n">
        <f aca="false">AN31*AR31</f>
        <v>0</v>
      </c>
      <c r="AV31" s="37" t="n">
        <f aca="false">AN31*AS31</f>
        <v>0</v>
      </c>
      <c r="AW31" s="37" t="n">
        <f aca="false">AN31*AT31</f>
        <v>0</v>
      </c>
      <c r="AY31" s="73" t="n">
        <f aca="false">IF($A31&gt;=AZ$25,IF($A31&lt;=AZ$26,$AI31,0),0)</f>
        <v>31</v>
      </c>
      <c r="AZ31" s="196" t="n">
        <f aca="false">BB31/AY31</f>
        <v>2.6265</v>
      </c>
      <c r="BA31" s="1" t="n">
        <f aca="false">AY31*($B31+D$13)</f>
        <v>83.979</v>
      </c>
      <c r="BB31" s="47" t="n">
        <f aca="false">IF(ISNUMBER(((BA31/AY31)+D$14+$K31)*AY31),((BA31/AY31)+D$14+$K31)*AY31,0)</f>
        <v>81.4215</v>
      </c>
      <c r="BC31" s="76" t="e">
        <f aca="false">IF(AY31=0,0,bsd(1,BD$27,AZ31,$P31,$M31,$N31,$AH31,0.1))</f>
        <v>#VALUE!</v>
      </c>
      <c r="BD31" s="76" t="e">
        <f aca="false">IF(AY31=0,0,bsd(2,BD$27,AZ31,$P31,$M31,$N31,$AH31,0.1))</f>
        <v>#VALUE!</v>
      </c>
      <c r="BE31" s="76" t="e">
        <f aca="false">IF(AY31=0,0,bsd(BD$28,BD$27,AZ31,$P31,$M31,$N31,$AH31,0.1))</f>
        <v>#VALUE!</v>
      </c>
      <c r="BF31" s="37" t="e">
        <f aca="false">AY31*BC31</f>
        <v>#VALUE!</v>
      </c>
      <c r="BG31" s="37" t="e">
        <f aca="false">AY31*BD31</f>
        <v>#VALUE!</v>
      </c>
      <c r="BH31" s="37" t="e">
        <f aca="false">AY31*BE31</f>
        <v>#VALUE!</v>
      </c>
      <c r="BJ31" s="73" t="n">
        <f aca="false">IF($A31&gt;=BK$25,IF($A31&lt;=BK$26,$AI31,0),0)</f>
        <v>0</v>
      </c>
      <c r="BK31" s="196" t="e">
        <f aca="false">BM31/BJ31</f>
        <v>#DIV/0!</v>
      </c>
      <c r="BL31" s="1" t="n">
        <f aca="false">BJ31*($B31+F$13)</f>
        <v>0</v>
      </c>
      <c r="BM31" s="47" t="n">
        <f aca="false">IF(ISNUMBER(((BL31/BJ31)+F$14+$R31)*BJ31),((BL31/BJ31)+F$14+$R31)*BJ31,0)</f>
        <v>0</v>
      </c>
      <c r="BN31" s="76" t="n">
        <f aca="false">IF(BJ31=0,0,bsd(1,BO$27,BK31,$W31,$T31,$U31,$AH31,0.1))</f>
        <v>0</v>
      </c>
      <c r="BO31" s="76" t="n">
        <f aca="false">IF(BJ31=0,0,bsd(2,BO$27,BK31,$W31,$T31,$U31,$AH31,0.1))</f>
        <v>0</v>
      </c>
      <c r="BP31" s="76" t="n">
        <f aca="false">IF(BJ31=0,0,bsd(BO$28,BO$27,BK31,$W31,$T31,$U31,$AH31,0.1))</f>
        <v>0</v>
      </c>
      <c r="BQ31" s="37" t="n">
        <f aca="false">BJ31*BN31</f>
        <v>0</v>
      </c>
      <c r="BR31" s="37" t="n">
        <f aca="false">BJ31*BO31</f>
        <v>0</v>
      </c>
      <c r="BS31" s="37" t="n">
        <f aca="false">BJ31*BP31</f>
        <v>0</v>
      </c>
      <c r="BU31" s="73" t="n">
        <f aca="false">IF($A31&gt;=BV$25,IF($A31&lt;=BV$26,$AI31,0),0)</f>
        <v>0</v>
      </c>
      <c r="BV31" s="196" t="e">
        <f aca="false">BX31/BU31</f>
        <v>#DIV/0!</v>
      </c>
      <c r="BW31" s="1" t="n">
        <f aca="false">BU31*($B31+H$13)</f>
        <v>0</v>
      </c>
      <c r="BX31" s="47" t="n">
        <f aca="false">IF(ISNUMBER(((BW31/BU31)+H$14+$Y31)*BU31),((BW31/BU31)+H$14+$Y31)*BU31,0)</f>
        <v>0</v>
      </c>
      <c r="BY31" s="76" t="n">
        <f aca="false">IF(BU31=0,0,bsd(1,BZ$27,BV31,$AD31,$AA31,$AB31,$AH31,0.1))</f>
        <v>0</v>
      </c>
      <c r="BZ31" s="76" t="n">
        <f aca="false">IF(BU31=0,0,bsd(2,BZ$27,BV31,$AD31,$AA31,$AB31,$AH31,0.1))</f>
        <v>0</v>
      </c>
      <c r="CA31" s="76" t="n">
        <f aca="false">IF(BU31=0,0,bsd(BZ$28,BZ$27,BV31,$AD31,$AA31,$AB31,$AH31,0.1))</f>
        <v>0</v>
      </c>
      <c r="CB31" s="37" t="n">
        <f aca="false">BU31*BY31</f>
        <v>0</v>
      </c>
      <c r="CC31" s="37" t="n">
        <f aca="false">BU31*BZ31</f>
        <v>0</v>
      </c>
      <c r="CD31" s="37" t="n">
        <f aca="false">BU31*CA31</f>
        <v>0</v>
      </c>
    </row>
    <row r="32" customFormat="false" ht="12.75" hidden="false" customHeight="false" outlineLevel="0" collapsed="false">
      <c r="A32" s="62" t="n">
        <f aca="false">DATE(YEAR(A31),MONTH(A31)+1,1)</f>
        <v>37288</v>
      </c>
      <c r="B32" s="63" t="n">
        <f aca="false">VLOOKUP(A32,STRADDLE,5,FALSE())</f>
        <v>2.793</v>
      </c>
      <c r="C32" s="4" t="n">
        <f aca="false">VLOOKUP(A32,STRADDLE,8,FALSE())</f>
        <v>0.865</v>
      </c>
      <c r="D32" s="63" t="n">
        <f aca="false">IF(D$28="nymex",0,VLOOKUP($A32,curvesettle,HLOOKUP(D$28,curvesettle,2,FALSE())))</f>
        <v>-0.0825</v>
      </c>
      <c r="E32" s="65" t="n">
        <f aca="false">IF(ISNUMBER(VLOOKUP($A32,VOLCURVES,HLOOKUP(D$28,VOLCURVES,2,FALSE()),FALSE())),VLOOKUP($A32,VOLCURVES,HLOOKUP(D$28,VOLCURVES,2,FALSE()),FALSE()),1)</f>
        <v>1</v>
      </c>
      <c r="F32" s="64" t="n">
        <f aca="false">IF(D$28="NYMEX",$AG32,$AF32)</f>
        <v>-8642</v>
      </c>
      <c r="G32" s="4" t="e">
        <f aca="false">(($C32+H32)*$E32)+B$15</f>
        <v>#DIV/0!</v>
      </c>
      <c r="H32" s="4" t="e">
        <f aca="false">IF(B$16=1,xCalcSkew(A32,I32-AO32,b)/100,0)</f>
        <v>#DIV/0!</v>
      </c>
      <c r="I32" s="66" t="n">
        <f aca="false">IF($B$19=4,$AO32,$B$18)</f>
        <v>5</v>
      </c>
      <c r="K32" s="63" t="n">
        <f aca="false">IF(K$28="nymex",0,VLOOKUP($A32,curvesettle,HLOOKUP(K$28,curvesettle,2,FALSE())))</f>
        <v>-0.0825</v>
      </c>
      <c r="L32" s="65" t="n">
        <f aca="false">IF(ISNUMBER(VLOOKUP($A32,VOLCURVES,HLOOKUP(K$28,VOLCURVES,2,FALSE()),FALSE())),VLOOKUP($A32,VOLCURVES,HLOOKUP(K$28,VOLCURVES,2,FALSE()),FALSE()),1)</f>
        <v>1</v>
      </c>
      <c r="M32" s="64" t="n">
        <f aca="false">IF(K$28="NYMEX",$AG32,$AF32)</f>
        <v>-8642</v>
      </c>
      <c r="N32" s="184" t="e">
        <f aca="false">(($C32+O32)*$L32)+D$15</f>
        <v>#NAME?</v>
      </c>
      <c r="O32" s="4" t="e">
        <f aca="false">IF(D$16=1,xCalcSkew($A32,P32-AZ32,b)/100,0)</f>
        <v>#NAME?</v>
      </c>
      <c r="P32" s="66" t="n">
        <f aca="false">IF($D$19=4,$AZ32,$D$18)</f>
        <v>3</v>
      </c>
      <c r="Q32" s="184" t="e">
        <f aca="false">N32-O32</f>
        <v>#NAME?</v>
      </c>
      <c r="R32" s="63" t="n">
        <f aca="false">IF(R$28="nymex",0,VLOOKUP($A32,curvesettle,HLOOKUP(R$28,curvesettle,2,FALSE())))</f>
        <v>-0.34</v>
      </c>
      <c r="S32" s="65" t="n">
        <f aca="false">IF(ISNUMBER(VLOOKUP($A32,VOLCURVES,HLOOKUP(R$28,VOLCURVES,2,FALSE()),FALSE())),VLOOKUP($A32,VOLCURVES,HLOOKUP(R$28,VOLCURVES,2,FALSE()),FALSE()),1)</f>
        <v>1</v>
      </c>
      <c r="T32" s="64" t="n">
        <f aca="false">IF(R$28="NYMEX",$AG32,$AF32)</f>
        <v>-8642</v>
      </c>
      <c r="U32" s="184" t="e">
        <f aca="false">(($C32+V32)*$S32)+F$15</f>
        <v>#DIV/0!</v>
      </c>
      <c r="V32" s="4" t="e">
        <f aca="false">IF(F$16=1,xCalcSkew($A32,W32-BK32,b)/100,0)</f>
        <v>#DIV/0!</v>
      </c>
      <c r="W32" s="66" t="n">
        <f aca="false">IF($F$19=4,$BK32,$F$18)</f>
        <v>2.55</v>
      </c>
      <c r="X32" s="64"/>
      <c r="Y32" s="63" t="n">
        <f aca="false">IF(Y$28="nymex",0,VLOOKUP($A32,curvesettle,HLOOKUP(Y$28,curvesettle,2,FALSE())))</f>
        <v>0</v>
      </c>
      <c r="Z32" s="65" t="n">
        <f aca="false">IF(ISNUMBER(VLOOKUP($A32,VOLCURVES,HLOOKUP(Y$28,VOLCURVES,2,FALSE()),FALSE())),VLOOKUP($A32,VOLCURVES,HLOOKUP(Y$28,VOLCURVES,2,FALSE()),FALSE()),1)</f>
        <v>1</v>
      </c>
      <c r="AA32" s="64" t="n">
        <f aca="false">IF(Y$28="NYMEX",$AG32,$AF32)</f>
        <v>-8643</v>
      </c>
      <c r="AB32" s="4" t="e">
        <f aca="false">(($C32+AC32)*$Z32)+H$15</f>
        <v>#DIV/0!</v>
      </c>
      <c r="AC32" s="4" t="e">
        <f aca="false">IF(H$16=1,xCalcSkew($A32,AD32-BV32,b)/100,0)</f>
        <v>#DIV/0!</v>
      </c>
      <c r="AD32" s="66" t="n">
        <f aca="false">IF($H$19=4,$BV32,$H$18)</f>
        <v>2.9</v>
      </c>
      <c r="AF32" s="64" t="n">
        <f aca="false">VLOOKUP($A32,expiration,2,FALSE())-$B$2</f>
        <v>-8642</v>
      </c>
      <c r="AG32" s="64" t="n">
        <f aca="false">VLOOKUP($A32,expiration,3,FALSE())-$B$2</f>
        <v>-8643</v>
      </c>
      <c r="AH32" s="4" t="n">
        <f aca="false">VLOOKUP($A32,STRADDLE,14,FALSE())</f>
        <v>0.0191878596638237</v>
      </c>
      <c r="AI32" s="72" t="n">
        <f aca="false">A33-A32</f>
        <v>28</v>
      </c>
      <c r="AJ32" s="76"/>
      <c r="AK32" s="76"/>
      <c r="AL32" s="76"/>
      <c r="AM32" s="76"/>
      <c r="AN32" s="73" t="n">
        <f aca="false">IF($A32&gt;=AO$25,IF($A32&lt;=AO$26,$AI32,0),0)</f>
        <v>0</v>
      </c>
      <c r="AO32" s="196" t="e">
        <f aca="false">AQ32/AN32</f>
        <v>#DIV/0!</v>
      </c>
      <c r="AP32" s="1" t="n">
        <f aca="false">AN32*($B32+B$13)</f>
        <v>0</v>
      </c>
      <c r="AQ32" s="47" t="n">
        <f aca="false">IF(ISNUMBER(((AP32/AN32)+B$14+$D32)*AN32),((AP32/AN32)+B$14+$D32)*AN32,0)</f>
        <v>0</v>
      </c>
      <c r="AR32" s="76" t="n">
        <f aca="false">IF(AN32=0,0,bsd(1,AS$27,AO32,$I32,$F32,$G32,$AH32,0.1))</f>
        <v>0</v>
      </c>
      <c r="AS32" s="76" t="n">
        <f aca="false">IF(AN32=0,0,bsd(2,AS$27,AO32,$I32,$F32,$G32,$AH32,0.1))</f>
        <v>0</v>
      </c>
      <c r="AT32" s="76" t="n">
        <f aca="false">IF(AN32=0,0,bsd(AS$28,AS$27,AO32,$I32,$F32,$G32,$AH32,0.1))</f>
        <v>0</v>
      </c>
      <c r="AU32" s="37" t="n">
        <f aca="false">AN32*AR32</f>
        <v>0</v>
      </c>
      <c r="AV32" s="37" t="n">
        <f aca="false">AN32*AS32</f>
        <v>0</v>
      </c>
      <c r="AW32" s="37" t="n">
        <f aca="false">AN32*AT32</f>
        <v>0</v>
      </c>
      <c r="AY32" s="73" t="n">
        <f aca="false">IF($A32&gt;=AZ$25,IF($A32&lt;=AZ$26,$AI32,0),0)</f>
        <v>28</v>
      </c>
      <c r="AZ32" s="196" t="n">
        <f aca="false">BB32/AY32</f>
        <v>2.7005</v>
      </c>
      <c r="BA32" s="1" t="n">
        <f aca="false">AY32*($B32+D$13)</f>
        <v>77.924</v>
      </c>
      <c r="BB32" s="47" t="n">
        <f aca="false">IF(ISNUMBER(((BA32/AY32)+D$14+$K32)*AY32),((BA32/AY32)+D$14+$K32)*AY32,0)</f>
        <v>75.614</v>
      </c>
      <c r="BC32" s="76" t="e">
        <f aca="false">IF(AY32=0,0,bsd(1,BD$27,AZ32,$P32,$M32,$N32,$AH32,0.1))</f>
        <v>#VALUE!</v>
      </c>
      <c r="BD32" s="76" t="e">
        <f aca="false">IF(AY32=0,0,bsd(2,BD$27,AZ32,$P32,$M32,$N32,$AH32,0.1))</f>
        <v>#VALUE!</v>
      </c>
      <c r="BE32" s="76" t="e">
        <f aca="false">IF(AY32=0,0,bsd(BD$28,BD$27,AZ32,$P32,$M32,$N32,$AH32,0.1))</f>
        <v>#VALUE!</v>
      </c>
      <c r="BF32" s="37" t="e">
        <f aca="false">AY32*BC32</f>
        <v>#VALUE!</v>
      </c>
      <c r="BG32" s="37" t="e">
        <f aca="false">AY32*BD32</f>
        <v>#VALUE!</v>
      </c>
      <c r="BH32" s="37" t="e">
        <f aca="false">AY32*BE32</f>
        <v>#VALUE!</v>
      </c>
      <c r="BJ32" s="73" t="n">
        <f aca="false">IF($A32&gt;=BK$25,IF($A32&lt;=BK$26,$AI32,0),0)</f>
        <v>0</v>
      </c>
      <c r="BK32" s="196" t="e">
        <f aca="false">BM32/BJ32</f>
        <v>#DIV/0!</v>
      </c>
      <c r="BL32" s="1" t="n">
        <f aca="false">BJ32*($B32+F$13)</f>
        <v>0</v>
      </c>
      <c r="BM32" s="47" t="n">
        <f aca="false">IF(ISNUMBER(((BL32/BJ32)+F$14+$R32)*BJ32),((BL32/BJ32)+F$14+$R32)*BJ32,0)</f>
        <v>0</v>
      </c>
      <c r="BN32" s="76" t="n">
        <f aca="false">IF(BJ32=0,0,bsd(1,BO$27,BK32,$W32,$T32,$U32,$AH32,0.1))</f>
        <v>0</v>
      </c>
      <c r="BO32" s="76" t="n">
        <f aca="false">IF(BJ32=0,0,bsd(2,BO$27,BK32,$W32,$T32,$U32,$AH32,0.1))</f>
        <v>0</v>
      </c>
      <c r="BP32" s="76" t="n">
        <f aca="false">IF(BJ32=0,0,bsd(BO$28,BO$27,BK32,$W32,$T32,$U32,$AH32,0.1))</f>
        <v>0</v>
      </c>
      <c r="BQ32" s="37" t="n">
        <f aca="false">BJ32*BN32</f>
        <v>0</v>
      </c>
      <c r="BR32" s="37" t="n">
        <f aca="false">BJ32*BO32</f>
        <v>0</v>
      </c>
      <c r="BS32" s="37" t="n">
        <f aca="false">BJ32*BP32</f>
        <v>0</v>
      </c>
      <c r="BU32" s="73" t="n">
        <f aca="false">IF($A32&gt;=BV$25,IF($A32&lt;=BV$26,$AI32,0),0)</f>
        <v>0</v>
      </c>
      <c r="BV32" s="196" t="e">
        <f aca="false">BX32/BU32</f>
        <v>#DIV/0!</v>
      </c>
      <c r="BW32" s="1" t="n">
        <f aca="false">BU32*($B32+H$13)</f>
        <v>0</v>
      </c>
      <c r="BX32" s="47" t="n">
        <f aca="false">IF(ISNUMBER(((BW32/BU32)+H$14+$Y32)*BU32),((BW32/BU32)+H$14+$Y32)*BU32,0)</f>
        <v>0</v>
      </c>
      <c r="BY32" s="76" t="n">
        <f aca="false">IF(BU32=0,0,bsd(1,BZ$27,BV32,$AD32,$AA32,$AB32,$AH32,0.1))</f>
        <v>0</v>
      </c>
      <c r="BZ32" s="76" t="n">
        <f aca="false">IF(BU32=0,0,bsd(2,BZ$27,BV32,$AD32,$AA32,$AB32,$AH32,0.1))</f>
        <v>0</v>
      </c>
      <c r="CA32" s="76" t="n">
        <f aca="false">IF(BU32=0,0,bsd(BZ$28,BZ$27,BV32,$AD32,$AA32,$AB32,$AH32,0.1))</f>
        <v>0</v>
      </c>
      <c r="CB32" s="37" t="n">
        <f aca="false">BU32*BY32</f>
        <v>0</v>
      </c>
      <c r="CC32" s="37" t="n">
        <f aca="false">BU32*BZ32</f>
        <v>0</v>
      </c>
      <c r="CD32" s="37" t="n">
        <f aca="false">BU32*CA32</f>
        <v>0</v>
      </c>
    </row>
    <row r="33" customFormat="false" ht="12.75" hidden="false" customHeight="false" outlineLevel="0" collapsed="false">
      <c r="A33" s="62" t="n">
        <f aca="false">DATE(YEAR(A32),MONTH(A32)+1,1)</f>
        <v>37316</v>
      </c>
      <c r="B33" s="63" t="n">
        <f aca="false">VLOOKUP(A33,STRADDLE,5,FALSE())</f>
        <v>2.795</v>
      </c>
      <c r="C33" s="4" t="n">
        <f aca="false">VLOOKUP(A33,STRADDLE,8,FALSE())</f>
        <v>0.78</v>
      </c>
      <c r="D33" s="63" t="n">
        <f aca="false">IF(D$28="nymex",0,VLOOKUP($A33,curvesettle,HLOOKUP(D$28,curvesettle,2,FALSE())))</f>
        <v>-0.0825</v>
      </c>
      <c r="E33" s="65" t="n">
        <f aca="false">IF(ISNUMBER(VLOOKUP($A33,VOLCURVES,HLOOKUP(D$28,VOLCURVES,2,FALSE()),FALSE())),VLOOKUP($A33,VOLCURVES,HLOOKUP(D$28,VOLCURVES,2,FALSE()),FALSE()),1)</f>
        <v>1</v>
      </c>
      <c r="F33" s="64" t="n">
        <f aca="false">IF(D$28="NYMEX",$AG33,$AF33)</f>
        <v>-8614</v>
      </c>
      <c r="G33" s="4" t="e">
        <f aca="false">(($C33+H33)*$E33)+B$15</f>
        <v>#DIV/0!</v>
      </c>
      <c r="H33" s="4" t="e">
        <f aca="false">IF(B$16=1,xCalcSkew(A33,I33-AO33,b)/100,0)</f>
        <v>#DIV/0!</v>
      </c>
      <c r="I33" s="66" t="n">
        <f aca="false">IF($B$19=4,$AO33,$B$18)</f>
        <v>5</v>
      </c>
      <c r="K33" s="63" t="n">
        <f aca="false">IF(K$28="nymex",0,VLOOKUP($A33,curvesettle,HLOOKUP(K$28,curvesettle,2,FALSE())))</f>
        <v>-0.0825</v>
      </c>
      <c r="L33" s="65" t="n">
        <f aca="false">IF(ISNUMBER(VLOOKUP($A33,VOLCURVES,HLOOKUP(K$28,VOLCURVES,2,FALSE()),FALSE())),VLOOKUP($A33,VOLCURVES,HLOOKUP(K$28,VOLCURVES,2,FALSE()),FALSE()),1)</f>
        <v>1</v>
      </c>
      <c r="M33" s="64" t="n">
        <f aca="false">IF(K$28="NYMEX",$AG33,$AF33)</f>
        <v>-8614</v>
      </c>
      <c r="N33" s="184" t="e">
        <f aca="false">(($C33+O33)*$L33)+D$15</f>
        <v>#DIV/0!</v>
      </c>
      <c r="O33" s="4" t="e">
        <f aca="false">IF(D$16=1,xCalcSkew($A33,P33-AZ33,b)/100,0)</f>
        <v>#DIV/0!</v>
      </c>
      <c r="P33" s="66" t="n">
        <f aca="false">IF($D$19=4,$AZ33,$D$18)</f>
        <v>3</v>
      </c>
      <c r="Q33" s="184" t="e">
        <f aca="false">N33-O33</f>
        <v>#DIV/0!</v>
      </c>
      <c r="R33" s="63" t="n">
        <f aca="false">IF(R$28="nymex",0,VLOOKUP($A33,curvesettle,HLOOKUP(R$28,curvesettle,2,FALSE())))</f>
        <v>-0.43</v>
      </c>
      <c r="S33" s="65" t="n">
        <f aca="false">IF(ISNUMBER(VLOOKUP($A33,VOLCURVES,HLOOKUP(R$28,VOLCURVES,2,FALSE()),FALSE())),VLOOKUP($A33,VOLCURVES,HLOOKUP(R$28,VOLCURVES,2,FALSE()),FALSE()),1)</f>
        <v>1</v>
      </c>
      <c r="T33" s="64" t="n">
        <f aca="false">IF(R$28="NYMEX",$AG33,$AF33)</f>
        <v>-8614</v>
      </c>
      <c r="U33" s="184" t="e">
        <f aca="false">(($C33+V33)*$S33)+F$15</f>
        <v>#DIV/0!</v>
      </c>
      <c r="V33" s="4" t="e">
        <f aca="false">IF(F$16=1,xCalcSkew($A33,W33-BK33,b)/100,0)</f>
        <v>#DIV/0!</v>
      </c>
      <c r="W33" s="66" t="n">
        <f aca="false">IF($F$19=4,$BK33,$F$18)</f>
        <v>2.55</v>
      </c>
      <c r="X33" s="64"/>
      <c r="Y33" s="63" t="n">
        <f aca="false">IF(Y$28="nymex",0,VLOOKUP($A33,curvesettle,HLOOKUP(Y$28,curvesettle,2,FALSE())))</f>
        <v>0</v>
      </c>
      <c r="Z33" s="65" t="n">
        <f aca="false">IF(ISNUMBER(VLOOKUP($A33,VOLCURVES,HLOOKUP(Y$28,VOLCURVES,2,FALSE()),FALSE())),VLOOKUP($A33,VOLCURVES,HLOOKUP(Y$28,VOLCURVES,2,FALSE()),FALSE()),1)</f>
        <v>1</v>
      </c>
      <c r="AA33" s="64" t="n">
        <f aca="false">IF(Y$28="NYMEX",$AG33,$AF33)</f>
        <v>-8615</v>
      </c>
      <c r="AB33" s="4" t="e">
        <f aca="false">(($C33+AC33)*$Z33)+H$15</f>
        <v>#DIV/0!</v>
      </c>
      <c r="AC33" s="4" t="e">
        <f aca="false">IF(H$16=1,xCalcSkew($A33,AD33-BV33,b)/100,0)</f>
        <v>#DIV/0!</v>
      </c>
      <c r="AD33" s="66" t="n">
        <f aca="false">IF($H$19=4,$BV33,$H$18)</f>
        <v>2.9</v>
      </c>
      <c r="AF33" s="64" t="n">
        <f aca="false">VLOOKUP($A33,expiration,2,FALSE())-$B$2</f>
        <v>-8614</v>
      </c>
      <c r="AG33" s="64" t="n">
        <f aca="false">VLOOKUP($A33,expiration,3,FALSE())-$B$2</f>
        <v>-8615</v>
      </c>
      <c r="AH33" s="4" t="n">
        <f aca="false">VLOOKUP($A33,STRADDLE,14,FALSE())</f>
        <v>0.0190229841898146</v>
      </c>
      <c r="AI33" s="72" t="n">
        <f aca="false">A34-A33</f>
        <v>31</v>
      </c>
      <c r="AJ33" s="76"/>
      <c r="AK33" s="76"/>
      <c r="AL33" s="76"/>
      <c r="AM33" s="76"/>
      <c r="AN33" s="73" t="n">
        <f aca="false">IF($A33&gt;=AO$25,IF($A33&lt;=AO$26,$AI33,0),0)</f>
        <v>0</v>
      </c>
      <c r="AO33" s="196" t="e">
        <f aca="false">AQ33/AN33</f>
        <v>#DIV/0!</v>
      </c>
      <c r="AP33" s="1" t="n">
        <f aca="false">AN33*($B33+B$13)</f>
        <v>0</v>
      </c>
      <c r="AQ33" s="47" t="n">
        <f aca="false">IF(ISNUMBER(((AP33/AN33)+B$14+$D33)*AN33),((AP33/AN33)+B$14+$D33)*AN33,0)</f>
        <v>0</v>
      </c>
      <c r="AR33" s="76" t="n">
        <f aca="false">IF(AN33=0,0,bsd(1,AS$27,AO33,$I33,$F33,$G33,$AH33,0.1))</f>
        <v>0</v>
      </c>
      <c r="AS33" s="76" t="n">
        <f aca="false">IF(AN33=0,0,bsd(2,AS$27,AO33,$I33,$F33,$G33,$AH33,0.1))</f>
        <v>0</v>
      </c>
      <c r="AT33" s="76" t="n">
        <f aca="false">IF(AN33=0,0,bsd(AS$28,AS$27,AO33,$I33,$F33,$G33,$AH33,0.1))</f>
        <v>0</v>
      </c>
      <c r="AU33" s="37" t="n">
        <f aca="false">AN33*AR33</f>
        <v>0</v>
      </c>
      <c r="AV33" s="37" t="n">
        <f aca="false">AN33*AS33</f>
        <v>0</v>
      </c>
      <c r="AW33" s="37" t="n">
        <f aca="false">AN33*AT33</f>
        <v>0</v>
      </c>
      <c r="AY33" s="73" t="n">
        <f aca="false">IF($A33&gt;=AZ$25,IF($A33&lt;=AZ$26,$AI33,0),0)</f>
        <v>0</v>
      </c>
      <c r="AZ33" s="196" t="e">
        <f aca="false">BB33/AY33</f>
        <v>#DIV/0!</v>
      </c>
      <c r="BA33" s="1" t="n">
        <f aca="false">AY33*($B33+D$13)</f>
        <v>0</v>
      </c>
      <c r="BB33" s="47" t="n">
        <f aca="false">IF(ISNUMBER(((BA33/AY33)+D$14+$K33)*AY33),((BA33/AY33)+D$14+$K33)*AY33,0)</f>
        <v>0</v>
      </c>
      <c r="BC33" s="76" t="n">
        <f aca="false">IF(AY33=0,0,bsd(1,BD$27,AZ33,$P33,$M33,$N33,$AH33,0.1))</f>
        <v>0</v>
      </c>
      <c r="BD33" s="76" t="n">
        <f aca="false">IF(AY33=0,0,bsd(2,BD$27,AZ33,$P33,$M33,$N33,$AH33,0.1))</f>
        <v>0</v>
      </c>
      <c r="BE33" s="76" t="n">
        <f aca="false">IF(AY33=0,0,bsd(BD$28,BD$27,AZ33,$P33,$M33,$N33,$AH33,0.1))</f>
        <v>0</v>
      </c>
      <c r="BF33" s="37" t="n">
        <f aca="false">AY33*BC33</f>
        <v>0</v>
      </c>
      <c r="BG33" s="37" t="n">
        <f aca="false">AY33*BD33</f>
        <v>0</v>
      </c>
      <c r="BH33" s="37" t="n">
        <f aca="false">AY33*BE33</f>
        <v>0</v>
      </c>
      <c r="BJ33" s="73" t="n">
        <f aca="false">IF($A33&gt;=BK$25,IF($A33&lt;=BK$26,$AI33,0),0)</f>
        <v>0</v>
      </c>
      <c r="BK33" s="196" t="e">
        <f aca="false">BM33/BJ33</f>
        <v>#DIV/0!</v>
      </c>
      <c r="BL33" s="1" t="n">
        <f aca="false">BJ33*($B33+F$13)</f>
        <v>0</v>
      </c>
      <c r="BM33" s="47" t="n">
        <f aca="false">IF(ISNUMBER(((BL33/BJ33)+F$14+$R33)*BJ33),((BL33/BJ33)+F$14+$R33)*BJ33,0)</f>
        <v>0</v>
      </c>
      <c r="BN33" s="76" t="n">
        <f aca="false">IF(BJ33=0,0,bsd(1,BO$27,BK33,$W33,$T33,$U33,$AH33,0.1))</f>
        <v>0</v>
      </c>
      <c r="BO33" s="76" t="n">
        <f aca="false">IF(BJ33=0,0,bsd(2,BO$27,BK33,$W33,$T33,$U33,$AH33,0.1))</f>
        <v>0</v>
      </c>
      <c r="BP33" s="76" t="n">
        <f aca="false">IF(BJ33=0,0,bsd(BO$28,BO$27,BK33,$W33,$T33,$U33,$AH33,0.1))</f>
        <v>0</v>
      </c>
      <c r="BQ33" s="37" t="n">
        <f aca="false">BJ33*BN33</f>
        <v>0</v>
      </c>
      <c r="BR33" s="37" t="n">
        <f aca="false">BJ33*BO33</f>
        <v>0</v>
      </c>
      <c r="BS33" s="37" t="n">
        <f aca="false">BJ33*BP33</f>
        <v>0</v>
      </c>
      <c r="BU33" s="73" t="n">
        <f aca="false">IF($A33&gt;=BV$25,IF($A33&lt;=BV$26,$AI33,0),0)</f>
        <v>0</v>
      </c>
      <c r="BV33" s="196" t="e">
        <f aca="false">BX33/BU33</f>
        <v>#DIV/0!</v>
      </c>
      <c r="BW33" s="1" t="n">
        <f aca="false">BU33*($B33+H$13)</f>
        <v>0</v>
      </c>
      <c r="BX33" s="47" t="n">
        <f aca="false">IF(ISNUMBER(((BW33/BU33)+H$14+$Y33)*BU33),((BW33/BU33)+H$14+$Y33)*BU33,0)</f>
        <v>0</v>
      </c>
      <c r="BY33" s="76" t="n">
        <f aca="false">IF(BU33=0,0,bsd(1,BZ$27,BV33,$AD33,$AA33,$AB33,$AH33,0.1))</f>
        <v>0</v>
      </c>
      <c r="BZ33" s="76" t="n">
        <f aca="false">IF(BU33=0,0,bsd(2,BZ$27,BV33,$AD33,$AA33,$AB33,$AH33,0.1))</f>
        <v>0</v>
      </c>
      <c r="CA33" s="76" t="n">
        <f aca="false">IF(BU33=0,0,bsd(BZ$28,BZ$27,BV33,$AD33,$AA33,$AB33,$AH33,0.1))</f>
        <v>0</v>
      </c>
      <c r="CB33" s="37" t="n">
        <f aca="false">BU33*BY33</f>
        <v>0</v>
      </c>
      <c r="CC33" s="37" t="n">
        <f aca="false">BU33*BZ33</f>
        <v>0</v>
      </c>
      <c r="CD33" s="37" t="n">
        <f aca="false">BU33*CA33</f>
        <v>0</v>
      </c>
    </row>
    <row r="34" customFormat="false" ht="12.75" hidden="false" customHeight="false" outlineLevel="0" collapsed="false">
      <c r="A34" s="62" t="n">
        <f aca="false">DATE(YEAR(A33),MONTH(A33)+1,1)</f>
        <v>37347</v>
      </c>
      <c r="B34" s="63" t="n">
        <f aca="false">VLOOKUP(A34,STRADDLE,5,FALSE())</f>
        <v>2.765</v>
      </c>
      <c r="C34" s="4" t="n">
        <f aca="false">VLOOKUP(A34,STRADDLE,8,FALSE())</f>
        <v>0.6</v>
      </c>
      <c r="D34" s="63" t="n">
        <f aca="false">IF(D$28="nymex",0,VLOOKUP($A34,curvesettle,HLOOKUP(D$28,curvesettle,2,FALSE())))</f>
        <v>-0.0775</v>
      </c>
      <c r="E34" s="65" t="n">
        <f aca="false">IF(ISNUMBER(VLOOKUP($A34,VOLCURVES,HLOOKUP(D$28,VOLCURVES,2,FALSE()),FALSE())),VLOOKUP($A34,VOLCURVES,HLOOKUP(D$28,VOLCURVES,2,FALSE()),FALSE()),1)</f>
        <v>1</v>
      </c>
      <c r="F34" s="64" t="n">
        <f aca="false">IF(D$28="NYMEX",$AG34,$AF34)</f>
        <v>-8586</v>
      </c>
      <c r="G34" s="4" t="e">
        <f aca="false">(($C34+H34)*$E34)+B$15</f>
        <v>#DIV/0!</v>
      </c>
      <c r="H34" s="4" t="e">
        <f aca="false">IF(B$16=1,xCalcSkew(A34,I34-AO34,b)/100,0)</f>
        <v>#DIV/0!</v>
      </c>
      <c r="I34" s="66" t="n">
        <f aca="false">IF($B$19=4,$AO34,$B$18)</f>
        <v>5</v>
      </c>
      <c r="K34" s="63" t="n">
        <f aca="false">IF(K$28="nymex",0,VLOOKUP($A34,curvesettle,HLOOKUP(K$28,curvesettle,2,FALSE())))</f>
        <v>-0.0775</v>
      </c>
      <c r="L34" s="65" t="n">
        <f aca="false">IF(ISNUMBER(VLOOKUP($A34,VOLCURVES,HLOOKUP(K$28,VOLCURVES,2,FALSE()),FALSE())),VLOOKUP($A34,VOLCURVES,HLOOKUP(K$28,VOLCURVES,2,FALSE()),FALSE()),1)</f>
        <v>1</v>
      </c>
      <c r="M34" s="64" t="n">
        <f aca="false">IF(K$28="NYMEX",$AG34,$AF34)</f>
        <v>-8586</v>
      </c>
      <c r="N34" s="184" t="e">
        <f aca="false">(($C34+O34)*$L34)+D$15</f>
        <v>#DIV/0!</v>
      </c>
      <c r="O34" s="4" t="e">
        <f aca="false">IF(D$16=1,xCalcSkew($A34,P34-AZ34,b)/100,0)</f>
        <v>#DIV/0!</v>
      </c>
      <c r="P34" s="66" t="n">
        <f aca="false">IF($D$19=4,$AZ34,$D$18)</f>
        <v>3</v>
      </c>
      <c r="Q34" s="184" t="e">
        <f aca="false">N34-O34</f>
        <v>#DIV/0!</v>
      </c>
      <c r="R34" s="63" t="n">
        <f aca="false">IF(R$28="nymex",0,VLOOKUP($A34,curvesettle,HLOOKUP(R$28,curvesettle,2,FALSE())))</f>
        <v>-0.53</v>
      </c>
      <c r="S34" s="65" t="n">
        <f aca="false">IF(ISNUMBER(VLOOKUP($A34,VOLCURVES,HLOOKUP(R$28,VOLCURVES,2,FALSE()),FALSE())),VLOOKUP($A34,VOLCURVES,HLOOKUP(R$28,VOLCURVES,2,FALSE()),FALSE()),1)</f>
        <v>1</v>
      </c>
      <c r="T34" s="64" t="n">
        <f aca="false">IF(R$28="NYMEX",$AG34,$AF34)</f>
        <v>-8586</v>
      </c>
      <c r="U34" s="184" t="e">
        <f aca="false">(($C34+V34)*$S34)+F$15</f>
        <v>#NAME?</v>
      </c>
      <c r="V34" s="4" t="e">
        <f aca="false">IF(F$16=1,xCalcSkew($A34,W34-BK34,b)/100,0)</f>
        <v>#NAME?</v>
      </c>
      <c r="W34" s="66" t="n">
        <f aca="false">IF($F$19=4,$BK34,$F$18)</f>
        <v>2.55</v>
      </c>
      <c r="X34" s="64"/>
      <c r="Y34" s="63" t="n">
        <f aca="false">IF(Y$28="nymex",0,VLOOKUP($A34,curvesettle,HLOOKUP(Y$28,curvesettle,2,FALSE())))</f>
        <v>0</v>
      </c>
      <c r="Z34" s="65" t="n">
        <f aca="false">IF(ISNUMBER(VLOOKUP($A34,VOLCURVES,HLOOKUP(Y$28,VOLCURVES,2,FALSE()),FALSE())),VLOOKUP($A34,VOLCURVES,HLOOKUP(Y$28,VOLCURVES,2,FALSE()),FALSE()),1)</f>
        <v>1</v>
      </c>
      <c r="AA34" s="64" t="n">
        <f aca="false">IF(Y$28="NYMEX",$AG34,$AF34)</f>
        <v>-8587</v>
      </c>
      <c r="AB34" s="4" t="e">
        <f aca="false">(($C34+AC34)*$Z34)+H$15</f>
        <v>#NAME?</v>
      </c>
      <c r="AC34" s="4" t="e">
        <f aca="false">IF(H$16=1,xCalcSkew($A34,AD34-BV34,b)/100,0)</f>
        <v>#NAME?</v>
      </c>
      <c r="AD34" s="66" t="n">
        <f aca="false">IF($H$19=4,$BV34,$H$18)</f>
        <v>2.9</v>
      </c>
      <c r="AF34" s="64" t="n">
        <f aca="false">VLOOKUP($A34,expiration,2,FALSE())-$B$2</f>
        <v>-8586</v>
      </c>
      <c r="AG34" s="64" t="n">
        <f aca="false">VLOOKUP($A34,expiration,3,FALSE())-$B$2</f>
        <v>-8587</v>
      </c>
      <c r="AH34" s="4" t="n">
        <f aca="false">VLOOKUP($A34,STRADDLE,14,FALSE())</f>
        <v>0.0189361632757947</v>
      </c>
      <c r="AI34" s="72" t="n">
        <f aca="false">A35-A34</f>
        <v>30</v>
      </c>
      <c r="AJ34" s="76"/>
      <c r="AK34" s="76"/>
      <c r="AL34" s="76"/>
      <c r="AM34" s="76"/>
      <c r="AN34" s="73" t="n">
        <f aca="false">IF($A34&gt;=AO$25,IF($A34&lt;=AO$26,$AI34,0),0)</f>
        <v>0</v>
      </c>
      <c r="AO34" s="196" t="e">
        <f aca="false">AQ34/AN34</f>
        <v>#DIV/0!</v>
      </c>
      <c r="AP34" s="1" t="n">
        <f aca="false">AN34*($B34+B$13)</f>
        <v>0</v>
      </c>
      <c r="AQ34" s="47" t="n">
        <f aca="false">IF(ISNUMBER(((AP34/AN34)+B$14+$D34)*AN34),((AP34/AN34)+B$14+$D34)*AN34,0)</f>
        <v>0</v>
      </c>
      <c r="AR34" s="76" t="n">
        <f aca="false">IF(AN34=0,0,bsd(1,AS$27,AO34,$I34,$F34,$G34,$AH34,0.1))</f>
        <v>0</v>
      </c>
      <c r="AS34" s="76" t="n">
        <f aca="false">IF(AN34=0,0,bsd(2,AS$27,AO34,$I34,$F34,$G34,$AH34,0.1))</f>
        <v>0</v>
      </c>
      <c r="AT34" s="76" t="n">
        <f aca="false">IF(AN34=0,0,bsd(AS$28,AS$27,AO34,$I34,$F34,$G34,$AH34,0.1))</f>
        <v>0</v>
      </c>
      <c r="AU34" s="37" t="n">
        <f aca="false">AN34*AR34</f>
        <v>0</v>
      </c>
      <c r="AV34" s="37" t="n">
        <f aca="false">AN34*AS34</f>
        <v>0</v>
      </c>
      <c r="AW34" s="37" t="n">
        <f aca="false">AN34*AT34</f>
        <v>0</v>
      </c>
      <c r="AY34" s="73" t="n">
        <f aca="false">IF($A34&gt;=AZ$25,IF($A34&lt;=AZ$26,$AI34,0),0)</f>
        <v>0</v>
      </c>
      <c r="AZ34" s="196" t="e">
        <f aca="false">BB34/AY34</f>
        <v>#DIV/0!</v>
      </c>
      <c r="BA34" s="1" t="n">
        <f aca="false">AY34*($B34+D$13)</f>
        <v>0</v>
      </c>
      <c r="BB34" s="47" t="n">
        <f aca="false">IF(ISNUMBER(((BA34/AY34)+D$14+$K34)*AY34),((BA34/AY34)+D$14+$K34)*AY34,0)</f>
        <v>0</v>
      </c>
      <c r="BC34" s="76" t="n">
        <f aca="false">IF(AY34=0,0,bsd(1,BD$27,AZ34,$P34,$M34,$N34,$AH34,0.1))</f>
        <v>0</v>
      </c>
      <c r="BD34" s="76" t="n">
        <f aca="false">IF(AY34=0,0,bsd(2,BD$27,AZ34,$P34,$M34,$N34,$AH34,0.1))</f>
        <v>0</v>
      </c>
      <c r="BE34" s="76" t="n">
        <f aca="false">IF(AY34=0,0,bsd(BD$28,BD$27,AZ34,$P34,$M34,$N34,$AH34,0.1))</f>
        <v>0</v>
      </c>
      <c r="BF34" s="37" t="n">
        <f aca="false">AY34*BC34</f>
        <v>0</v>
      </c>
      <c r="BG34" s="37" t="n">
        <f aca="false">AY34*BD34</f>
        <v>0</v>
      </c>
      <c r="BH34" s="37" t="n">
        <f aca="false">AY34*BE34</f>
        <v>0</v>
      </c>
      <c r="BJ34" s="73" t="n">
        <f aca="false">IF($A34&gt;=BK$25,IF($A34&lt;=BK$26,$AI34,0),0)</f>
        <v>30</v>
      </c>
      <c r="BK34" s="196" t="n">
        <f aca="false">BM34/BJ34</f>
        <v>2.235</v>
      </c>
      <c r="BL34" s="1" t="n">
        <f aca="false">BJ34*($B34+F$13)</f>
        <v>82.95</v>
      </c>
      <c r="BM34" s="47" t="n">
        <f aca="false">IF(ISNUMBER(((BL34/BJ34)+F$14+$R34)*BJ34),((BL34/BJ34)+F$14+$R34)*BJ34,0)</f>
        <v>67.05</v>
      </c>
      <c r="BN34" s="76" t="e">
        <f aca="false">IF(BJ34=0,0,bsd(1,BO$27,BK34,$W34,$T34,$U34,$AH34,0.1))</f>
        <v>#VALUE!</v>
      </c>
      <c r="BO34" s="76" t="e">
        <f aca="false">IF(BJ34=0,0,bsd(2,BO$27,BK34,$W34,$T34,$U34,$AH34,0.1))</f>
        <v>#VALUE!</v>
      </c>
      <c r="BP34" s="76" t="e">
        <f aca="false">IF(BJ34=0,0,bsd(BO$28,BO$27,BK34,$W34,$T34,$U34,$AH34,0.1))</f>
        <v>#VALUE!</v>
      </c>
      <c r="BQ34" s="37" t="e">
        <f aca="false">BJ34*BN34</f>
        <v>#VALUE!</v>
      </c>
      <c r="BR34" s="37" t="e">
        <f aca="false">BJ34*BO34</f>
        <v>#VALUE!</v>
      </c>
      <c r="BS34" s="37" t="e">
        <f aca="false">BJ34*BP34</f>
        <v>#VALUE!</v>
      </c>
      <c r="BU34" s="73" t="n">
        <f aca="false">IF($A34&gt;=BV$25,IF($A34&lt;=BV$26,$AI34,0),0)</f>
        <v>30</v>
      </c>
      <c r="BV34" s="196" t="n">
        <f aca="false">BX34/BU34</f>
        <v>2.765</v>
      </c>
      <c r="BW34" s="1" t="n">
        <f aca="false">BU34*($B34+H$13)</f>
        <v>82.95</v>
      </c>
      <c r="BX34" s="47" t="n">
        <f aca="false">IF(ISNUMBER(((BW34/BU34)+H$14+$Y34)*BU34),((BW34/BU34)+H$14+$Y34)*BU34,0)</f>
        <v>82.95</v>
      </c>
      <c r="BY34" s="76" t="e">
        <f aca="false">IF(BU34=0,0,bsd(1,BZ$27,BV34,$AD34,$AA34,$AB34,$AH34,0.1))</f>
        <v>#VALUE!</v>
      </c>
      <c r="BZ34" s="76" t="e">
        <f aca="false">IF(BU34=0,0,bsd(2,BZ$27,BV34,$AD34,$AA34,$AB34,$AH34,0.1))</f>
        <v>#VALUE!</v>
      </c>
      <c r="CA34" s="76" t="e">
        <f aca="false">IF(BU34=0,0,bsd(BZ$28,BZ$27,BV34,$AD34,$AA34,$AB34,$AH34,0.1))</f>
        <v>#VALUE!</v>
      </c>
      <c r="CB34" s="37" t="e">
        <f aca="false">BU34*BY34</f>
        <v>#VALUE!</v>
      </c>
      <c r="CC34" s="37" t="e">
        <f aca="false">BU34*BZ34</f>
        <v>#VALUE!</v>
      </c>
      <c r="CD34" s="37" t="e">
        <f aca="false">BU34*CA34</f>
        <v>#VALUE!</v>
      </c>
    </row>
    <row r="35" customFormat="false" ht="12.75" hidden="false" customHeight="false" outlineLevel="0" collapsed="false">
      <c r="A35" s="62" t="n">
        <f aca="false">DATE(YEAR(A34),MONTH(A34)+1,1)</f>
        <v>37377</v>
      </c>
      <c r="B35" s="63" t="n">
        <f aca="false">VLOOKUP(A35,STRADDLE,5,FALSE())</f>
        <v>2.818</v>
      </c>
      <c r="C35" s="4" t="n">
        <f aca="false">VLOOKUP(A35,STRADDLE,8,FALSE())</f>
        <v>0.5425</v>
      </c>
      <c r="D35" s="63" t="n">
        <f aca="false">IF(D$28="nymex",0,VLOOKUP($A35,curvesettle,HLOOKUP(D$28,curvesettle,2,FALSE())))</f>
        <v>-0.0775</v>
      </c>
      <c r="E35" s="65" t="n">
        <f aca="false">IF(ISNUMBER(VLOOKUP($A35,VOLCURVES,HLOOKUP(D$28,VOLCURVES,2,FALSE()),FALSE())),VLOOKUP($A35,VOLCURVES,HLOOKUP(D$28,VOLCURVES,2,FALSE()),FALSE()),1)</f>
        <v>1</v>
      </c>
      <c r="F35" s="64" t="n">
        <f aca="false">IF(D$28="NYMEX",$AG35,$AF35)</f>
        <v>-8555</v>
      </c>
      <c r="G35" s="4" t="e">
        <f aca="false">(($C35+H35)*$E35)+B$15</f>
        <v>#DIV/0!</v>
      </c>
      <c r="H35" s="4" t="e">
        <f aca="false">IF(B$16=1,xCalcSkew(A35,I35-AO35,b)/100,0)</f>
        <v>#DIV/0!</v>
      </c>
      <c r="I35" s="66" t="n">
        <f aca="false">IF($B$19=4,$AO35,$B$18)</f>
        <v>5</v>
      </c>
      <c r="K35" s="63" t="n">
        <f aca="false">IF(K$28="nymex",0,VLOOKUP($A35,curvesettle,HLOOKUP(K$28,curvesettle,2,FALSE())))</f>
        <v>-0.0775</v>
      </c>
      <c r="L35" s="65" t="n">
        <f aca="false">IF(ISNUMBER(VLOOKUP($A35,VOLCURVES,HLOOKUP(K$28,VOLCURVES,2,FALSE()),FALSE())),VLOOKUP($A35,VOLCURVES,HLOOKUP(K$28,VOLCURVES,2,FALSE()),FALSE()),1)</f>
        <v>1</v>
      </c>
      <c r="M35" s="64" t="n">
        <f aca="false">IF(K$28="NYMEX",$AG35,$AF35)</f>
        <v>-8555</v>
      </c>
      <c r="N35" s="184" t="e">
        <f aca="false">(($C35+O35)*$L35)+D$15</f>
        <v>#DIV/0!</v>
      </c>
      <c r="O35" s="4" t="e">
        <f aca="false">IF(D$16=1,xCalcSkew($A35,P35-AZ35,b)/100,0)</f>
        <v>#DIV/0!</v>
      </c>
      <c r="P35" s="66" t="n">
        <f aca="false">IF($D$19=4,$AZ35,$D$18)</f>
        <v>3</v>
      </c>
      <c r="Q35" s="184" t="e">
        <f aca="false">N35-O35</f>
        <v>#DIV/0!</v>
      </c>
      <c r="R35" s="63" t="n">
        <f aca="false">IF(R$28="nymex",0,VLOOKUP($A35,curvesettle,HLOOKUP(R$28,curvesettle,2,FALSE())))</f>
        <v>-0.53</v>
      </c>
      <c r="S35" s="65" t="n">
        <f aca="false">IF(ISNUMBER(VLOOKUP($A35,VOLCURVES,HLOOKUP(R$28,VOLCURVES,2,FALSE()),FALSE())),VLOOKUP($A35,VOLCURVES,HLOOKUP(R$28,VOLCURVES,2,FALSE()),FALSE()),1)</f>
        <v>1</v>
      </c>
      <c r="T35" s="64" t="n">
        <f aca="false">IF(R$28="NYMEX",$AG35,$AF35)</f>
        <v>-8555</v>
      </c>
      <c r="U35" s="184" t="e">
        <f aca="false">(($C35+V35)*$S35)+F$15</f>
        <v>#NAME?</v>
      </c>
      <c r="V35" s="4" t="e">
        <f aca="false">IF(F$16=1,xCalcSkew($A35,W35-BK35,b)/100,0)</f>
        <v>#NAME?</v>
      </c>
      <c r="W35" s="66" t="n">
        <f aca="false">IF($F$19=4,$BK35,$F$18)</f>
        <v>2.55</v>
      </c>
      <c r="X35" s="64"/>
      <c r="Y35" s="63" t="n">
        <f aca="false">IF(Y$28="nymex",0,VLOOKUP($A35,curvesettle,HLOOKUP(Y$28,curvesettle,2,FALSE())))</f>
        <v>0</v>
      </c>
      <c r="Z35" s="65" t="n">
        <f aca="false">IF(ISNUMBER(VLOOKUP($A35,VOLCURVES,HLOOKUP(Y$28,VOLCURVES,2,FALSE()),FALSE())),VLOOKUP($A35,VOLCURVES,HLOOKUP(Y$28,VOLCURVES,2,FALSE()),FALSE()),1)</f>
        <v>1</v>
      </c>
      <c r="AA35" s="64" t="n">
        <f aca="false">IF(Y$28="NYMEX",$AG35,$AF35)</f>
        <v>-8556</v>
      </c>
      <c r="AB35" s="4" t="e">
        <f aca="false">(($C35+AC35)*$Z35)+H$15</f>
        <v>#NAME?</v>
      </c>
      <c r="AC35" s="4" t="e">
        <f aca="false">IF(H$16=1,xCalcSkew($A35,AD35-BV35,b)/100,0)</f>
        <v>#NAME?</v>
      </c>
      <c r="AD35" s="66" t="n">
        <f aca="false">IF($H$19=4,$BV35,$H$18)</f>
        <v>2.9</v>
      </c>
      <c r="AF35" s="64" t="n">
        <f aca="false">VLOOKUP($A35,expiration,2,FALSE())-$B$2</f>
        <v>-8555</v>
      </c>
      <c r="AG35" s="64" t="n">
        <f aca="false">VLOOKUP($A35,expiration,3,FALSE())-$B$2</f>
        <v>-8556</v>
      </c>
      <c r="AH35" s="4" t="n">
        <f aca="false">VLOOKUP($A35,STRADDLE,14,FALSE())</f>
        <v>0.0191064797925966</v>
      </c>
      <c r="AI35" s="72" t="n">
        <f aca="false">A36-A35</f>
        <v>31</v>
      </c>
      <c r="AJ35" s="76"/>
      <c r="AK35" s="76"/>
      <c r="AL35" s="76"/>
      <c r="AM35" s="76"/>
      <c r="AN35" s="73" t="n">
        <f aca="false">IF($A35&gt;=AO$25,IF($A35&lt;=AO$26,$AI35,0),0)</f>
        <v>0</v>
      </c>
      <c r="AO35" s="196" t="e">
        <f aca="false">AQ35/AN35</f>
        <v>#DIV/0!</v>
      </c>
      <c r="AP35" s="1" t="n">
        <f aca="false">AN35*($B35+B$13)</f>
        <v>0</v>
      </c>
      <c r="AQ35" s="47" t="n">
        <f aca="false">IF(ISNUMBER(((AP35/AN35)+B$14+$D35)*AN35),((AP35/AN35)+B$14+$D35)*AN35,0)</f>
        <v>0</v>
      </c>
      <c r="AR35" s="76" t="n">
        <f aca="false">IF(AN35=0,0,bsd(1,AS$27,AO35,$I35,$F35,$G35,$AH35,0.1))</f>
        <v>0</v>
      </c>
      <c r="AS35" s="76" t="n">
        <f aca="false">IF(AN35=0,0,bsd(2,AS$27,AO35,$I35,$F35,$G35,$AH35,0.1))</f>
        <v>0</v>
      </c>
      <c r="AT35" s="76" t="n">
        <f aca="false">IF(AN35=0,0,bsd(AS$28,AS$27,AO35,$I35,$F35,$G35,$AH35,0.1))</f>
        <v>0</v>
      </c>
      <c r="AU35" s="37" t="n">
        <f aca="false">AN35*AR35</f>
        <v>0</v>
      </c>
      <c r="AV35" s="37" t="n">
        <f aca="false">AN35*AS35</f>
        <v>0</v>
      </c>
      <c r="AW35" s="37" t="n">
        <f aca="false">AN35*AT35</f>
        <v>0</v>
      </c>
      <c r="AY35" s="73" t="n">
        <f aca="false">IF($A35&gt;=AZ$25,IF($A35&lt;=AZ$26,$AI35,0),0)</f>
        <v>0</v>
      </c>
      <c r="AZ35" s="196" t="e">
        <f aca="false">BB35/AY35</f>
        <v>#DIV/0!</v>
      </c>
      <c r="BA35" s="1" t="n">
        <f aca="false">AY35*($B35+D$13)</f>
        <v>0</v>
      </c>
      <c r="BB35" s="47" t="n">
        <f aca="false">IF(ISNUMBER(((BA35/AY35)+D$14+$K35)*AY35),((BA35/AY35)+D$14+$K35)*AY35,0)</f>
        <v>0</v>
      </c>
      <c r="BC35" s="76" t="n">
        <f aca="false">IF(AY35=0,0,bsd(1,BD$27,AZ35,$P35,$M35,$N35,$AH35,0.1))</f>
        <v>0</v>
      </c>
      <c r="BD35" s="76" t="n">
        <f aca="false">IF(AY35=0,0,bsd(2,BD$27,AZ35,$P35,$M35,$N35,$AH35,0.1))</f>
        <v>0</v>
      </c>
      <c r="BE35" s="76" t="n">
        <f aca="false">IF(AY35=0,0,bsd(BD$28,BD$27,AZ35,$P35,$M35,$N35,$AH35,0.1))</f>
        <v>0</v>
      </c>
      <c r="BF35" s="37" t="n">
        <f aca="false">AY35*BC35</f>
        <v>0</v>
      </c>
      <c r="BG35" s="37" t="n">
        <f aca="false">AY35*BD35</f>
        <v>0</v>
      </c>
      <c r="BH35" s="37" t="n">
        <f aca="false">AY35*BE35</f>
        <v>0</v>
      </c>
      <c r="BJ35" s="73" t="n">
        <f aca="false">IF($A35&gt;=BK$25,IF($A35&lt;=BK$26,$AI35,0),0)</f>
        <v>31</v>
      </c>
      <c r="BK35" s="196" t="n">
        <f aca="false">BM35/BJ35</f>
        <v>2.288</v>
      </c>
      <c r="BL35" s="1" t="n">
        <f aca="false">BJ35*($B35+F$13)</f>
        <v>87.358</v>
      </c>
      <c r="BM35" s="47" t="n">
        <f aca="false">IF(ISNUMBER(((BL35/BJ35)+F$14+$R35)*BJ35),((BL35/BJ35)+F$14+$R35)*BJ35,0)</f>
        <v>70.928</v>
      </c>
      <c r="BN35" s="76" t="e">
        <f aca="false">IF(BJ35=0,0,bsd(1,BO$27,BK35,$W35,$T35,$U35,$AH35,0.1))</f>
        <v>#VALUE!</v>
      </c>
      <c r="BO35" s="76" t="e">
        <f aca="false">IF(BJ35=0,0,bsd(2,BO$27,BK35,$W35,$T35,$U35,$AH35,0.1))</f>
        <v>#VALUE!</v>
      </c>
      <c r="BP35" s="76" t="e">
        <f aca="false">IF(BJ35=0,0,bsd(BO$28,BO$27,BK35,$W35,$T35,$U35,$AH35,0.1))</f>
        <v>#VALUE!</v>
      </c>
      <c r="BQ35" s="37" t="e">
        <f aca="false">BJ35*BN35</f>
        <v>#VALUE!</v>
      </c>
      <c r="BR35" s="37" t="e">
        <f aca="false">BJ35*BO35</f>
        <v>#VALUE!</v>
      </c>
      <c r="BS35" s="37" t="e">
        <f aca="false">BJ35*BP35</f>
        <v>#VALUE!</v>
      </c>
      <c r="BU35" s="73" t="n">
        <f aca="false">IF($A35&gt;=BV$25,IF($A35&lt;=BV$26,$AI35,0),0)</f>
        <v>31</v>
      </c>
      <c r="BV35" s="196" t="n">
        <f aca="false">BX35/BU35</f>
        <v>2.818</v>
      </c>
      <c r="BW35" s="1" t="n">
        <f aca="false">BU35*($B35+H$13)</f>
        <v>87.358</v>
      </c>
      <c r="BX35" s="47" t="n">
        <f aca="false">IF(ISNUMBER(((BW35/BU35)+H$14+$Y35)*BU35),((BW35/BU35)+H$14+$Y35)*BU35,0)</f>
        <v>87.358</v>
      </c>
      <c r="BY35" s="76" t="e">
        <f aca="false">IF(BU35=0,0,bsd(1,BZ$27,BV35,$AD35,$AA35,$AB35,$AH35,0.1))</f>
        <v>#VALUE!</v>
      </c>
      <c r="BZ35" s="76" t="e">
        <f aca="false">IF(BU35=0,0,bsd(2,BZ$27,BV35,$AD35,$AA35,$AB35,$AH35,0.1))</f>
        <v>#VALUE!</v>
      </c>
      <c r="CA35" s="76" t="e">
        <f aca="false">IF(BU35=0,0,bsd(BZ$28,BZ$27,BV35,$AD35,$AA35,$AB35,$AH35,0.1))</f>
        <v>#VALUE!</v>
      </c>
      <c r="CB35" s="37" t="e">
        <f aca="false">BU35*BY35</f>
        <v>#VALUE!</v>
      </c>
      <c r="CC35" s="37" t="e">
        <f aca="false">BU35*BZ35</f>
        <v>#VALUE!</v>
      </c>
      <c r="CD35" s="37" t="e">
        <f aca="false">BU35*CA35</f>
        <v>#VALUE!</v>
      </c>
    </row>
    <row r="36" customFormat="false" ht="12.75" hidden="false" customHeight="false" outlineLevel="0" collapsed="false">
      <c r="A36" s="62" t="n">
        <f aca="false">DATE(YEAR(A35),MONTH(A35)+1,1)</f>
        <v>37408</v>
      </c>
      <c r="B36" s="63" t="n">
        <f aca="false">VLOOKUP(A36,STRADDLE,5,FALSE())</f>
        <v>2.872</v>
      </c>
      <c r="C36" s="4" t="n">
        <f aca="false">VLOOKUP(A36,STRADDLE,8,FALSE())</f>
        <v>0.5275</v>
      </c>
      <c r="D36" s="63" t="n">
        <f aca="false">IF(D$28="nymex",0,VLOOKUP($A36,curvesettle,HLOOKUP(D$28,curvesettle,2,FALSE())))</f>
        <v>-0.0775</v>
      </c>
      <c r="E36" s="65" t="n">
        <f aca="false">IF(ISNUMBER(VLOOKUP($A36,VOLCURVES,HLOOKUP(D$28,VOLCURVES,2,FALSE()),FALSE())),VLOOKUP($A36,VOLCURVES,HLOOKUP(D$28,VOLCURVES,2,FALSE()),FALSE()),1)</f>
        <v>1</v>
      </c>
      <c r="F36" s="64" t="n">
        <f aca="false">IF(D$28="NYMEX",$AG36,$AF36)</f>
        <v>-8522</v>
      </c>
      <c r="G36" s="4" t="e">
        <f aca="false">(($C36+H36)*$E36)+B$15</f>
        <v>#DIV/0!</v>
      </c>
      <c r="H36" s="4" t="e">
        <f aca="false">IF(B$16=1,xCalcSkew(A36,I36-AO36,b)/100,0)</f>
        <v>#DIV/0!</v>
      </c>
      <c r="I36" s="66" t="n">
        <f aca="false">IF($B$19=4,$AO36,$B$18)</f>
        <v>5</v>
      </c>
      <c r="J36" s="41" t="n">
        <f aca="false">ROUND(I36-B36,1)</f>
        <v>2.1</v>
      </c>
      <c r="K36" s="63" t="n">
        <f aca="false">IF(K$28="nymex",0,VLOOKUP($A36,curvesettle,HLOOKUP(K$28,curvesettle,2,FALSE())))</f>
        <v>-0.0775</v>
      </c>
      <c r="L36" s="65" t="n">
        <f aca="false">IF(ISNUMBER(VLOOKUP($A36,VOLCURVES,HLOOKUP(K$28,VOLCURVES,2,FALSE()),FALSE())),VLOOKUP($A36,VOLCURVES,HLOOKUP(K$28,VOLCURVES,2,FALSE()),FALSE()),1)</f>
        <v>1</v>
      </c>
      <c r="M36" s="64" t="n">
        <f aca="false">IF(K$28="NYMEX",$AG36,$AF36)</f>
        <v>-8522</v>
      </c>
      <c r="N36" s="184" t="e">
        <f aca="false">(($C36+O36)*$L36)+D$15</f>
        <v>#DIV/0!</v>
      </c>
      <c r="O36" s="4" t="e">
        <f aca="false">IF(D$16=1,xCalcSkew($A36,P36-AZ36,b)/100,0)</f>
        <v>#DIV/0!</v>
      </c>
      <c r="P36" s="66" t="n">
        <f aca="false">IF($D$19=4,$AZ36,$D$18)</f>
        <v>3</v>
      </c>
      <c r="Q36" s="184" t="e">
        <f aca="false">N36-O36</f>
        <v>#DIV/0!</v>
      </c>
      <c r="R36" s="63" t="n">
        <f aca="false">IF(R$28="nymex",0,VLOOKUP($A36,curvesettle,HLOOKUP(R$28,curvesettle,2,FALSE())))</f>
        <v>-0.53</v>
      </c>
      <c r="S36" s="65" t="n">
        <f aca="false">IF(ISNUMBER(VLOOKUP($A36,VOLCURVES,HLOOKUP(R$28,VOLCURVES,2,FALSE()),FALSE())),VLOOKUP($A36,VOLCURVES,HLOOKUP(R$28,VOLCURVES,2,FALSE()),FALSE()),1)</f>
        <v>1</v>
      </c>
      <c r="T36" s="64" t="n">
        <f aca="false">IF(R$28="NYMEX",$AG36,$AF36)</f>
        <v>-8522</v>
      </c>
      <c r="U36" s="184" t="e">
        <f aca="false">(($C36+V36)*$S36)+F$15</f>
        <v>#NAME?</v>
      </c>
      <c r="V36" s="4" t="e">
        <f aca="false">IF(F$16=1,xCalcSkew($A36,W36-BK36,b)/100,0)</f>
        <v>#NAME?</v>
      </c>
      <c r="W36" s="66" t="n">
        <f aca="false">IF($F$19=4,$BK36,$F$18)</f>
        <v>2.55</v>
      </c>
      <c r="X36" s="64"/>
      <c r="Y36" s="63" t="n">
        <f aca="false">IF(Y$28="nymex",0,VLOOKUP($A36,curvesettle,HLOOKUP(Y$28,curvesettle,2,FALSE())))</f>
        <v>0</v>
      </c>
      <c r="Z36" s="65" t="n">
        <f aca="false">IF(ISNUMBER(VLOOKUP($A36,VOLCURVES,HLOOKUP(Y$28,VOLCURVES,2,FALSE()),FALSE())),VLOOKUP($A36,VOLCURVES,HLOOKUP(Y$28,VOLCURVES,2,FALSE()),FALSE()),1)</f>
        <v>1</v>
      </c>
      <c r="AA36" s="64" t="n">
        <f aca="false">IF(Y$28="NYMEX",$AG36,$AF36)</f>
        <v>-8523</v>
      </c>
      <c r="AB36" s="4" t="e">
        <f aca="false">(($C36+AC36)*$Z36)+H$15</f>
        <v>#NAME?</v>
      </c>
      <c r="AC36" s="4" t="e">
        <f aca="false">IF(H$16=1,xCalcSkew($A36,AD36-BV36,b)/100,0)</f>
        <v>#NAME?</v>
      </c>
      <c r="AD36" s="66" t="n">
        <f aca="false">IF($H$19=4,$BV36,$H$18)</f>
        <v>2.9</v>
      </c>
      <c r="AF36" s="64" t="n">
        <f aca="false">VLOOKUP($A36,expiration,2,FALSE())-$B$2</f>
        <v>-8522</v>
      </c>
      <c r="AG36" s="64" t="n">
        <f aca="false">VLOOKUP($A36,expiration,3,FALSE())-$B$2</f>
        <v>-8523</v>
      </c>
      <c r="AH36" s="4" t="n">
        <f aca="false">VLOOKUP($A36,STRADDLE,14,FALSE())</f>
        <v>0.0192824735369563</v>
      </c>
      <c r="AI36" s="72" t="n">
        <f aca="false">A37-A36</f>
        <v>30</v>
      </c>
      <c r="AJ36" s="76"/>
      <c r="AK36" s="76"/>
      <c r="AL36" s="76"/>
      <c r="AM36" s="76"/>
      <c r="AN36" s="73" t="n">
        <f aca="false">IF($A36&gt;=AO$25,IF($A36&lt;=AO$26,$AI36,0),0)</f>
        <v>0</v>
      </c>
      <c r="AO36" s="196" t="e">
        <f aca="false">AQ36/AN36</f>
        <v>#DIV/0!</v>
      </c>
      <c r="AP36" s="1" t="n">
        <f aca="false">AN36*($B36+B$13)</f>
        <v>0</v>
      </c>
      <c r="AQ36" s="47" t="n">
        <f aca="false">IF(ISNUMBER(((AP36/AN36)+B$14+$D36)*AN36),((AP36/AN36)+B$14+$D36)*AN36,0)</f>
        <v>0</v>
      </c>
      <c r="AR36" s="76" t="n">
        <f aca="false">IF(AN36=0,0,bsd(1,AS$27,AO36,$I36,$F36,$G36,$AH36,0.1))</f>
        <v>0</v>
      </c>
      <c r="AS36" s="76" t="n">
        <f aca="false">IF(AN36=0,0,bsd(2,AS$27,AO36,$I36,$F36,$G36,$AH36,0.1))</f>
        <v>0</v>
      </c>
      <c r="AT36" s="76" t="n">
        <f aca="false">IF(AN36=0,0,bsd(AS$28,AS$27,AO36,$I36,$F36,$G36,$AH36,0.1))</f>
        <v>0</v>
      </c>
      <c r="AU36" s="37" t="n">
        <f aca="false">AN36*AR36</f>
        <v>0</v>
      </c>
      <c r="AV36" s="37" t="n">
        <f aca="false">AN36*AS36</f>
        <v>0</v>
      </c>
      <c r="AW36" s="37" t="n">
        <f aca="false">AN36*AT36</f>
        <v>0</v>
      </c>
      <c r="AY36" s="73" t="n">
        <f aca="false">IF($A36&gt;=AZ$25,IF($A36&lt;=AZ$26,$AI36,0),0)</f>
        <v>0</v>
      </c>
      <c r="AZ36" s="196" t="e">
        <f aca="false">BB36/AY36</f>
        <v>#DIV/0!</v>
      </c>
      <c r="BA36" s="1" t="n">
        <f aca="false">AY36*($B36+D$13)</f>
        <v>0</v>
      </c>
      <c r="BB36" s="47" t="n">
        <f aca="false">IF(ISNUMBER(((BA36/AY36)+D$14+$K36)*AY36),((BA36/AY36)+D$14+$K36)*AY36,0)</f>
        <v>0</v>
      </c>
      <c r="BC36" s="76" t="n">
        <f aca="false">IF(AY36=0,0,bsd(1,BD$27,AZ36,$P36,$M36,$N36,$AH36,0.1))</f>
        <v>0</v>
      </c>
      <c r="BD36" s="76" t="n">
        <f aca="false">IF(AY36=0,0,bsd(2,BD$27,AZ36,$P36,$M36,$N36,$AH36,0.1))</f>
        <v>0</v>
      </c>
      <c r="BE36" s="76" t="n">
        <f aca="false">IF(AY36=0,0,bsd(BD$28,BD$27,AZ36,$P36,$M36,$N36,$AH36,0.1))</f>
        <v>0</v>
      </c>
      <c r="BF36" s="37" t="n">
        <f aca="false">AY36*BC36</f>
        <v>0</v>
      </c>
      <c r="BG36" s="37" t="n">
        <f aca="false">AY36*BD36</f>
        <v>0</v>
      </c>
      <c r="BH36" s="37" t="n">
        <f aca="false">AY36*BE36</f>
        <v>0</v>
      </c>
      <c r="BJ36" s="73" t="n">
        <f aca="false">IF($A36&gt;=BK$25,IF($A36&lt;=BK$26,$AI36,0),0)</f>
        <v>30</v>
      </c>
      <c r="BK36" s="196" t="n">
        <f aca="false">BM36/BJ36</f>
        <v>2.342</v>
      </c>
      <c r="BL36" s="1" t="n">
        <f aca="false">BJ36*($B36+F$13)</f>
        <v>86.16</v>
      </c>
      <c r="BM36" s="47" t="n">
        <f aca="false">IF(ISNUMBER(((BL36/BJ36)+F$14+$R36)*BJ36),((BL36/BJ36)+F$14+$R36)*BJ36,0)</f>
        <v>70.26</v>
      </c>
      <c r="BN36" s="76" t="e">
        <f aca="false">IF(BJ36=0,0,bsd(1,BO$27,BK36,$W36,$T36,$U36,$AH36,0.1))</f>
        <v>#VALUE!</v>
      </c>
      <c r="BO36" s="76" t="e">
        <f aca="false">IF(BJ36=0,0,bsd(2,BO$27,BK36,$W36,$T36,$U36,$AH36,0.1))</f>
        <v>#VALUE!</v>
      </c>
      <c r="BP36" s="76" t="e">
        <f aca="false">IF(BJ36=0,0,bsd(BO$28,BO$27,BK36,$W36,$T36,$U36,$AH36,0.1))</f>
        <v>#VALUE!</v>
      </c>
      <c r="BQ36" s="37" t="e">
        <f aca="false">BJ36*BN36</f>
        <v>#VALUE!</v>
      </c>
      <c r="BR36" s="37" t="e">
        <f aca="false">BJ36*BO36</f>
        <v>#VALUE!</v>
      </c>
      <c r="BS36" s="37" t="e">
        <f aca="false">BJ36*BP36</f>
        <v>#VALUE!</v>
      </c>
      <c r="BU36" s="73" t="n">
        <f aca="false">IF($A36&gt;=BV$25,IF($A36&lt;=BV$26,$AI36,0),0)</f>
        <v>30</v>
      </c>
      <c r="BV36" s="196" t="n">
        <f aca="false">BX36/BU36</f>
        <v>2.872</v>
      </c>
      <c r="BW36" s="1" t="n">
        <f aca="false">BU36*($B36+H$13)</f>
        <v>86.16</v>
      </c>
      <c r="BX36" s="47" t="n">
        <f aca="false">IF(ISNUMBER(((BW36/BU36)+H$14+$Y36)*BU36),((BW36/BU36)+H$14+$Y36)*BU36,0)</f>
        <v>86.16</v>
      </c>
      <c r="BY36" s="76" t="e">
        <f aca="false">IF(BU36=0,0,bsd(1,BZ$27,BV36,$AD36,$AA36,$AB36,$AH36,0.1))</f>
        <v>#VALUE!</v>
      </c>
      <c r="BZ36" s="76" t="e">
        <f aca="false">IF(BU36=0,0,bsd(2,BZ$27,BV36,$AD36,$AA36,$AB36,$AH36,0.1))</f>
        <v>#VALUE!</v>
      </c>
      <c r="CA36" s="76" t="e">
        <f aca="false">IF(BU36=0,0,bsd(BZ$28,BZ$27,BV36,$AD36,$AA36,$AB36,$AH36,0.1))</f>
        <v>#VALUE!</v>
      </c>
      <c r="CB36" s="37" t="e">
        <f aca="false">BU36*BY36</f>
        <v>#VALUE!</v>
      </c>
      <c r="CC36" s="37" t="e">
        <f aca="false">BU36*BZ36</f>
        <v>#VALUE!</v>
      </c>
      <c r="CD36" s="37" t="e">
        <f aca="false">BU36*CA36</f>
        <v>#VALUE!</v>
      </c>
    </row>
    <row r="37" customFormat="false" ht="12.75" hidden="false" customHeight="false" outlineLevel="0" collapsed="false">
      <c r="A37" s="62" t="n">
        <f aca="false">DATE(YEAR(A36),MONTH(A36)+1,1)</f>
        <v>37438</v>
      </c>
      <c r="B37" s="63" t="n">
        <f aca="false">VLOOKUP(A37,STRADDLE,5,FALSE())</f>
        <v>2.917</v>
      </c>
      <c r="C37" s="4" t="n">
        <f aca="false">VLOOKUP(A37,STRADDLE,8,FALSE())</f>
        <v>0.5275</v>
      </c>
      <c r="D37" s="63" t="n">
        <f aca="false">IF(D$28="nymex",0,VLOOKUP($A37,curvesettle,HLOOKUP(D$28,curvesettle,2,FALSE())))</f>
        <v>-0.0775</v>
      </c>
      <c r="E37" s="65" t="n">
        <f aca="false">IF(ISNUMBER(VLOOKUP($A37,VOLCURVES,HLOOKUP(D$28,VOLCURVES,2,FALSE()),FALSE())),VLOOKUP($A37,VOLCURVES,HLOOKUP(D$28,VOLCURVES,2,FALSE()),FALSE()),1)</f>
        <v>1</v>
      </c>
      <c r="F37" s="64" t="n">
        <f aca="false">IF(D$28="NYMEX",$AG37,$AF37)</f>
        <v>-8494</v>
      </c>
      <c r="G37" s="4" t="e">
        <f aca="false">(($C37+H37)*$E37)+B$15</f>
        <v>#DIV/0!</v>
      </c>
      <c r="H37" s="4" t="e">
        <f aca="false">IF(B$16=1,xCalcSkew(A37,I37-AO37,b)/100,0)</f>
        <v>#DIV/0!</v>
      </c>
      <c r="I37" s="66" t="n">
        <f aca="false">IF($B$19=4,$AO37,$B$18)</f>
        <v>5</v>
      </c>
      <c r="K37" s="63" t="n">
        <f aca="false">IF(K$28="nymex",0,VLOOKUP($A37,curvesettle,HLOOKUP(K$28,curvesettle,2,FALSE())))</f>
        <v>-0.0775</v>
      </c>
      <c r="L37" s="65" t="n">
        <f aca="false">IF(ISNUMBER(VLOOKUP($A37,VOLCURVES,HLOOKUP(K$28,VOLCURVES,2,FALSE()),FALSE())),VLOOKUP($A37,VOLCURVES,HLOOKUP(K$28,VOLCURVES,2,FALSE()),FALSE()),1)</f>
        <v>1</v>
      </c>
      <c r="M37" s="64" t="n">
        <f aca="false">IF(K$28="NYMEX",$AG37,$AF37)</f>
        <v>-8494</v>
      </c>
      <c r="N37" s="184" t="e">
        <f aca="false">(($C37+O37)*$L37)+D$15</f>
        <v>#DIV/0!</v>
      </c>
      <c r="O37" s="4" t="e">
        <f aca="false">IF(D$16=1,xCalcSkew($A37,P37-AZ37,b)/100,0)</f>
        <v>#DIV/0!</v>
      </c>
      <c r="P37" s="66" t="n">
        <f aca="false">IF($D$19=4,$AZ37,$D$18)</f>
        <v>3</v>
      </c>
      <c r="R37" s="63" t="n">
        <f aca="false">IF(R$28="nymex",0,VLOOKUP($A37,curvesettle,HLOOKUP(R$28,curvesettle,2,FALSE())))</f>
        <v>-0.54</v>
      </c>
      <c r="S37" s="65" t="n">
        <f aca="false">IF(ISNUMBER(VLOOKUP($A37,VOLCURVES,HLOOKUP(R$28,VOLCURVES,2,FALSE()),FALSE())),VLOOKUP($A37,VOLCURVES,HLOOKUP(R$28,VOLCURVES,2,FALSE()),FALSE()),1)</f>
        <v>1</v>
      </c>
      <c r="T37" s="64" t="n">
        <f aca="false">IF(R$28="NYMEX",$AG37,$AF37)</f>
        <v>-8494</v>
      </c>
      <c r="U37" s="184" t="e">
        <f aca="false">(($C37+V37)*$S37)+F$15</f>
        <v>#NAME?</v>
      </c>
      <c r="V37" s="4" t="e">
        <f aca="false">IF(F$16=1,xCalcSkew($A37,W37-BK37,b)/100,0)</f>
        <v>#NAME?</v>
      </c>
      <c r="W37" s="66" t="n">
        <f aca="false">IF($F$19=4,$BK37,$F$18)</f>
        <v>2.55</v>
      </c>
      <c r="X37" s="64"/>
      <c r="Y37" s="63" t="n">
        <f aca="false">IF(Y$28="nymex",0,VLOOKUP($A37,curvesettle,HLOOKUP(Y$28,curvesettle,2,FALSE())))</f>
        <v>0</v>
      </c>
      <c r="Z37" s="65" t="n">
        <f aca="false">IF(ISNUMBER(VLOOKUP($A37,VOLCURVES,HLOOKUP(Y$28,VOLCURVES,2,FALSE()),FALSE())),VLOOKUP($A37,VOLCURVES,HLOOKUP(Y$28,VOLCURVES,2,FALSE()),FALSE()),1)</f>
        <v>1</v>
      </c>
      <c r="AA37" s="64" t="n">
        <f aca="false">IF(Y$28="NYMEX",$AG37,$AF37)</f>
        <v>-8495</v>
      </c>
      <c r="AB37" s="4" t="e">
        <f aca="false">(($C37+AC37)*$Z37)+H$15</f>
        <v>#NAME?</v>
      </c>
      <c r="AC37" s="4" t="e">
        <f aca="false">IF(H$16=1,xCalcSkew($A37,AD37-BV37,b)/100,0)</f>
        <v>#NAME?</v>
      </c>
      <c r="AD37" s="66" t="n">
        <f aca="false">IF($H$19=4,$BV37,$H$18)</f>
        <v>2.9</v>
      </c>
      <c r="AF37" s="64" t="n">
        <f aca="false">VLOOKUP($A37,expiration,2,FALSE())-$B$2</f>
        <v>-8494</v>
      </c>
      <c r="AG37" s="64" t="n">
        <f aca="false">VLOOKUP($A37,expiration,3,FALSE())-$B$2</f>
        <v>-8495</v>
      </c>
      <c r="AH37" s="4" t="n">
        <f aca="false">VLOOKUP($A37,STRADDLE,14,FALSE())</f>
        <v>0.0195950648415604</v>
      </c>
      <c r="AI37" s="72" t="n">
        <f aca="false">A38-A37</f>
        <v>31</v>
      </c>
      <c r="AJ37" s="76"/>
      <c r="AK37" s="76"/>
      <c r="AL37" s="76"/>
      <c r="AM37" s="76"/>
      <c r="AN37" s="73" t="n">
        <f aca="false">IF($A37&gt;=AO$25,IF($A37&lt;=AO$26,$AI37,0),0)</f>
        <v>0</v>
      </c>
      <c r="AO37" s="196" t="e">
        <f aca="false">AQ37/AN37</f>
        <v>#DIV/0!</v>
      </c>
      <c r="AP37" s="1" t="n">
        <f aca="false">AN37*($B37+B$13)</f>
        <v>0</v>
      </c>
      <c r="AQ37" s="47" t="n">
        <f aca="false">IF(ISNUMBER(((AP37/AN37)+B$14+$D37)*AN37),((AP37/AN37)+B$14+$D37)*AN37,0)</f>
        <v>0</v>
      </c>
      <c r="AR37" s="76" t="n">
        <f aca="false">IF(AN37=0,0,bsd(1,AS$27,AO37,$I37,$F37,$G37,$AH37,0.1))</f>
        <v>0</v>
      </c>
      <c r="AS37" s="76" t="n">
        <f aca="false">IF(AN37=0,0,bsd(2,AS$27,AO37,$I37,$F37,$G37,$AH37,0.1))</f>
        <v>0</v>
      </c>
      <c r="AT37" s="76" t="n">
        <f aca="false">IF(AN37=0,0,bsd(AS$28,AS$27,AO37,$I37,$F37,$G37,$AH37,0.1))</f>
        <v>0</v>
      </c>
      <c r="AU37" s="37" t="n">
        <f aca="false">AN37*AR37</f>
        <v>0</v>
      </c>
      <c r="AV37" s="37" t="n">
        <f aca="false">AN37*AS37</f>
        <v>0</v>
      </c>
      <c r="AW37" s="37" t="n">
        <f aca="false">AN37*AT37</f>
        <v>0</v>
      </c>
      <c r="AY37" s="73" t="n">
        <f aca="false">IF($A37&gt;=AZ$25,IF($A37&lt;=AZ$26,$AI37,0),0)</f>
        <v>0</v>
      </c>
      <c r="AZ37" s="196" t="e">
        <f aca="false">BB37/AY37</f>
        <v>#DIV/0!</v>
      </c>
      <c r="BA37" s="1" t="n">
        <f aca="false">AY37*($B37+D$13)</f>
        <v>0</v>
      </c>
      <c r="BB37" s="47" t="n">
        <f aca="false">IF(ISNUMBER(((BA37/AY37)+D$14+$K37)*AY37),((BA37/AY37)+D$14+$K37)*AY37,0)</f>
        <v>0</v>
      </c>
      <c r="BC37" s="76" t="n">
        <f aca="false">IF(AY37=0,0,bsd(1,BD$27,AZ37,$P37,$M37,$N37,$AH37,0.1))</f>
        <v>0</v>
      </c>
      <c r="BD37" s="76" t="n">
        <f aca="false">IF(AY37=0,0,bsd(2,BD$27,AZ37,$P37,$M37,$N37,$AH37,0.1))</f>
        <v>0</v>
      </c>
      <c r="BE37" s="76" t="n">
        <f aca="false">IF(AY37=0,0,bsd(BD$28,BD$27,AZ37,$P37,$M37,$N37,$AH37,0.1))</f>
        <v>0</v>
      </c>
      <c r="BF37" s="37" t="n">
        <f aca="false">AY37*BC37</f>
        <v>0</v>
      </c>
      <c r="BG37" s="37" t="n">
        <f aca="false">AY37*BD37</f>
        <v>0</v>
      </c>
      <c r="BH37" s="37" t="n">
        <f aca="false">AY37*BE37</f>
        <v>0</v>
      </c>
      <c r="BJ37" s="73" t="n">
        <f aca="false">IF($A37&gt;=BK$25,IF($A37&lt;=BK$26,$AI37,0),0)</f>
        <v>31</v>
      </c>
      <c r="BK37" s="196" t="n">
        <f aca="false">BM37/BJ37</f>
        <v>2.377</v>
      </c>
      <c r="BL37" s="1" t="n">
        <f aca="false">BJ37*($B37+F$13)</f>
        <v>90.427</v>
      </c>
      <c r="BM37" s="47" t="n">
        <f aca="false">IF(ISNUMBER(((BL37/BJ37)+F$14+$R37)*BJ37),((BL37/BJ37)+F$14+$R37)*BJ37,0)</f>
        <v>73.687</v>
      </c>
      <c r="BN37" s="76" t="e">
        <f aca="false">IF(BJ37=0,0,bsd(1,BO$27,BK37,$W37,$T37,$U37,$AH37,0.1))</f>
        <v>#VALUE!</v>
      </c>
      <c r="BO37" s="76" t="e">
        <f aca="false">IF(BJ37=0,0,bsd(2,BO$27,BK37,$W37,$T37,$U37,$AH37,0.1))</f>
        <v>#VALUE!</v>
      </c>
      <c r="BP37" s="76" t="e">
        <f aca="false">IF(BJ37=0,0,bsd(BO$28,BO$27,BK37,$W37,$T37,$U37,$AH37,0.1))</f>
        <v>#VALUE!</v>
      </c>
      <c r="BQ37" s="37" t="e">
        <f aca="false">BJ37*BN37</f>
        <v>#VALUE!</v>
      </c>
      <c r="BR37" s="37" t="e">
        <f aca="false">BJ37*BO37</f>
        <v>#VALUE!</v>
      </c>
      <c r="BS37" s="37" t="e">
        <f aca="false">BJ37*BP37</f>
        <v>#VALUE!</v>
      </c>
      <c r="BU37" s="73" t="n">
        <f aca="false">IF($A37&gt;=BV$25,IF($A37&lt;=BV$26,$AI37,0),0)</f>
        <v>31</v>
      </c>
      <c r="BV37" s="196" t="n">
        <f aca="false">BX37/BU37</f>
        <v>2.917</v>
      </c>
      <c r="BW37" s="1" t="n">
        <f aca="false">BU37*($B37+H$13)</f>
        <v>90.427</v>
      </c>
      <c r="BX37" s="47" t="n">
        <f aca="false">IF(ISNUMBER(((BW37/BU37)+H$14+$Y37)*BU37),((BW37/BU37)+H$14+$Y37)*BU37,0)</f>
        <v>90.427</v>
      </c>
      <c r="BY37" s="76" t="e">
        <f aca="false">IF(BU37=0,0,bsd(1,BZ$27,BV37,$AD37,$AA37,$AB37,$AH37,0.1))</f>
        <v>#VALUE!</v>
      </c>
      <c r="BZ37" s="76" t="e">
        <f aca="false">IF(BU37=0,0,bsd(2,BZ$27,BV37,$AD37,$AA37,$AB37,$AH37,0.1))</f>
        <v>#VALUE!</v>
      </c>
      <c r="CA37" s="76" t="e">
        <f aca="false">IF(BU37=0,0,bsd(BZ$28,BZ$27,BV37,$AD37,$AA37,$AB37,$AH37,0.1))</f>
        <v>#VALUE!</v>
      </c>
      <c r="CB37" s="37" t="e">
        <f aca="false">BU37*BY37</f>
        <v>#VALUE!</v>
      </c>
      <c r="CC37" s="37" t="e">
        <f aca="false">BU37*BZ37</f>
        <v>#VALUE!</v>
      </c>
      <c r="CD37" s="37" t="e">
        <f aca="false">BU37*CA37</f>
        <v>#VALUE!</v>
      </c>
    </row>
    <row r="38" customFormat="false" ht="12.75" hidden="false" customHeight="false" outlineLevel="0" collapsed="false">
      <c r="A38" s="62" t="n">
        <f aca="false">DATE(YEAR(A37),MONTH(A37)+1,1)</f>
        <v>37469</v>
      </c>
      <c r="B38" s="63" t="n">
        <f aca="false">VLOOKUP(A38,STRADDLE,5,FALSE())</f>
        <v>2.962</v>
      </c>
      <c r="C38" s="4" t="n">
        <f aca="false">VLOOKUP(A38,STRADDLE,8,FALSE())</f>
        <v>0.53</v>
      </c>
      <c r="D38" s="63" t="n">
        <f aca="false">IF(D$28="nymex",0,VLOOKUP($A38,curvesettle,HLOOKUP(D$28,curvesettle,2,FALSE())))</f>
        <v>-0.0775</v>
      </c>
      <c r="E38" s="65" t="n">
        <f aca="false">IF(ISNUMBER(VLOOKUP($A38,VOLCURVES,HLOOKUP(D$28,VOLCURVES,2,FALSE()),FALSE())),VLOOKUP($A38,VOLCURVES,HLOOKUP(D$28,VOLCURVES,2,FALSE()),FALSE()),1)</f>
        <v>1</v>
      </c>
      <c r="F38" s="64" t="n">
        <f aca="false">IF(D$28="NYMEX",$AG38,$AF38)</f>
        <v>-8461</v>
      </c>
      <c r="G38" s="4" t="e">
        <f aca="false">(($C38+H38)*$E38)+B$15</f>
        <v>#DIV/0!</v>
      </c>
      <c r="H38" s="4" t="e">
        <f aca="false">IF(B$16=1,xCalcSkew(A38,I38-AO38,b)/100,0)</f>
        <v>#DIV/0!</v>
      </c>
      <c r="I38" s="66" t="n">
        <f aca="false">IF($B$19=4,$AO38,$B$18)</f>
        <v>5</v>
      </c>
      <c r="K38" s="63" t="n">
        <f aca="false">IF(K$28="nymex",0,VLOOKUP($A38,curvesettle,HLOOKUP(K$28,curvesettle,2,FALSE())))</f>
        <v>-0.0775</v>
      </c>
      <c r="L38" s="65" t="n">
        <f aca="false">IF(ISNUMBER(VLOOKUP($A38,VOLCURVES,HLOOKUP(K$28,VOLCURVES,2,FALSE()),FALSE())),VLOOKUP($A38,VOLCURVES,HLOOKUP(K$28,VOLCURVES,2,FALSE()),FALSE()),1)</f>
        <v>1</v>
      </c>
      <c r="M38" s="64" t="n">
        <f aca="false">IF(K$28="NYMEX",$AG38,$AF38)</f>
        <v>-8461</v>
      </c>
      <c r="N38" s="184" t="e">
        <f aca="false">(($C38+O38)*$L38)+D$15</f>
        <v>#DIV/0!</v>
      </c>
      <c r="O38" s="4" t="e">
        <f aca="false">IF(D$16=1,xCalcSkew($A38,P38-AZ38,b)/100,0)</f>
        <v>#DIV/0!</v>
      </c>
      <c r="P38" s="66" t="n">
        <f aca="false">IF($D$19=4,$AZ38,$D$18)</f>
        <v>3</v>
      </c>
      <c r="R38" s="63" t="n">
        <f aca="false">IF(R$28="nymex",0,VLOOKUP($A38,curvesettle,HLOOKUP(R$28,curvesettle,2,FALSE())))</f>
        <v>-0.54</v>
      </c>
      <c r="S38" s="65" t="n">
        <f aca="false">IF(ISNUMBER(VLOOKUP($A38,VOLCURVES,HLOOKUP(R$28,VOLCURVES,2,FALSE()),FALSE())),VLOOKUP($A38,VOLCURVES,HLOOKUP(R$28,VOLCURVES,2,FALSE()),FALSE()),1)</f>
        <v>1</v>
      </c>
      <c r="T38" s="64" t="n">
        <f aca="false">IF(R$28="NYMEX",$AG38,$AF38)</f>
        <v>-8461</v>
      </c>
      <c r="U38" s="184" t="e">
        <f aca="false">(($C38+V38)*$S38)+F$15</f>
        <v>#NAME?</v>
      </c>
      <c r="V38" s="4" t="e">
        <f aca="false">IF(F$16=1,xCalcSkew($A38,W38-BK38,b)/100,0)</f>
        <v>#NAME?</v>
      </c>
      <c r="W38" s="66" t="n">
        <f aca="false">IF($F$19=4,$BK38,$F$18)</f>
        <v>2.55</v>
      </c>
      <c r="X38" s="64"/>
      <c r="Y38" s="63" t="n">
        <f aca="false">IF(Y$28="nymex",0,VLOOKUP($A38,curvesettle,HLOOKUP(Y$28,curvesettle,2,FALSE())))</f>
        <v>0</v>
      </c>
      <c r="Z38" s="65" t="n">
        <f aca="false">IF(ISNUMBER(VLOOKUP($A38,VOLCURVES,HLOOKUP(Y$28,VOLCURVES,2,FALSE()),FALSE())),VLOOKUP($A38,VOLCURVES,HLOOKUP(Y$28,VOLCURVES,2,FALSE()),FALSE()),1)</f>
        <v>1</v>
      </c>
      <c r="AA38" s="64" t="n">
        <f aca="false">IF(Y$28="NYMEX",$AG38,$AF38)</f>
        <v>-8464</v>
      </c>
      <c r="AB38" s="4" t="e">
        <f aca="false">(($C38+AC38)*$Z38)+H$15</f>
        <v>#NAME?</v>
      </c>
      <c r="AC38" s="4" t="e">
        <f aca="false">IF(H$16=1,xCalcSkew($A38,AD38-BV38,b)/100,0)</f>
        <v>#NAME?</v>
      </c>
      <c r="AD38" s="66" t="n">
        <f aca="false">IF($H$19=4,$BV38,$H$18)</f>
        <v>2.9</v>
      </c>
      <c r="AF38" s="64" t="n">
        <f aca="false">VLOOKUP($A38,expiration,2,FALSE())-$B$2</f>
        <v>-8461</v>
      </c>
      <c r="AG38" s="64" t="n">
        <f aca="false">VLOOKUP($A38,expiration,3,FALSE())-$B$2</f>
        <v>-8464</v>
      </c>
      <c r="AH38" s="4" t="n">
        <f aca="false">VLOOKUP($A38,STRADDLE,14,FALSE())</f>
        <v>0.0201466105621213</v>
      </c>
      <c r="AI38" s="72" t="n">
        <f aca="false">A39-A38</f>
        <v>31</v>
      </c>
      <c r="AJ38" s="76"/>
      <c r="AK38" s="76"/>
      <c r="AL38" s="76"/>
      <c r="AM38" s="76"/>
      <c r="AN38" s="73" t="n">
        <f aca="false">IF($A38&gt;=AO$25,IF($A38&lt;=AO$26,$AI38,0),0)</f>
        <v>0</v>
      </c>
      <c r="AO38" s="196" t="e">
        <f aca="false">AQ38/AN38</f>
        <v>#DIV/0!</v>
      </c>
      <c r="AP38" s="1" t="n">
        <f aca="false">AN38*($B38+B$13)</f>
        <v>0</v>
      </c>
      <c r="AQ38" s="47" t="n">
        <f aca="false">IF(ISNUMBER(((AP38/AN38)+B$14+$D38)*AN38),((AP38/AN38)+B$14+$D38)*AN38,0)</f>
        <v>0</v>
      </c>
      <c r="AR38" s="76" t="n">
        <f aca="false">IF(AN38=0,0,bsd(1,AS$27,AO38,$I38,$F38,$G38,$AH38,0.1))</f>
        <v>0</v>
      </c>
      <c r="AS38" s="76" t="n">
        <f aca="false">IF(AN38=0,0,bsd(2,AS$27,AO38,$I38,$F38,$G38,$AH38,0.1))</f>
        <v>0</v>
      </c>
      <c r="AT38" s="76" t="n">
        <f aca="false">IF(AN38=0,0,bsd(AS$28,AS$27,AO38,$I38,$F38,$G38,$AH38,0.1))</f>
        <v>0</v>
      </c>
      <c r="AU38" s="37" t="n">
        <f aca="false">AN38*AR38</f>
        <v>0</v>
      </c>
      <c r="AV38" s="37" t="n">
        <f aca="false">AN38*AS38</f>
        <v>0</v>
      </c>
      <c r="AW38" s="37" t="n">
        <f aca="false">AN38*AT38</f>
        <v>0</v>
      </c>
      <c r="AY38" s="73" t="n">
        <f aca="false">IF($A38&gt;=AZ$25,IF($A38&lt;=AZ$26,$AI38,0),0)</f>
        <v>0</v>
      </c>
      <c r="AZ38" s="196" t="e">
        <f aca="false">BB38/AY38</f>
        <v>#DIV/0!</v>
      </c>
      <c r="BA38" s="1" t="n">
        <f aca="false">AY38*($B38+D$13)</f>
        <v>0</v>
      </c>
      <c r="BB38" s="47" t="n">
        <f aca="false">IF(ISNUMBER(((BA38/AY38)+D$14+$K38)*AY38),((BA38/AY38)+D$14+$K38)*AY38,0)</f>
        <v>0</v>
      </c>
      <c r="BC38" s="76" t="n">
        <f aca="false">IF(AY38=0,0,bsd(1,BD$27,AZ38,$P38,$M38,$N38,$AH38,0.1))</f>
        <v>0</v>
      </c>
      <c r="BD38" s="76" t="n">
        <f aca="false">IF(AY38=0,0,bsd(2,BD$27,AZ38,$P38,$M38,$N38,$AH38,0.1))</f>
        <v>0</v>
      </c>
      <c r="BE38" s="76" t="n">
        <f aca="false">IF(AY38=0,0,bsd(BD$28,BD$27,AZ38,$P38,$M38,$N38,$AH38,0.1))</f>
        <v>0</v>
      </c>
      <c r="BF38" s="37" t="n">
        <f aca="false">AY38*BC38</f>
        <v>0</v>
      </c>
      <c r="BG38" s="37" t="n">
        <f aca="false">AY38*BD38</f>
        <v>0</v>
      </c>
      <c r="BH38" s="37" t="n">
        <f aca="false">AY38*BE38</f>
        <v>0</v>
      </c>
      <c r="BJ38" s="73" t="n">
        <f aca="false">IF($A38&gt;=BK$25,IF($A38&lt;=BK$26,$AI38,0),0)</f>
        <v>31</v>
      </c>
      <c r="BK38" s="196" t="n">
        <f aca="false">BM38/BJ38</f>
        <v>2.422</v>
      </c>
      <c r="BL38" s="1" t="n">
        <f aca="false">BJ38*($B38+F$13)</f>
        <v>91.822</v>
      </c>
      <c r="BM38" s="47" t="n">
        <f aca="false">IF(ISNUMBER(((BL38/BJ38)+F$14+$R38)*BJ38),((BL38/BJ38)+F$14+$R38)*BJ38,0)</f>
        <v>75.082</v>
      </c>
      <c r="BN38" s="76" t="e">
        <f aca="false">IF(BJ38=0,0,bsd(1,BO$27,BK38,$W38,$T38,$U38,$AH38,0.1))</f>
        <v>#VALUE!</v>
      </c>
      <c r="BO38" s="76" t="e">
        <f aca="false">IF(BJ38=0,0,bsd(2,BO$27,BK38,$W38,$T38,$U38,$AH38,0.1))</f>
        <v>#VALUE!</v>
      </c>
      <c r="BP38" s="76" t="e">
        <f aca="false">IF(BJ38=0,0,bsd(BO$28,BO$27,BK38,$W38,$T38,$U38,$AH38,0.1))</f>
        <v>#VALUE!</v>
      </c>
      <c r="BQ38" s="37" t="e">
        <f aca="false">BJ38*BN38</f>
        <v>#VALUE!</v>
      </c>
      <c r="BR38" s="37" t="e">
        <f aca="false">BJ38*BO38</f>
        <v>#VALUE!</v>
      </c>
      <c r="BS38" s="37" t="e">
        <f aca="false">BJ38*BP38</f>
        <v>#VALUE!</v>
      </c>
      <c r="BU38" s="73" t="n">
        <f aca="false">IF($A38&gt;=BV$25,IF($A38&lt;=BV$26,$AI38,0),0)</f>
        <v>31</v>
      </c>
      <c r="BV38" s="196" t="n">
        <f aca="false">BX38/BU38</f>
        <v>2.962</v>
      </c>
      <c r="BW38" s="1" t="n">
        <f aca="false">BU38*($B38+H$13)</f>
        <v>91.822</v>
      </c>
      <c r="BX38" s="47" t="n">
        <f aca="false">IF(ISNUMBER(((BW38/BU38)+H$14+$Y38)*BU38),((BW38/BU38)+H$14+$Y38)*BU38,0)</f>
        <v>91.822</v>
      </c>
      <c r="BY38" s="76" t="e">
        <f aca="false">IF(BU38=0,0,bsd(1,BZ$27,BV38,$AD38,$AA38,$AB38,$AH38,0.1))</f>
        <v>#VALUE!</v>
      </c>
      <c r="BZ38" s="76" t="e">
        <f aca="false">IF(BU38=0,0,bsd(2,BZ$27,BV38,$AD38,$AA38,$AB38,$AH38,0.1))</f>
        <v>#VALUE!</v>
      </c>
      <c r="CA38" s="76" t="e">
        <f aca="false">IF(BU38=0,0,bsd(BZ$28,BZ$27,BV38,$AD38,$AA38,$AB38,$AH38,0.1))</f>
        <v>#VALUE!</v>
      </c>
      <c r="CB38" s="37" t="e">
        <f aca="false">BU38*BY38</f>
        <v>#VALUE!</v>
      </c>
      <c r="CC38" s="37" t="e">
        <f aca="false">BU38*BZ38</f>
        <v>#VALUE!</v>
      </c>
      <c r="CD38" s="37" t="e">
        <f aca="false">BU38*CA38</f>
        <v>#VALUE!</v>
      </c>
    </row>
    <row r="39" customFormat="false" ht="12.75" hidden="false" customHeight="false" outlineLevel="0" collapsed="false">
      <c r="A39" s="62" t="n">
        <f aca="false">DATE(YEAR(A38),MONTH(A38)+1,1)</f>
        <v>37500</v>
      </c>
      <c r="B39" s="63" t="n">
        <f aca="false">VLOOKUP(A39,STRADDLE,5,FALSE())</f>
        <v>2.959</v>
      </c>
      <c r="C39" s="4" t="n">
        <f aca="false">VLOOKUP(A39,STRADDLE,8,FALSE())</f>
        <v>0.53</v>
      </c>
      <c r="D39" s="63" t="n">
        <f aca="false">IF(D$28="nymex",0,VLOOKUP($A39,curvesettle,HLOOKUP(D$28,curvesettle,2,FALSE())))</f>
        <v>-0.0775</v>
      </c>
      <c r="E39" s="65" t="n">
        <f aca="false">IF(ISNUMBER(VLOOKUP($A39,VOLCURVES,HLOOKUP(D$28,VOLCURVES,2,FALSE()),FALSE())),VLOOKUP($A39,VOLCURVES,HLOOKUP(D$28,VOLCURVES,2,FALSE()),FALSE()),1)</f>
        <v>1</v>
      </c>
      <c r="F39" s="64" t="n">
        <f aca="false">IF(D$28="NYMEX",$AG39,$AF39)</f>
        <v>-8431</v>
      </c>
      <c r="G39" s="4" t="e">
        <f aca="false">(($C39+H39)*$E39)+B$15</f>
        <v>#DIV/0!</v>
      </c>
      <c r="H39" s="4" t="e">
        <f aca="false">IF(B$16=1,xCalcSkew(A39,I39-AO39,b)/100,0)</f>
        <v>#DIV/0!</v>
      </c>
      <c r="I39" s="66" t="n">
        <f aca="false">IF($B$19=4,$AO39,$B$18)</f>
        <v>5</v>
      </c>
      <c r="K39" s="63" t="n">
        <f aca="false">IF(K$28="nymex",0,VLOOKUP($A39,curvesettle,HLOOKUP(K$28,curvesettle,2,FALSE())))</f>
        <v>-0.0775</v>
      </c>
      <c r="L39" s="65" t="n">
        <f aca="false">IF(ISNUMBER(VLOOKUP($A39,VOLCURVES,HLOOKUP(K$28,VOLCURVES,2,FALSE()),FALSE())),VLOOKUP($A39,VOLCURVES,HLOOKUP(K$28,VOLCURVES,2,FALSE()),FALSE()),1)</f>
        <v>1</v>
      </c>
      <c r="M39" s="64" t="n">
        <f aca="false">IF(K$28="NYMEX",$AG39,$AF39)</f>
        <v>-8431</v>
      </c>
      <c r="N39" s="184" t="e">
        <f aca="false">(($C39+O39)*$L39)+D$15</f>
        <v>#DIV/0!</v>
      </c>
      <c r="O39" s="4" t="e">
        <f aca="false">IF(D$16=1,xCalcSkew($A39,P39-AZ39,b)/100,0)</f>
        <v>#DIV/0!</v>
      </c>
      <c r="P39" s="66" t="n">
        <f aca="false">IF($D$19=4,$AZ39,$D$18)</f>
        <v>3</v>
      </c>
      <c r="R39" s="63" t="n">
        <f aca="false">IF(R$28="nymex",0,VLOOKUP($A39,curvesettle,HLOOKUP(R$28,curvesettle,2,FALSE())))</f>
        <v>-0.54</v>
      </c>
      <c r="S39" s="65" t="n">
        <f aca="false">IF(ISNUMBER(VLOOKUP($A39,VOLCURVES,HLOOKUP(R$28,VOLCURVES,2,FALSE()),FALSE())),VLOOKUP($A39,VOLCURVES,HLOOKUP(R$28,VOLCURVES,2,FALSE()),FALSE()),1)</f>
        <v>1</v>
      </c>
      <c r="T39" s="64" t="n">
        <f aca="false">IF(R$28="NYMEX",$AG39,$AF39)</f>
        <v>-8431</v>
      </c>
      <c r="U39" s="184" t="e">
        <f aca="false">(($C39+V39)*$S39)+F$15</f>
        <v>#NAME?</v>
      </c>
      <c r="V39" s="4" t="e">
        <f aca="false">IF(F$16=1,xCalcSkew($A39,W39-BK39,b)/100,0)</f>
        <v>#NAME?</v>
      </c>
      <c r="W39" s="66" t="n">
        <f aca="false">IF($F$19=4,$BK39,$F$18)</f>
        <v>2.55</v>
      </c>
      <c r="X39" s="64"/>
      <c r="Y39" s="63" t="n">
        <f aca="false">IF(Y$28="nymex",0,VLOOKUP($A39,curvesettle,HLOOKUP(Y$28,curvesettle,2,FALSE())))</f>
        <v>0</v>
      </c>
      <c r="Z39" s="65" t="n">
        <f aca="false">IF(ISNUMBER(VLOOKUP($A39,VOLCURVES,HLOOKUP(Y$28,VOLCURVES,2,FALSE()),FALSE())),VLOOKUP($A39,VOLCURVES,HLOOKUP(Y$28,VOLCURVES,2,FALSE()),FALSE()),1)</f>
        <v>1</v>
      </c>
      <c r="AA39" s="64" t="n">
        <f aca="false">IF(Y$28="NYMEX",$AG39,$AF39)</f>
        <v>-8432</v>
      </c>
      <c r="AB39" s="4" t="e">
        <f aca="false">(($C39+AC39)*$Z39)+H$15</f>
        <v>#NAME?</v>
      </c>
      <c r="AC39" s="4" t="e">
        <f aca="false">IF(H$16=1,xCalcSkew($A39,AD39-BV39,b)/100,0)</f>
        <v>#NAME?</v>
      </c>
      <c r="AD39" s="66" t="n">
        <f aca="false">IF($H$19=4,$BV39,$H$18)</f>
        <v>2.9</v>
      </c>
      <c r="AF39" s="64" t="n">
        <f aca="false">VLOOKUP($A39,expiration,2,FALSE())-$B$2</f>
        <v>-8431</v>
      </c>
      <c r="AG39" s="64" t="n">
        <f aca="false">VLOOKUP($A39,expiration,3,FALSE())-$B$2</f>
        <v>-8432</v>
      </c>
      <c r="AH39" s="4" t="n">
        <f aca="false">VLOOKUP($A39,STRADDLE,14,FALSE())</f>
        <v>0.0206981563857513</v>
      </c>
      <c r="AI39" s="72" t="n">
        <f aca="false">A40-A39</f>
        <v>30</v>
      </c>
      <c r="AJ39" s="76"/>
      <c r="AK39" s="76"/>
      <c r="AL39" s="76"/>
      <c r="AM39" s="76"/>
      <c r="AN39" s="73" t="n">
        <f aca="false">IF($A39&gt;=AO$25,IF($A39&lt;=AO$26,$AI39,0),0)</f>
        <v>0</v>
      </c>
      <c r="AO39" s="196" t="e">
        <f aca="false">AQ39/AN39</f>
        <v>#DIV/0!</v>
      </c>
      <c r="AP39" s="1" t="n">
        <f aca="false">AN39*($B39+B$13)</f>
        <v>0</v>
      </c>
      <c r="AQ39" s="47" t="n">
        <f aca="false">IF(ISNUMBER(((AP39/AN39)+B$14+$D39)*AN39),((AP39/AN39)+B$14+$D39)*AN39,0)</f>
        <v>0</v>
      </c>
      <c r="AR39" s="76" t="n">
        <f aca="false">IF(AN39=0,0,bsd(1,AS$27,AO39,$I39,$F39,$G39,$AH39,0.1))</f>
        <v>0</v>
      </c>
      <c r="AS39" s="76" t="n">
        <f aca="false">IF(AN39=0,0,bsd(2,AS$27,AO39,$I39,$F39,$G39,$AH39,0.1))</f>
        <v>0</v>
      </c>
      <c r="AT39" s="76" t="n">
        <f aca="false">IF(AN39=0,0,bsd(AS$28,AS$27,AO39,$I39,$F39,$G39,$AH39,0.1))</f>
        <v>0</v>
      </c>
      <c r="AU39" s="37" t="n">
        <f aca="false">AN39*AR39</f>
        <v>0</v>
      </c>
      <c r="AV39" s="37" t="n">
        <f aca="false">AN39*AS39</f>
        <v>0</v>
      </c>
      <c r="AW39" s="37" t="n">
        <f aca="false">AN39*AT39</f>
        <v>0</v>
      </c>
      <c r="AY39" s="73" t="n">
        <f aca="false">IF($A39&gt;=AZ$25,IF($A39&lt;=AZ$26,$AI39,0),0)</f>
        <v>0</v>
      </c>
      <c r="AZ39" s="196" t="e">
        <f aca="false">BB39/AY39</f>
        <v>#DIV/0!</v>
      </c>
      <c r="BA39" s="1" t="n">
        <f aca="false">AY39*($B39+D$13)</f>
        <v>0</v>
      </c>
      <c r="BB39" s="47" t="n">
        <f aca="false">IF(ISNUMBER(((BA39/AY39)+D$14+$K39)*AY39),((BA39/AY39)+D$14+$K39)*AY39,0)</f>
        <v>0</v>
      </c>
      <c r="BC39" s="76" t="n">
        <f aca="false">IF(AY39=0,0,bsd(1,BD$27,AZ39,$P39,$M39,$N39,$AH39,0.1))</f>
        <v>0</v>
      </c>
      <c r="BD39" s="76" t="n">
        <f aca="false">IF(AY39=0,0,bsd(2,BD$27,AZ39,$P39,$M39,$N39,$AH39,0.1))</f>
        <v>0</v>
      </c>
      <c r="BE39" s="76" t="n">
        <f aca="false">IF(AY39=0,0,bsd(BD$28,BD$27,AZ39,$P39,$M39,$N39,$AH39,0.1))</f>
        <v>0</v>
      </c>
      <c r="BF39" s="37" t="n">
        <f aca="false">AY39*BC39</f>
        <v>0</v>
      </c>
      <c r="BG39" s="37" t="n">
        <f aca="false">AY39*BD39</f>
        <v>0</v>
      </c>
      <c r="BH39" s="37" t="n">
        <f aca="false">AY39*BE39</f>
        <v>0</v>
      </c>
      <c r="BJ39" s="73" t="n">
        <f aca="false">IF($A39&gt;=BK$25,IF($A39&lt;=BK$26,$AI39,0),0)</f>
        <v>30</v>
      </c>
      <c r="BK39" s="196" t="n">
        <f aca="false">BM39/BJ39</f>
        <v>2.419</v>
      </c>
      <c r="BL39" s="1" t="n">
        <f aca="false">BJ39*($B39+F$13)</f>
        <v>88.77</v>
      </c>
      <c r="BM39" s="47" t="n">
        <f aca="false">IF(ISNUMBER(((BL39/BJ39)+F$14+$R39)*BJ39),((BL39/BJ39)+F$14+$R39)*BJ39,0)</f>
        <v>72.57</v>
      </c>
      <c r="BN39" s="76" t="e">
        <f aca="false">IF(BJ39=0,0,bsd(1,BO$27,BK39,$W39,$T39,$U39,$AH39,0.1))</f>
        <v>#VALUE!</v>
      </c>
      <c r="BO39" s="76" t="e">
        <f aca="false">IF(BJ39=0,0,bsd(2,BO$27,BK39,$W39,$T39,$U39,$AH39,0.1))</f>
        <v>#VALUE!</v>
      </c>
      <c r="BP39" s="76" t="e">
        <f aca="false">IF(BJ39=0,0,bsd(BO$28,BO$27,BK39,$W39,$T39,$U39,$AH39,0.1))</f>
        <v>#VALUE!</v>
      </c>
      <c r="BQ39" s="37" t="e">
        <f aca="false">BJ39*BN39</f>
        <v>#VALUE!</v>
      </c>
      <c r="BR39" s="37" t="e">
        <f aca="false">BJ39*BO39</f>
        <v>#VALUE!</v>
      </c>
      <c r="BS39" s="37" t="e">
        <f aca="false">BJ39*BP39</f>
        <v>#VALUE!</v>
      </c>
      <c r="BU39" s="73" t="n">
        <f aca="false">IF($A39&gt;=BV$25,IF($A39&lt;=BV$26,$AI39,0),0)</f>
        <v>30</v>
      </c>
      <c r="BV39" s="196" t="n">
        <f aca="false">BX39/BU39</f>
        <v>2.959</v>
      </c>
      <c r="BW39" s="1" t="n">
        <f aca="false">BU39*($B39+H$13)</f>
        <v>88.77</v>
      </c>
      <c r="BX39" s="47" t="n">
        <f aca="false">IF(ISNUMBER(((BW39/BU39)+H$14+$Y39)*BU39),((BW39/BU39)+H$14+$Y39)*BU39,0)</f>
        <v>88.77</v>
      </c>
      <c r="BY39" s="76" t="e">
        <f aca="false">IF(BU39=0,0,bsd(1,BZ$27,BV39,$AD39,$AA39,$AB39,$AH39,0.1))</f>
        <v>#VALUE!</v>
      </c>
      <c r="BZ39" s="76" t="e">
        <f aca="false">IF(BU39=0,0,bsd(2,BZ$27,BV39,$AD39,$AA39,$AB39,$AH39,0.1))</f>
        <v>#VALUE!</v>
      </c>
      <c r="CA39" s="76" t="e">
        <f aca="false">IF(BU39=0,0,bsd(BZ$28,BZ$27,BV39,$AD39,$AA39,$AB39,$AH39,0.1))</f>
        <v>#VALUE!</v>
      </c>
      <c r="CB39" s="37" t="e">
        <f aca="false">BU39*BY39</f>
        <v>#VALUE!</v>
      </c>
      <c r="CC39" s="37" t="e">
        <f aca="false">BU39*BZ39</f>
        <v>#VALUE!</v>
      </c>
      <c r="CD39" s="37" t="e">
        <f aca="false">BU39*CA39</f>
        <v>#VALUE!</v>
      </c>
    </row>
    <row r="40" customFormat="false" ht="12.75" hidden="false" customHeight="false" outlineLevel="0" collapsed="false">
      <c r="A40" s="62" t="n">
        <f aca="false">DATE(YEAR(A39),MONTH(A39)+1,1)</f>
        <v>37530</v>
      </c>
      <c r="B40" s="63" t="n">
        <f aca="false">VLOOKUP(A40,STRADDLE,5,FALSE())</f>
        <v>2.976</v>
      </c>
      <c r="C40" s="4" t="n">
        <f aca="false">VLOOKUP(A40,STRADDLE,8,FALSE())</f>
        <v>0.53</v>
      </c>
      <c r="D40" s="63" t="n">
        <f aca="false">IF(D$28="nymex",0,VLOOKUP($A40,curvesettle,HLOOKUP(D$28,curvesettle,2,FALSE())))</f>
        <v>-0.0775</v>
      </c>
      <c r="E40" s="65" t="n">
        <f aca="false">IF(ISNUMBER(VLOOKUP($A40,VOLCURVES,HLOOKUP(D$28,VOLCURVES,2,FALSE()),FALSE())),VLOOKUP($A40,VOLCURVES,HLOOKUP(D$28,VOLCURVES,2,FALSE()),FALSE()),1)</f>
        <v>1</v>
      </c>
      <c r="F40" s="64" t="n">
        <f aca="false">IF(D$28="NYMEX",$AG40,$AF40)</f>
        <v>-8402</v>
      </c>
      <c r="G40" s="4" t="e">
        <f aca="false">(($C40+H40)*$E40)+B$15</f>
        <v>#DIV/0!</v>
      </c>
      <c r="H40" s="4" t="e">
        <f aca="false">IF(B$16=1,xCalcSkew(A40,I40-AO40,b)/100,0)</f>
        <v>#DIV/0!</v>
      </c>
      <c r="I40" s="66" t="n">
        <f aca="false">IF($B$19=4,$AO40,$B$18)</f>
        <v>5</v>
      </c>
      <c r="K40" s="63" t="n">
        <f aca="false">IF(K$28="nymex",0,VLOOKUP($A40,curvesettle,HLOOKUP(K$28,curvesettle,2,FALSE())))</f>
        <v>-0.0775</v>
      </c>
      <c r="L40" s="65" t="n">
        <f aca="false">IF(ISNUMBER(VLOOKUP($A40,VOLCURVES,HLOOKUP(K$28,VOLCURVES,2,FALSE()),FALSE())),VLOOKUP($A40,VOLCURVES,HLOOKUP(K$28,VOLCURVES,2,FALSE()),FALSE()),1)</f>
        <v>1</v>
      </c>
      <c r="M40" s="64" t="n">
        <f aca="false">IF(K$28="NYMEX",$AG40,$AF40)</f>
        <v>-8402</v>
      </c>
      <c r="N40" s="184" t="e">
        <f aca="false">(($C40+O40)*$L40)+D$15</f>
        <v>#DIV/0!</v>
      </c>
      <c r="O40" s="4" t="e">
        <f aca="false">IF(D$16=1,xCalcSkew($A40,P40-AZ40,b)/100,0)</f>
        <v>#DIV/0!</v>
      </c>
      <c r="P40" s="66" t="n">
        <f aca="false">IF($D$19=4,$AZ40,$D$18)</f>
        <v>3</v>
      </c>
      <c r="R40" s="63" t="n">
        <f aca="false">IF(R$28="nymex",0,VLOOKUP($A40,curvesettle,HLOOKUP(R$28,curvesettle,2,FALSE())))</f>
        <v>-0.58</v>
      </c>
      <c r="S40" s="65" t="n">
        <f aca="false">IF(ISNUMBER(VLOOKUP($A40,VOLCURVES,HLOOKUP(R$28,VOLCURVES,2,FALSE()),FALSE())),VLOOKUP($A40,VOLCURVES,HLOOKUP(R$28,VOLCURVES,2,FALSE()),FALSE()),1)</f>
        <v>1</v>
      </c>
      <c r="T40" s="64" t="n">
        <f aca="false">IF(R$28="NYMEX",$AG40,$AF40)</f>
        <v>-8402</v>
      </c>
      <c r="U40" s="184" t="e">
        <f aca="false">(($C40+V40)*$S40)+F$15</f>
        <v>#NAME?</v>
      </c>
      <c r="V40" s="4" t="e">
        <f aca="false">IF(F$16=1,xCalcSkew($A40,W40-BK40,b)/100,0)</f>
        <v>#NAME?</v>
      </c>
      <c r="W40" s="66" t="n">
        <f aca="false">IF($F$19=4,$BK40,$F$18)</f>
        <v>2.55</v>
      </c>
      <c r="X40" s="64"/>
      <c r="Y40" s="63" t="n">
        <f aca="false">IF(Y$28="nymex",0,VLOOKUP($A40,curvesettle,HLOOKUP(Y$28,curvesettle,2,FALSE())))</f>
        <v>0</v>
      </c>
      <c r="Z40" s="65" t="n">
        <f aca="false">IF(ISNUMBER(VLOOKUP($A40,VOLCURVES,HLOOKUP(Y$28,VOLCURVES,2,FALSE()),FALSE())),VLOOKUP($A40,VOLCURVES,HLOOKUP(Y$28,VOLCURVES,2,FALSE()),FALSE()),1)</f>
        <v>1</v>
      </c>
      <c r="AA40" s="64" t="n">
        <f aca="false">IF(Y$28="NYMEX",$AG40,$AF40)</f>
        <v>-8403</v>
      </c>
      <c r="AB40" s="4" t="e">
        <f aca="false">(($C40+AC40)*$Z40)+H$15</f>
        <v>#NAME?</v>
      </c>
      <c r="AC40" s="4" t="e">
        <f aca="false">IF(H$16=1,xCalcSkew($A40,AD40-BV40,b)/100,0)</f>
        <v>#NAME?</v>
      </c>
      <c r="AD40" s="66" t="n">
        <f aca="false">IF($H$19=4,$BV40,$H$18)</f>
        <v>2.9</v>
      </c>
      <c r="AF40" s="64" t="n">
        <f aca="false">VLOOKUP($A40,expiration,2,FALSE())-$B$2</f>
        <v>-8402</v>
      </c>
      <c r="AG40" s="64" t="n">
        <f aca="false">VLOOKUP($A40,expiration,3,FALSE())-$B$2</f>
        <v>-8403</v>
      </c>
      <c r="AH40" s="4" t="n">
        <f aca="false">VLOOKUP($A40,STRADDLE,14,FALSE())</f>
        <v>0.0213202408866033</v>
      </c>
      <c r="AI40" s="72" t="n">
        <f aca="false">A41-A40</f>
        <v>31</v>
      </c>
      <c r="AJ40" s="76"/>
      <c r="AK40" s="76"/>
      <c r="AL40" s="76"/>
      <c r="AM40" s="76"/>
      <c r="AN40" s="73" t="n">
        <f aca="false">IF($A40&gt;=AO$25,IF($A40&lt;=AO$26,$AI40,0),0)</f>
        <v>0</v>
      </c>
      <c r="AO40" s="196" t="e">
        <f aca="false">AQ40/AN40</f>
        <v>#DIV/0!</v>
      </c>
      <c r="AP40" s="1" t="n">
        <f aca="false">AN40*($B40+B$13)</f>
        <v>0</v>
      </c>
      <c r="AQ40" s="47" t="n">
        <f aca="false">IF(ISNUMBER(((AP40/AN40)+B$14+$D40)*AN40),((AP40/AN40)+B$14+$D40)*AN40,0)</f>
        <v>0</v>
      </c>
      <c r="AR40" s="76" t="n">
        <f aca="false">IF(AN40=0,0,bsd(1,AS$27,AO40,$I40,$F40,$G40,$AH40,0.1))</f>
        <v>0</v>
      </c>
      <c r="AS40" s="76" t="n">
        <f aca="false">IF(AN40=0,0,bsd(2,AS$27,AO40,$I40,$F40,$G40,$AH40,0.1))</f>
        <v>0</v>
      </c>
      <c r="AT40" s="76" t="n">
        <f aca="false">IF(AN40=0,0,bsd(AS$28,AS$27,AO40,$I40,$F40,$G40,$AH40,0.1))</f>
        <v>0</v>
      </c>
      <c r="AU40" s="37" t="n">
        <f aca="false">AN40*AR40</f>
        <v>0</v>
      </c>
      <c r="AV40" s="37" t="n">
        <f aca="false">AN40*AS40</f>
        <v>0</v>
      </c>
      <c r="AW40" s="37" t="n">
        <f aca="false">AN40*AT40</f>
        <v>0</v>
      </c>
      <c r="AY40" s="73" t="n">
        <f aca="false">IF($A40&gt;=AZ$25,IF($A40&lt;=AZ$26,$AI40,0),0)</f>
        <v>0</v>
      </c>
      <c r="AZ40" s="196" t="e">
        <f aca="false">BB40/AY40</f>
        <v>#DIV/0!</v>
      </c>
      <c r="BA40" s="1" t="n">
        <f aca="false">AY40*($B40+D$13)</f>
        <v>0</v>
      </c>
      <c r="BB40" s="47" t="n">
        <f aca="false">IF(ISNUMBER(((BA40/AY40)+D$14+$K40)*AY40),((BA40/AY40)+D$14+$K40)*AY40,0)</f>
        <v>0</v>
      </c>
      <c r="BC40" s="76" t="n">
        <f aca="false">IF(AY40=0,0,bsd(1,BD$27,AZ40,$P40,$M40,$N40,$AH40,0.1))</f>
        <v>0</v>
      </c>
      <c r="BD40" s="76" t="n">
        <f aca="false">IF(AY40=0,0,bsd(2,BD$27,AZ40,$P40,$M40,$N40,$AH40,0.1))</f>
        <v>0</v>
      </c>
      <c r="BE40" s="76" t="n">
        <f aca="false">IF(AY40=0,0,bsd(BD$28,BD$27,AZ40,$P40,$M40,$N40,$AH40,0.1))</f>
        <v>0</v>
      </c>
      <c r="BF40" s="37" t="n">
        <f aca="false">AY40*BC40</f>
        <v>0</v>
      </c>
      <c r="BG40" s="37" t="n">
        <f aca="false">AY40*BD40</f>
        <v>0</v>
      </c>
      <c r="BH40" s="37" t="n">
        <f aca="false">AY40*BE40</f>
        <v>0</v>
      </c>
      <c r="BJ40" s="73" t="n">
        <f aca="false">IF($A40&gt;=BK$25,IF($A40&lt;=BK$26,$AI40,0),0)</f>
        <v>31</v>
      </c>
      <c r="BK40" s="196" t="n">
        <f aca="false">BM40/BJ40</f>
        <v>2.396</v>
      </c>
      <c r="BL40" s="1" t="n">
        <f aca="false">BJ40*($B40+F$13)</f>
        <v>92.256</v>
      </c>
      <c r="BM40" s="47" t="n">
        <f aca="false">IF(ISNUMBER(((BL40/BJ40)+F$14+$R40)*BJ40),((BL40/BJ40)+F$14+$R40)*BJ40,0)</f>
        <v>74.276</v>
      </c>
      <c r="BN40" s="76" t="e">
        <f aca="false">IF(BJ40=0,0,bsd(1,BO$27,BK40,$W40,$T40,$U40,$AH40,0.1))</f>
        <v>#VALUE!</v>
      </c>
      <c r="BO40" s="76" t="e">
        <f aca="false">IF(BJ40=0,0,bsd(2,BO$27,BK40,$W40,$T40,$U40,$AH40,0.1))</f>
        <v>#VALUE!</v>
      </c>
      <c r="BP40" s="76" t="e">
        <f aca="false">IF(BJ40=0,0,bsd(BO$28,BO$27,BK40,$W40,$T40,$U40,$AH40,0.1))</f>
        <v>#VALUE!</v>
      </c>
      <c r="BQ40" s="37" t="e">
        <f aca="false">BJ40*BN40</f>
        <v>#VALUE!</v>
      </c>
      <c r="BR40" s="37" t="e">
        <f aca="false">BJ40*BO40</f>
        <v>#VALUE!</v>
      </c>
      <c r="BS40" s="37" t="e">
        <f aca="false">BJ40*BP40</f>
        <v>#VALUE!</v>
      </c>
      <c r="BU40" s="73" t="n">
        <f aca="false">IF($A40&gt;=BV$25,IF($A40&lt;=BV$26,$AI40,0),0)</f>
        <v>31</v>
      </c>
      <c r="BV40" s="196" t="n">
        <f aca="false">BX40/BU40</f>
        <v>2.976</v>
      </c>
      <c r="BW40" s="1" t="n">
        <f aca="false">BU40*($B40+H$13)</f>
        <v>92.256</v>
      </c>
      <c r="BX40" s="47" t="n">
        <f aca="false">IF(ISNUMBER(((BW40/BU40)+H$14+$Y40)*BU40),((BW40/BU40)+H$14+$Y40)*BU40,0)</f>
        <v>92.256</v>
      </c>
      <c r="BY40" s="76" t="e">
        <f aca="false">IF(BU40=0,0,bsd(1,BZ$27,BV40,$AD40,$AA40,$AB40,$AH40,0.1))</f>
        <v>#VALUE!</v>
      </c>
      <c r="BZ40" s="76" t="e">
        <f aca="false">IF(BU40=0,0,bsd(2,BZ$27,BV40,$AD40,$AA40,$AB40,$AH40,0.1))</f>
        <v>#VALUE!</v>
      </c>
      <c r="CA40" s="76" t="e">
        <f aca="false">IF(BU40=0,0,bsd(BZ$28,BZ$27,BV40,$AD40,$AA40,$AB40,$AH40,0.1))</f>
        <v>#VALUE!</v>
      </c>
      <c r="CB40" s="37" t="e">
        <f aca="false">BU40*BY40</f>
        <v>#VALUE!</v>
      </c>
      <c r="CC40" s="37" t="e">
        <f aca="false">BU40*BZ40</f>
        <v>#VALUE!</v>
      </c>
      <c r="CD40" s="37" t="e">
        <f aca="false">BU40*CA40</f>
        <v>#VALUE!</v>
      </c>
    </row>
    <row r="41" customFormat="false" ht="12.75" hidden="false" customHeight="false" outlineLevel="0" collapsed="false">
      <c r="A41" s="62" t="n">
        <f aca="false">DATE(YEAR(A40),MONTH(A40)+1,1)</f>
        <v>37561</v>
      </c>
      <c r="B41" s="63" t="n">
        <f aca="false">VLOOKUP(A41,STRADDLE,5,FALSE())</f>
        <v>3.156</v>
      </c>
      <c r="C41" s="4" t="n">
        <f aca="false">VLOOKUP(A41,STRADDLE,8,FALSE())</f>
        <v>0.53</v>
      </c>
      <c r="D41" s="63" t="n">
        <f aca="false">IF(D$28="nymex",0,VLOOKUP($A41,curvesettle,HLOOKUP(D$28,curvesettle,2,FALSE())))</f>
        <v>-0.075</v>
      </c>
      <c r="E41" s="65" t="n">
        <f aca="false">IF(ISNUMBER(VLOOKUP($A41,VOLCURVES,HLOOKUP(D$28,VOLCURVES,2,FALSE()),FALSE())),VLOOKUP($A41,VOLCURVES,HLOOKUP(D$28,VOLCURVES,2,FALSE()),FALSE()),1)</f>
        <v>1</v>
      </c>
      <c r="F41" s="64" t="n">
        <f aca="false">IF(D$28="NYMEX",$AG41,$AF41)</f>
        <v>-8369</v>
      </c>
      <c r="G41" s="4" t="e">
        <f aca="false">(($C41+H41)*$E41)+B$15</f>
        <v>#NAME?</v>
      </c>
      <c r="H41" s="4" t="e">
        <f aca="false">IF(B$16=1,xCalcSkew(A41,I41-AO41,b)/100,0)</f>
        <v>#NAME?</v>
      </c>
      <c r="I41" s="66" t="n">
        <f aca="false">IF($B$19=4,$AO41,$B$18)</f>
        <v>5</v>
      </c>
      <c r="K41" s="63" t="n">
        <f aca="false">IF(K$28="nymex",0,VLOOKUP($A41,curvesettle,HLOOKUP(K$28,curvesettle,2,FALSE())))</f>
        <v>-0.075</v>
      </c>
      <c r="L41" s="65" t="n">
        <f aca="false">IF(ISNUMBER(VLOOKUP($A41,VOLCURVES,HLOOKUP(K$28,VOLCURVES,2,FALSE()),FALSE())),VLOOKUP($A41,VOLCURVES,HLOOKUP(K$28,VOLCURVES,2,FALSE()),FALSE()),1)</f>
        <v>1</v>
      </c>
      <c r="M41" s="64" t="n">
        <f aca="false">IF(K$28="NYMEX",$AG41,$AF41)</f>
        <v>-8369</v>
      </c>
      <c r="N41" s="184" t="e">
        <f aca="false">(($C41+O41)*$L41)+D$15</f>
        <v>#DIV/0!</v>
      </c>
      <c r="O41" s="4" t="e">
        <f aca="false">IF(D$16=1,xCalcSkew($A41,P41-AZ41,b)/100,0)</f>
        <v>#DIV/0!</v>
      </c>
      <c r="P41" s="66" t="n">
        <f aca="false">IF($D$19=4,$AZ41,$D$18)</f>
        <v>3</v>
      </c>
      <c r="R41" s="63" t="n">
        <f aca="false">IF(R$28="nymex",0,VLOOKUP($A41,curvesettle,HLOOKUP(R$28,curvesettle,2,FALSE())))</f>
        <v>-0.295</v>
      </c>
      <c r="S41" s="65" t="n">
        <f aca="false">IF(ISNUMBER(VLOOKUP($A41,VOLCURVES,HLOOKUP(R$28,VOLCURVES,2,FALSE()),FALSE())),VLOOKUP($A41,VOLCURVES,HLOOKUP(R$28,VOLCURVES,2,FALSE()),FALSE()),1)</f>
        <v>1</v>
      </c>
      <c r="T41" s="64" t="n">
        <f aca="false">IF(R$28="NYMEX",$AG41,$AF41)</f>
        <v>-8369</v>
      </c>
      <c r="U41" s="184" t="e">
        <f aca="false">(($C41+V41)*$S41)+F$15</f>
        <v>#DIV/0!</v>
      </c>
      <c r="V41" s="4" t="e">
        <f aca="false">IF(F$16=1,xCalcSkew($A41,W41-BK41,b)/100,0)</f>
        <v>#DIV/0!</v>
      </c>
      <c r="W41" s="66" t="n">
        <f aca="false">IF($F$19=4,$BK41,$F$18)</f>
        <v>2.55</v>
      </c>
      <c r="X41" s="64"/>
      <c r="Y41" s="63" t="n">
        <f aca="false">IF(Y$28="nymex",0,VLOOKUP($A41,curvesettle,HLOOKUP(Y$28,curvesettle,2,FALSE())))</f>
        <v>0</v>
      </c>
      <c r="Z41" s="65" t="n">
        <f aca="false">IF(ISNUMBER(VLOOKUP($A41,VOLCURVES,HLOOKUP(Y$28,VOLCURVES,2,FALSE()),FALSE())),VLOOKUP($A41,VOLCURVES,HLOOKUP(Y$28,VOLCURVES,2,FALSE()),FALSE()),1)</f>
        <v>1</v>
      </c>
      <c r="AA41" s="64" t="n">
        <f aca="false">IF(Y$28="NYMEX",$AG41,$AF41)</f>
        <v>-8370</v>
      </c>
      <c r="AB41" s="4" t="e">
        <f aca="false">(($C41+AC41)*$Z41)+H$15</f>
        <v>#DIV/0!</v>
      </c>
      <c r="AC41" s="4" t="e">
        <f aca="false">IF(H$16=1,xCalcSkew($A41,AD41-BV41,b)/100,0)</f>
        <v>#DIV/0!</v>
      </c>
      <c r="AD41" s="66" t="n">
        <f aca="false">IF($H$19=4,$BV41,$H$18)</f>
        <v>2.9</v>
      </c>
      <c r="AF41" s="64" t="n">
        <f aca="false">VLOOKUP($A41,expiration,2,FALSE())-$B$2</f>
        <v>-8369</v>
      </c>
      <c r="AG41" s="64" t="n">
        <f aca="false">VLOOKUP($A41,expiration,3,FALSE())-$B$2</f>
        <v>-8370</v>
      </c>
      <c r="AH41" s="4" t="n">
        <f aca="false">VLOOKUP($A41,STRADDLE,14,FALSE())</f>
        <v>0.0220880716500842</v>
      </c>
      <c r="AI41" s="72" t="n">
        <f aca="false">A42-A41</f>
        <v>30</v>
      </c>
      <c r="AJ41" s="76"/>
      <c r="AK41" s="76"/>
      <c r="AL41" s="76"/>
      <c r="AM41" s="76"/>
      <c r="AN41" s="73" t="n">
        <f aca="false">IF($A41&gt;=AO$25,IF($A41&lt;=AO$26,$AI41,0),0)</f>
        <v>30</v>
      </c>
      <c r="AO41" s="196" t="n">
        <f aca="false">AQ41/AN41</f>
        <v>3.091</v>
      </c>
      <c r="AP41" s="1" t="n">
        <f aca="false">AN41*($B41+B$13)</f>
        <v>94.98</v>
      </c>
      <c r="AQ41" s="47" t="n">
        <f aca="false">IF(ISNUMBER(((AP41/AN41)+B$14+$D41)*AN41),((AP41/AN41)+B$14+$D41)*AN41,0)</f>
        <v>92.73</v>
      </c>
      <c r="AR41" s="76" t="e">
        <f aca="false">IF(AN41=0,0,bsd(1,AS$27,AO41,$I41,$F41,$G41,$AH41,0.1))</f>
        <v>#VALUE!</v>
      </c>
      <c r="AS41" s="76" t="e">
        <f aca="false">IF(AN41=0,0,bsd(2,AS$27,AO41,$I41,$F41,$G41,$AH41,0.1))</f>
        <v>#VALUE!</v>
      </c>
      <c r="AT41" s="76" t="e">
        <f aca="false">IF(AN41=0,0,bsd(AS$28,AS$27,AO41,$I41,$F41,$G41,$AH41,0.1))</f>
        <v>#VALUE!</v>
      </c>
      <c r="AU41" s="37" t="e">
        <f aca="false">AN41*AR41</f>
        <v>#VALUE!</v>
      </c>
      <c r="AV41" s="37" t="e">
        <f aca="false">AN41*AS41</f>
        <v>#VALUE!</v>
      </c>
      <c r="AW41" s="37" t="e">
        <f aca="false">AN41*AT41</f>
        <v>#VALUE!</v>
      </c>
      <c r="AY41" s="73" t="n">
        <f aca="false">IF($A41&gt;=AZ$25,IF($A41&lt;=AZ$26,$AI41,0),0)</f>
        <v>0</v>
      </c>
      <c r="AZ41" s="196" t="e">
        <f aca="false">BB41/AY41</f>
        <v>#DIV/0!</v>
      </c>
      <c r="BA41" s="1" t="n">
        <f aca="false">AY41*($B41+D$13)</f>
        <v>0</v>
      </c>
      <c r="BB41" s="47" t="n">
        <f aca="false">IF(ISNUMBER(((BA41/AY41)+D$14+$K41)*AY41),((BA41/AY41)+D$14+$K41)*AY41,0)</f>
        <v>0</v>
      </c>
      <c r="BC41" s="76" t="n">
        <f aca="false">IF(AY41=0,0,bsd(1,BD$27,AZ41,$P41,$M41,$N41,$AH41,0.1))</f>
        <v>0</v>
      </c>
      <c r="BD41" s="76" t="n">
        <f aca="false">IF(AY41=0,0,bsd(2,BD$27,AZ41,$P41,$M41,$N41,$AH41,0.1))</f>
        <v>0</v>
      </c>
      <c r="BE41" s="76" t="n">
        <f aca="false">IF(AY41=0,0,bsd(BD$28,BD$27,AZ41,$P41,$M41,$N41,$AH41,0.1))</f>
        <v>0</v>
      </c>
      <c r="BF41" s="37" t="n">
        <f aca="false">AY41*BC41</f>
        <v>0</v>
      </c>
      <c r="BG41" s="37" t="n">
        <f aca="false">AY41*BD41</f>
        <v>0</v>
      </c>
      <c r="BH41" s="37" t="n">
        <f aca="false">AY41*BE41</f>
        <v>0</v>
      </c>
      <c r="BJ41" s="73" t="n">
        <f aca="false">IF($A41&gt;=BK$25,IF($A41&lt;=BK$26,$AI41,0),0)</f>
        <v>0</v>
      </c>
      <c r="BK41" s="196" t="e">
        <f aca="false">BM41/BJ41</f>
        <v>#DIV/0!</v>
      </c>
      <c r="BL41" s="1" t="n">
        <f aca="false">BJ41*($B41+F$13)</f>
        <v>0</v>
      </c>
      <c r="BM41" s="47" t="n">
        <f aca="false">IF(ISNUMBER(((BL41/BJ41)+F$14+$R41)*BJ41),((BL41/BJ41)+F$14+$R41)*BJ41,0)</f>
        <v>0</v>
      </c>
      <c r="BN41" s="76" t="n">
        <f aca="false">IF(BJ41=0,0,bsd(1,BO$27,BK41,$W41,$T41,$U41,$AH41,0.1))</f>
        <v>0</v>
      </c>
      <c r="BO41" s="76" t="n">
        <f aca="false">IF(BJ41=0,0,bsd(2,BO$27,BK41,$W41,$T41,$U41,$AH41,0.1))</f>
        <v>0</v>
      </c>
      <c r="BP41" s="76" t="n">
        <f aca="false">IF(BJ41=0,0,bsd(BO$28,BO$27,BK41,$W41,$T41,$U41,$AH41,0.1))</f>
        <v>0</v>
      </c>
      <c r="BQ41" s="37" t="n">
        <f aca="false">BJ41*BN41</f>
        <v>0</v>
      </c>
      <c r="BR41" s="37" t="n">
        <f aca="false">BJ41*BO41</f>
        <v>0</v>
      </c>
      <c r="BS41" s="37" t="n">
        <f aca="false">BJ41*BP41</f>
        <v>0</v>
      </c>
      <c r="BU41" s="73" t="n">
        <f aca="false">IF($A41&gt;=BV$25,IF($A41&lt;=BV$26,$AI41,0),0)</f>
        <v>0</v>
      </c>
      <c r="BV41" s="196" t="e">
        <f aca="false">BX41/BU41</f>
        <v>#DIV/0!</v>
      </c>
      <c r="BW41" s="1" t="n">
        <f aca="false">BU41*($B41+H$13)</f>
        <v>0</v>
      </c>
      <c r="BX41" s="47" t="n">
        <f aca="false">IF(ISNUMBER(((BW41/BU41)+H$14+$Y41)*BU41),((BW41/BU41)+H$14+$Y41)*BU41,0)</f>
        <v>0</v>
      </c>
      <c r="BY41" s="76" t="n">
        <f aca="false">IF(BU41=0,0,bsd(1,BZ$27,BV41,$AD41,$AA41,$AB41,$AH41,0.1))</f>
        <v>0</v>
      </c>
      <c r="BZ41" s="76" t="n">
        <f aca="false">IF(BU41=0,0,bsd(2,BZ$27,BV41,$AD41,$AA41,$AB41,$AH41,0.1))</f>
        <v>0</v>
      </c>
      <c r="CA41" s="76" t="n">
        <f aca="false">IF(BU41=0,0,bsd(BZ$28,BZ$27,BV41,$AD41,$AA41,$AB41,$AH41,0.1))</f>
        <v>0</v>
      </c>
      <c r="CB41" s="37" t="n">
        <f aca="false">BU41*BY41</f>
        <v>0</v>
      </c>
      <c r="CC41" s="37" t="n">
        <f aca="false">BU41*BZ41</f>
        <v>0</v>
      </c>
      <c r="CD41" s="37" t="n">
        <f aca="false">BU41*CA41</f>
        <v>0</v>
      </c>
    </row>
    <row r="42" customFormat="false" ht="12.75" hidden="false" customHeight="false" outlineLevel="0" collapsed="false">
      <c r="A42" s="62" t="n">
        <f aca="false">DATE(YEAR(A41),MONTH(A41)+1,1)</f>
        <v>37591</v>
      </c>
      <c r="B42" s="63" t="n">
        <f aca="false">VLOOKUP(A42,STRADDLE,5,FALSE())</f>
        <v>3.329</v>
      </c>
      <c r="C42" s="4" t="n">
        <f aca="false">VLOOKUP(A42,STRADDLE,8,FALSE())</f>
        <v>0.525</v>
      </c>
      <c r="D42" s="63" t="n">
        <f aca="false">IF(D$28="nymex",0,VLOOKUP($A42,curvesettle,HLOOKUP(D$28,curvesettle,2,FALSE())))</f>
        <v>-0.075</v>
      </c>
      <c r="E42" s="65" t="n">
        <f aca="false">IF(ISNUMBER(VLOOKUP($A42,VOLCURVES,HLOOKUP(D$28,VOLCURVES,2,FALSE()),FALSE())),VLOOKUP($A42,VOLCURVES,HLOOKUP(D$28,VOLCURVES,2,FALSE()),FALSE()),1)</f>
        <v>1</v>
      </c>
      <c r="F42" s="64" t="n">
        <f aca="false">IF(D$28="NYMEX",$AG42,$AF42)</f>
        <v>-8341</v>
      </c>
      <c r="G42" s="4" t="e">
        <f aca="false">(($C42+H42)*$E42)+B$15</f>
        <v>#DIV/0!</v>
      </c>
      <c r="H42" s="4" t="e">
        <f aca="false">IF(B$16=1,xCalcSkew(A42,I42-AO42,b)/100,0)</f>
        <v>#DIV/0!</v>
      </c>
      <c r="I42" s="66" t="n">
        <f aca="false">IF($B$19=4,$AO42,$B$18)</f>
        <v>5</v>
      </c>
      <c r="K42" s="63" t="n">
        <f aca="false">IF(K$28="nymex",0,VLOOKUP($A42,curvesettle,HLOOKUP(K$28,curvesettle,2,FALSE())))</f>
        <v>-0.075</v>
      </c>
      <c r="L42" s="65" t="n">
        <f aca="false">IF(ISNUMBER(VLOOKUP($A42,VOLCURVES,HLOOKUP(K$28,VOLCURVES,2,FALSE()),FALSE())),VLOOKUP($A42,VOLCURVES,HLOOKUP(K$28,VOLCURVES,2,FALSE()),FALSE()),1)</f>
        <v>1</v>
      </c>
      <c r="M42" s="64" t="n">
        <f aca="false">IF(K$28="NYMEX",$AG42,$AF42)</f>
        <v>-8341</v>
      </c>
      <c r="N42" s="184" t="e">
        <f aca="false">(($C42+O42)*$L42)+D$15</f>
        <v>#DIV/0!</v>
      </c>
      <c r="O42" s="4" t="e">
        <f aca="false">IF(D$16=1,xCalcSkew($A42,P42-AZ42,b)/100,0)</f>
        <v>#DIV/0!</v>
      </c>
      <c r="P42" s="66" t="n">
        <f aca="false">IF($D$19=4,$AZ42,$D$18)</f>
        <v>3</v>
      </c>
      <c r="R42" s="63" t="n">
        <f aca="false">IF(R$28="nymex",0,VLOOKUP($A42,curvesettle,HLOOKUP(R$28,curvesettle,2,FALSE())))</f>
        <v>-0.295</v>
      </c>
      <c r="S42" s="65" t="n">
        <f aca="false">IF(ISNUMBER(VLOOKUP($A42,VOLCURVES,HLOOKUP(R$28,VOLCURVES,2,FALSE()),FALSE())),VLOOKUP($A42,VOLCURVES,HLOOKUP(R$28,VOLCURVES,2,FALSE()),FALSE()),1)</f>
        <v>1</v>
      </c>
      <c r="T42" s="64" t="n">
        <f aca="false">IF(R$28="NYMEX",$AG42,$AF42)</f>
        <v>-8341</v>
      </c>
      <c r="U42" s="184" t="e">
        <f aca="false">(($C42+V42)*$S42)+F$15</f>
        <v>#DIV/0!</v>
      </c>
      <c r="V42" s="4" t="e">
        <f aca="false">IF(F$16=1,xCalcSkew($A42,W42-BK42,b)/100,0)</f>
        <v>#DIV/0!</v>
      </c>
      <c r="W42" s="66" t="n">
        <f aca="false">IF($F$19=4,$BK42,$F$18)</f>
        <v>2.55</v>
      </c>
      <c r="X42" s="64"/>
      <c r="Y42" s="63" t="n">
        <f aca="false">IF(Y$28="nymex",0,VLOOKUP($A42,curvesettle,HLOOKUP(Y$28,curvesettle,2,FALSE())))</f>
        <v>0</v>
      </c>
      <c r="Z42" s="65" t="n">
        <f aca="false">IF(ISNUMBER(VLOOKUP($A42,VOLCURVES,HLOOKUP(Y$28,VOLCURVES,2,FALSE()),FALSE())),VLOOKUP($A42,VOLCURVES,HLOOKUP(Y$28,VOLCURVES,2,FALSE()),FALSE()),1)</f>
        <v>1</v>
      </c>
      <c r="AA42" s="64" t="n">
        <f aca="false">IF(Y$28="NYMEX",$AG42,$AF42)</f>
        <v>-8342</v>
      </c>
      <c r="AB42" s="4" t="e">
        <f aca="false">(($C42+AC42)*$Z42)+H$15</f>
        <v>#DIV/0!</v>
      </c>
      <c r="AC42" s="4" t="e">
        <f aca="false">IF(H$16=1,xCalcSkew($A42,AD42-BV42,b)/100,0)</f>
        <v>#DIV/0!</v>
      </c>
      <c r="AD42" s="66" t="n">
        <f aca="false">IF($H$19=4,$BV42,$H$18)</f>
        <v>2.9</v>
      </c>
      <c r="AF42" s="64" t="n">
        <f aca="false">VLOOKUP($A42,expiration,2,FALSE())-$B$2</f>
        <v>-8341</v>
      </c>
      <c r="AG42" s="64" t="n">
        <f aca="false">VLOOKUP($A42,expiration,3,FALSE())-$B$2</f>
        <v>-8342</v>
      </c>
      <c r="AH42" s="4" t="n">
        <f aca="false">VLOOKUP($A42,STRADDLE,14,FALSE())</f>
        <v>0.0228311338692704</v>
      </c>
      <c r="AI42" s="72" t="n">
        <f aca="false">A43-A42</f>
        <v>31</v>
      </c>
      <c r="AJ42" s="76"/>
      <c r="AK42" s="76"/>
      <c r="AL42" s="76"/>
      <c r="AM42" s="76"/>
      <c r="AN42" s="73" t="n">
        <f aca="false">IF($A42&gt;=AO$25,IF($A42&lt;=AO$26,$AI42,0),0)</f>
        <v>0</v>
      </c>
      <c r="AO42" s="196" t="e">
        <f aca="false">AQ42/AN42</f>
        <v>#DIV/0!</v>
      </c>
      <c r="AP42" s="1" t="n">
        <f aca="false">AN42*($B42+B$13)</f>
        <v>0</v>
      </c>
      <c r="AQ42" s="47" t="n">
        <f aca="false">IF(ISNUMBER(((AP42/AN42)+B$14+$D42)*AN42),((AP42/AN42)+B$14+$D42)*AN42,0)</f>
        <v>0</v>
      </c>
      <c r="AR42" s="76" t="n">
        <f aca="false">IF(AN42=0,0,bsd(1,AS$27,AO42,$I42,$F42,$G42,$AH42,0.1))</f>
        <v>0</v>
      </c>
      <c r="AS42" s="76" t="n">
        <f aca="false">IF(AN42=0,0,bsd(2,AS$27,AO42,$I42,$F42,$G42,$AH42,0.1))</f>
        <v>0</v>
      </c>
      <c r="AT42" s="76" t="n">
        <f aca="false">IF(AN42=0,0,bsd(AS$28,AS$27,AO42,$I42,$F42,$G42,$AH42,0.1))</f>
        <v>0</v>
      </c>
      <c r="AU42" s="37" t="n">
        <f aca="false">AN42*AR42</f>
        <v>0</v>
      </c>
      <c r="AV42" s="37" t="n">
        <f aca="false">AN42*AS42</f>
        <v>0</v>
      </c>
      <c r="AW42" s="37" t="n">
        <f aca="false">AN42*AT42</f>
        <v>0</v>
      </c>
      <c r="AY42" s="73" t="n">
        <f aca="false">IF($A42&gt;=AZ$25,IF($A42&lt;=AZ$26,$AI42,0),0)</f>
        <v>0</v>
      </c>
      <c r="AZ42" s="196" t="e">
        <f aca="false">BB42/AY42</f>
        <v>#DIV/0!</v>
      </c>
      <c r="BA42" s="1" t="n">
        <f aca="false">AY42*($B42+D$13)</f>
        <v>0</v>
      </c>
      <c r="BB42" s="47" t="n">
        <f aca="false">IF(ISNUMBER(((BA42/AY42)+D$14+$K42)*AY42),((BA42/AY42)+D$14+$K42)*AY42,0)</f>
        <v>0</v>
      </c>
      <c r="BC42" s="76" t="n">
        <f aca="false">IF(AY42=0,0,bsd(1,BD$27,AZ42,$P42,$M42,$N42,$AH42,0.1))</f>
        <v>0</v>
      </c>
      <c r="BD42" s="76" t="n">
        <f aca="false">IF(AY42=0,0,bsd(2,BD$27,AZ42,$P42,$M42,$N42,$AH42,0.1))</f>
        <v>0</v>
      </c>
      <c r="BE42" s="76" t="n">
        <f aca="false">IF(AY42=0,0,bsd(BD$28,BD$27,AZ42,$P42,$M42,$N42,$AH42,0.1))</f>
        <v>0</v>
      </c>
      <c r="BF42" s="37" t="n">
        <f aca="false">AY42*BC42</f>
        <v>0</v>
      </c>
      <c r="BG42" s="37" t="n">
        <f aca="false">AY42*BD42</f>
        <v>0</v>
      </c>
      <c r="BH42" s="37" t="n">
        <f aca="false">AY42*BE42</f>
        <v>0</v>
      </c>
      <c r="BJ42" s="73" t="n">
        <f aca="false">IF($A42&gt;=BK$25,IF($A42&lt;=BK$26,$AI42,0),0)</f>
        <v>0</v>
      </c>
      <c r="BK42" s="196" t="e">
        <f aca="false">BM42/BJ42</f>
        <v>#DIV/0!</v>
      </c>
      <c r="BL42" s="1" t="n">
        <f aca="false">BJ42*($B42+F$13)</f>
        <v>0</v>
      </c>
      <c r="BM42" s="47" t="n">
        <f aca="false">IF(ISNUMBER(((BL42/BJ42)+F$14+$R42)*BJ42),((BL42/BJ42)+F$14+$R42)*BJ42,0)</f>
        <v>0</v>
      </c>
      <c r="BN42" s="76" t="n">
        <f aca="false">IF(BJ42=0,0,bsd(1,BO$27,BK42,$W42,$T42,$U42,$AH42,0.1))</f>
        <v>0</v>
      </c>
      <c r="BO42" s="76" t="n">
        <f aca="false">IF(BJ42=0,0,bsd(2,BO$27,BK42,$W42,$T42,$U42,$AH42,0.1))</f>
        <v>0</v>
      </c>
      <c r="BP42" s="76" t="n">
        <f aca="false">IF(BJ42=0,0,bsd(BO$28,BO$27,BK42,$W42,$T42,$U42,$AH42,0.1))</f>
        <v>0</v>
      </c>
      <c r="BQ42" s="37" t="n">
        <f aca="false">BJ42*BN42</f>
        <v>0</v>
      </c>
      <c r="BR42" s="37" t="n">
        <f aca="false">BJ42*BO42</f>
        <v>0</v>
      </c>
      <c r="BS42" s="37" t="n">
        <f aca="false">BJ42*BP42</f>
        <v>0</v>
      </c>
      <c r="BU42" s="73" t="n">
        <f aca="false">IF($A42&gt;=BV$25,IF($A42&lt;=BV$26,$AI42,0),0)</f>
        <v>0</v>
      </c>
      <c r="BV42" s="196" t="e">
        <f aca="false">BX42/BU42</f>
        <v>#DIV/0!</v>
      </c>
      <c r="BW42" s="1" t="n">
        <f aca="false">BU42*($B42+H$13)</f>
        <v>0</v>
      </c>
      <c r="BX42" s="47" t="n">
        <f aca="false">IF(ISNUMBER(((BW42/BU42)+H$14+$Y42)*BU42),((BW42/BU42)+H$14+$Y42)*BU42,0)</f>
        <v>0</v>
      </c>
      <c r="BY42" s="76" t="n">
        <f aca="false">IF(BU42=0,0,bsd(1,BZ$27,BV42,$AD42,$AA42,$AB42,$AH42,0.1))</f>
        <v>0</v>
      </c>
      <c r="BZ42" s="76" t="n">
        <f aca="false">IF(BU42=0,0,bsd(2,BZ$27,BV42,$AD42,$AA42,$AB42,$AH42,0.1))</f>
        <v>0</v>
      </c>
      <c r="CA42" s="76" t="n">
        <f aca="false">IF(BU42=0,0,bsd(BZ$28,BZ$27,BV42,$AD42,$AA42,$AB42,$AH42,0.1))</f>
        <v>0</v>
      </c>
      <c r="CB42" s="37" t="n">
        <f aca="false">BU42*BY42</f>
        <v>0</v>
      </c>
      <c r="CC42" s="37" t="n">
        <f aca="false">BU42*BZ42</f>
        <v>0</v>
      </c>
      <c r="CD42" s="37" t="n">
        <f aca="false">BU42*CA42</f>
        <v>0</v>
      </c>
    </row>
    <row r="43" customFormat="false" ht="12.75" hidden="false" customHeight="false" outlineLevel="0" collapsed="false">
      <c r="A43" s="62" t="n">
        <f aca="false">DATE(YEAR(A42),MONTH(A42)+1,1)</f>
        <v>37622</v>
      </c>
      <c r="B43" s="63" t="n">
        <f aca="false">VLOOKUP(A43,STRADDLE,5,FALSE())</f>
        <v>3.408</v>
      </c>
      <c r="C43" s="4" t="n">
        <f aca="false">VLOOKUP(A43,STRADDLE,8,FALSE())</f>
        <v>0.5225</v>
      </c>
      <c r="D43" s="63" t="n">
        <f aca="false">IF(D$28="nymex",0,VLOOKUP($A43,curvesettle,HLOOKUP(D$28,curvesettle,2,FALSE())))</f>
        <v>-0.075</v>
      </c>
      <c r="E43" s="65" t="n">
        <f aca="false">IF(ISNUMBER(VLOOKUP($A43,VOLCURVES,HLOOKUP(D$28,VOLCURVES,2,FALSE()),FALSE())),VLOOKUP($A43,VOLCURVES,HLOOKUP(D$28,VOLCURVES,2,FALSE()),FALSE()),1)</f>
        <v>1</v>
      </c>
      <c r="F43" s="64" t="n">
        <f aca="false">IF(D$28="NYMEX",$AG43,$AF43)</f>
        <v>-8310</v>
      </c>
      <c r="G43" s="4" t="e">
        <f aca="false">(($C43+H43)*$E43)+B$15</f>
        <v>#DIV/0!</v>
      </c>
      <c r="H43" s="4" t="e">
        <f aca="false">IF(B$16=1,xCalcSkew(A43,I43-AO43,b)/100,0)</f>
        <v>#DIV/0!</v>
      </c>
      <c r="I43" s="66" t="n">
        <f aca="false">IF($B$19=4,$AO43,$B$18)</f>
        <v>5</v>
      </c>
      <c r="K43" s="63" t="n">
        <f aca="false">IF(K$28="nymex",0,VLOOKUP($A43,curvesettle,HLOOKUP(K$28,curvesettle,2,FALSE())))</f>
        <v>-0.075</v>
      </c>
      <c r="L43" s="65" t="n">
        <f aca="false">IF(ISNUMBER(VLOOKUP($A43,VOLCURVES,HLOOKUP(K$28,VOLCURVES,2,FALSE()),FALSE())),VLOOKUP($A43,VOLCURVES,HLOOKUP(K$28,VOLCURVES,2,FALSE()),FALSE()),1)</f>
        <v>1</v>
      </c>
      <c r="M43" s="64" t="n">
        <f aca="false">IF(K$28="NYMEX",$AG43,$AF43)</f>
        <v>-8310</v>
      </c>
      <c r="N43" s="184" t="e">
        <f aca="false">(($C43+O43)*$L43)+D$15</f>
        <v>#DIV/0!</v>
      </c>
      <c r="O43" s="4" t="e">
        <f aca="false">IF(D$16=1,xCalcSkew($A43,P43-AZ43,b)/100,0)</f>
        <v>#DIV/0!</v>
      </c>
      <c r="P43" s="66" t="n">
        <f aca="false">IF($D$19=4,$AZ43,$D$18)</f>
        <v>3</v>
      </c>
      <c r="R43" s="63" t="n">
        <f aca="false">IF(R$28="nymex",0,VLOOKUP($A43,curvesettle,HLOOKUP(R$28,curvesettle,2,FALSE())))</f>
        <v>-0.27</v>
      </c>
      <c r="S43" s="65" t="n">
        <f aca="false">IF(ISNUMBER(VLOOKUP($A43,VOLCURVES,HLOOKUP(R$28,VOLCURVES,2,FALSE()),FALSE())),VLOOKUP($A43,VOLCURVES,HLOOKUP(R$28,VOLCURVES,2,FALSE()),FALSE()),1)</f>
        <v>1</v>
      </c>
      <c r="T43" s="64" t="n">
        <f aca="false">IF(R$28="NYMEX",$AG43,$AF43)</f>
        <v>-8310</v>
      </c>
      <c r="U43" s="184" t="e">
        <f aca="false">(($C43+V43)*$S43)+F$15</f>
        <v>#DIV/0!</v>
      </c>
      <c r="V43" s="4" t="e">
        <f aca="false">IF(F$16=1,xCalcSkew($A43,W43-BK43,b)/100,0)</f>
        <v>#DIV/0!</v>
      </c>
      <c r="W43" s="66" t="n">
        <f aca="false">IF($F$19=4,$BK43,$F$18)</f>
        <v>2.55</v>
      </c>
      <c r="X43" s="64"/>
      <c r="Y43" s="63" t="n">
        <f aca="false">IF(Y$28="nymex",0,VLOOKUP($A43,curvesettle,HLOOKUP(Y$28,curvesettle,2,FALSE())))</f>
        <v>0</v>
      </c>
      <c r="Z43" s="65" t="n">
        <f aca="false">IF(ISNUMBER(VLOOKUP($A43,VOLCURVES,HLOOKUP(Y$28,VOLCURVES,2,FALSE()),FALSE())),VLOOKUP($A43,VOLCURVES,HLOOKUP(Y$28,VOLCURVES,2,FALSE()),FALSE()),1)</f>
        <v>1</v>
      </c>
      <c r="AA43" s="64" t="n">
        <f aca="false">IF(Y$28="NYMEX",$AG43,$AF43)</f>
        <v>-8311</v>
      </c>
      <c r="AB43" s="4" t="e">
        <f aca="false">(($C43+AC43)*$Z43)+H$15</f>
        <v>#DIV/0!</v>
      </c>
      <c r="AC43" s="4" t="e">
        <f aca="false">IF(H$16=1,xCalcSkew($A43,AD43-BV43,b)/100,0)</f>
        <v>#DIV/0!</v>
      </c>
      <c r="AD43" s="66" t="n">
        <f aca="false">IF($H$19=4,$BV43,$H$18)</f>
        <v>2.9</v>
      </c>
      <c r="AF43" s="64" t="n">
        <f aca="false">VLOOKUP($A43,expiration,2,FALSE())-$B$2</f>
        <v>-8310</v>
      </c>
      <c r="AG43" s="64" t="n">
        <f aca="false">VLOOKUP($A43,expiration,3,FALSE())-$B$2</f>
        <v>-8311</v>
      </c>
      <c r="AH43" s="4" t="n">
        <f aca="false">VLOOKUP($A43,STRADDLE,14,FALSE())</f>
        <v>0.0236676828051907</v>
      </c>
      <c r="AI43" s="72" t="n">
        <f aca="false">A44-A43</f>
        <v>31</v>
      </c>
      <c r="AJ43" s="76"/>
      <c r="AK43" s="76"/>
      <c r="AL43" s="76"/>
      <c r="AM43" s="76"/>
      <c r="AN43" s="73" t="n">
        <f aca="false">IF($A43&gt;=AO$25,IF($A43&lt;=AO$26,$AI43,0),0)</f>
        <v>0</v>
      </c>
      <c r="AO43" s="196" t="e">
        <f aca="false">AQ43/AN43</f>
        <v>#DIV/0!</v>
      </c>
      <c r="AP43" s="1" t="n">
        <f aca="false">AN43*($B43+B$13)</f>
        <v>0</v>
      </c>
      <c r="AQ43" s="47" t="n">
        <f aca="false">IF(ISNUMBER(((AP43/AN43)+B$14+$D43)*AN43),((AP43/AN43)+B$14+$D43)*AN43,0)</f>
        <v>0</v>
      </c>
      <c r="AR43" s="76" t="n">
        <f aca="false">IF(AN43=0,0,bsd(1,AS$27,AO43,$I43,$F43,$G43,$AH43,0.1))</f>
        <v>0</v>
      </c>
      <c r="AS43" s="76" t="n">
        <f aca="false">IF(AN43=0,0,bsd(2,AS$27,AO43,$I43,$F43,$G43,$AH43,0.1))</f>
        <v>0</v>
      </c>
      <c r="AT43" s="76" t="n">
        <f aca="false">IF(AN43=0,0,bsd(AS$28,AS$27,AO43,$I43,$F43,$G43,$AH43,0.1))</f>
        <v>0</v>
      </c>
      <c r="AU43" s="37" t="n">
        <f aca="false">AN43*AR43</f>
        <v>0</v>
      </c>
      <c r="AV43" s="37" t="n">
        <f aca="false">AN43*AS43</f>
        <v>0</v>
      </c>
      <c r="AW43" s="37" t="n">
        <f aca="false">AN43*AT43</f>
        <v>0</v>
      </c>
      <c r="AY43" s="73" t="n">
        <f aca="false">IF($A43&gt;=AZ$25,IF($A43&lt;=AZ$26,$AI43,0),0)</f>
        <v>0</v>
      </c>
      <c r="AZ43" s="196" t="e">
        <f aca="false">BB43/AY43</f>
        <v>#DIV/0!</v>
      </c>
      <c r="BA43" s="1" t="n">
        <f aca="false">AY43*($B43+D$13)</f>
        <v>0</v>
      </c>
      <c r="BB43" s="47" t="n">
        <f aca="false">IF(ISNUMBER(((BA43/AY43)+D$14+$K43)*AY43),((BA43/AY43)+D$14+$K43)*AY43,0)</f>
        <v>0</v>
      </c>
      <c r="BC43" s="76" t="n">
        <f aca="false">IF(AY43=0,0,bsd(1,BD$27,AZ43,$P43,$M43,$N43,$AH43,0.1))</f>
        <v>0</v>
      </c>
      <c r="BD43" s="76" t="n">
        <f aca="false">IF(AY43=0,0,bsd(2,BD$27,AZ43,$P43,$M43,$N43,$AH43,0.1))</f>
        <v>0</v>
      </c>
      <c r="BE43" s="76" t="n">
        <f aca="false">IF(AY43=0,0,bsd(BD$28,BD$27,AZ43,$P43,$M43,$N43,$AH43,0.1))</f>
        <v>0</v>
      </c>
      <c r="BF43" s="37" t="n">
        <f aca="false">AY43*BC43</f>
        <v>0</v>
      </c>
      <c r="BG43" s="37" t="n">
        <f aca="false">AY43*BD43</f>
        <v>0</v>
      </c>
      <c r="BH43" s="37" t="n">
        <f aca="false">AY43*BE43</f>
        <v>0</v>
      </c>
      <c r="BJ43" s="73" t="n">
        <f aca="false">IF($A43&gt;=BK$25,IF($A43&lt;=BK$26,$AI43,0),0)</f>
        <v>0</v>
      </c>
      <c r="BK43" s="196" t="e">
        <f aca="false">BM43/BJ43</f>
        <v>#DIV/0!</v>
      </c>
      <c r="BL43" s="1" t="n">
        <f aca="false">BJ43*($B43+F$13)</f>
        <v>0</v>
      </c>
      <c r="BM43" s="47" t="n">
        <f aca="false">IF(ISNUMBER(((BL43/BJ43)+F$14+$R43)*BJ43),((BL43/BJ43)+F$14+$R43)*BJ43,0)</f>
        <v>0</v>
      </c>
      <c r="BN43" s="76" t="n">
        <f aca="false">IF(BJ43=0,0,bsd(1,BO$27,BK43,$W43,$T43,$U43,$AH43,0.1))</f>
        <v>0</v>
      </c>
      <c r="BO43" s="76" t="n">
        <f aca="false">IF(BJ43=0,0,bsd(2,BO$27,BK43,$W43,$T43,$U43,$AH43,0.1))</f>
        <v>0</v>
      </c>
      <c r="BP43" s="76" t="n">
        <f aca="false">IF(BJ43=0,0,bsd(BO$28,BO$27,BK43,$W43,$T43,$U43,$AH43,0.1))</f>
        <v>0</v>
      </c>
      <c r="BQ43" s="37" t="n">
        <f aca="false">BJ43*BN43</f>
        <v>0</v>
      </c>
      <c r="BR43" s="37" t="n">
        <f aca="false">BJ43*BO43</f>
        <v>0</v>
      </c>
      <c r="BS43" s="37" t="n">
        <f aca="false">BJ43*BP43</f>
        <v>0</v>
      </c>
      <c r="BU43" s="73" t="n">
        <f aca="false">IF($A43&gt;=BV$25,IF($A43&lt;=BV$26,$AI43,0),0)</f>
        <v>0</v>
      </c>
      <c r="BV43" s="196" t="e">
        <f aca="false">BX43/BU43</f>
        <v>#DIV/0!</v>
      </c>
      <c r="BW43" s="1" t="n">
        <f aca="false">BU43*($B43+H$13)</f>
        <v>0</v>
      </c>
      <c r="BX43" s="47" t="n">
        <f aca="false">IF(ISNUMBER(((BW43/BU43)+H$14+$Y43)*BU43),((BW43/BU43)+H$14+$Y43)*BU43,0)</f>
        <v>0</v>
      </c>
      <c r="BY43" s="76" t="n">
        <f aca="false">IF(BU43=0,0,bsd(1,BZ$27,BV43,$AD43,$AA43,$AB43,$AH43,0.1))</f>
        <v>0</v>
      </c>
      <c r="BZ43" s="76" t="n">
        <f aca="false">IF(BU43=0,0,bsd(2,BZ$27,BV43,$AD43,$AA43,$AB43,$AH43,0.1))</f>
        <v>0</v>
      </c>
      <c r="CA43" s="76" t="n">
        <f aca="false">IF(BU43=0,0,bsd(BZ$28,BZ$27,BV43,$AD43,$AA43,$AB43,$AH43,0.1))</f>
        <v>0</v>
      </c>
      <c r="CB43" s="37" t="n">
        <f aca="false">BU43*BY43</f>
        <v>0</v>
      </c>
      <c r="CC43" s="37" t="n">
        <f aca="false">BU43*BZ43</f>
        <v>0</v>
      </c>
      <c r="CD43" s="37" t="n">
        <f aca="false">BU43*CA43</f>
        <v>0</v>
      </c>
    </row>
    <row r="44" customFormat="false" ht="12.75" hidden="false" customHeight="false" outlineLevel="0" collapsed="false">
      <c r="A44" s="62" t="n">
        <f aca="false">DATE(YEAR(A43),MONTH(A43)+1,1)</f>
        <v>37653</v>
      </c>
      <c r="B44" s="63" t="n">
        <f aca="false">VLOOKUP(A44,STRADDLE,5,FALSE())</f>
        <v>3.337</v>
      </c>
      <c r="C44" s="4" t="n">
        <f aca="false">VLOOKUP(A44,STRADDLE,8,FALSE())</f>
        <v>0.5125</v>
      </c>
      <c r="D44" s="63" t="n">
        <f aca="false">IF(D$28="nymex",0,VLOOKUP($A44,curvesettle,HLOOKUP(D$28,curvesettle,2,FALSE())))</f>
        <v>-0.075</v>
      </c>
      <c r="E44" s="65" t="n">
        <f aca="false">IF(ISNUMBER(VLOOKUP($A44,VOLCURVES,HLOOKUP(D$28,VOLCURVES,2,FALSE()),FALSE())),VLOOKUP($A44,VOLCURVES,HLOOKUP(D$28,VOLCURVES,2,FALSE()),FALSE()),1)</f>
        <v>1</v>
      </c>
      <c r="F44" s="64" t="n">
        <f aca="false">IF(D$28="NYMEX",$AG44,$AF44)</f>
        <v>-8277</v>
      </c>
      <c r="G44" s="4" t="e">
        <f aca="false">(($C44+H44)*$E44)+B$15</f>
        <v>#DIV/0!</v>
      </c>
      <c r="H44" s="4" t="e">
        <f aca="false">IF(B$16=1,xCalcSkew(A44,I44-AO44,b)/100,0)</f>
        <v>#DIV/0!</v>
      </c>
      <c r="I44" s="66" t="n">
        <f aca="false">IF($B$19=4,$AO44,$B$18)</f>
        <v>5</v>
      </c>
      <c r="K44" s="63" t="n">
        <f aca="false">IF(K$28="nymex",0,VLOOKUP($A44,curvesettle,HLOOKUP(K$28,curvesettle,2,FALSE())))</f>
        <v>-0.075</v>
      </c>
      <c r="L44" s="65" t="n">
        <f aca="false">IF(ISNUMBER(VLOOKUP($A44,VOLCURVES,HLOOKUP(K$28,VOLCURVES,2,FALSE()),FALSE())),VLOOKUP($A44,VOLCURVES,HLOOKUP(K$28,VOLCURVES,2,FALSE()),FALSE()),1)</f>
        <v>1</v>
      </c>
      <c r="M44" s="64" t="n">
        <f aca="false">IF(K$28="NYMEX",$AG44,$AF44)</f>
        <v>-8277</v>
      </c>
      <c r="N44" s="184" t="e">
        <f aca="false">(($C44+O44)*$L44)+D$15</f>
        <v>#DIV/0!</v>
      </c>
      <c r="O44" s="4" t="e">
        <f aca="false">IF(D$16=1,xCalcSkew($A44,P44-AZ44,b)/100,0)</f>
        <v>#DIV/0!</v>
      </c>
      <c r="P44" s="66" t="n">
        <f aca="false">IF($D$19=4,$AZ44,$D$18)</f>
        <v>3</v>
      </c>
      <c r="R44" s="63" t="n">
        <f aca="false">IF(R$28="nymex",0,VLOOKUP($A44,curvesettle,HLOOKUP(R$28,curvesettle,2,FALSE())))</f>
        <v>-0.26</v>
      </c>
      <c r="S44" s="65" t="n">
        <f aca="false">IF(ISNUMBER(VLOOKUP($A44,VOLCURVES,HLOOKUP(R$28,VOLCURVES,2,FALSE()),FALSE())),VLOOKUP($A44,VOLCURVES,HLOOKUP(R$28,VOLCURVES,2,FALSE()),FALSE()),1)</f>
        <v>1</v>
      </c>
      <c r="T44" s="64" t="n">
        <f aca="false">IF(R$28="NYMEX",$AG44,$AF44)</f>
        <v>-8277</v>
      </c>
      <c r="U44" s="184" t="e">
        <f aca="false">(($C44+V44)*$S44)+F$15</f>
        <v>#DIV/0!</v>
      </c>
      <c r="V44" s="4" t="e">
        <f aca="false">IF(F$16=1,xCalcSkew($A44,W44-BK44,b)/100,0)</f>
        <v>#DIV/0!</v>
      </c>
      <c r="W44" s="66" t="n">
        <f aca="false">IF($F$19=4,$BK44,$F$18)</f>
        <v>2.55</v>
      </c>
      <c r="X44" s="64"/>
      <c r="Y44" s="63" t="n">
        <f aca="false">IF(Y$28="nymex",0,VLOOKUP($A44,curvesettle,HLOOKUP(Y$28,curvesettle,2,FALSE())))</f>
        <v>0</v>
      </c>
      <c r="Z44" s="65" t="n">
        <f aca="false">IF(ISNUMBER(VLOOKUP($A44,VOLCURVES,HLOOKUP(Y$28,VOLCURVES,2,FALSE()),FALSE())),VLOOKUP($A44,VOLCURVES,HLOOKUP(Y$28,VOLCURVES,2,FALSE()),FALSE()),1)</f>
        <v>1</v>
      </c>
      <c r="AA44" s="64" t="n">
        <f aca="false">IF(Y$28="NYMEX",$AG44,$AF44)</f>
        <v>-8278</v>
      </c>
      <c r="AB44" s="4" t="e">
        <f aca="false">(($C44+AC44)*$Z44)+H$15</f>
        <v>#DIV/0!</v>
      </c>
      <c r="AC44" s="4" t="e">
        <f aca="false">IF(H$16=1,xCalcSkew($A44,AD44-BV44,b)/100,0)</f>
        <v>#DIV/0!</v>
      </c>
      <c r="AD44" s="66" t="n">
        <f aca="false">IF($H$19=4,$BV44,$H$18)</f>
        <v>2.9</v>
      </c>
      <c r="AF44" s="64" t="n">
        <f aca="false">VLOOKUP($A44,expiration,2,FALSE())-$B$2</f>
        <v>-8277</v>
      </c>
      <c r="AG44" s="64" t="n">
        <f aca="false">VLOOKUP($A44,expiration,3,FALSE())-$B$2</f>
        <v>-8278</v>
      </c>
      <c r="AH44" s="4" t="n">
        <f aca="false">VLOOKUP($A44,STRADDLE,14,FALSE())</f>
        <v>0.0245876750219147</v>
      </c>
      <c r="AI44" s="72" t="n">
        <f aca="false">A45-A44</f>
        <v>28</v>
      </c>
      <c r="AJ44" s="76"/>
      <c r="AK44" s="76"/>
      <c r="AL44" s="76"/>
      <c r="AM44" s="76"/>
      <c r="AN44" s="73" t="n">
        <f aca="false">IF($A44&gt;=AO$25,IF($A44&lt;=AO$26,$AI44,0),0)</f>
        <v>0</v>
      </c>
      <c r="AO44" s="196" t="e">
        <f aca="false">AQ44/AN44</f>
        <v>#DIV/0!</v>
      </c>
      <c r="AP44" s="1" t="n">
        <f aca="false">AN44*($B44+B$13)</f>
        <v>0</v>
      </c>
      <c r="AQ44" s="47" t="n">
        <f aca="false">IF(ISNUMBER(((AP44/AN44)+B$14+$D44)*AN44),((AP44/AN44)+B$14+$D44)*AN44,0)</f>
        <v>0</v>
      </c>
      <c r="AR44" s="76" t="n">
        <f aca="false">IF(AN44=0,0,bsd(1,AS$27,AO44,$I44,$F44,$G44,$AH44,0.1))</f>
        <v>0</v>
      </c>
      <c r="AS44" s="76" t="n">
        <f aca="false">IF(AN44=0,0,bsd(2,AS$27,AO44,$I44,$F44,$G44,$AH44,0.1))</f>
        <v>0</v>
      </c>
      <c r="AT44" s="76" t="n">
        <f aca="false">IF(AN44=0,0,bsd(AS$28,AS$27,AO44,$I44,$F44,$G44,$AH44,0.1))</f>
        <v>0</v>
      </c>
      <c r="AU44" s="37" t="n">
        <f aca="false">AN44*AR44</f>
        <v>0</v>
      </c>
      <c r="AV44" s="37" t="n">
        <f aca="false">AN44*AS44</f>
        <v>0</v>
      </c>
      <c r="AW44" s="37" t="n">
        <f aca="false">AN44*AT44</f>
        <v>0</v>
      </c>
      <c r="AY44" s="73" t="n">
        <f aca="false">IF($A44&gt;=AZ$25,IF($A44&lt;=AZ$26,$AI44,0),0)</f>
        <v>0</v>
      </c>
      <c r="AZ44" s="196" t="e">
        <f aca="false">BB44/AY44</f>
        <v>#DIV/0!</v>
      </c>
      <c r="BA44" s="1" t="n">
        <f aca="false">AY44*($B44+D$13)</f>
        <v>0</v>
      </c>
      <c r="BB44" s="47" t="n">
        <f aca="false">IF(ISNUMBER(((BA44/AY44)+D$14+$K44)*AY44),((BA44/AY44)+D$14+$K44)*AY44,0)</f>
        <v>0</v>
      </c>
      <c r="BC44" s="76" t="n">
        <f aca="false">IF(AY44=0,0,bsd(1,BD$27,AZ44,$P44,$M44,$N44,$AH44,0.1))</f>
        <v>0</v>
      </c>
      <c r="BD44" s="76" t="n">
        <f aca="false">IF(AY44=0,0,bsd(2,BD$27,AZ44,$P44,$M44,$N44,$AH44,0.1))</f>
        <v>0</v>
      </c>
      <c r="BE44" s="76" t="n">
        <f aca="false">IF(AY44=0,0,bsd(BD$28,BD$27,AZ44,$P44,$M44,$N44,$AH44,0.1))</f>
        <v>0</v>
      </c>
      <c r="BF44" s="37" t="n">
        <f aca="false">AY44*BC44</f>
        <v>0</v>
      </c>
      <c r="BG44" s="37" t="n">
        <f aca="false">AY44*BD44</f>
        <v>0</v>
      </c>
      <c r="BH44" s="37" t="n">
        <f aca="false">AY44*BE44</f>
        <v>0</v>
      </c>
      <c r="BJ44" s="73" t="n">
        <f aca="false">IF($A44&gt;=BK$25,IF($A44&lt;=BK$26,$AI44,0),0)</f>
        <v>0</v>
      </c>
      <c r="BK44" s="196" t="e">
        <f aca="false">BM44/BJ44</f>
        <v>#DIV/0!</v>
      </c>
      <c r="BL44" s="1" t="n">
        <f aca="false">BJ44*($B44+F$13)</f>
        <v>0</v>
      </c>
      <c r="BM44" s="47" t="n">
        <f aca="false">IF(ISNUMBER(((BL44/BJ44)+F$14+$R44)*BJ44),((BL44/BJ44)+F$14+$R44)*BJ44,0)</f>
        <v>0</v>
      </c>
      <c r="BN44" s="76" t="n">
        <f aca="false">IF(BJ44=0,0,bsd(1,BO$27,BK44,$W44,$T44,$U44,$AH44,0.1))</f>
        <v>0</v>
      </c>
      <c r="BO44" s="76" t="n">
        <f aca="false">IF(BJ44=0,0,bsd(2,BO$27,BK44,$W44,$T44,$U44,$AH44,0.1))</f>
        <v>0</v>
      </c>
      <c r="BP44" s="76" t="n">
        <f aca="false">IF(BJ44=0,0,bsd(BO$28,BO$27,BK44,$W44,$T44,$U44,$AH44,0.1))</f>
        <v>0</v>
      </c>
      <c r="BQ44" s="37" t="n">
        <f aca="false">BJ44*BN44</f>
        <v>0</v>
      </c>
      <c r="BR44" s="37" t="n">
        <f aca="false">BJ44*BO44</f>
        <v>0</v>
      </c>
      <c r="BS44" s="37" t="n">
        <f aca="false">BJ44*BP44</f>
        <v>0</v>
      </c>
      <c r="BU44" s="73" t="n">
        <f aca="false">IF($A44&gt;=BV$25,IF($A44&lt;=BV$26,$AI44,0),0)</f>
        <v>0</v>
      </c>
      <c r="BV44" s="196" t="e">
        <f aca="false">BX44/BU44</f>
        <v>#DIV/0!</v>
      </c>
      <c r="BW44" s="1" t="n">
        <f aca="false">BU44*($B44+H$13)</f>
        <v>0</v>
      </c>
      <c r="BX44" s="47" t="n">
        <f aca="false">IF(ISNUMBER(((BW44/BU44)+H$14+$Y44)*BU44),((BW44/BU44)+H$14+$Y44)*BU44,0)</f>
        <v>0</v>
      </c>
      <c r="BY44" s="76" t="n">
        <f aca="false">IF(BU44=0,0,bsd(1,BZ$27,BV44,$AD44,$AA44,$AB44,$AH44,0.1))</f>
        <v>0</v>
      </c>
      <c r="BZ44" s="76" t="n">
        <f aca="false">IF(BU44=0,0,bsd(2,BZ$27,BV44,$AD44,$AA44,$AB44,$AH44,0.1))</f>
        <v>0</v>
      </c>
      <c r="CA44" s="76" t="n">
        <f aca="false">IF(BU44=0,0,bsd(BZ$28,BZ$27,BV44,$AD44,$AA44,$AB44,$AH44,0.1))</f>
        <v>0</v>
      </c>
      <c r="CB44" s="37" t="n">
        <f aca="false">BU44*BY44</f>
        <v>0</v>
      </c>
      <c r="CC44" s="37" t="n">
        <f aca="false">BU44*BZ44</f>
        <v>0</v>
      </c>
      <c r="CD44" s="37" t="n">
        <f aca="false">BU44*CA44</f>
        <v>0</v>
      </c>
    </row>
    <row r="45" customFormat="false" ht="12.75" hidden="false" customHeight="false" outlineLevel="0" collapsed="false">
      <c r="A45" s="62" t="n">
        <f aca="false">DATE(YEAR(A44),MONTH(A44)+1,1)</f>
        <v>37681</v>
      </c>
      <c r="B45" s="63" t="n">
        <f aca="false">VLOOKUP(A45,STRADDLE,5,FALSE())</f>
        <v>3.247</v>
      </c>
      <c r="C45" s="4" t="n">
        <f aca="false">VLOOKUP(A45,STRADDLE,8,FALSE())</f>
        <v>0.4775</v>
      </c>
      <c r="D45" s="63" t="n">
        <f aca="false">IF(D$28="nymex",0,VLOOKUP($A45,curvesettle,HLOOKUP(D$28,curvesettle,2,FALSE())))</f>
        <v>-0.075</v>
      </c>
      <c r="E45" s="65" t="n">
        <f aca="false">IF(ISNUMBER(VLOOKUP($A45,VOLCURVES,HLOOKUP(D$28,VOLCURVES,2,FALSE()),FALSE())),VLOOKUP($A45,VOLCURVES,HLOOKUP(D$28,VOLCURVES,2,FALSE()),FALSE()),1)</f>
        <v>1</v>
      </c>
      <c r="F45" s="64" t="n">
        <f aca="false">IF(D$28="NYMEX",$AG45,$AF45)</f>
        <v>-8249</v>
      </c>
      <c r="G45" s="4" t="e">
        <f aca="false">(($C45+H45)*$E45)+B$15</f>
        <v>#DIV/0!</v>
      </c>
      <c r="H45" s="4" t="e">
        <f aca="false">IF(B$16=1,xCalcSkew(A45,I45-AO45,b)/100,0)</f>
        <v>#DIV/0!</v>
      </c>
      <c r="I45" s="66" t="n">
        <f aca="false">IF($B$19=4,$AO45,$B$18)</f>
        <v>5</v>
      </c>
      <c r="K45" s="63" t="n">
        <f aca="false">IF(K$28="nymex",0,VLOOKUP($A45,curvesettle,HLOOKUP(K$28,curvesettle,2,FALSE())))</f>
        <v>-0.075</v>
      </c>
      <c r="L45" s="65" t="n">
        <f aca="false">IF(ISNUMBER(VLOOKUP($A45,VOLCURVES,HLOOKUP(K$28,VOLCURVES,2,FALSE()),FALSE())),VLOOKUP($A45,VOLCURVES,HLOOKUP(K$28,VOLCURVES,2,FALSE()),FALSE()),1)</f>
        <v>1</v>
      </c>
      <c r="M45" s="64" t="n">
        <f aca="false">IF(K$28="NYMEX",$AG45,$AF45)</f>
        <v>-8249</v>
      </c>
      <c r="N45" s="184" t="e">
        <f aca="false">(($C45+O45)*$L45)+D$15</f>
        <v>#DIV/0!</v>
      </c>
      <c r="O45" s="4" t="e">
        <f aca="false">IF(D$16=1,xCalcSkew($A45,P45-AZ45,b)/100,0)</f>
        <v>#DIV/0!</v>
      </c>
      <c r="P45" s="66" t="n">
        <f aca="false">IF($D$19=4,$AZ45,$D$18)</f>
        <v>3</v>
      </c>
      <c r="R45" s="63" t="n">
        <f aca="false">IF(R$28="nymex",0,VLOOKUP($A45,curvesettle,HLOOKUP(R$28,curvesettle,2,FALSE())))</f>
        <v>-0.31</v>
      </c>
      <c r="S45" s="65" t="n">
        <f aca="false">IF(ISNUMBER(VLOOKUP($A45,VOLCURVES,HLOOKUP(R$28,VOLCURVES,2,FALSE()),FALSE())),VLOOKUP($A45,VOLCURVES,HLOOKUP(R$28,VOLCURVES,2,FALSE()),FALSE()),1)</f>
        <v>1</v>
      </c>
      <c r="T45" s="64" t="n">
        <f aca="false">IF(R$28="NYMEX",$AG45,$AF45)</f>
        <v>-8249</v>
      </c>
      <c r="U45" s="184" t="e">
        <f aca="false">(($C45+V45)*$S45)+F$15</f>
        <v>#DIV/0!</v>
      </c>
      <c r="V45" s="4" t="e">
        <f aca="false">IF(F$16=1,xCalcSkew($A45,W45-BK45,b)/100,0)</f>
        <v>#DIV/0!</v>
      </c>
      <c r="W45" s="66" t="n">
        <f aca="false">IF($F$19=4,$BK45,$F$18)</f>
        <v>2.55</v>
      </c>
      <c r="X45" s="64"/>
      <c r="Y45" s="63" t="n">
        <f aca="false">IF(Y$28="nymex",0,VLOOKUP($A45,curvesettle,HLOOKUP(Y$28,curvesettle,2,FALSE())))</f>
        <v>0</v>
      </c>
      <c r="Z45" s="65" t="n">
        <f aca="false">IF(ISNUMBER(VLOOKUP($A45,VOLCURVES,HLOOKUP(Y$28,VOLCURVES,2,FALSE()),FALSE())),VLOOKUP($A45,VOLCURVES,HLOOKUP(Y$28,VOLCURVES,2,FALSE()),FALSE()),1)</f>
        <v>1</v>
      </c>
      <c r="AA45" s="64" t="n">
        <f aca="false">IF(Y$28="NYMEX",$AG45,$AF45)</f>
        <v>-8250</v>
      </c>
      <c r="AB45" s="4" t="e">
        <f aca="false">(($C45+AC45)*$Z45)+H$15</f>
        <v>#DIV/0!</v>
      </c>
      <c r="AC45" s="4" t="e">
        <f aca="false">IF(H$16=1,xCalcSkew($A45,AD45-BV45,b)/100,0)</f>
        <v>#DIV/0!</v>
      </c>
      <c r="AD45" s="66" t="n">
        <f aca="false">IF($H$19=4,$BV45,$H$18)</f>
        <v>2.9</v>
      </c>
      <c r="AF45" s="64" t="n">
        <f aca="false">VLOOKUP($A45,expiration,2,FALSE())-$B$2</f>
        <v>-8249</v>
      </c>
      <c r="AG45" s="64" t="n">
        <f aca="false">VLOOKUP($A45,expiration,3,FALSE())-$B$2</f>
        <v>-8250</v>
      </c>
      <c r="AH45" s="4" t="n">
        <f aca="false">VLOOKUP($A45,STRADDLE,14,FALSE())</f>
        <v>0.0254186359797437</v>
      </c>
      <c r="AI45" s="72" t="n">
        <f aca="false">A46-A45</f>
        <v>31</v>
      </c>
      <c r="AJ45" s="76"/>
      <c r="AK45" s="76"/>
      <c r="AL45" s="76"/>
      <c r="AM45" s="76"/>
      <c r="AN45" s="73" t="n">
        <f aca="false">IF($A45&gt;=AO$25,IF($A45&lt;=AO$26,$AI45,0),0)</f>
        <v>0</v>
      </c>
      <c r="AO45" s="196" t="e">
        <f aca="false">AQ45/AN45</f>
        <v>#DIV/0!</v>
      </c>
      <c r="AP45" s="1" t="n">
        <f aca="false">AN45*($B45+B$13)</f>
        <v>0</v>
      </c>
      <c r="AQ45" s="47" t="n">
        <f aca="false">IF(ISNUMBER(((AP45/AN45)+B$14+$D45)*AN45),((AP45/AN45)+B$14+$D45)*AN45,0)</f>
        <v>0</v>
      </c>
      <c r="AR45" s="76" t="n">
        <f aca="false">IF(AN45=0,0,bsd(1,AS$27,AO45,$I45,$F45,$G45,$AH45,0.1))</f>
        <v>0</v>
      </c>
      <c r="AS45" s="76" t="n">
        <f aca="false">IF(AN45=0,0,bsd(2,AS$27,AO45,$I45,$F45,$G45,$AH45,0.1))</f>
        <v>0</v>
      </c>
      <c r="AT45" s="76" t="n">
        <f aca="false">IF(AN45=0,0,bsd(AS$28,AS$27,AO45,$I45,$F45,$G45,$AH45,0.1))</f>
        <v>0</v>
      </c>
      <c r="AU45" s="37" t="n">
        <f aca="false">AN45*AR45</f>
        <v>0</v>
      </c>
      <c r="AV45" s="37" t="n">
        <f aca="false">AN45*AS45</f>
        <v>0</v>
      </c>
      <c r="AW45" s="37" t="n">
        <f aca="false">AN45*AT45</f>
        <v>0</v>
      </c>
      <c r="AY45" s="73" t="n">
        <f aca="false">IF($A45&gt;=AZ$25,IF($A45&lt;=AZ$26,$AI45,0),0)</f>
        <v>0</v>
      </c>
      <c r="AZ45" s="196" t="e">
        <f aca="false">BB45/AY45</f>
        <v>#DIV/0!</v>
      </c>
      <c r="BA45" s="1" t="n">
        <f aca="false">AY45*($B45+D$13)</f>
        <v>0</v>
      </c>
      <c r="BB45" s="47" t="n">
        <f aca="false">IF(ISNUMBER(((BA45/AY45)+D$14+$K45)*AY45),((BA45/AY45)+D$14+$K45)*AY45,0)</f>
        <v>0</v>
      </c>
      <c r="BC45" s="76" t="n">
        <f aca="false">IF(AY45=0,0,bsd(1,BD$27,AZ45,$P45,$M45,$N45,$AH45,0.1))</f>
        <v>0</v>
      </c>
      <c r="BD45" s="76" t="n">
        <f aca="false">IF(AY45=0,0,bsd(2,BD$27,AZ45,$P45,$M45,$N45,$AH45,0.1))</f>
        <v>0</v>
      </c>
      <c r="BE45" s="76" t="n">
        <f aca="false">IF(AY45=0,0,bsd(BD$28,BD$27,AZ45,$P45,$M45,$N45,$AH45,0.1))</f>
        <v>0</v>
      </c>
      <c r="BF45" s="37" t="n">
        <f aca="false">AY45*BC45</f>
        <v>0</v>
      </c>
      <c r="BG45" s="37" t="n">
        <f aca="false">AY45*BD45</f>
        <v>0</v>
      </c>
      <c r="BH45" s="37" t="n">
        <f aca="false">AY45*BE45</f>
        <v>0</v>
      </c>
      <c r="BJ45" s="73" t="n">
        <f aca="false">IF($A45&gt;=BK$25,IF($A45&lt;=BK$26,$AI45,0),0)</f>
        <v>0</v>
      </c>
      <c r="BK45" s="196" t="e">
        <f aca="false">BM45/BJ45</f>
        <v>#DIV/0!</v>
      </c>
      <c r="BL45" s="1" t="n">
        <f aca="false">BJ45*($B45+F$13)</f>
        <v>0</v>
      </c>
      <c r="BM45" s="47" t="n">
        <f aca="false">IF(ISNUMBER(((BL45/BJ45)+F$14+$R45)*BJ45),((BL45/BJ45)+F$14+$R45)*BJ45,0)</f>
        <v>0</v>
      </c>
      <c r="BN45" s="76" t="n">
        <f aca="false">IF(BJ45=0,0,bsd(1,BO$27,BK45,$W45,$T45,$U45,$AH45,0.1))</f>
        <v>0</v>
      </c>
      <c r="BO45" s="76" t="n">
        <f aca="false">IF(BJ45=0,0,bsd(2,BO$27,BK45,$W45,$T45,$U45,$AH45,0.1))</f>
        <v>0</v>
      </c>
      <c r="BP45" s="76" t="n">
        <f aca="false">IF(BJ45=0,0,bsd(BO$28,BO$27,BK45,$W45,$T45,$U45,$AH45,0.1))</f>
        <v>0</v>
      </c>
      <c r="BQ45" s="37" t="n">
        <f aca="false">BJ45*BN45</f>
        <v>0</v>
      </c>
      <c r="BR45" s="37" t="n">
        <f aca="false">BJ45*BO45</f>
        <v>0</v>
      </c>
      <c r="BS45" s="37" t="n">
        <f aca="false">BJ45*BP45</f>
        <v>0</v>
      </c>
      <c r="BU45" s="73" t="n">
        <f aca="false">IF($A45&gt;=BV$25,IF($A45&lt;=BV$26,$AI45,0),0)</f>
        <v>0</v>
      </c>
      <c r="BV45" s="196" t="e">
        <f aca="false">BX45/BU45</f>
        <v>#DIV/0!</v>
      </c>
      <c r="BW45" s="1" t="n">
        <f aca="false">BU45*($B45+H$13)</f>
        <v>0</v>
      </c>
      <c r="BX45" s="47" t="n">
        <f aca="false">IF(ISNUMBER(((BW45/BU45)+H$14+$Y45)*BU45),((BW45/BU45)+H$14+$Y45)*BU45,0)</f>
        <v>0</v>
      </c>
      <c r="BY45" s="76" t="n">
        <f aca="false">IF(BU45=0,0,bsd(1,BZ$27,BV45,$AD45,$AA45,$AB45,$AH45,0.1))</f>
        <v>0</v>
      </c>
      <c r="BZ45" s="76" t="n">
        <f aca="false">IF(BU45=0,0,bsd(2,BZ$27,BV45,$AD45,$AA45,$AB45,$AH45,0.1))</f>
        <v>0</v>
      </c>
      <c r="CA45" s="76" t="n">
        <f aca="false">IF(BU45=0,0,bsd(BZ$28,BZ$27,BV45,$AD45,$AA45,$AB45,$AH45,0.1))</f>
        <v>0</v>
      </c>
      <c r="CB45" s="37" t="n">
        <f aca="false">BU45*BY45</f>
        <v>0</v>
      </c>
      <c r="CC45" s="37" t="n">
        <f aca="false">BU45*BZ45</f>
        <v>0</v>
      </c>
      <c r="CD45" s="37" t="n">
        <f aca="false">BU45*CA45</f>
        <v>0</v>
      </c>
    </row>
    <row r="46" customFormat="false" ht="12.75" hidden="false" customHeight="false" outlineLevel="0" collapsed="false">
      <c r="A46" s="62" t="n">
        <f aca="false">DATE(YEAR(A45),MONTH(A45)+1,1)</f>
        <v>37712</v>
      </c>
      <c r="B46" s="63" t="n">
        <f aca="false">VLOOKUP(A46,STRADDLE,5,FALSE())</f>
        <v>3.092</v>
      </c>
      <c r="C46" s="4" t="n">
        <f aca="false">VLOOKUP(A46,STRADDLE,8,FALSE())</f>
        <v>0.3875</v>
      </c>
      <c r="D46" s="63" t="n">
        <f aca="false">IF(D$28="nymex",0,VLOOKUP($A46,curvesettle,HLOOKUP(D$28,curvesettle,2,FALSE())))</f>
        <v>-0.0725</v>
      </c>
      <c r="E46" s="65" t="n">
        <f aca="false">IF(ISNUMBER(VLOOKUP($A46,VOLCURVES,HLOOKUP(D$28,VOLCURVES,2,FALSE()),FALSE())),VLOOKUP($A46,VOLCURVES,HLOOKUP(D$28,VOLCURVES,2,FALSE()),FALSE()),1)</f>
        <v>1</v>
      </c>
      <c r="F46" s="64" t="n">
        <f aca="false">IF(D$28="NYMEX",$AG46,$AF46)</f>
        <v>-8220</v>
      </c>
      <c r="G46" s="4" t="e">
        <f aca="false">(($C46+H46)*$E46)+B$15</f>
        <v>#DIV/0!</v>
      </c>
      <c r="H46" s="4" t="e">
        <f aca="false">IF(B$16=1,xCalcSkew(A46,I46-AO46,b)/100,0)</f>
        <v>#DIV/0!</v>
      </c>
      <c r="I46" s="66" t="n">
        <f aca="false">IF($B$19=4,$AO46,$B$18)</f>
        <v>5</v>
      </c>
      <c r="K46" s="63" t="n">
        <f aca="false">IF(K$28="nymex",0,VLOOKUP($A46,curvesettle,HLOOKUP(K$28,curvesettle,2,FALSE())))</f>
        <v>-0.0725</v>
      </c>
      <c r="L46" s="65" t="n">
        <f aca="false">IF(ISNUMBER(VLOOKUP($A46,VOLCURVES,HLOOKUP(K$28,VOLCURVES,2,FALSE()),FALSE())),VLOOKUP($A46,VOLCURVES,HLOOKUP(K$28,VOLCURVES,2,FALSE()),FALSE()),1)</f>
        <v>1</v>
      </c>
      <c r="M46" s="64" t="n">
        <f aca="false">IF(K$28="NYMEX",$AG46,$AF46)</f>
        <v>-8220</v>
      </c>
      <c r="N46" s="184" t="e">
        <f aca="false">(($C46+O46)*$L46)+D$15</f>
        <v>#DIV/0!</v>
      </c>
      <c r="O46" s="4" t="e">
        <f aca="false">IF(D$16=1,xCalcSkew($A46,P46-AZ46,b)/100,0)</f>
        <v>#DIV/0!</v>
      </c>
      <c r="P46" s="66" t="n">
        <f aca="false">IF($D$19=4,$AZ46,$D$18)</f>
        <v>3</v>
      </c>
      <c r="R46" s="63" t="n">
        <f aca="false">IF(R$28="nymex",0,VLOOKUP($A46,curvesettle,HLOOKUP(R$28,curvesettle,2,FALSE())))</f>
        <v>-0.435</v>
      </c>
      <c r="S46" s="65" t="n">
        <f aca="false">IF(ISNUMBER(VLOOKUP($A46,VOLCURVES,HLOOKUP(R$28,VOLCURVES,2,FALSE()),FALSE())),VLOOKUP($A46,VOLCURVES,HLOOKUP(R$28,VOLCURVES,2,FALSE()),FALSE()),1)</f>
        <v>1</v>
      </c>
      <c r="T46" s="64" t="n">
        <f aca="false">IF(R$28="NYMEX",$AG46,$AF46)</f>
        <v>-8220</v>
      </c>
      <c r="U46" s="184" t="e">
        <f aca="false">(($C46+V46)*$S46)+F$15</f>
        <v>#DIV/0!</v>
      </c>
      <c r="V46" s="4" t="e">
        <f aca="false">IF(F$16=1,xCalcSkew($A46,W46-BK46,b)/100,0)</f>
        <v>#DIV/0!</v>
      </c>
      <c r="W46" s="66" t="n">
        <f aca="false">IF($F$19=4,$BK46,$F$18)</f>
        <v>2.55</v>
      </c>
      <c r="X46" s="64"/>
      <c r="Y46" s="63" t="n">
        <f aca="false">IF(Y$28="nymex",0,VLOOKUP($A46,curvesettle,HLOOKUP(Y$28,curvesettle,2,FALSE())))</f>
        <v>0</v>
      </c>
      <c r="Z46" s="65" t="n">
        <f aca="false">IF(ISNUMBER(VLOOKUP($A46,VOLCURVES,HLOOKUP(Y$28,VOLCURVES,2,FALSE()),FALSE())),VLOOKUP($A46,VOLCURVES,HLOOKUP(Y$28,VOLCURVES,2,FALSE()),FALSE()),1)</f>
        <v>1</v>
      </c>
      <c r="AA46" s="64" t="n">
        <f aca="false">IF(Y$28="NYMEX",$AG46,$AF46)</f>
        <v>-8221</v>
      </c>
      <c r="AB46" s="4" t="e">
        <f aca="false">(($C46+AC46)*$Z46)+H$15</f>
        <v>#DIV/0!</v>
      </c>
      <c r="AC46" s="4" t="e">
        <f aca="false">IF(H$16=1,xCalcSkew($A46,AD46-BV46,b)/100,0)</f>
        <v>#DIV/0!</v>
      </c>
      <c r="AD46" s="66" t="n">
        <f aca="false">IF($H$19=4,$BV46,$H$18)</f>
        <v>2.9</v>
      </c>
      <c r="AF46" s="64" t="n">
        <f aca="false">VLOOKUP($A46,expiration,2,FALSE())-$B$2</f>
        <v>-8220</v>
      </c>
      <c r="AG46" s="64" t="n">
        <f aca="false">VLOOKUP($A46,expiration,3,FALSE())-$B$2</f>
        <v>-8221</v>
      </c>
      <c r="AH46" s="4" t="n">
        <f aca="false">VLOOKUP($A46,STRADDLE,14,FALSE())</f>
        <v>0.0263622508614558</v>
      </c>
      <c r="AI46" s="72" t="n">
        <f aca="false">A47-A46</f>
        <v>30</v>
      </c>
      <c r="AJ46" s="76"/>
      <c r="AK46" s="76"/>
      <c r="AL46" s="76"/>
      <c r="AM46" s="76"/>
      <c r="AN46" s="73" t="n">
        <f aca="false">IF($A46&gt;=AO$25,IF($A46&lt;=AO$26,$AI46,0),0)</f>
        <v>0</v>
      </c>
      <c r="AO46" s="196" t="e">
        <f aca="false">AQ46/AN46</f>
        <v>#DIV/0!</v>
      </c>
      <c r="AP46" s="1" t="n">
        <f aca="false">AN46*($B46+B$13)</f>
        <v>0</v>
      </c>
      <c r="AQ46" s="47" t="n">
        <f aca="false">IF(ISNUMBER(((AP46/AN46)+B$14+$D46)*AN46),((AP46/AN46)+B$14+$D46)*AN46,0)</f>
        <v>0</v>
      </c>
      <c r="AR46" s="76" t="n">
        <f aca="false">IF(AN46=0,0,bsd(1,AS$27,AO46,$I46,$F46,$G46,$AH46,0.1))</f>
        <v>0</v>
      </c>
      <c r="AS46" s="76" t="n">
        <f aca="false">IF(AN46=0,0,bsd(2,AS$27,AO46,$I46,$F46,$G46,$AH46,0.1))</f>
        <v>0</v>
      </c>
      <c r="AT46" s="76" t="n">
        <f aca="false">IF(AN46=0,0,bsd(AS$28,AS$27,AO46,$I46,$F46,$G46,$AH46,0.1))</f>
        <v>0</v>
      </c>
      <c r="AU46" s="37" t="n">
        <f aca="false">AN46*AR46</f>
        <v>0</v>
      </c>
      <c r="AV46" s="37" t="n">
        <f aca="false">AN46*AS46</f>
        <v>0</v>
      </c>
      <c r="AW46" s="37" t="n">
        <f aca="false">AN46*AT46</f>
        <v>0</v>
      </c>
      <c r="AY46" s="73" t="n">
        <f aca="false">IF($A46&gt;=AZ$25,IF($A46&lt;=AZ$26,$AI46,0),0)</f>
        <v>0</v>
      </c>
      <c r="AZ46" s="196" t="e">
        <f aca="false">BB46/AY46</f>
        <v>#DIV/0!</v>
      </c>
      <c r="BA46" s="1" t="n">
        <f aca="false">AY46*($B46+D$13)</f>
        <v>0</v>
      </c>
      <c r="BB46" s="47" t="n">
        <f aca="false">IF(ISNUMBER(((BA46/AY46)+D$14+$K46)*AY46),((BA46/AY46)+D$14+$K46)*AY46,0)</f>
        <v>0</v>
      </c>
      <c r="BC46" s="76" t="n">
        <f aca="false">IF(AY46=0,0,bsd(1,BD$27,AZ46,$P46,$M46,$N46,$AH46,0.1))</f>
        <v>0</v>
      </c>
      <c r="BD46" s="76" t="n">
        <f aca="false">IF(AY46=0,0,bsd(2,BD$27,AZ46,$P46,$M46,$N46,$AH46,0.1))</f>
        <v>0</v>
      </c>
      <c r="BE46" s="76" t="n">
        <f aca="false">IF(AY46=0,0,bsd(BD$28,BD$27,AZ46,$P46,$M46,$N46,$AH46,0.1))</f>
        <v>0</v>
      </c>
      <c r="BF46" s="37" t="n">
        <f aca="false">AY46*BC46</f>
        <v>0</v>
      </c>
      <c r="BG46" s="37" t="n">
        <f aca="false">AY46*BD46</f>
        <v>0</v>
      </c>
      <c r="BH46" s="37" t="n">
        <f aca="false">AY46*BE46</f>
        <v>0</v>
      </c>
      <c r="BJ46" s="73" t="n">
        <f aca="false">IF($A46&gt;=BK$25,IF($A46&lt;=BK$26,$AI46,0),0)</f>
        <v>0</v>
      </c>
      <c r="BK46" s="196" t="e">
        <f aca="false">BM46/BJ46</f>
        <v>#DIV/0!</v>
      </c>
      <c r="BL46" s="1" t="n">
        <f aca="false">BJ46*($B46+F$13)</f>
        <v>0</v>
      </c>
      <c r="BM46" s="47" t="n">
        <f aca="false">IF(ISNUMBER(((BL46/BJ46)+F$14+$R46)*BJ46),((BL46/BJ46)+F$14+$R46)*BJ46,0)</f>
        <v>0</v>
      </c>
      <c r="BN46" s="76" t="n">
        <f aca="false">IF(BJ46=0,0,bsd(1,BO$27,BK46,$W46,$T46,$U46,$AH46,0.1))</f>
        <v>0</v>
      </c>
      <c r="BO46" s="76" t="n">
        <f aca="false">IF(BJ46=0,0,bsd(2,BO$27,BK46,$W46,$T46,$U46,$AH46,0.1))</f>
        <v>0</v>
      </c>
      <c r="BP46" s="76" t="n">
        <f aca="false">IF(BJ46=0,0,bsd(BO$28,BO$27,BK46,$W46,$T46,$U46,$AH46,0.1))</f>
        <v>0</v>
      </c>
      <c r="BQ46" s="37" t="n">
        <f aca="false">BJ46*BN46</f>
        <v>0</v>
      </c>
      <c r="BR46" s="37" t="n">
        <f aca="false">BJ46*BO46</f>
        <v>0</v>
      </c>
      <c r="BS46" s="37" t="n">
        <f aca="false">BJ46*BP46</f>
        <v>0</v>
      </c>
      <c r="BU46" s="73" t="n">
        <f aca="false">IF($A46&gt;=BV$25,IF($A46&lt;=BV$26,$AI46,0),0)</f>
        <v>0</v>
      </c>
      <c r="BV46" s="196" t="e">
        <f aca="false">BX46/BU46</f>
        <v>#DIV/0!</v>
      </c>
      <c r="BW46" s="1" t="n">
        <f aca="false">BU46*($B46+H$13)</f>
        <v>0</v>
      </c>
      <c r="BX46" s="47" t="n">
        <f aca="false">IF(ISNUMBER(((BW46/BU46)+H$14+$Y46)*BU46),((BW46/BU46)+H$14+$Y46)*BU46,0)</f>
        <v>0</v>
      </c>
      <c r="BY46" s="76" t="n">
        <f aca="false">IF(BU46=0,0,bsd(1,BZ$27,BV46,$AD46,$AA46,$AB46,$AH46,0.1))</f>
        <v>0</v>
      </c>
      <c r="BZ46" s="76" t="n">
        <f aca="false">IF(BU46=0,0,bsd(2,BZ$27,BV46,$AD46,$AA46,$AB46,$AH46,0.1))</f>
        <v>0</v>
      </c>
      <c r="CA46" s="76" t="n">
        <f aca="false">IF(BU46=0,0,bsd(BZ$28,BZ$27,BV46,$AD46,$AA46,$AB46,$AH46,0.1))</f>
        <v>0</v>
      </c>
      <c r="CB46" s="37" t="n">
        <f aca="false">BU46*BY46</f>
        <v>0</v>
      </c>
      <c r="CC46" s="37" t="n">
        <f aca="false">BU46*BZ46</f>
        <v>0</v>
      </c>
      <c r="CD46" s="37" t="n">
        <f aca="false">BU46*CA46</f>
        <v>0</v>
      </c>
    </row>
    <row r="47" customFormat="false" ht="12.75" hidden="false" customHeight="false" outlineLevel="0" collapsed="false">
      <c r="A47" s="62" t="n">
        <f aca="false">DATE(YEAR(A46),MONTH(A46)+1,1)</f>
        <v>37742</v>
      </c>
      <c r="B47" s="63" t="n">
        <f aca="false">VLOOKUP(A47,STRADDLE,5,FALSE())</f>
        <v>3.1</v>
      </c>
      <c r="C47" s="4" t="n">
        <f aca="false">VLOOKUP(A47,STRADDLE,8,FALSE())</f>
        <v>0.3725</v>
      </c>
      <c r="D47" s="63" t="n">
        <f aca="false">IF(D$28="nymex",0,VLOOKUP($A47,curvesettle,HLOOKUP(D$28,curvesettle,2,FALSE())))</f>
        <v>-0.0725</v>
      </c>
      <c r="E47" s="65" t="n">
        <f aca="false">IF(ISNUMBER(VLOOKUP($A47,VOLCURVES,HLOOKUP(D$28,VOLCURVES,2,FALSE()),FALSE())),VLOOKUP($A47,VOLCURVES,HLOOKUP(D$28,VOLCURVES,2,FALSE()),FALSE()),1)</f>
        <v>1</v>
      </c>
      <c r="F47" s="64" t="n">
        <f aca="false">IF(D$28="NYMEX",$AG47,$AF47)</f>
        <v>-8188</v>
      </c>
      <c r="G47" s="4" t="e">
        <f aca="false">(($C47+H47)*$E47)+B$15</f>
        <v>#DIV/0!</v>
      </c>
      <c r="H47" s="4" t="e">
        <f aca="false">IF(B$16=1,xCalcSkew(A47,I47-AO47,b)/100,0)</f>
        <v>#DIV/0!</v>
      </c>
      <c r="I47" s="66" t="n">
        <f aca="false">IF($B$19=4,$AO47,$B$18)</f>
        <v>5</v>
      </c>
      <c r="K47" s="63" t="n">
        <f aca="false">IF(K$28="nymex",0,VLOOKUP($A47,curvesettle,HLOOKUP(K$28,curvesettle,2,FALSE())))</f>
        <v>-0.0725</v>
      </c>
      <c r="L47" s="65" t="n">
        <f aca="false">IF(ISNUMBER(VLOOKUP($A47,VOLCURVES,HLOOKUP(K$28,VOLCURVES,2,FALSE()),FALSE())),VLOOKUP($A47,VOLCURVES,HLOOKUP(K$28,VOLCURVES,2,FALSE()),FALSE()),1)</f>
        <v>1</v>
      </c>
      <c r="M47" s="64" t="n">
        <f aca="false">IF(K$28="NYMEX",$AG47,$AF47)</f>
        <v>-8188</v>
      </c>
      <c r="N47" s="184" t="e">
        <f aca="false">(($C47+O47)*$L47)+D$15</f>
        <v>#DIV/0!</v>
      </c>
      <c r="O47" s="4" t="e">
        <f aca="false">IF(D$16=1,xCalcSkew($A47,P47-AZ47,b)/100,0)</f>
        <v>#DIV/0!</v>
      </c>
      <c r="P47" s="66" t="n">
        <f aca="false">IF($D$19=4,$AZ47,$D$18)</f>
        <v>3</v>
      </c>
      <c r="R47" s="63" t="n">
        <f aca="false">IF(R$28="nymex",0,VLOOKUP($A47,curvesettle,HLOOKUP(R$28,curvesettle,2,FALSE())))</f>
        <v>-0.435</v>
      </c>
      <c r="S47" s="65" t="n">
        <f aca="false">IF(ISNUMBER(VLOOKUP($A47,VOLCURVES,HLOOKUP(R$28,VOLCURVES,2,FALSE()),FALSE())),VLOOKUP($A47,VOLCURVES,HLOOKUP(R$28,VOLCURVES,2,FALSE()),FALSE()),1)</f>
        <v>1</v>
      </c>
      <c r="T47" s="64" t="n">
        <f aca="false">IF(R$28="NYMEX",$AG47,$AF47)</f>
        <v>-8188</v>
      </c>
      <c r="U47" s="184" t="e">
        <f aca="false">(($C47+V47)*$S47)+F$15</f>
        <v>#DIV/0!</v>
      </c>
      <c r="V47" s="4" t="e">
        <f aca="false">IF(F$16=1,xCalcSkew($A47,W47-BK47,b)/100,0)</f>
        <v>#DIV/0!</v>
      </c>
      <c r="W47" s="66" t="n">
        <f aca="false">IF($F$19=4,$BK47,$F$18)</f>
        <v>2.55</v>
      </c>
      <c r="X47" s="64"/>
      <c r="Y47" s="63" t="n">
        <f aca="false">IF(Y$28="nymex",0,VLOOKUP($A47,curvesettle,HLOOKUP(Y$28,curvesettle,2,FALSE())))</f>
        <v>0</v>
      </c>
      <c r="Z47" s="65" t="n">
        <f aca="false">IF(ISNUMBER(VLOOKUP($A47,VOLCURVES,HLOOKUP(Y$28,VOLCURVES,2,FALSE()),FALSE())),VLOOKUP($A47,VOLCURVES,HLOOKUP(Y$28,VOLCURVES,2,FALSE()),FALSE()),1)</f>
        <v>1</v>
      </c>
      <c r="AA47" s="64" t="n">
        <f aca="false">IF(Y$28="NYMEX",$AG47,$AF47)</f>
        <v>-8191</v>
      </c>
      <c r="AB47" s="4" t="e">
        <f aca="false">(($C47+AC47)*$Z47)+H$15</f>
        <v>#DIV/0!</v>
      </c>
      <c r="AC47" s="4" t="e">
        <f aca="false">IF(H$16=1,xCalcSkew($A47,AD47-BV47,b)/100,0)</f>
        <v>#DIV/0!</v>
      </c>
      <c r="AD47" s="66" t="n">
        <f aca="false">IF($H$19=4,$BV47,$H$18)</f>
        <v>2.9</v>
      </c>
      <c r="AF47" s="64" t="n">
        <f aca="false">VLOOKUP($A47,expiration,2,FALSE())-$B$2</f>
        <v>-8188</v>
      </c>
      <c r="AG47" s="64" t="n">
        <f aca="false">VLOOKUP($A47,expiration,3,FALSE())-$B$2</f>
        <v>-8191</v>
      </c>
      <c r="AH47" s="4" t="n">
        <f aca="false">VLOOKUP($A47,STRADDLE,14,FALSE())</f>
        <v>0.0272889724476766</v>
      </c>
      <c r="AI47" s="72" t="n">
        <f aca="false">A48-A47</f>
        <v>31</v>
      </c>
      <c r="AJ47" s="76"/>
      <c r="AK47" s="76"/>
      <c r="AL47" s="76"/>
      <c r="AM47" s="76"/>
      <c r="AN47" s="73" t="n">
        <f aca="false">IF($A47&gt;=AO$25,IF($A47&lt;=AO$26,$AI47,0),0)</f>
        <v>0</v>
      </c>
      <c r="AO47" s="196" t="e">
        <f aca="false">AQ47/AN47</f>
        <v>#DIV/0!</v>
      </c>
      <c r="AP47" s="1" t="n">
        <f aca="false">AN47*($B47+B$13)</f>
        <v>0</v>
      </c>
      <c r="AQ47" s="47" t="n">
        <f aca="false">IF(ISNUMBER(((AP47/AN47)+B$14+$D47)*AN47),((AP47/AN47)+B$14+$D47)*AN47,0)</f>
        <v>0</v>
      </c>
      <c r="AR47" s="76" t="n">
        <f aca="false">IF(AN47=0,0,bsd(1,AS$27,AO47,$I47,$F47,$G47,$AH47,0.1))</f>
        <v>0</v>
      </c>
      <c r="AS47" s="76" t="n">
        <f aca="false">IF(AN47=0,0,bsd(2,AS$27,AO47,$I47,$F47,$G47,$AH47,0.1))</f>
        <v>0</v>
      </c>
      <c r="AT47" s="76" t="n">
        <f aca="false">IF(AN47=0,0,bsd(AS$28,AS$27,AO47,$I47,$F47,$G47,$AH47,0.1))</f>
        <v>0</v>
      </c>
      <c r="AU47" s="37" t="n">
        <f aca="false">AN47*AR47</f>
        <v>0</v>
      </c>
      <c r="AV47" s="37" t="n">
        <f aca="false">AN47*AS47</f>
        <v>0</v>
      </c>
      <c r="AW47" s="37" t="n">
        <f aca="false">AN47*AT47</f>
        <v>0</v>
      </c>
      <c r="AY47" s="73" t="n">
        <f aca="false">IF($A47&gt;=AZ$25,IF($A47&lt;=AZ$26,$AI47,0),0)</f>
        <v>0</v>
      </c>
      <c r="AZ47" s="196" t="e">
        <f aca="false">BB47/AY47</f>
        <v>#DIV/0!</v>
      </c>
      <c r="BA47" s="1" t="n">
        <f aca="false">AY47*($B47+D$13)</f>
        <v>0</v>
      </c>
      <c r="BB47" s="47" t="n">
        <f aca="false">IF(ISNUMBER(((BA47/AY47)+D$14+$K47)*AY47),((BA47/AY47)+D$14+$K47)*AY47,0)</f>
        <v>0</v>
      </c>
      <c r="BC47" s="76" t="n">
        <f aca="false">IF(AY47=0,0,bsd(1,BD$27,AZ47,$P47,$M47,$N47,$AH47,0.1))</f>
        <v>0</v>
      </c>
      <c r="BD47" s="76" t="n">
        <f aca="false">IF(AY47=0,0,bsd(2,BD$27,AZ47,$P47,$M47,$N47,$AH47,0.1))</f>
        <v>0</v>
      </c>
      <c r="BE47" s="76" t="n">
        <f aca="false">IF(AY47=0,0,bsd(BD$28,BD$27,AZ47,$P47,$M47,$N47,$AH47,0.1))</f>
        <v>0</v>
      </c>
      <c r="BF47" s="37" t="n">
        <f aca="false">AY47*BC47</f>
        <v>0</v>
      </c>
      <c r="BG47" s="37" t="n">
        <f aca="false">AY47*BD47</f>
        <v>0</v>
      </c>
      <c r="BH47" s="37" t="n">
        <f aca="false">AY47*BE47</f>
        <v>0</v>
      </c>
      <c r="BJ47" s="73" t="n">
        <f aca="false">IF($A47&gt;=BK$25,IF($A47&lt;=BK$26,$AI47,0),0)</f>
        <v>0</v>
      </c>
      <c r="BK47" s="196" t="e">
        <f aca="false">BM47/BJ47</f>
        <v>#DIV/0!</v>
      </c>
      <c r="BL47" s="1" t="n">
        <f aca="false">BJ47*($B47+F$13)</f>
        <v>0</v>
      </c>
      <c r="BM47" s="47" t="n">
        <f aca="false">IF(ISNUMBER(((BL47/BJ47)+F$14+$R47)*BJ47),((BL47/BJ47)+F$14+$R47)*BJ47,0)</f>
        <v>0</v>
      </c>
      <c r="BN47" s="76" t="n">
        <f aca="false">IF(BJ47=0,0,bsd(1,BO$27,BK47,$W47,$T47,$U47,$AH47,0.1))</f>
        <v>0</v>
      </c>
      <c r="BO47" s="76" t="n">
        <f aca="false">IF(BJ47=0,0,bsd(2,BO$27,BK47,$W47,$T47,$U47,$AH47,0.1))</f>
        <v>0</v>
      </c>
      <c r="BP47" s="76" t="n">
        <f aca="false">IF(BJ47=0,0,bsd(BO$28,BO$27,BK47,$W47,$T47,$U47,$AH47,0.1))</f>
        <v>0</v>
      </c>
      <c r="BQ47" s="37" t="n">
        <f aca="false">BJ47*BN47</f>
        <v>0</v>
      </c>
      <c r="BR47" s="37" t="n">
        <f aca="false">BJ47*BO47</f>
        <v>0</v>
      </c>
      <c r="BS47" s="37" t="n">
        <f aca="false">BJ47*BP47</f>
        <v>0</v>
      </c>
      <c r="BU47" s="73" t="n">
        <f aca="false">IF($A47&gt;=BV$25,IF($A47&lt;=BV$26,$AI47,0),0)</f>
        <v>0</v>
      </c>
      <c r="BV47" s="196" t="e">
        <f aca="false">BX47/BU47</f>
        <v>#DIV/0!</v>
      </c>
      <c r="BW47" s="1" t="n">
        <f aca="false">BU47*($B47+H$13)</f>
        <v>0</v>
      </c>
      <c r="BX47" s="47" t="n">
        <f aca="false">IF(ISNUMBER(((BW47/BU47)+H$14+$Y47)*BU47),((BW47/BU47)+H$14+$Y47)*BU47,0)</f>
        <v>0</v>
      </c>
      <c r="BY47" s="76" t="n">
        <f aca="false">IF(BU47=0,0,bsd(1,BZ$27,BV47,$AD47,$AA47,$AB47,$AH47,0.1))</f>
        <v>0</v>
      </c>
      <c r="BZ47" s="76" t="n">
        <f aca="false">IF(BU47=0,0,bsd(2,BZ$27,BV47,$AD47,$AA47,$AB47,$AH47,0.1))</f>
        <v>0</v>
      </c>
      <c r="CA47" s="76" t="n">
        <f aca="false">IF(BU47=0,0,bsd(BZ$28,BZ$27,BV47,$AD47,$AA47,$AB47,$AH47,0.1))</f>
        <v>0</v>
      </c>
      <c r="CB47" s="37" t="n">
        <f aca="false">BU47*BY47</f>
        <v>0</v>
      </c>
      <c r="CC47" s="37" t="n">
        <f aca="false">BU47*BZ47</f>
        <v>0</v>
      </c>
      <c r="CD47" s="37" t="n">
        <f aca="false">BU47*CA47</f>
        <v>0</v>
      </c>
    </row>
    <row r="48" customFormat="false" ht="12.75" hidden="false" customHeight="false" outlineLevel="0" collapsed="false">
      <c r="A48" s="62" t="n">
        <f aca="false">DATE(YEAR(A47),MONTH(A47)+1,1)</f>
        <v>37773</v>
      </c>
      <c r="B48" s="63" t="n">
        <f aca="false">VLOOKUP(A48,STRADDLE,5,FALSE())</f>
        <v>3.135</v>
      </c>
      <c r="C48" s="4" t="n">
        <f aca="false">VLOOKUP(A48,STRADDLE,8,FALSE())</f>
        <v>0.3675</v>
      </c>
      <c r="D48" s="63" t="n">
        <f aca="false">IF(D$28="nymex",0,VLOOKUP($A48,curvesettle,HLOOKUP(D$28,curvesettle,2,FALSE())))</f>
        <v>-0.0725</v>
      </c>
      <c r="E48" s="65" t="n">
        <f aca="false">IF(ISNUMBER(VLOOKUP($A48,VOLCURVES,HLOOKUP(D$28,VOLCURVES,2,FALSE()),FALSE())),VLOOKUP($A48,VOLCURVES,HLOOKUP(D$28,VOLCURVES,2,FALSE()),FALSE()),1)</f>
        <v>1</v>
      </c>
      <c r="F48" s="64" t="n">
        <f aca="false">IF(D$28="NYMEX",$AG48,$AF48)</f>
        <v>-8158</v>
      </c>
      <c r="G48" s="4" t="e">
        <f aca="false">(($C48+H48)*$E48)+B$15</f>
        <v>#DIV/0!</v>
      </c>
      <c r="H48" s="4" t="e">
        <f aca="false">IF(B$16=1,xCalcSkew(A48,I48-AO48,b)/100,0)</f>
        <v>#DIV/0!</v>
      </c>
      <c r="I48" s="66" t="n">
        <f aca="false">IF($B$19=4,$AO48,$B$18)</f>
        <v>5</v>
      </c>
      <c r="K48" s="63" t="n">
        <f aca="false">IF(K$28="nymex",0,VLOOKUP($A48,curvesettle,HLOOKUP(K$28,curvesettle,2,FALSE())))</f>
        <v>-0.0725</v>
      </c>
      <c r="L48" s="65" t="n">
        <f aca="false">IF(ISNUMBER(VLOOKUP($A48,VOLCURVES,HLOOKUP(K$28,VOLCURVES,2,FALSE()),FALSE())),VLOOKUP($A48,VOLCURVES,HLOOKUP(K$28,VOLCURVES,2,FALSE()),FALSE()),1)</f>
        <v>1</v>
      </c>
      <c r="M48" s="64" t="n">
        <f aca="false">IF(K$28="NYMEX",$AG48,$AF48)</f>
        <v>-8158</v>
      </c>
      <c r="N48" s="184" t="e">
        <f aca="false">(($C48+O48)*$L48)+D$15</f>
        <v>#DIV/0!</v>
      </c>
      <c r="O48" s="4" t="e">
        <f aca="false">IF(D$16=1,xCalcSkew($A48,P48-AZ48,b)/100,0)</f>
        <v>#DIV/0!</v>
      </c>
      <c r="P48" s="66" t="n">
        <f aca="false">IF($D$19=4,$AZ48,$D$18)</f>
        <v>3</v>
      </c>
      <c r="R48" s="63" t="n">
        <f aca="false">IF(R$28="nymex",0,VLOOKUP($A48,curvesettle,HLOOKUP(R$28,curvesettle,2,FALSE())))</f>
        <v>-0.435</v>
      </c>
      <c r="S48" s="65" t="n">
        <f aca="false">IF(ISNUMBER(VLOOKUP($A48,VOLCURVES,HLOOKUP(R$28,VOLCURVES,2,FALSE()),FALSE())),VLOOKUP($A48,VOLCURVES,HLOOKUP(R$28,VOLCURVES,2,FALSE()),FALSE()),1)</f>
        <v>1</v>
      </c>
      <c r="T48" s="64" t="n">
        <f aca="false">IF(R$28="NYMEX",$AG48,$AF48)</f>
        <v>-8158</v>
      </c>
      <c r="U48" s="184" t="e">
        <f aca="false">(($C48+V48)*$S48)+F$15</f>
        <v>#DIV/0!</v>
      </c>
      <c r="V48" s="4" t="e">
        <f aca="false">IF(F$16=1,xCalcSkew($A48,W48-BK48,b)/100,0)</f>
        <v>#DIV/0!</v>
      </c>
      <c r="W48" s="66" t="n">
        <f aca="false">IF($F$19=4,$BK48,$F$18)</f>
        <v>2.55</v>
      </c>
      <c r="X48" s="64"/>
      <c r="Y48" s="63" t="n">
        <f aca="false">IF(Y$28="nymex",0,VLOOKUP($A48,curvesettle,HLOOKUP(Y$28,curvesettle,2,FALSE())))</f>
        <v>0</v>
      </c>
      <c r="Z48" s="65" t="n">
        <f aca="false">IF(ISNUMBER(VLOOKUP($A48,VOLCURVES,HLOOKUP(Y$28,VOLCURVES,2,FALSE()),FALSE())),VLOOKUP($A48,VOLCURVES,HLOOKUP(Y$28,VOLCURVES,2,FALSE()),FALSE()),1)</f>
        <v>1</v>
      </c>
      <c r="AA48" s="64" t="n">
        <f aca="false">IF(Y$28="NYMEX",$AG48,$AF48)</f>
        <v>-8159</v>
      </c>
      <c r="AB48" s="4" t="e">
        <f aca="false">(($C48+AC48)*$Z48)+H$15</f>
        <v>#DIV/0!</v>
      </c>
      <c r="AC48" s="4" t="e">
        <f aca="false">IF(H$16=1,xCalcSkew($A48,AD48-BV48,b)/100,0)</f>
        <v>#DIV/0!</v>
      </c>
      <c r="AD48" s="66" t="n">
        <f aca="false">IF($H$19=4,$BV48,$H$18)</f>
        <v>2.9</v>
      </c>
      <c r="AF48" s="64" t="n">
        <f aca="false">VLOOKUP($A48,expiration,2,FALSE())-$B$2</f>
        <v>-8158</v>
      </c>
      <c r="AG48" s="64" t="n">
        <f aca="false">VLOOKUP($A48,expiration,3,FALSE())-$B$2</f>
        <v>-8159</v>
      </c>
      <c r="AH48" s="4" t="n">
        <f aca="false">VLOOKUP($A48,STRADDLE,14,FALSE())</f>
        <v>0.0282465850580524</v>
      </c>
      <c r="AI48" s="72" t="n">
        <f aca="false">A49-A48</f>
        <v>30</v>
      </c>
      <c r="AJ48" s="76"/>
      <c r="AK48" s="76"/>
      <c r="AL48" s="76"/>
      <c r="AM48" s="76"/>
      <c r="AN48" s="73" t="n">
        <f aca="false">IF($A48&gt;=AO$25,IF($A48&lt;=AO$26,$AI48,0),0)</f>
        <v>0</v>
      </c>
      <c r="AO48" s="196" t="e">
        <f aca="false">AQ48/AN48</f>
        <v>#DIV/0!</v>
      </c>
      <c r="AP48" s="1" t="n">
        <f aca="false">AN48*($B48+B$13)</f>
        <v>0</v>
      </c>
      <c r="AQ48" s="47" t="n">
        <f aca="false">IF(ISNUMBER(((AP48/AN48)+B$14+$D48)*AN48),((AP48/AN48)+B$14+$D48)*AN48,0)</f>
        <v>0</v>
      </c>
      <c r="AR48" s="76" t="n">
        <f aca="false">IF(AN48=0,0,bsd(1,AS$27,AO48,$I48,$F48,$G48,$AH48,0.1))</f>
        <v>0</v>
      </c>
      <c r="AS48" s="76" t="n">
        <f aca="false">IF(AN48=0,0,bsd(2,AS$27,AO48,$I48,$F48,$G48,$AH48,0.1))</f>
        <v>0</v>
      </c>
      <c r="AT48" s="76" t="n">
        <f aca="false">IF(AN48=0,0,bsd(AS$28,AS$27,AO48,$I48,$F48,$G48,$AH48,0.1))</f>
        <v>0</v>
      </c>
      <c r="AU48" s="37" t="n">
        <f aca="false">AN48*AR48</f>
        <v>0</v>
      </c>
      <c r="AV48" s="37" t="n">
        <f aca="false">AN48*AS48</f>
        <v>0</v>
      </c>
      <c r="AW48" s="37" t="n">
        <f aca="false">AN48*AT48</f>
        <v>0</v>
      </c>
      <c r="AY48" s="73" t="n">
        <f aca="false">IF($A48&gt;=AZ$25,IF($A48&lt;=AZ$26,$AI48,0),0)</f>
        <v>0</v>
      </c>
      <c r="AZ48" s="196" t="e">
        <f aca="false">BB48/AY48</f>
        <v>#DIV/0!</v>
      </c>
      <c r="BA48" s="1" t="n">
        <f aca="false">AY48*($B48+D$13)</f>
        <v>0</v>
      </c>
      <c r="BB48" s="47" t="n">
        <f aca="false">IF(ISNUMBER(((BA48/AY48)+D$14+$K48)*AY48),((BA48/AY48)+D$14+$K48)*AY48,0)</f>
        <v>0</v>
      </c>
      <c r="BC48" s="76" t="n">
        <f aca="false">IF(AY48=0,0,bsd(1,BD$27,AZ48,$P48,$M48,$N48,$AH48,0.1))</f>
        <v>0</v>
      </c>
      <c r="BD48" s="76" t="n">
        <f aca="false">IF(AY48=0,0,bsd(2,BD$27,AZ48,$P48,$M48,$N48,$AH48,0.1))</f>
        <v>0</v>
      </c>
      <c r="BE48" s="76" t="n">
        <f aca="false">IF(AY48=0,0,bsd(BD$28,BD$27,AZ48,$P48,$M48,$N48,$AH48,0.1))</f>
        <v>0</v>
      </c>
      <c r="BF48" s="37" t="n">
        <f aca="false">AY48*BC48</f>
        <v>0</v>
      </c>
      <c r="BG48" s="37" t="n">
        <f aca="false">AY48*BD48</f>
        <v>0</v>
      </c>
      <c r="BH48" s="37" t="n">
        <f aca="false">AY48*BE48</f>
        <v>0</v>
      </c>
      <c r="BJ48" s="73" t="n">
        <f aca="false">IF($A48&gt;=BK$25,IF($A48&lt;=BK$26,$AI48,0),0)</f>
        <v>0</v>
      </c>
      <c r="BK48" s="196" t="e">
        <f aca="false">BM48/BJ48</f>
        <v>#DIV/0!</v>
      </c>
      <c r="BL48" s="1" t="n">
        <f aca="false">BJ48*($B48+F$13)</f>
        <v>0</v>
      </c>
      <c r="BM48" s="47" t="n">
        <f aca="false">IF(ISNUMBER(((BL48/BJ48)+F$14+$R48)*BJ48),((BL48/BJ48)+F$14+$R48)*BJ48,0)</f>
        <v>0</v>
      </c>
      <c r="BN48" s="76" t="n">
        <f aca="false">IF(BJ48=0,0,bsd(1,BO$27,BK48,$W48,$T48,$U48,$AH48,0.1))</f>
        <v>0</v>
      </c>
      <c r="BO48" s="76" t="n">
        <f aca="false">IF(BJ48=0,0,bsd(2,BO$27,BK48,$W48,$T48,$U48,$AH48,0.1))</f>
        <v>0</v>
      </c>
      <c r="BP48" s="76" t="n">
        <f aca="false">IF(BJ48=0,0,bsd(BO$28,BO$27,BK48,$W48,$T48,$U48,$AH48,0.1))</f>
        <v>0</v>
      </c>
      <c r="BQ48" s="37" t="n">
        <f aca="false">BJ48*BN48</f>
        <v>0</v>
      </c>
      <c r="BR48" s="37" t="n">
        <f aca="false">BJ48*BO48</f>
        <v>0</v>
      </c>
      <c r="BS48" s="37" t="n">
        <f aca="false">BJ48*BP48</f>
        <v>0</v>
      </c>
      <c r="BU48" s="73" t="n">
        <f aca="false">IF($A48&gt;=BV$25,IF($A48&lt;=BV$26,$AI48,0),0)</f>
        <v>0</v>
      </c>
      <c r="BV48" s="196" t="e">
        <f aca="false">BX48/BU48</f>
        <v>#DIV/0!</v>
      </c>
      <c r="BW48" s="1" t="n">
        <f aca="false">BU48*($B48+H$13)</f>
        <v>0</v>
      </c>
      <c r="BX48" s="47" t="n">
        <f aca="false">IF(ISNUMBER(((BW48/BU48)+H$14+$Y48)*BU48),((BW48/BU48)+H$14+$Y48)*BU48,0)</f>
        <v>0</v>
      </c>
      <c r="BY48" s="76" t="n">
        <f aca="false">IF(BU48=0,0,bsd(1,BZ$27,BV48,$AD48,$AA48,$AB48,$AH48,0.1))</f>
        <v>0</v>
      </c>
      <c r="BZ48" s="76" t="n">
        <f aca="false">IF(BU48=0,0,bsd(2,BZ$27,BV48,$AD48,$AA48,$AB48,$AH48,0.1))</f>
        <v>0</v>
      </c>
      <c r="CA48" s="76" t="n">
        <f aca="false">IF(BU48=0,0,bsd(BZ$28,BZ$27,BV48,$AD48,$AA48,$AB48,$AH48,0.1))</f>
        <v>0</v>
      </c>
      <c r="CB48" s="37" t="n">
        <f aca="false">BU48*BY48</f>
        <v>0</v>
      </c>
      <c r="CC48" s="37" t="n">
        <f aca="false">BU48*BZ48</f>
        <v>0</v>
      </c>
      <c r="CD48" s="37" t="n">
        <f aca="false">BU48*CA48</f>
        <v>0</v>
      </c>
    </row>
    <row r="49" customFormat="false" ht="12.75" hidden="false" customHeight="false" outlineLevel="0" collapsed="false">
      <c r="A49" s="62" t="n">
        <f aca="false">DATE(YEAR(A48),MONTH(A48)+1,1)</f>
        <v>37803</v>
      </c>
      <c r="B49" s="63" t="n">
        <f aca="false">VLOOKUP(A49,STRADDLE,5,FALSE())</f>
        <v>3.177</v>
      </c>
      <c r="C49" s="4" t="n">
        <f aca="false">VLOOKUP(A49,STRADDLE,8,FALSE())</f>
        <v>0.3675</v>
      </c>
      <c r="D49" s="63" t="n">
        <f aca="false">IF(D$28="nymex",0,VLOOKUP($A49,curvesettle,HLOOKUP(D$28,curvesettle,2,FALSE())))</f>
        <v>-0.0725</v>
      </c>
      <c r="E49" s="65" t="n">
        <f aca="false">IF(ISNUMBER(VLOOKUP($A49,VOLCURVES,HLOOKUP(D$28,VOLCURVES,2,FALSE()),FALSE())),VLOOKUP($A49,VOLCURVES,HLOOKUP(D$28,VOLCURVES,2,FALSE()),FALSE()),1)</f>
        <v>1</v>
      </c>
      <c r="F49" s="64" t="n">
        <f aca="false">IF(D$28="NYMEX",$AG49,$AF49)</f>
        <v>-8129</v>
      </c>
      <c r="G49" s="4" t="e">
        <f aca="false">(($C49+H49)*$E49)+B$15</f>
        <v>#DIV/0!</v>
      </c>
      <c r="H49" s="4" t="e">
        <f aca="false">IF(B$16=1,xCalcSkew(A49,I49-AO49,b)/100,0)</f>
        <v>#DIV/0!</v>
      </c>
      <c r="I49" s="66" t="n">
        <f aca="false">IF($B$19=4,$AO49,$B$18)</f>
        <v>5</v>
      </c>
      <c r="K49" s="63" t="n">
        <f aca="false">IF(K$28="nymex",0,VLOOKUP($A49,curvesettle,HLOOKUP(K$28,curvesettle,2,FALSE())))</f>
        <v>-0.0725</v>
      </c>
      <c r="L49" s="65" t="n">
        <f aca="false">IF(ISNUMBER(VLOOKUP($A49,VOLCURVES,HLOOKUP(K$28,VOLCURVES,2,FALSE()),FALSE())),VLOOKUP($A49,VOLCURVES,HLOOKUP(K$28,VOLCURVES,2,FALSE()),FALSE()),1)</f>
        <v>1</v>
      </c>
      <c r="M49" s="64" t="n">
        <f aca="false">IF(K$28="NYMEX",$AG49,$AF49)</f>
        <v>-8129</v>
      </c>
      <c r="N49" s="184" t="e">
        <f aca="false">(($C49+O49)*$L49)+D$15</f>
        <v>#DIV/0!</v>
      </c>
      <c r="O49" s="4" t="e">
        <f aca="false">IF(D$16=1,xCalcSkew($A49,P49-AZ49,b)/100,0)</f>
        <v>#DIV/0!</v>
      </c>
      <c r="P49" s="66" t="n">
        <f aca="false">IF($D$19=4,$AZ49,$D$18)</f>
        <v>3</v>
      </c>
      <c r="R49" s="63" t="n">
        <f aca="false">IF(R$28="nymex",0,VLOOKUP($A49,curvesettle,HLOOKUP(R$28,curvesettle,2,FALSE())))</f>
        <v>-0.435</v>
      </c>
      <c r="S49" s="65" t="n">
        <f aca="false">IF(ISNUMBER(VLOOKUP($A49,VOLCURVES,HLOOKUP(R$28,VOLCURVES,2,FALSE()),FALSE())),VLOOKUP($A49,VOLCURVES,HLOOKUP(R$28,VOLCURVES,2,FALSE()),FALSE()),1)</f>
        <v>1</v>
      </c>
      <c r="T49" s="64" t="n">
        <f aca="false">IF(R$28="NYMEX",$AG49,$AF49)</f>
        <v>-8129</v>
      </c>
      <c r="U49" s="184" t="e">
        <f aca="false">(($C49+V49)*$S49)+F$15</f>
        <v>#DIV/0!</v>
      </c>
      <c r="V49" s="4" t="e">
        <f aca="false">IF(F$16=1,xCalcSkew($A49,W49-BK49,b)/100,0)</f>
        <v>#DIV/0!</v>
      </c>
      <c r="W49" s="66" t="n">
        <f aca="false">IF($F$19=4,$BK49,$F$18)</f>
        <v>2.55</v>
      </c>
      <c r="X49" s="64"/>
      <c r="Y49" s="63" t="n">
        <f aca="false">IF(Y$28="nymex",0,VLOOKUP($A49,curvesettle,HLOOKUP(Y$28,curvesettle,2,FALSE())))</f>
        <v>0</v>
      </c>
      <c r="Z49" s="65" t="n">
        <f aca="false">IF(ISNUMBER(VLOOKUP($A49,VOLCURVES,HLOOKUP(Y$28,VOLCURVES,2,FALSE()),FALSE())),VLOOKUP($A49,VOLCURVES,HLOOKUP(Y$28,VOLCURVES,2,FALSE()),FALSE()),1)</f>
        <v>1</v>
      </c>
      <c r="AA49" s="64" t="n">
        <f aca="false">IF(Y$28="NYMEX",$AG49,$AF49)</f>
        <v>-8130</v>
      </c>
      <c r="AB49" s="4" t="e">
        <f aca="false">(($C49+AC49)*$Z49)+H$15</f>
        <v>#DIV/0!</v>
      </c>
      <c r="AC49" s="4" t="e">
        <f aca="false">IF(H$16=1,xCalcSkew($A49,AD49-BV49,b)/100,0)</f>
        <v>#DIV/0!</v>
      </c>
      <c r="AD49" s="66" t="n">
        <f aca="false">IF($H$19=4,$BV49,$H$18)</f>
        <v>2.9</v>
      </c>
      <c r="AF49" s="64" t="n">
        <f aca="false">VLOOKUP($A49,expiration,2,FALSE())-$B$2</f>
        <v>-8129</v>
      </c>
      <c r="AG49" s="64" t="n">
        <f aca="false">VLOOKUP($A49,expiration,3,FALSE())-$B$2</f>
        <v>-8130</v>
      </c>
      <c r="AH49" s="4" t="n">
        <f aca="false">VLOOKUP($A49,STRADDLE,14,FALSE())</f>
        <v>0.0291756224166892</v>
      </c>
      <c r="AI49" s="72" t="n">
        <f aca="false">A50-A49</f>
        <v>31</v>
      </c>
      <c r="AJ49" s="76"/>
      <c r="AK49" s="76"/>
      <c r="AL49" s="76"/>
      <c r="AM49" s="76"/>
      <c r="AN49" s="73" t="n">
        <f aca="false">IF($A49&gt;=AO$25,IF($A49&lt;=AO$26,$AI49,0),0)</f>
        <v>0</v>
      </c>
      <c r="AO49" s="196" t="e">
        <f aca="false">AQ49/AN49</f>
        <v>#DIV/0!</v>
      </c>
      <c r="AP49" s="1" t="n">
        <f aca="false">AN49*($B49+B$13)</f>
        <v>0</v>
      </c>
      <c r="AQ49" s="47" t="n">
        <f aca="false">IF(ISNUMBER(((AP49/AN49)+B$14+$D49)*AN49),((AP49/AN49)+B$14+$D49)*AN49,0)</f>
        <v>0</v>
      </c>
      <c r="AR49" s="76" t="n">
        <f aca="false">IF(AN49=0,0,bsd(1,AS$27,AO49,$I49,$F49,$G49,$AH49,0.1))</f>
        <v>0</v>
      </c>
      <c r="AS49" s="76" t="n">
        <f aca="false">IF(AN49=0,0,bsd(2,AS$27,AO49,$I49,$F49,$G49,$AH49,0.1))</f>
        <v>0</v>
      </c>
      <c r="AT49" s="76" t="n">
        <f aca="false">IF(AN49=0,0,bsd(AS$28,AS$27,AO49,$I49,$F49,$G49,$AH49,0.1))</f>
        <v>0</v>
      </c>
      <c r="AU49" s="37" t="n">
        <f aca="false">AN49*AR49</f>
        <v>0</v>
      </c>
      <c r="AV49" s="37" t="n">
        <f aca="false">AN49*AS49</f>
        <v>0</v>
      </c>
      <c r="AW49" s="37" t="n">
        <f aca="false">AN49*AT49</f>
        <v>0</v>
      </c>
      <c r="AY49" s="73" t="n">
        <f aca="false">IF($A49&gt;=AZ$25,IF($A49&lt;=AZ$26,$AI49,0),0)</f>
        <v>0</v>
      </c>
      <c r="AZ49" s="196" t="e">
        <f aca="false">BB49/AY49</f>
        <v>#DIV/0!</v>
      </c>
      <c r="BA49" s="1" t="n">
        <f aca="false">AY49*($B49+D$13)</f>
        <v>0</v>
      </c>
      <c r="BB49" s="47" t="n">
        <f aca="false">IF(ISNUMBER(((BA49/AY49)+D$14+$K49)*AY49),((BA49/AY49)+D$14+$K49)*AY49,0)</f>
        <v>0</v>
      </c>
      <c r="BC49" s="76" t="n">
        <f aca="false">IF(AY49=0,0,bsd(1,BD$27,AZ49,$P49,$M49,$N49,$AH49,0.1))</f>
        <v>0</v>
      </c>
      <c r="BD49" s="76" t="n">
        <f aca="false">IF(AY49=0,0,bsd(2,BD$27,AZ49,$P49,$M49,$N49,$AH49,0.1))</f>
        <v>0</v>
      </c>
      <c r="BE49" s="76" t="n">
        <f aca="false">IF(AY49=0,0,bsd(BD$28,BD$27,AZ49,$P49,$M49,$N49,$AH49,0.1))</f>
        <v>0</v>
      </c>
      <c r="BF49" s="37" t="n">
        <f aca="false">AY49*BC49</f>
        <v>0</v>
      </c>
      <c r="BG49" s="37" t="n">
        <f aca="false">AY49*BD49</f>
        <v>0</v>
      </c>
      <c r="BH49" s="37" t="n">
        <f aca="false">AY49*BE49</f>
        <v>0</v>
      </c>
      <c r="BJ49" s="73" t="n">
        <f aca="false">IF($A49&gt;=BK$25,IF($A49&lt;=BK$26,$AI49,0),0)</f>
        <v>0</v>
      </c>
      <c r="BK49" s="196" t="e">
        <f aca="false">BM49/BJ49</f>
        <v>#DIV/0!</v>
      </c>
      <c r="BL49" s="1" t="n">
        <f aca="false">BJ49*($B49+F$13)</f>
        <v>0</v>
      </c>
      <c r="BM49" s="47" t="n">
        <f aca="false">IF(ISNUMBER(((BL49/BJ49)+F$14+$R49)*BJ49),((BL49/BJ49)+F$14+$R49)*BJ49,0)</f>
        <v>0</v>
      </c>
      <c r="BN49" s="76" t="n">
        <f aca="false">IF(BJ49=0,0,bsd(1,BO$27,BK49,$W49,$T49,$U49,$AH49,0.1))</f>
        <v>0</v>
      </c>
      <c r="BO49" s="76" t="n">
        <f aca="false">IF(BJ49=0,0,bsd(2,BO$27,BK49,$W49,$T49,$U49,$AH49,0.1))</f>
        <v>0</v>
      </c>
      <c r="BP49" s="76" t="n">
        <f aca="false">IF(BJ49=0,0,bsd(BO$28,BO$27,BK49,$W49,$T49,$U49,$AH49,0.1))</f>
        <v>0</v>
      </c>
      <c r="BQ49" s="37" t="n">
        <f aca="false">BJ49*BN49</f>
        <v>0</v>
      </c>
      <c r="BR49" s="37" t="n">
        <f aca="false">BJ49*BO49</f>
        <v>0</v>
      </c>
      <c r="BS49" s="37" t="n">
        <f aca="false">BJ49*BP49</f>
        <v>0</v>
      </c>
      <c r="BU49" s="73" t="n">
        <f aca="false">IF($A49&gt;=BV$25,IF($A49&lt;=BV$26,$AI49,0),0)</f>
        <v>0</v>
      </c>
      <c r="BV49" s="196" t="e">
        <f aca="false">BX49/BU49</f>
        <v>#DIV/0!</v>
      </c>
      <c r="BW49" s="1" t="n">
        <f aca="false">BU49*($B49+H$13)</f>
        <v>0</v>
      </c>
      <c r="BX49" s="47" t="n">
        <f aca="false">IF(ISNUMBER(((BW49/BU49)+H$14+$Y49)*BU49),((BW49/BU49)+H$14+$Y49)*BU49,0)</f>
        <v>0</v>
      </c>
      <c r="BY49" s="76" t="n">
        <f aca="false">IF(BU49=0,0,bsd(1,BZ$27,BV49,$AD49,$AA49,$AB49,$AH49,0.1))</f>
        <v>0</v>
      </c>
      <c r="BZ49" s="76" t="n">
        <f aca="false">IF(BU49=0,0,bsd(2,BZ$27,BV49,$AD49,$AA49,$AB49,$AH49,0.1))</f>
        <v>0</v>
      </c>
      <c r="CA49" s="76" t="n">
        <f aca="false">IF(BU49=0,0,bsd(BZ$28,BZ$27,BV49,$AD49,$AA49,$AB49,$AH49,0.1))</f>
        <v>0</v>
      </c>
      <c r="CB49" s="37" t="n">
        <f aca="false">BU49*BY49</f>
        <v>0</v>
      </c>
      <c r="CC49" s="37" t="n">
        <f aca="false">BU49*BZ49</f>
        <v>0</v>
      </c>
      <c r="CD49" s="37" t="n">
        <f aca="false">BU49*CA49</f>
        <v>0</v>
      </c>
    </row>
    <row r="50" customFormat="false" ht="12.75" hidden="false" customHeight="false" outlineLevel="0" collapsed="false">
      <c r="A50" s="62" t="n">
        <f aca="false">DATE(YEAR(A49),MONTH(A49)+1,1)</f>
        <v>37834</v>
      </c>
      <c r="B50" s="63" t="n">
        <f aca="false">VLOOKUP(A50,STRADDLE,5,FALSE())</f>
        <v>3.225</v>
      </c>
      <c r="C50" s="4" t="n">
        <f aca="false">VLOOKUP(A50,STRADDLE,8,FALSE())</f>
        <v>0.3675</v>
      </c>
      <c r="D50" s="63" t="n">
        <f aca="false">IF(D$28="nymex",0,VLOOKUP($A50,curvesettle,HLOOKUP(D$28,curvesettle,2,FALSE())))</f>
        <v>-0.0725</v>
      </c>
      <c r="E50" s="65" t="n">
        <f aca="false">IF(ISNUMBER(VLOOKUP($A50,VOLCURVES,HLOOKUP(D$28,VOLCURVES,2,FALSE()),FALSE())),VLOOKUP($A50,VOLCURVES,HLOOKUP(D$28,VOLCURVES,2,FALSE()),FALSE()),1)</f>
        <v>1</v>
      </c>
      <c r="F50" s="64" t="n">
        <f aca="false">IF(D$28="NYMEX",$AG50,$AF50)</f>
        <v>-8096</v>
      </c>
      <c r="G50" s="4" t="e">
        <f aca="false">(($C50+H50)*$E50)+B$15</f>
        <v>#DIV/0!</v>
      </c>
      <c r="H50" s="4" t="e">
        <f aca="false">IF(B$16=1,xCalcSkew(A50,I50-AO50,b)/100,0)</f>
        <v>#DIV/0!</v>
      </c>
      <c r="I50" s="66" t="n">
        <f aca="false">IF($B$19=4,$AO50,$B$18)</f>
        <v>5</v>
      </c>
      <c r="K50" s="63" t="n">
        <f aca="false">IF(K$28="nymex",0,VLOOKUP($A50,curvesettle,HLOOKUP(K$28,curvesettle,2,FALSE())))</f>
        <v>-0.0725</v>
      </c>
      <c r="L50" s="65" t="n">
        <f aca="false">IF(ISNUMBER(VLOOKUP($A50,VOLCURVES,HLOOKUP(K$28,VOLCURVES,2,FALSE()),FALSE())),VLOOKUP($A50,VOLCURVES,HLOOKUP(K$28,VOLCURVES,2,FALSE()),FALSE()),1)</f>
        <v>1</v>
      </c>
      <c r="M50" s="64" t="n">
        <f aca="false">IF(K$28="NYMEX",$AG50,$AF50)</f>
        <v>-8096</v>
      </c>
      <c r="N50" s="184" t="e">
        <f aca="false">(($C50+O50)*$L50)+D$15</f>
        <v>#DIV/0!</v>
      </c>
      <c r="O50" s="4" t="e">
        <f aca="false">IF(D$16=1,xCalcSkew($A50,P50-AZ50,b)/100,0)</f>
        <v>#DIV/0!</v>
      </c>
      <c r="P50" s="66" t="n">
        <f aca="false">IF($D$19=4,$AZ50,$D$18)</f>
        <v>3</v>
      </c>
      <c r="R50" s="63" t="n">
        <f aca="false">IF(R$28="nymex",0,VLOOKUP($A50,curvesettle,HLOOKUP(R$28,curvesettle,2,FALSE())))</f>
        <v>-0.435</v>
      </c>
      <c r="S50" s="65" t="n">
        <f aca="false">IF(ISNUMBER(VLOOKUP($A50,VOLCURVES,HLOOKUP(R$28,VOLCURVES,2,FALSE()),FALSE())),VLOOKUP($A50,VOLCURVES,HLOOKUP(R$28,VOLCURVES,2,FALSE()),FALSE()),1)</f>
        <v>1</v>
      </c>
      <c r="T50" s="64" t="n">
        <f aca="false">IF(R$28="NYMEX",$AG50,$AF50)</f>
        <v>-8096</v>
      </c>
      <c r="U50" s="184" t="e">
        <f aca="false">(($C50+V50)*$S50)+F$15</f>
        <v>#DIV/0!</v>
      </c>
      <c r="V50" s="4" t="e">
        <f aca="false">IF(F$16=1,xCalcSkew($A50,W50-BK50,b)/100,0)</f>
        <v>#DIV/0!</v>
      </c>
      <c r="W50" s="66" t="n">
        <f aca="false">IF($F$19=4,$BK50,$F$18)</f>
        <v>2.55</v>
      </c>
      <c r="X50" s="64"/>
      <c r="Y50" s="63" t="n">
        <f aca="false">IF(Y$28="nymex",0,VLOOKUP($A50,curvesettle,HLOOKUP(Y$28,curvesettle,2,FALSE())))</f>
        <v>0</v>
      </c>
      <c r="Z50" s="65" t="n">
        <f aca="false">IF(ISNUMBER(VLOOKUP($A50,VOLCURVES,HLOOKUP(Y$28,VOLCURVES,2,FALSE()),FALSE())),VLOOKUP($A50,VOLCURVES,HLOOKUP(Y$28,VOLCURVES,2,FALSE()),FALSE()),1)</f>
        <v>1</v>
      </c>
      <c r="AA50" s="64" t="n">
        <f aca="false">IF(Y$28="NYMEX",$AG50,$AF50)</f>
        <v>-8097</v>
      </c>
      <c r="AB50" s="4" t="e">
        <f aca="false">(($C50+AC50)*$Z50)+H$15</f>
        <v>#DIV/0!</v>
      </c>
      <c r="AC50" s="4" t="e">
        <f aca="false">IF(H$16=1,xCalcSkew($A50,AD50-BV50,b)/100,0)</f>
        <v>#DIV/0!</v>
      </c>
      <c r="AD50" s="66" t="n">
        <f aca="false">IF($H$19=4,$BV50,$H$18)</f>
        <v>2.9</v>
      </c>
      <c r="AF50" s="64" t="n">
        <f aca="false">VLOOKUP($A50,expiration,2,FALSE())-$B$2</f>
        <v>-8096</v>
      </c>
      <c r="AG50" s="64" t="n">
        <f aca="false">VLOOKUP($A50,expiration,3,FALSE())-$B$2</f>
        <v>-8097</v>
      </c>
      <c r="AH50" s="4" t="n">
        <f aca="false">VLOOKUP($A50,STRADDLE,14,FALSE())</f>
        <v>0.0301389675554917</v>
      </c>
      <c r="AI50" s="72" t="n">
        <f aca="false">A51-A50</f>
        <v>31</v>
      </c>
      <c r="AJ50" s="76"/>
      <c r="AK50" s="76"/>
      <c r="AL50" s="76"/>
      <c r="AM50" s="76"/>
      <c r="AN50" s="73" t="n">
        <f aca="false">IF($A50&gt;=AO$25,IF($A50&lt;=AO$26,$AI50,0),0)</f>
        <v>0</v>
      </c>
      <c r="AO50" s="196" t="e">
        <f aca="false">AQ50/AN50</f>
        <v>#DIV/0!</v>
      </c>
      <c r="AP50" s="1" t="n">
        <f aca="false">AN50*($B50+B$13)</f>
        <v>0</v>
      </c>
      <c r="AQ50" s="47" t="n">
        <f aca="false">IF(ISNUMBER(((AP50/AN50)+B$14+$D50)*AN50),((AP50/AN50)+B$14+$D50)*AN50,0)</f>
        <v>0</v>
      </c>
      <c r="AR50" s="76" t="n">
        <f aca="false">IF(AN50=0,0,bsd(1,AS$27,AO50,$I50,$F50,$G50,$AH50,0.1))</f>
        <v>0</v>
      </c>
      <c r="AS50" s="76" t="n">
        <f aca="false">IF(AN50=0,0,bsd(2,AS$27,AO50,$I50,$F50,$G50,$AH50,0.1))</f>
        <v>0</v>
      </c>
      <c r="AT50" s="76" t="n">
        <f aca="false">IF(AN50=0,0,bsd(AS$28,AS$27,AO50,$I50,$F50,$G50,$AH50,0.1))</f>
        <v>0</v>
      </c>
      <c r="AU50" s="37" t="n">
        <f aca="false">AN50*AR50</f>
        <v>0</v>
      </c>
      <c r="AV50" s="37" t="n">
        <f aca="false">AN50*AS50</f>
        <v>0</v>
      </c>
      <c r="AW50" s="37" t="n">
        <f aca="false">AN50*AT50</f>
        <v>0</v>
      </c>
      <c r="AY50" s="73" t="n">
        <f aca="false">IF($A50&gt;=AZ$25,IF($A50&lt;=AZ$26,$AI50,0),0)</f>
        <v>0</v>
      </c>
      <c r="AZ50" s="196" t="e">
        <f aca="false">BB50/AY50</f>
        <v>#DIV/0!</v>
      </c>
      <c r="BA50" s="1" t="n">
        <f aca="false">AY50*($B50+D$13)</f>
        <v>0</v>
      </c>
      <c r="BB50" s="47" t="n">
        <f aca="false">IF(ISNUMBER(((BA50/AY50)+D$14+$K50)*AY50),((BA50/AY50)+D$14+$K50)*AY50,0)</f>
        <v>0</v>
      </c>
      <c r="BC50" s="76" t="n">
        <f aca="false">IF(AY50=0,0,bsd(1,BD$27,AZ50,$P50,$M50,$N50,$AH50,0.1))</f>
        <v>0</v>
      </c>
      <c r="BD50" s="76" t="n">
        <f aca="false">IF(AY50=0,0,bsd(2,BD$27,AZ50,$P50,$M50,$N50,$AH50,0.1))</f>
        <v>0</v>
      </c>
      <c r="BE50" s="76" t="n">
        <f aca="false">IF(AY50=0,0,bsd(BD$28,BD$27,AZ50,$P50,$M50,$N50,$AH50,0.1))</f>
        <v>0</v>
      </c>
      <c r="BF50" s="37" t="n">
        <f aca="false">AY50*BC50</f>
        <v>0</v>
      </c>
      <c r="BG50" s="37" t="n">
        <f aca="false">AY50*BD50</f>
        <v>0</v>
      </c>
      <c r="BH50" s="37" t="n">
        <f aca="false">AY50*BE50</f>
        <v>0</v>
      </c>
      <c r="BJ50" s="73" t="n">
        <f aca="false">IF($A50&gt;=BK$25,IF($A50&lt;=BK$26,$AI50,0),0)</f>
        <v>0</v>
      </c>
      <c r="BK50" s="196" t="e">
        <f aca="false">BM50/BJ50</f>
        <v>#DIV/0!</v>
      </c>
      <c r="BL50" s="1" t="n">
        <f aca="false">BJ50*($B50+F$13)</f>
        <v>0</v>
      </c>
      <c r="BM50" s="47" t="n">
        <f aca="false">IF(ISNUMBER(((BL50/BJ50)+F$14+$R50)*BJ50),((BL50/BJ50)+F$14+$R50)*BJ50,0)</f>
        <v>0</v>
      </c>
      <c r="BN50" s="76" t="n">
        <f aca="false">IF(BJ50=0,0,bsd(1,BO$27,BK50,$W50,$T50,$U50,$AH50,0.1))</f>
        <v>0</v>
      </c>
      <c r="BO50" s="76" t="n">
        <f aca="false">IF(BJ50=0,0,bsd(2,BO$27,BK50,$W50,$T50,$U50,$AH50,0.1))</f>
        <v>0</v>
      </c>
      <c r="BP50" s="76" t="n">
        <f aca="false">IF(BJ50=0,0,bsd(BO$28,BO$27,BK50,$W50,$T50,$U50,$AH50,0.1))</f>
        <v>0</v>
      </c>
      <c r="BQ50" s="37" t="n">
        <f aca="false">BJ50*BN50</f>
        <v>0</v>
      </c>
      <c r="BR50" s="37" t="n">
        <f aca="false">BJ50*BO50</f>
        <v>0</v>
      </c>
      <c r="BS50" s="37" t="n">
        <f aca="false">BJ50*BP50</f>
        <v>0</v>
      </c>
      <c r="BU50" s="73" t="n">
        <f aca="false">IF($A50&gt;=BV$25,IF($A50&lt;=BV$26,$AI50,0),0)</f>
        <v>0</v>
      </c>
      <c r="BV50" s="196" t="e">
        <f aca="false">BX50/BU50</f>
        <v>#DIV/0!</v>
      </c>
      <c r="BW50" s="1" t="n">
        <f aca="false">BU50*($B50+H$13)</f>
        <v>0</v>
      </c>
      <c r="BX50" s="47" t="n">
        <f aca="false">IF(ISNUMBER(((BW50/BU50)+H$14+$Y50)*BU50),((BW50/BU50)+H$14+$Y50)*BU50,0)</f>
        <v>0</v>
      </c>
      <c r="BY50" s="76" t="n">
        <f aca="false">IF(BU50=0,0,bsd(1,BZ$27,BV50,$AD50,$AA50,$AB50,$AH50,0.1))</f>
        <v>0</v>
      </c>
      <c r="BZ50" s="76" t="n">
        <f aca="false">IF(BU50=0,0,bsd(2,BZ$27,BV50,$AD50,$AA50,$AB50,$AH50,0.1))</f>
        <v>0</v>
      </c>
      <c r="CA50" s="76" t="n">
        <f aca="false">IF(BU50=0,0,bsd(BZ$28,BZ$27,BV50,$AD50,$AA50,$AB50,$AH50,0.1))</f>
        <v>0</v>
      </c>
      <c r="CB50" s="37" t="n">
        <f aca="false">BU50*BY50</f>
        <v>0</v>
      </c>
      <c r="CC50" s="37" t="n">
        <f aca="false">BU50*BZ50</f>
        <v>0</v>
      </c>
      <c r="CD50" s="37" t="n">
        <f aca="false">BU50*CA50</f>
        <v>0</v>
      </c>
    </row>
    <row r="51" customFormat="false" ht="12.75" hidden="false" customHeight="false" outlineLevel="0" collapsed="false">
      <c r="A51" s="62" t="n">
        <f aca="false">DATE(YEAR(A50),MONTH(A50)+1,1)</f>
        <v>37865</v>
      </c>
      <c r="B51" s="63" t="n">
        <f aca="false">VLOOKUP(A51,STRADDLE,5,FALSE())</f>
        <v>3.22</v>
      </c>
      <c r="C51" s="4" t="n">
        <f aca="false">VLOOKUP(A51,STRADDLE,8,FALSE())</f>
        <v>0.365</v>
      </c>
      <c r="D51" s="63" t="n">
        <f aca="false">IF(D$28="nymex",0,VLOOKUP($A51,curvesettle,HLOOKUP(D$28,curvesettle,2,FALSE())))</f>
        <v>-0.0725</v>
      </c>
      <c r="E51" s="65" t="n">
        <f aca="false">IF(ISNUMBER(VLOOKUP($A51,VOLCURVES,HLOOKUP(D$28,VOLCURVES,2,FALSE()),FALSE())),VLOOKUP($A51,VOLCURVES,HLOOKUP(D$28,VOLCURVES,2,FALSE()),FALSE()),1)</f>
        <v>1</v>
      </c>
      <c r="F51" s="64" t="n">
        <f aca="false">IF(D$28="NYMEX",$AG51,$AF51)</f>
        <v>-8067</v>
      </c>
      <c r="G51" s="4" t="e">
        <f aca="false">(($C51+H51)*$E51)+B$15</f>
        <v>#DIV/0!</v>
      </c>
      <c r="H51" s="4" t="e">
        <f aca="false">IF(B$16=1,xCalcSkew(A51,I51-AO51,b)/100,0)</f>
        <v>#DIV/0!</v>
      </c>
      <c r="I51" s="66" t="n">
        <f aca="false">IF($B$19=4,$AO51,$B$18)</f>
        <v>5</v>
      </c>
      <c r="K51" s="63" t="n">
        <f aca="false">IF(K$28="nymex",0,VLOOKUP($A51,curvesettle,HLOOKUP(K$28,curvesettle,2,FALSE())))</f>
        <v>-0.0725</v>
      </c>
      <c r="L51" s="65" t="n">
        <f aca="false">IF(ISNUMBER(VLOOKUP($A51,VOLCURVES,HLOOKUP(K$28,VOLCURVES,2,FALSE()),FALSE())),VLOOKUP($A51,VOLCURVES,HLOOKUP(K$28,VOLCURVES,2,FALSE()),FALSE()),1)</f>
        <v>1</v>
      </c>
      <c r="M51" s="64" t="n">
        <f aca="false">IF(K$28="NYMEX",$AG51,$AF51)</f>
        <v>-8067</v>
      </c>
      <c r="N51" s="184" t="e">
        <f aca="false">(($C51+O51)*$L51)+D$15</f>
        <v>#DIV/0!</v>
      </c>
      <c r="O51" s="4" t="e">
        <f aca="false">IF(D$16=1,xCalcSkew($A51,P51-AZ51,b)/100,0)</f>
        <v>#DIV/0!</v>
      </c>
      <c r="P51" s="66" t="n">
        <f aca="false">IF($D$19=4,$AZ51,$D$18)</f>
        <v>3</v>
      </c>
      <c r="R51" s="63" t="n">
        <f aca="false">IF(R$28="nymex",0,VLOOKUP($A51,curvesettle,HLOOKUP(R$28,curvesettle,2,FALSE())))</f>
        <v>-0.435</v>
      </c>
      <c r="S51" s="65" t="n">
        <f aca="false">IF(ISNUMBER(VLOOKUP($A51,VOLCURVES,HLOOKUP(R$28,VOLCURVES,2,FALSE()),FALSE())),VLOOKUP($A51,VOLCURVES,HLOOKUP(R$28,VOLCURVES,2,FALSE()),FALSE()),1)</f>
        <v>1</v>
      </c>
      <c r="T51" s="64" t="n">
        <f aca="false">IF(R$28="NYMEX",$AG51,$AF51)</f>
        <v>-8067</v>
      </c>
      <c r="U51" s="184" t="e">
        <f aca="false">(($C51+V51)*$S51)+F$15</f>
        <v>#DIV/0!</v>
      </c>
      <c r="V51" s="4" t="e">
        <f aca="false">IF(F$16=1,xCalcSkew($A51,W51-BK51,b)/100,0)</f>
        <v>#DIV/0!</v>
      </c>
      <c r="W51" s="66" t="n">
        <f aca="false">IF($F$19=4,$BK51,$F$18)</f>
        <v>2.55</v>
      </c>
      <c r="X51" s="64"/>
      <c r="Y51" s="63" t="n">
        <f aca="false">IF(Y$28="nymex",0,VLOOKUP($A51,curvesettle,HLOOKUP(Y$28,curvesettle,2,FALSE())))</f>
        <v>0</v>
      </c>
      <c r="Z51" s="65" t="n">
        <f aca="false">IF(ISNUMBER(VLOOKUP($A51,VOLCURVES,HLOOKUP(Y$28,VOLCURVES,2,FALSE()),FALSE())),VLOOKUP($A51,VOLCURVES,HLOOKUP(Y$28,VOLCURVES,2,FALSE()),FALSE()),1)</f>
        <v>1</v>
      </c>
      <c r="AA51" s="64" t="n">
        <f aca="false">IF(Y$28="NYMEX",$AG51,$AF51)</f>
        <v>-8068</v>
      </c>
      <c r="AB51" s="4" t="e">
        <f aca="false">(($C51+AC51)*$Z51)+H$15</f>
        <v>#DIV/0!</v>
      </c>
      <c r="AC51" s="4" t="e">
        <f aca="false">IF(H$16=1,xCalcSkew($A51,AD51-BV51,b)/100,0)</f>
        <v>#DIV/0!</v>
      </c>
      <c r="AD51" s="66" t="n">
        <f aca="false">IF($H$19=4,$BV51,$H$18)</f>
        <v>2.9</v>
      </c>
      <c r="AF51" s="64" t="n">
        <f aca="false">VLOOKUP($A51,expiration,2,FALSE())-$B$2</f>
        <v>-8067</v>
      </c>
      <c r="AG51" s="64" t="n">
        <f aca="false">VLOOKUP($A51,expiration,3,FALSE())-$B$2</f>
        <v>-8068</v>
      </c>
      <c r="AH51" s="4" t="n">
        <f aca="false">VLOOKUP($A51,STRADDLE,14,FALSE())</f>
        <v>0.0311023130071817</v>
      </c>
      <c r="AI51" s="72" t="n">
        <f aca="false">A52-A51</f>
        <v>30</v>
      </c>
      <c r="AJ51" s="76"/>
      <c r="AK51" s="76"/>
      <c r="AL51" s="76"/>
      <c r="AM51" s="76"/>
      <c r="AN51" s="73" t="n">
        <f aca="false">IF($A51&gt;=AO$25,IF($A51&lt;=AO$26,$AI51,0),0)</f>
        <v>0</v>
      </c>
      <c r="AO51" s="196" t="e">
        <f aca="false">AQ51/AN51</f>
        <v>#DIV/0!</v>
      </c>
      <c r="AP51" s="1" t="n">
        <f aca="false">AN51*($B51+B$13)</f>
        <v>0</v>
      </c>
      <c r="AQ51" s="47" t="n">
        <f aca="false">IF(ISNUMBER(((AP51/AN51)+B$14+$D51)*AN51),((AP51/AN51)+B$14+$D51)*AN51,0)</f>
        <v>0</v>
      </c>
      <c r="AR51" s="76" t="n">
        <f aca="false">IF(AN51=0,0,bsd(1,AS$27,AO51,$I51,$F51,$G51,$AH51,0.1))</f>
        <v>0</v>
      </c>
      <c r="AS51" s="76" t="n">
        <f aca="false">IF(AN51=0,0,bsd(2,AS$27,AO51,$I51,$F51,$G51,$AH51,0.1))</f>
        <v>0</v>
      </c>
      <c r="AT51" s="76" t="n">
        <f aca="false">IF(AN51=0,0,bsd(AS$28,AS$27,AO51,$I51,$F51,$G51,$AH51,0.1))</f>
        <v>0</v>
      </c>
      <c r="AU51" s="37" t="n">
        <f aca="false">AN51*AR51</f>
        <v>0</v>
      </c>
      <c r="AV51" s="37" t="n">
        <f aca="false">AN51*AS51</f>
        <v>0</v>
      </c>
      <c r="AW51" s="37" t="n">
        <f aca="false">AN51*AT51</f>
        <v>0</v>
      </c>
      <c r="AY51" s="73" t="n">
        <f aca="false">IF($A51&gt;=AZ$25,IF($A51&lt;=AZ$26,$AI51,0),0)</f>
        <v>0</v>
      </c>
      <c r="AZ51" s="196" t="e">
        <f aca="false">BB51/AY51</f>
        <v>#DIV/0!</v>
      </c>
      <c r="BA51" s="1" t="n">
        <f aca="false">AY51*($B51+D$13)</f>
        <v>0</v>
      </c>
      <c r="BB51" s="47" t="n">
        <f aca="false">IF(ISNUMBER(((BA51/AY51)+D$14+$K51)*AY51),((BA51/AY51)+D$14+$K51)*AY51,0)</f>
        <v>0</v>
      </c>
      <c r="BC51" s="76" t="n">
        <f aca="false">IF(AY51=0,0,bsd(1,BD$27,AZ51,$P51,$M51,$N51,$AH51,0.1))</f>
        <v>0</v>
      </c>
      <c r="BD51" s="76" t="n">
        <f aca="false">IF(AY51=0,0,bsd(2,BD$27,AZ51,$P51,$M51,$N51,$AH51,0.1))</f>
        <v>0</v>
      </c>
      <c r="BE51" s="76" t="n">
        <f aca="false">IF(AY51=0,0,bsd(BD$28,BD$27,AZ51,$P51,$M51,$N51,$AH51,0.1))</f>
        <v>0</v>
      </c>
      <c r="BF51" s="37" t="n">
        <f aca="false">AY51*BC51</f>
        <v>0</v>
      </c>
      <c r="BG51" s="37" t="n">
        <f aca="false">AY51*BD51</f>
        <v>0</v>
      </c>
      <c r="BH51" s="37" t="n">
        <f aca="false">AY51*BE51</f>
        <v>0</v>
      </c>
      <c r="BJ51" s="73" t="n">
        <f aca="false">IF($A51&gt;=BK$25,IF($A51&lt;=BK$26,$AI51,0),0)</f>
        <v>0</v>
      </c>
      <c r="BK51" s="196" t="e">
        <f aca="false">BM51/BJ51</f>
        <v>#DIV/0!</v>
      </c>
      <c r="BL51" s="1" t="n">
        <f aca="false">BJ51*($B51+F$13)</f>
        <v>0</v>
      </c>
      <c r="BM51" s="47" t="n">
        <f aca="false">IF(ISNUMBER(((BL51/BJ51)+F$14+$R51)*BJ51),((BL51/BJ51)+F$14+$R51)*BJ51,0)</f>
        <v>0</v>
      </c>
      <c r="BN51" s="76" t="n">
        <f aca="false">IF(BJ51=0,0,bsd(1,BO$27,BK51,$W51,$T51,$U51,$AH51,0.1))</f>
        <v>0</v>
      </c>
      <c r="BO51" s="76" t="n">
        <f aca="false">IF(BJ51=0,0,bsd(2,BO$27,BK51,$W51,$T51,$U51,$AH51,0.1))</f>
        <v>0</v>
      </c>
      <c r="BP51" s="76" t="n">
        <f aca="false">IF(BJ51=0,0,bsd(BO$28,BO$27,BK51,$W51,$T51,$U51,$AH51,0.1))</f>
        <v>0</v>
      </c>
      <c r="BQ51" s="37" t="n">
        <f aca="false">BJ51*BN51</f>
        <v>0</v>
      </c>
      <c r="BR51" s="37" t="n">
        <f aca="false">BJ51*BO51</f>
        <v>0</v>
      </c>
      <c r="BS51" s="37" t="n">
        <f aca="false">BJ51*BP51</f>
        <v>0</v>
      </c>
      <c r="BU51" s="73" t="n">
        <f aca="false">IF($A51&gt;=BV$25,IF($A51&lt;=BV$26,$AI51,0),0)</f>
        <v>0</v>
      </c>
      <c r="BV51" s="196" t="e">
        <f aca="false">BX51/BU51</f>
        <v>#DIV/0!</v>
      </c>
      <c r="BW51" s="1" t="n">
        <f aca="false">BU51*($B51+H$13)</f>
        <v>0</v>
      </c>
      <c r="BX51" s="47" t="n">
        <f aca="false">IF(ISNUMBER(((BW51/BU51)+H$14+$Y51)*BU51),((BW51/BU51)+H$14+$Y51)*BU51,0)</f>
        <v>0</v>
      </c>
      <c r="BY51" s="76" t="n">
        <f aca="false">IF(BU51=0,0,bsd(1,BZ$27,BV51,$AD51,$AA51,$AB51,$AH51,0.1))</f>
        <v>0</v>
      </c>
      <c r="BZ51" s="76" t="n">
        <f aca="false">IF(BU51=0,0,bsd(2,BZ$27,BV51,$AD51,$AA51,$AB51,$AH51,0.1))</f>
        <v>0</v>
      </c>
      <c r="CA51" s="76" t="n">
        <f aca="false">IF(BU51=0,0,bsd(BZ$28,BZ$27,BV51,$AD51,$AA51,$AB51,$AH51,0.1))</f>
        <v>0</v>
      </c>
      <c r="CB51" s="37" t="n">
        <f aca="false">BU51*BY51</f>
        <v>0</v>
      </c>
      <c r="CC51" s="37" t="n">
        <f aca="false">BU51*BZ51</f>
        <v>0</v>
      </c>
      <c r="CD51" s="37" t="n">
        <f aca="false">BU51*CA51</f>
        <v>0</v>
      </c>
    </row>
    <row r="52" customFormat="false" ht="12.75" hidden="false" customHeight="false" outlineLevel="0" collapsed="false">
      <c r="A52" s="62" t="n">
        <f aca="false">DATE(YEAR(A51),MONTH(A51)+1,1)</f>
        <v>37895</v>
      </c>
      <c r="B52" s="63" t="n">
        <f aca="false">VLOOKUP(A52,STRADDLE,5,FALSE())</f>
        <v>3.24</v>
      </c>
      <c r="C52" s="4" t="n">
        <f aca="false">VLOOKUP(A52,STRADDLE,8,FALSE())</f>
        <v>0.3675</v>
      </c>
      <c r="D52" s="63" t="n">
        <f aca="false">IF(D$28="nymex",0,VLOOKUP($A52,curvesettle,HLOOKUP(D$28,curvesettle,2,FALSE())))</f>
        <v>-0.0725</v>
      </c>
      <c r="E52" s="65" t="n">
        <f aca="false">IF(ISNUMBER(VLOOKUP($A52,VOLCURVES,HLOOKUP(D$28,VOLCURVES,2,FALSE()),FALSE())),VLOOKUP($A52,VOLCURVES,HLOOKUP(D$28,VOLCURVES,2,FALSE()),FALSE()),1)</f>
        <v>1</v>
      </c>
      <c r="F52" s="64" t="n">
        <f aca="false">IF(D$28="NYMEX",$AG52,$AF52)</f>
        <v>-8037</v>
      </c>
      <c r="G52" s="4" t="e">
        <f aca="false">(($C52+H52)*$E52)+B$15</f>
        <v>#DIV/0!</v>
      </c>
      <c r="H52" s="4" t="e">
        <f aca="false">IF(B$16=1,xCalcSkew(A52,I52-AO52,b)/100,0)</f>
        <v>#DIV/0!</v>
      </c>
      <c r="I52" s="66" t="n">
        <f aca="false">IF($B$19=4,$AO52,$B$18)</f>
        <v>5</v>
      </c>
      <c r="K52" s="63" t="n">
        <f aca="false">IF(K$28="nymex",0,VLOOKUP($A52,curvesettle,HLOOKUP(K$28,curvesettle,2,FALSE())))</f>
        <v>-0.0725</v>
      </c>
      <c r="L52" s="65" t="n">
        <f aca="false">IF(ISNUMBER(VLOOKUP($A52,VOLCURVES,HLOOKUP(K$28,VOLCURVES,2,FALSE()),FALSE())),VLOOKUP($A52,VOLCURVES,HLOOKUP(K$28,VOLCURVES,2,FALSE()),FALSE()),1)</f>
        <v>1</v>
      </c>
      <c r="M52" s="64" t="n">
        <f aca="false">IF(K$28="NYMEX",$AG52,$AF52)</f>
        <v>-8037</v>
      </c>
      <c r="N52" s="184" t="e">
        <f aca="false">(($C52+O52)*$L52)+D$15</f>
        <v>#DIV/0!</v>
      </c>
      <c r="O52" s="4" t="e">
        <f aca="false">IF(D$16=1,xCalcSkew($A52,P52-AZ52,b)/100,0)</f>
        <v>#DIV/0!</v>
      </c>
      <c r="P52" s="66" t="n">
        <f aca="false">IF($D$19=4,$AZ52,$D$18)</f>
        <v>3</v>
      </c>
      <c r="R52" s="63" t="n">
        <f aca="false">IF(R$28="nymex",0,VLOOKUP($A52,curvesettle,HLOOKUP(R$28,curvesettle,2,FALSE())))</f>
        <v>-0.435</v>
      </c>
      <c r="S52" s="65" t="n">
        <f aca="false">IF(ISNUMBER(VLOOKUP($A52,VOLCURVES,HLOOKUP(R$28,VOLCURVES,2,FALSE()),FALSE())),VLOOKUP($A52,VOLCURVES,HLOOKUP(R$28,VOLCURVES,2,FALSE()),FALSE()),1)</f>
        <v>1</v>
      </c>
      <c r="T52" s="64" t="n">
        <f aca="false">IF(R$28="NYMEX",$AG52,$AF52)</f>
        <v>-8037</v>
      </c>
      <c r="U52" s="184" t="e">
        <f aca="false">(($C52+V52)*$S52)+F$15</f>
        <v>#DIV/0!</v>
      </c>
      <c r="V52" s="4" t="e">
        <f aca="false">IF(F$16=1,xCalcSkew($A52,W52-BK52,b)/100,0)</f>
        <v>#DIV/0!</v>
      </c>
      <c r="W52" s="66" t="n">
        <f aca="false">IF($F$19=4,$BK52,$F$18)</f>
        <v>2.55</v>
      </c>
      <c r="X52" s="64"/>
      <c r="Y52" s="63" t="n">
        <f aca="false">IF(Y$28="nymex",0,VLOOKUP($A52,curvesettle,HLOOKUP(Y$28,curvesettle,2,FALSE())))</f>
        <v>0</v>
      </c>
      <c r="Z52" s="65" t="n">
        <f aca="false">IF(ISNUMBER(VLOOKUP($A52,VOLCURVES,HLOOKUP(Y$28,VOLCURVES,2,FALSE()),FALSE())),VLOOKUP($A52,VOLCURVES,HLOOKUP(Y$28,VOLCURVES,2,FALSE()),FALSE()),1)</f>
        <v>1</v>
      </c>
      <c r="AA52" s="64" t="n">
        <f aca="false">IF(Y$28="NYMEX",$AG52,$AF52)</f>
        <v>-8038</v>
      </c>
      <c r="AB52" s="4" t="e">
        <f aca="false">(($C52+AC52)*$Z52)+H$15</f>
        <v>#DIV/0!</v>
      </c>
      <c r="AC52" s="4" t="e">
        <f aca="false">IF(H$16=1,xCalcSkew($A52,AD52-BV52,b)/100,0)</f>
        <v>#DIV/0!</v>
      </c>
      <c r="AD52" s="66" t="n">
        <f aca="false">IF($H$19=4,$BV52,$H$18)</f>
        <v>2.9</v>
      </c>
      <c r="AF52" s="64" t="n">
        <f aca="false">VLOOKUP($A52,expiration,2,FALSE())-$B$2</f>
        <v>-8037</v>
      </c>
      <c r="AG52" s="64" t="n">
        <f aca="false">VLOOKUP($A52,expiration,3,FALSE())-$B$2</f>
        <v>-8038</v>
      </c>
      <c r="AH52" s="4" t="n">
        <f aca="false">VLOOKUP($A52,STRADDLE,14,FALSE())</f>
        <v>0.0320061320910012</v>
      </c>
      <c r="AI52" s="72" t="n">
        <f aca="false">A53-A52</f>
        <v>31</v>
      </c>
      <c r="AJ52" s="76"/>
      <c r="AK52" s="76"/>
      <c r="AL52" s="76"/>
      <c r="AM52" s="76"/>
      <c r="AN52" s="73" t="n">
        <f aca="false">IF($A52&gt;=AO$25,IF($A52&lt;=AO$26,$AI52,0),0)</f>
        <v>0</v>
      </c>
      <c r="AO52" s="196" t="e">
        <f aca="false">AQ52/AN52</f>
        <v>#DIV/0!</v>
      </c>
      <c r="AP52" s="1" t="n">
        <f aca="false">AN52*($B52+B$13)</f>
        <v>0</v>
      </c>
      <c r="AQ52" s="47" t="n">
        <f aca="false">IF(ISNUMBER(((AP52/AN52)+B$14+$D52)*AN52),((AP52/AN52)+B$14+$D52)*AN52,0)</f>
        <v>0</v>
      </c>
      <c r="AR52" s="76" t="n">
        <f aca="false">IF(AN52=0,0,bsd(1,AS$27,AO52,$I52,$F52,$G52,$AH52,0.1))</f>
        <v>0</v>
      </c>
      <c r="AS52" s="76" t="n">
        <f aca="false">IF(AN52=0,0,bsd(2,AS$27,AO52,$I52,$F52,$G52,$AH52,0.1))</f>
        <v>0</v>
      </c>
      <c r="AT52" s="76" t="n">
        <f aca="false">IF(AN52=0,0,bsd(AS$28,AS$27,AO52,$I52,$F52,$G52,$AH52,0.1))</f>
        <v>0</v>
      </c>
      <c r="AU52" s="37" t="n">
        <f aca="false">AN52*AR52</f>
        <v>0</v>
      </c>
      <c r="AV52" s="37" t="n">
        <f aca="false">AN52*AS52</f>
        <v>0</v>
      </c>
      <c r="AW52" s="37" t="n">
        <f aca="false">AN52*AT52</f>
        <v>0</v>
      </c>
      <c r="AY52" s="73" t="n">
        <f aca="false">IF($A52&gt;=AZ$25,IF($A52&lt;=AZ$26,$AI52,0),0)</f>
        <v>0</v>
      </c>
      <c r="AZ52" s="196" t="e">
        <f aca="false">BB52/AY52</f>
        <v>#DIV/0!</v>
      </c>
      <c r="BA52" s="1" t="n">
        <f aca="false">AY52*($B52+D$13)</f>
        <v>0</v>
      </c>
      <c r="BB52" s="47" t="n">
        <f aca="false">IF(ISNUMBER(((BA52/AY52)+D$14+$K52)*AY52),((BA52/AY52)+D$14+$K52)*AY52,0)</f>
        <v>0</v>
      </c>
      <c r="BC52" s="76" t="n">
        <f aca="false">IF(AY52=0,0,bsd(1,BD$27,AZ52,$P52,$M52,$N52,$AH52,0.1))</f>
        <v>0</v>
      </c>
      <c r="BD52" s="76" t="n">
        <f aca="false">IF(AY52=0,0,bsd(2,BD$27,AZ52,$P52,$M52,$N52,$AH52,0.1))</f>
        <v>0</v>
      </c>
      <c r="BE52" s="76" t="n">
        <f aca="false">IF(AY52=0,0,bsd(BD$28,BD$27,AZ52,$P52,$M52,$N52,$AH52,0.1))</f>
        <v>0</v>
      </c>
      <c r="BF52" s="37" t="n">
        <f aca="false">AY52*BC52</f>
        <v>0</v>
      </c>
      <c r="BG52" s="37" t="n">
        <f aca="false">AY52*BD52</f>
        <v>0</v>
      </c>
      <c r="BH52" s="37" t="n">
        <f aca="false">AY52*BE52</f>
        <v>0</v>
      </c>
      <c r="BJ52" s="73" t="n">
        <f aca="false">IF($A52&gt;=BK$25,IF($A52&lt;=BK$26,$AI52,0),0)</f>
        <v>0</v>
      </c>
      <c r="BK52" s="196" t="e">
        <f aca="false">BM52/BJ52</f>
        <v>#DIV/0!</v>
      </c>
      <c r="BL52" s="1" t="n">
        <f aca="false">BJ52*($B52+F$13)</f>
        <v>0</v>
      </c>
      <c r="BM52" s="47" t="n">
        <f aca="false">IF(ISNUMBER(((BL52/BJ52)+F$14+$R52)*BJ52),((BL52/BJ52)+F$14+$R52)*BJ52,0)</f>
        <v>0</v>
      </c>
      <c r="BN52" s="76" t="n">
        <f aca="false">IF(BJ52=0,0,bsd(1,BO$27,BK52,$W52,$T52,$U52,$AH52,0.1))</f>
        <v>0</v>
      </c>
      <c r="BO52" s="76" t="n">
        <f aca="false">IF(BJ52=0,0,bsd(2,BO$27,BK52,$W52,$T52,$U52,$AH52,0.1))</f>
        <v>0</v>
      </c>
      <c r="BP52" s="76" t="n">
        <f aca="false">IF(BJ52=0,0,bsd(BO$28,BO$27,BK52,$W52,$T52,$U52,$AH52,0.1))</f>
        <v>0</v>
      </c>
      <c r="BQ52" s="37" t="n">
        <f aca="false">BJ52*BN52</f>
        <v>0</v>
      </c>
      <c r="BR52" s="37" t="n">
        <f aca="false">BJ52*BO52</f>
        <v>0</v>
      </c>
      <c r="BS52" s="37" t="n">
        <f aca="false">BJ52*BP52</f>
        <v>0</v>
      </c>
      <c r="BU52" s="73" t="n">
        <f aca="false">IF($A52&gt;=BV$25,IF($A52&lt;=BV$26,$AI52,0),0)</f>
        <v>0</v>
      </c>
      <c r="BV52" s="196" t="e">
        <f aca="false">BX52/BU52</f>
        <v>#DIV/0!</v>
      </c>
      <c r="BW52" s="1" t="n">
        <f aca="false">BU52*($B52+H$13)</f>
        <v>0</v>
      </c>
      <c r="BX52" s="47" t="n">
        <f aca="false">IF(ISNUMBER(((BW52/BU52)+H$14+$Y52)*BU52),((BW52/BU52)+H$14+$Y52)*BU52,0)</f>
        <v>0</v>
      </c>
      <c r="BY52" s="76" t="n">
        <f aca="false">IF(BU52=0,0,bsd(1,BZ$27,BV52,$AD52,$AA52,$AB52,$AH52,0.1))</f>
        <v>0</v>
      </c>
      <c r="BZ52" s="76" t="n">
        <f aca="false">IF(BU52=0,0,bsd(2,BZ$27,BV52,$AD52,$AA52,$AB52,$AH52,0.1))</f>
        <v>0</v>
      </c>
      <c r="CA52" s="76" t="n">
        <f aca="false">IF(BU52=0,0,bsd(BZ$28,BZ$27,BV52,$AD52,$AA52,$AB52,$AH52,0.1))</f>
        <v>0</v>
      </c>
      <c r="CB52" s="37" t="n">
        <f aca="false">BU52*BY52</f>
        <v>0</v>
      </c>
      <c r="CC52" s="37" t="n">
        <f aca="false">BU52*BZ52</f>
        <v>0</v>
      </c>
      <c r="CD52" s="37" t="n">
        <f aca="false">BU52*CA52</f>
        <v>0</v>
      </c>
    </row>
    <row r="53" customFormat="false" ht="12.75" hidden="false" customHeight="false" outlineLevel="0" collapsed="false">
      <c r="A53" s="62" t="n">
        <f aca="false">DATE(YEAR(A52),MONTH(A52)+1,1)</f>
        <v>37926</v>
      </c>
      <c r="B53" s="63" t="n">
        <f aca="false">VLOOKUP(A53,STRADDLE,5,FALSE())</f>
        <v>3.375</v>
      </c>
      <c r="C53" s="4" t="n">
        <f aca="false">VLOOKUP(A53,STRADDLE,8,FALSE())</f>
        <v>0.37</v>
      </c>
      <c r="D53" s="63" t="n">
        <f aca="false">IF(D$28="nymex",0,VLOOKUP($A53,curvesettle,HLOOKUP(D$28,curvesettle,2,FALSE())))</f>
        <v>-0.075</v>
      </c>
      <c r="E53" s="65" t="n">
        <f aca="false">IF(ISNUMBER(VLOOKUP($A53,VOLCURVES,HLOOKUP(D$28,VOLCURVES,2,FALSE()),FALSE())),VLOOKUP($A53,VOLCURVES,HLOOKUP(D$28,VOLCURVES,2,FALSE()),FALSE()),1)</f>
        <v>1</v>
      </c>
      <c r="F53" s="64" t="n">
        <f aca="false">IF(D$28="NYMEX",$AG53,$AF53)</f>
        <v>-8004</v>
      </c>
      <c r="G53" s="4" t="e">
        <f aca="false">(($C53+H53)*$E53)+B$15</f>
        <v>#DIV/0!</v>
      </c>
      <c r="H53" s="4" t="e">
        <f aca="false">IF(B$16=1,xCalcSkew(A53,I53-AO53,b)/100,0)</f>
        <v>#DIV/0!</v>
      </c>
      <c r="I53" s="66" t="n">
        <f aca="false">IF($B$19=4,$AO53,$B$18)</f>
        <v>5</v>
      </c>
      <c r="K53" s="63" t="n">
        <f aca="false">IF(K$28="nymex",0,VLOOKUP($A53,curvesettle,HLOOKUP(K$28,curvesettle,2,FALSE())))</f>
        <v>-0.075</v>
      </c>
      <c r="L53" s="65" t="n">
        <f aca="false">IF(ISNUMBER(VLOOKUP($A53,VOLCURVES,HLOOKUP(K$28,VOLCURVES,2,FALSE()),FALSE())),VLOOKUP($A53,VOLCURVES,HLOOKUP(K$28,VOLCURVES,2,FALSE()),FALSE()),1)</f>
        <v>1</v>
      </c>
      <c r="M53" s="64" t="n">
        <f aca="false">IF(K$28="NYMEX",$AG53,$AF53)</f>
        <v>-8004</v>
      </c>
      <c r="N53" s="184" t="e">
        <f aca="false">(($C53+O53)*$L53)+D$15</f>
        <v>#DIV/0!</v>
      </c>
      <c r="O53" s="4" t="e">
        <f aca="false">IF(D$16=1,xCalcSkew($A53,P53-AZ53,b)/100,0)</f>
        <v>#DIV/0!</v>
      </c>
      <c r="P53" s="66" t="n">
        <f aca="false">IF($D$19=4,$AZ53,$D$18)</f>
        <v>3</v>
      </c>
      <c r="R53" s="63" t="n">
        <f aca="false">IF(R$28="nymex",0,VLOOKUP($A53,curvesettle,HLOOKUP(R$28,curvesettle,2,FALSE())))</f>
        <v>-0.25</v>
      </c>
      <c r="S53" s="65" t="n">
        <f aca="false">IF(ISNUMBER(VLOOKUP($A53,VOLCURVES,HLOOKUP(R$28,VOLCURVES,2,FALSE()),FALSE())),VLOOKUP($A53,VOLCURVES,HLOOKUP(R$28,VOLCURVES,2,FALSE()),FALSE()),1)</f>
        <v>1</v>
      </c>
      <c r="T53" s="64" t="n">
        <f aca="false">IF(R$28="NYMEX",$AG53,$AF53)</f>
        <v>-8004</v>
      </c>
      <c r="U53" s="184" t="e">
        <f aca="false">(($C53+V53)*$S53)+F$15</f>
        <v>#DIV/0!</v>
      </c>
      <c r="V53" s="4" t="e">
        <f aca="false">IF(F$16=1,xCalcSkew($A53,W53-BK53,b)/100,0)</f>
        <v>#DIV/0!</v>
      </c>
      <c r="W53" s="66" t="n">
        <f aca="false">IF($F$19=4,$BK53,$F$18)</f>
        <v>2.55</v>
      </c>
      <c r="X53" s="64"/>
      <c r="Y53" s="63" t="n">
        <f aca="false">IF(Y$28="nymex",0,VLOOKUP($A53,curvesettle,HLOOKUP(Y$28,curvesettle,2,FALSE())))</f>
        <v>0</v>
      </c>
      <c r="Z53" s="65" t="n">
        <f aca="false">IF(ISNUMBER(VLOOKUP($A53,VOLCURVES,HLOOKUP(Y$28,VOLCURVES,2,FALSE()),FALSE())),VLOOKUP($A53,VOLCURVES,HLOOKUP(Y$28,VOLCURVES,2,FALSE()),FALSE()),1)</f>
        <v>1</v>
      </c>
      <c r="AA53" s="64" t="n">
        <f aca="false">IF(Y$28="NYMEX",$AG53,$AF53)</f>
        <v>-8005</v>
      </c>
      <c r="AB53" s="4" t="e">
        <f aca="false">(($C53+AC53)*$Z53)+H$15</f>
        <v>#DIV/0!</v>
      </c>
      <c r="AC53" s="4" t="e">
        <f aca="false">IF(H$16=1,xCalcSkew($A53,AD53-BV53,b)/100,0)</f>
        <v>#DIV/0!</v>
      </c>
      <c r="AD53" s="66" t="n">
        <f aca="false">IF($H$19=4,$BV53,$H$18)</f>
        <v>2.9</v>
      </c>
      <c r="AF53" s="64" t="n">
        <f aca="false">VLOOKUP($A53,expiration,2,FALSE())-$B$2</f>
        <v>-8004</v>
      </c>
      <c r="AG53" s="64" t="n">
        <f aca="false">VLOOKUP($A53,expiration,3,FALSE())-$B$2</f>
        <v>-8005</v>
      </c>
      <c r="AH53" s="4" t="n">
        <f aca="false">VLOOKUP($A53,STRADDLE,14,FALSE())</f>
        <v>0.032904487442281</v>
      </c>
      <c r="AI53" s="72" t="n">
        <f aca="false">A54-A53</f>
        <v>30</v>
      </c>
      <c r="AJ53" s="76"/>
      <c r="AK53" s="76"/>
      <c r="AL53" s="76"/>
      <c r="AM53" s="76"/>
      <c r="AN53" s="73" t="n">
        <f aca="false">IF($A53&gt;=AO$25,IF($A53&lt;=AO$26,$AI53,0),0)</f>
        <v>0</v>
      </c>
      <c r="AO53" s="196" t="e">
        <f aca="false">AQ53/AN53</f>
        <v>#DIV/0!</v>
      </c>
      <c r="AP53" s="1" t="n">
        <f aca="false">AN53*($B53+B$13)</f>
        <v>0</v>
      </c>
      <c r="AQ53" s="47" t="n">
        <f aca="false">IF(ISNUMBER(((AP53/AN53)+B$14+$D53)*AN53),((AP53/AN53)+B$14+$D53)*AN53,0)</f>
        <v>0</v>
      </c>
      <c r="AR53" s="76" t="n">
        <f aca="false">IF(AN53=0,0,bsd(1,AS$27,AO53,$I53,$F53,$G53,$AH53,0.1))</f>
        <v>0</v>
      </c>
      <c r="AS53" s="76" t="n">
        <f aca="false">IF(AN53=0,0,bsd(2,AS$27,AO53,$I53,$F53,$G53,$AH53,0.1))</f>
        <v>0</v>
      </c>
      <c r="AT53" s="76" t="n">
        <f aca="false">IF(AN53=0,0,bsd(AS$28,AS$27,AO53,$I53,$F53,$G53,$AH53,0.1))</f>
        <v>0</v>
      </c>
      <c r="AU53" s="37" t="n">
        <f aca="false">AN53*AR53</f>
        <v>0</v>
      </c>
      <c r="AV53" s="37" t="n">
        <f aca="false">AN53*AS53</f>
        <v>0</v>
      </c>
      <c r="AW53" s="37" t="n">
        <f aca="false">AN53*AT53</f>
        <v>0</v>
      </c>
      <c r="AY53" s="73" t="n">
        <f aca="false">IF($A53&gt;=AZ$25,IF($A53&lt;=AZ$26,$AI53,0),0)</f>
        <v>0</v>
      </c>
      <c r="AZ53" s="196" t="e">
        <f aca="false">BB53/AY53</f>
        <v>#DIV/0!</v>
      </c>
      <c r="BA53" s="1" t="n">
        <f aca="false">AY53*($B53+D$13)</f>
        <v>0</v>
      </c>
      <c r="BB53" s="47" t="n">
        <f aca="false">IF(ISNUMBER(((BA53/AY53)+D$14+$K53)*AY53),((BA53/AY53)+D$14+$K53)*AY53,0)</f>
        <v>0</v>
      </c>
      <c r="BC53" s="76" t="n">
        <f aca="false">IF(AY53=0,0,bsd(1,BD$27,AZ53,$P53,$M53,$N53,$AH53,0.1))</f>
        <v>0</v>
      </c>
      <c r="BD53" s="76" t="n">
        <f aca="false">IF(AY53=0,0,bsd(2,BD$27,AZ53,$P53,$M53,$N53,$AH53,0.1))</f>
        <v>0</v>
      </c>
      <c r="BE53" s="76" t="n">
        <f aca="false">IF(AY53=0,0,bsd(BD$28,BD$27,AZ53,$P53,$M53,$N53,$AH53,0.1))</f>
        <v>0</v>
      </c>
      <c r="BF53" s="37" t="n">
        <f aca="false">AY53*BC53</f>
        <v>0</v>
      </c>
      <c r="BG53" s="37" t="n">
        <f aca="false">AY53*BD53</f>
        <v>0</v>
      </c>
      <c r="BH53" s="37" t="n">
        <f aca="false">AY53*BE53</f>
        <v>0</v>
      </c>
      <c r="BJ53" s="73" t="n">
        <f aca="false">IF($A53&gt;=BK$25,IF($A53&lt;=BK$26,$AI53,0),0)</f>
        <v>0</v>
      </c>
      <c r="BK53" s="196" t="e">
        <f aca="false">BM53/BJ53</f>
        <v>#DIV/0!</v>
      </c>
      <c r="BL53" s="1" t="n">
        <f aca="false">BJ53*($B53+F$13)</f>
        <v>0</v>
      </c>
      <c r="BM53" s="47" t="n">
        <f aca="false">IF(ISNUMBER(((BL53/BJ53)+F$14+$R53)*BJ53),((BL53/BJ53)+F$14+$R53)*BJ53,0)</f>
        <v>0</v>
      </c>
      <c r="BN53" s="76" t="n">
        <f aca="false">IF(BJ53=0,0,bsd(1,BO$27,BK53,$W53,$T53,$U53,$AH53,0.1))</f>
        <v>0</v>
      </c>
      <c r="BO53" s="76" t="n">
        <f aca="false">IF(BJ53=0,0,bsd(2,BO$27,BK53,$W53,$T53,$U53,$AH53,0.1))</f>
        <v>0</v>
      </c>
      <c r="BP53" s="76" t="n">
        <f aca="false">IF(BJ53=0,0,bsd(BO$28,BO$27,BK53,$W53,$T53,$U53,$AH53,0.1))</f>
        <v>0</v>
      </c>
      <c r="BQ53" s="37" t="n">
        <f aca="false">BJ53*BN53</f>
        <v>0</v>
      </c>
      <c r="BR53" s="37" t="n">
        <f aca="false">BJ53*BO53</f>
        <v>0</v>
      </c>
      <c r="BS53" s="37" t="n">
        <f aca="false">BJ53*BP53</f>
        <v>0</v>
      </c>
      <c r="BU53" s="73" t="n">
        <f aca="false">IF($A53&gt;=BV$25,IF($A53&lt;=BV$26,$AI53,0),0)</f>
        <v>0</v>
      </c>
      <c r="BV53" s="196" t="e">
        <f aca="false">BX53/BU53</f>
        <v>#DIV/0!</v>
      </c>
      <c r="BW53" s="1" t="n">
        <f aca="false">BU53*($B53+H$13)</f>
        <v>0</v>
      </c>
      <c r="BX53" s="47" t="n">
        <f aca="false">IF(ISNUMBER(((BW53/BU53)+H$14+$Y53)*BU53),((BW53/BU53)+H$14+$Y53)*BU53,0)</f>
        <v>0</v>
      </c>
      <c r="BY53" s="76" t="n">
        <f aca="false">IF(BU53=0,0,bsd(1,BZ$27,BV53,$AD53,$AA53,$AB53,$AH53,0.1))</f>
        <v>0</v>
      </c>
      <c r="BZ53" s="76" t="n">
        <f aca="false">IF(BU53=0,0,bsd(2,BZ$27,BV53,$AD53,$AA53,$AB53,$AH53,0.1))</f>
        <v>0</v>
      </c>
      <c r="CA53" s="76" t="n">
        <f aca="false">IF(BU53=0,0,bsd(BZ$28,BZ$27,BV53,$AD53,$AA53,$AB53,$AH53,0.1))</f>
        <v>0</v>
      </c>
      <c r="CB53" s="37" t="n">
        <f aca="false">BU53*BY53</f>
        <v>0</v>
      </c>
      <c r="CC53" s="37" t="n">
        <f aca="false">BU53*BZ53</f>
        <v>0</v>
      </c>
      <c r="CD53" s="37" t="n">
        <f aca="false">BU53*CA53</f>
        <v>0</v>
      </c>
    </row>
    <row r="54" customFormat="false" ht="12.75" hidden="false" customHeight="false" outlineLevel="0" collapsed="false">
      <c r="A54" s="62" t="n">
        <f aca="false">DATE(YEAR(A53),MONTH(A53)+1,1)</f>
        <v>37956</v>
      </c>
      <c r="B54" s="63" t="n">
        <f aca="false">VLOOKUP(A54,STRADDLE,5,FALSE())</f>
        <v>3.51</v>
      </c>
      <c r="C54" s="4" t="n">
        <f aca="false">VLOOKUP(A54,STRADDLE,8,FALSE())</f>
        <v>0.37</v>
      </c>
      <c r="D54" s="63" t="n">
        <f aca="false">IF(D$28="nymex",0,VLOOKUP($A54,curvesettle,HLOOKUP(D$28,curvesettle,2,FALSE())))</f>
        <v>-0.075</v>
      </c>
      <c r="E54" s="65" t="n">
        <f aca="false">IF(ISNUMBER(VLOOKUP($A54,VOLCURVES,HLOOKUP(D$28,VOLCURVES,2,FALSE()),FALSE())),VLOOKUP($A54,VOLCURVES,HLOOKUP(D$28,VOLCURVES,2,FALSE()),FALSE()),1)</f>
        <v>1</v>
      </c>
      <c r="F54" s="64" t="n">
        <f aca="false">IF(D$28="NYMEX",$AG54,$AF54)</f>
        <v>-7977</v>
      </c>
      <c r="G54" s="4" t="e">
        <f aca="false">(($C54+H54)*$E54)+B$15</f>
        <v>#DIV/0!</v>
      </c>
      <c r="H54" s="4" t="e">
        <f aca="false">IF(B$16=1,xCalcSkew(A54,I54-AO54,b)/100,0)</f>
        <v>#DIV/0!</v>
      </c>
      <c r="I54" s="66" t="n">
        <f aca="false">IF($B$19=4,$AO54,$B$18)</f>
        <v>5</v>
      </c>
      <c r="K54" s="63" t="n">
        <f aca="false">IF(K$28="nymex",0,VLOOKUP($A54,curvesettle,HLOOKUP(K$28,curvesettle,2,FALSE())))</f>
        <v>-0.075</v>
      </c>
      <c r="L54" s="65" t="n">
        <f aca="false">IF(ISNUMBER(VLOOKUP($A54,VOLCURVES,HLOOKUP(K$28,VOLCURVES,2,FALSE()),FALSE())),VLOOKUP($A54,VOLCURVES,HLOOKUP(K$28,VOLCURVES,2,FALSE()),FALSE()),1)</f>
        <v>1</v>
      </c>
      <c r="M54" s="64" t="n">
        <f aca="false">IF(K$28="NYMEX",$AG54,$AF54)</f>
        <v>-7977</v>
      </c>
      <c r="N54" s="184" t="e">
        <f aca="false">(($C54+O54)*$L54)+D$15</f>
        <v>#DIV/0!</v>
      </c>
      <c r="O54" s="4" t="e">
        <f aca="false">IF(D$16=1,xCalcSkew($A54,P54-AZ54,b)/100,0)</f>
        <v>#DIV/0!</v>
      </c>
      <c r="P54" s="66" t="n">
        <f aca="false">IF($D$19=4,$AZ54,$D$18)</f>
        <v>3</v>
      </c>
      <c r="R54" s="63" t="n">
        <f aca="false">IF(R$28="nymex",0,VLOOKUP($A54,curvesettle,HLOOKUP(R$28,curvesettle,2,FALSE())))</f>
        <v>-0.25</v>
      </c>
      <c r="S54" s="65" t="n">
        <f aca="false">IF(ISNUMBER(VLOOKUP($A54,VOLCURVES,HLOOKUP(R$28,VOLCURVES,2,FALSE()),FALSE())),VLOOKUP($A54,VOLCURVES,HLOOKUP(R$28,VOLCURVES,2,FALSE()),FALSE()),1)</f>
        <v>1</v>
      </c>
      <c r="T54" s="64" t="n">
        <f aca="false">IF(R$28="NYMEX",$AG54,$AF54)</f>
        <v>-7977</v>
      </c>
      <c r="U54" s="184" t="e">
        <f aca="false">(($C54+V54)*$S54)+F$15</f>
        <v>#DIV/0!</v>
      </c>
      <c r="V54" s="4" t="e">
        <f aca="false">IF(F$16=1,xCalcSkew($A54,W54-BK54,b)/100,0)</f>
        <v>#DIV/0!</v>
      </c>
      <c r="W54" s="66" t="n">
        <f aca="false">IF($F$19=4,$BK54,$F$18)</f>
        <v>2.55</v>
      </c>
      <c r="X54" s="64"/>
      <c r="Y54" s="63" t="n">
        <f aca="false">IF(Y$28="nymex",0,VLOOKUP($A54,curvesettle,HLOOKUP(Y$28,curvesettle,2,FALSE())))</f>
        <v>0</v>
      </c>
      <c r="Z54" s="65" t="n">
        <f aca="false">IF(ISNUMBER(VLOOKUP($A54,VOLCURVES,HLOOKUP(Y$28,VOLCURVES,2,FALSE()),FALSE())),VLOOKUP($A54,VOLCURVES,HLOOKUP(Y$28,VOLCURVES,2,FALSE()),FALSE()),1)</f>
        <v>1</v>
      </c>
      <c r="AA54" s="64" t="n">
        <f aca="false">IF(Y$28="NYMEX",$AG54,$AF54)</f>
        <v>-7978</v>
      </c>
      <c r="AB54" s="4" t="e">
        <f aca="false">(($C54+AC54)*$Z54)+H$15</f>
        <v>#DIV/0!</v>
      </c>
      <c r="AC54" s="4" t="e">
        <f aca="false">IF(H$16=1,xCalcSkew($A54,AD54-BV54,b)/100,0)</f>
        <v>#DIV/0!</v>
      </c>
      <c r="AD54" s="66" t="n">
        <f aca="false">IF($H$19=4,$BV54,$H$18)</f>
        <v>2.9</v>
      </c>
      <c r="AF54" s="64" t="n">
        <f aca="false">VLOOKUP($A54,expiration,2,FALSE())-$B$2</f>
        <v>-7977</v>
      </c>
      <c r="AG54" s="64" t="n">
        <f aca="false">VLOOKUP($A54,expiration,3,FALSE())-$B$2</f>
        <v>-7978</v>
      </c>
      <c r="AH54" s="4" t="n">
        <f aca="false">VLOOKUP($A54,STRADDLE,14,FALSE())</f>
        <v>0.0337738638474003</v>
      </c>
      <c r="AI54" s="72" t="n">
        <f aca="false">A55-A54</f>
        <v>31</v>
      </c>
      <c r="AJ54" s="76"/>
      <c r="AK54" s="76"/>
      <c r="AL54" s="76"/>
      <c r="AM54" s="76"/>
      <c r="AN54" s="73" t="n">
        <f aca="false">IF($A54&gt;=AO$25,IF($A54&lt;=AO$26,$AI54,0),0)</f>
        <v>0</v>
      </c>
      <c r="AO54" s="196" t="e">
        <f aca="false">AQ54/AN54</f>
        <v>#DIV/0!</v>
      </c>
      <c r="AP54" s="1" t="n">
        <f aca="false">AN54*($B54+B$13)</f>
        <v>0</v>
      </c>
      <c r="AQ54" s="47" t="n">
        <f aca="false">IF(ISNUMBER(((AP54/AN54)+B$14+$D54)*AN54),((AP54/AN54)+B$14+$D54)*AN54,0)</f>
        <v>0</v>
      </c>
      <c r="AR54" s="76" t="n">
        <f aca="false">IF(AN54=0,0,bsd(1,AS$27,AO54,$I54,$F54,$G54,$AH54,0.1))</f>
        <v>0</v>
      </c>
      <c r="AS54" s="76" t="n">
        <f aca="false">IF(AN54=0,0,bsd(2,AS$27,AO54,$I54,$F54,$G54,$AH54,0.1))</f>
        <v>0</v>
      </c>
      <c r="AT54" s="76" t="n">
        <f aca="false">IF(AN54=0,0,bsd(AS$28,AS$27,AO54,$I54,$F54,$G54,$AH54,0.1))</f>
        <v>0</v>
      </c>
      <c r="AU54" s="37" t="n">
        <f aca="false">AN54*AR54</f>
        <v>0</v>
      </c>
      <c r="AV54" s="37" t="n">
        <f aca="false">AN54*AS54</f>
        <v>0</v>
      </c>
      <c r="AW54" s="37" t="n">
        <f aca="false">AN54*AT54</f>
        <v>0</v>
      </c>
      <c r="AY54" s="73" t="n">
        <f aca="false">IF($A54&gt;=AZ$25,IF($A54&lt;=AZ$26,$AI54,0),0)</f>
        <v>0</v>
      </c>
      <c r="AZ54" s="196" t="e">
        <f aca="false">BB54/AY54</f>
        <v>#DIV/0!</v>
      </c>
      <c r="BA54" s="1" t="n">
        <f aca="false">AY54*($B54+D$13)</f>
        <v>0</v>
      </c>
      <c r="BB54" s="47" t="n">
        <f aca="false">IF(ISNUMBER(((BA54/AY54)+D$14+$K54)*AY54),((BA54/AY54)+D$14+$K54)*AY54,0)</f>
        <v>0</v>
      </c>
      <c r="BC54" s="76" t="n">
        <f aca="false">IF(AY54=0,0,bsd(1,BD$27,AZ54,$P54,$M54,$N54,$AH54,0.1))</f>
        <v>0</v>
      </c>
      <c r="BD54" s="76" t="n">
        <f aca="false">IF(AY54=0,0,bsd(2,BD$27,AZ54,$P54,$M54,$N54,$AH54,0.1))</f>
        <v>0</v>
      </c>
      <c r="BE54" s="76" t="n">
        <f aca="false">IF(AY54=0,0,bsd(BD$28,BD$27,AZ54,$P54,$M54,$N54,$AH54,0.1))</f>
        <v>0</v>
      </c>
      <c r="BF54" s="37" t="n">
        <f aca="false">AY54*BC54</f>
        <v>0</v>
      </c>
      <c r="BG54" s="37" t="n">
        <f aca="false">AY54*BD54</f>
        <v>0</v>
      </c>
      <c r="BH54" s="37" t="n">
        <f aca="false">AY54*BE54</f>
        <v>0</v>
      </c>
      <c r="BJ54" s="73" t="n">
        <f aca="false">IF($A54&gt;=BK$25,IF($A54&lt;=BK$26,$AI54,0),0)</f>
        <v>0</v>
      </c>
      <c r="BK54" s="196" t="e">
        <f aca="false">BM54/BJ54</f>
        <v>#DIV/0!</v>
      </c>
      <c r="BL54" s="1" t="n">
        <f aca="false">BJ54*($B54+F$13)</f>
        <v>0</v>
      </c>
      <c r="BM54" s="47" t="n">
        <f aca="false">IF(ISNUMBER(((BL54/BJ54)+F$14+$R54)*BJ54),((BL54/BJ54)+F$14+$R54)*BJ54,0)</f>
        <v>0</v>
      </c>
      <c r="BN54" s="76" t="n">
        <f aca="false">IF(BJ54=0,0,bsd(1,BO$27,BK54,$W54,$T54,$U54,$AH54,0.1))</f>
        <v>0</v>
      </c>
      <c r="BO54" s="76" t="n">
        <f aca="false">IF(BJ54=0,0,bsd(2,BO$27,BK54,$W54,$T54,$U54,$AH54,0.1))</f>
        <v>0</v>
      </c>
      <c r="BP54" s="76" t="n">
        <f aca="false">IF(BJ54=0,0,bsd(BO$28,BO$27,BK54,$W54,$T54,$U54,$AH54,0.1))</f>
        <v>0</v>
      </c>
      <c r="BQ54" s="37" t="n">
        <f aca="false">BJ54*BN54</f>
        <v>0</v>
      </c>
      <c r="BR54" s="37" t="n">
        <f aca="false">BJ54*BO54</f>
        <v>0</v>
      </c>
      <c r="BS54" s="37" t="n">
        <f aca="false">BJ54*BP54</f>
        <v>0</v>
      </c>
      <c r="BU54" s="73" t="n">
        <f aca="false">IF($A54&gt;=BV$25,IF($A54&lt;=BV$26,$AI54,0),0)</f>
        <v>0</v>
      </c>
      <c r="BV54" s="196" t="e">
        <f aca="false">BX54/BU54</f>
        <v>#DIV/0!</v>
      </c>
      <c r="BW54" s="1" t="n">
        <f aca="false">BU54*($B54+H$13)</f>
        <v>0</v>
      </c>
      <c r="BX54" s="47" t="n">
        <f aca="false">IF(ISNUMBER(((BW54/BU54)+H$14+$Y54)*BU54),((BW54/BU54)+H$14+$Y54)*BU54,0)</f>
        <v>0</v>
      </c>
      <c r="BY54" s="76" t="n">
        <f aca="false">IF(BU54=0,0,bsd(1,BZ$27,BV54,$AD54,$AA54,$AB54,$AH54,0.1))</f>
        <v>0</v>
      </c>
      <c r="BZ54" s="76" t="n">
        <f aca="false">IF(BU54=0,0,bsd(2,BZ$27,BV54,$AD54,$AA54,$AB54,$AH54,0.1))</f>
        <v>0</v>
      </c>
      <c r="CA54" s="76" t="n">
        <f aca="false">IF(BU54=0,0,bsd(BZ$28,BZ$27,BV54,$AD54,$AA54,$AB54,$AH54,0.1))</f>
        <v>0</v>
      </c>
      <c r="CB54" s="37" t="n">
        <f aca="false">BU54*BY54</f>
        <v>0</v>
      </c>
      <c r="CC54" s="37" t="n">
        <f aca="false">BU54*BZ54</f>
        <v>0</v>
      </c>
      <c r="CD54" s="37" t="n">
        <f aca="false">BU54*CA54</f>
        <v>0</v>
      </c>
    </row>
    <row r="55" customFormat="false" ht="12.75" hidden="false" customHeight="false" outlineLevel="0" collapsed="false">
      <c r="A55" s="62" t="n">
        <f aca="false">DATE(YEAR(A54),MONTH(A54)+1,1)</f>
        <v>37987</v>
      </c>
      <c r="B55" s="63" t="n">
        <f aca="false">VLOOKUP(A55,STRADDLE,5,FALSE())</f>
        <v>3.57</v>
      </c>
      <c r="C55" s="4" t="n">
        <f aca="false">VLOOKUP(A55,STRADDLE,8,FALSE())</f>
        <v>0.37</v>
      </c>
      <c r="D55" s="63" t="n">
        <f aca="false">IF(D$28="nymex",0,VLOOKUP($A55,curvesettle,HLOOKUP(D$28,curvesettle,2,FALSE())))</f>
        <v>-0.075</v>
      </c>
      <c r="E55" s="65" t="n">
        <f aca="false">IF(ISNUMBER(VLOOKUP($A55,VOLCURVES,HLOOKUP(D$28,VOLCURVES,2,FALSE()),FALSE())),VLOOKUP($A55,VOLCURVES,HLOOKUP(D$28,VOLCURVES,2,FALSE()),FALSE()),1)</f>
        <v>1</v>
      </c>
      <c r="F55" s="64" t="n">
        <f aca="false">IF(D$28="NYMEX",$AG55,$AF55)</f>
        <v>-7943</v>
      </c>
      <c r="G55" s="4" t="e">
        <f aca="false">(($C55+H55)*$E55)+B$15</f>
        <v>#DIV/0!</v>
      </c>
      <c r="H55" s="4" t="e">
        <f aca="false">IF(B$16=1,xCalcSkew(A55,I55-AO55,b)/100,0)</f>
        <v>#DIV/0!</v>
      </c>
      <c r="I55" s="66" t="n">
        <f aca="false">IF($B$19=4,$AO55,$B$18)</f>
        <v>5</v>
      </c>
      <c r="K55" s="63" t="n">
        <f aca="false">IF(K$28="nymex",0,VLOOKUP($A55,curvesettle,HLOOKUP(K$28,curvesettle,2,FALSE())))</f>
        <v>-0.075</v>
      </c>
      <c r="L55" s="65" t="n">
        <f aca="false">IF(ISNUMBER(VLOOKUP($A55,VOLCURVES,HLOOKUP(K$28,VOLCURVES,2,FALSE()),FALSE())),VLOOKUP($A55,VOLCURVES,HLOOKUP(K$28,VOLCURVES,2,FALSE()),FALSE()),1)</f>
        <v>1</v>
      </c>
      <c r="M55" s="64" t="n">
        <f aca="false">IF(K$28="NYMEX",$AG55,$AF55)</f>
        <v>-7943</v>
      </c>
      <c r="N55" s="184" t="e">
        <f aca="false">(($C55+O55)*$L55)+D$15</f>
        <v>#DIV/0!</v>
      </c>
      <c r="O55" s="4" t="e">
        <f aca="false">IF(D$16=1,xCalcSkew($A55,P55-AZ55,b)/100,0)</f>
        <v>#DIV/0!</v>
      </c>
      <c r="P55" s="66" t="n">
        <f aca="false">IF($D$19=4,$AZ55,$D$18)</f>
        <v>3</v>
      </c>
      <c r="R55" s="63" t="n">
        <f aca="false">IF(R$28="nymex",0,VLOOKUP($A55,curvesettle,HLOOKUP(R$28,curvesettle,2,FALSE())))</f>
        <v>-0.25</v>
      </c>
      <c r="S55" s="65" t="n">
        <f aca="false">IF(ISNUMBER(VLOOKUP($A55,VOLCURVES,HLOOKUP(R$28,VOLCURVES,2,FALSE()),FALSE())),VLOOKUP($A55,VOLCURVES,HLOOKUP(R$28,VOLCURVES,2,FALSE()),FALSE()),1)</f>
        <v>1</v>
      </c>
      <c r="T55" s="64" t="n">
        <f aca="false">IF(R$28="NYMEX",$AG55,$AF55)</f>
        <v>-7943</v>
      </c>
      <c r="U55" s="184" t="e">
        <f aca="false">(($C55+V55)*$S55)+F$15</f>
        <v>#DIV/0!</v>
      </c>
      <c r="V55" s="4" t="e">
        <f aca="false">IF(F$16=1,xCalcSkew($A55,W55-BK55,b)/100,0)</f>
        <v>#DIV/0!</v>
      </c>
      <c r="W55" s="66" t="n">
        <f aca="false">IF($F$19=4,$BK55,$F$18)</f>
        <v>2.55</v>
      </c>
      <c r="X55" s="64"/>
      <c r="Y55" s="63" t="n">
        <f aca="false">IF(Y$28="nymex",0,VLOOKUP($A55,curvesettle,HLOOKUP(Y$28,curvesettle,2,FALSE())))</f>
        <v>0</v>
      </c>
      <c r="Z55" s="65" t="n">
        <f aca="false">IF(ISNUMBER(VLOOKUP($A55,VOLCURVES,HLOOKUP(Y$28,VOLCURVES,2,FALSE()),FALSE())),VLOOKUP($A55,VOLCURVES,HLOOKUP(Y$28,VOLCURVES,2,FALSE()),FALSE()),1)</f>
        <v>1</v>
      </c>
      <c r="AA55" s="64" t="n">
        <f aca="false">IF(Y$28="NYMEX",$AG55,$AF55)</f>
        <v>-7946</v>
      </c>
      <c r="AB55" s="4" t="e">
        <f aca="false">(($C55+AC55)*$Z55)+H$15</f>
        <v>#DIV/0!</v>
      </c>
      <c r="AC55" s="4" t="e">
        <f aca="false">IF(H$16=1,xCalcSkew($A55,AD55-BV55,b)/100,0)</f>
        <v>#DIV/0!</v>
      </c>
      <c r="AD55" s="66" t="n">
        <f aca="false">IF($H$19=4,$BV55,$H$18)</f>
        <v>2.9</v>
      </c>
      <c r="AF55" s="64" t="n">
        <f aca="false">VLOOKUP($A55,expiration,2,FALSE())-$B$2</f>
        <v>-7943</v>
      </c>
      <c r="AG55" s="64" t="n">
        <f aca="false">VLOOKUP($A55,expiration,3,FALSE())-$B$2</f>
        <v>-7946</v>
      </c>
      <c r="AH55" s="4" t="n">
        <f aca="false">VLOOKUP($A55,STRADDLE,14,FALSE())</f>
        <v>0.0346389566727829</v>
      </c>
      <c r="AI55" s="72" t="n">
        <f aca="false">A56-A55</f>
        <v>31</v>
      </c>
      <c r="AJ55" s="76"/>
      <c r="AK55" s="76"/>
      <c r="AL55" s="76"/>
      <c r="AM55" s="76"/>
      <c r="AN55" s="73" t="n">
        <f aca="false">IF($A55&gt;=AO$25,IF($A55&lt;=AO$26,$AI55,0),0)</f>
        <v>0</v>
      </c>
      <c r="AO55" s="196" t="e">
        <f aca="false">AQ55/AN55</f>
        <v>#DIV/0!</v>
      </c>
      <c r="AP55" s="1" t="n">
        <f aca="false">AN55*($B55+B$13)</f>
        <v>0</v>
      </c>
      <c r="AQ55" s="47" t="n">
        <f aca="false">IF(ISNUMBER(((AP55/AN55)+B$14+$D55)*AN55),((AP55/AN55)+B$14+$D55)*AN55,0)</f>
        <v>0</v>
      </c>
      <c r="AR55" s="76" t="n">
        <f aca="false">IF(AN55=0,0,bsd(1,AS$27,AO55,$I55,$F55,$G55,$AH55,0.1))</f>
        <v>0</v>
      </c>
      <c r="AS55" s="76" t="n">
        <f aca="false">IF(AN55=0,0,bsd(2,AS$27,AO55,$I55,$F55,$G55,$AH55,0.1))</f>
        <v>0</v>
      </c>
      <c r="AT55" s="76" t="n">
        <f aca="false">IF(AN55=0,0,bsd(AS$28,AS$27,AO55,$I55,$F55,$G55,$AH55,0.1))</f>
        <v>0</v>
      </c>
      <c r="AU55" s="37" t="n">
        <f aca="false">AN55*AR55</f>
        <v>0</v>
      </c>
      <c r="AV55" s="37" t="n">
        <f aca="false">AN55*AS55</f>
        <v>0</v>
      </c>
      <c r="AW55" s="37" t="n">
        <f aca="false">AN55*AT55</f>
        <v>0</v>
      </c>
      <c r="AY55" s="73" t="n">
        <f aca="false">IF($A55&gt;=AZ$25,IF($A55&lt;=AZ$26,$AI55,0),0)</f>
        <v>0</v>
      </c>
      <c r="AZ55" s="196" t="e">
        <f aca="false">BB55/AY55</f>
        <v>#DIV/0!</v>
      </c>
      <c r="BA55" s="1" t="n">
        <f aca="false">AY55*($B55+D$13)</f>
        <v>0</v>
      </c>
      <c r="BB55" s="47" t="n">
        <f aca="false">IF(ISNUMBER(((BA55/AY55)+D$14+$K55)*AY55),((BA55/AY55)+D$14+$K55)*AY55,0)</f>
        <v>0</v>
      </c>
      <c r="BC55" s="76" t="n">
        <f aca="false">IF(AY55=0,0,bsd(1,BD$27,AZ55,$P55,$M55,$N55,$AH55,0.1))</f>
        <v>0</v>
      </c>
      <c r="BD55" s="76" t="n">
        <f aca="false">IF(AY55=0,0,bsd(2,BD$27,AZ55,$P55,$M55,$N55,$AH55,0.1))</f>
        <v>0</v>
      </c>
      <c r="BE55" s="76" t="n">
        <f aca="false">IF(AY55=0,0,bsd(BD$28,BD$27,AZ55,$P55,$M55,$N55,$AH55,0.1))</f>
        <v>0</v>
      </c>
      <c r="BF55" s="37" t="n">
        <f aca="false">AY55*BC55</f>
        <v>0</v>
      </c>
      <c r="BG55" s="37" t="n">
        <f aca="false">AY55*BD55</f>
        <v>0</v>
      </c>
      <c r="BH55" s="37" t="n">
        <f aca="false">AY55*BE55</f>
        <v>0</v>
      </c>
      <c r="BJ55" s="73" t="n">
        <f aca="false">IF($A55&gt;=BK$25,IF($A55&lt;=BK$26,$AI55,0),0)</f>
        <v>0</v>
      </c>
      <c r="BK55" s="196" t="e">
        <f aca="false">BM55/BJ55</f>
        <v>#DIV/0!</v>
      </c>
      <c r="BL55" s="1" t="n">
        <f aca="false">BJ55*($B55+F$13)</f>
        <v>0</v>
      </c>
      <c r="BM55" s="47" t="n">
        <f aca="false">IF(ISNUMBER(((BL55/BJ55)+F$14+$R55)*BJ55),((BL55/BJ55)+F$14+$R55)*BJ55,0)</f>
        <v>0</v>
      </c>
      <c r="BN55" s="76" t="n">
        <f aca="false">IF(BJ55=0,0,bsd(1,BO$27,BK55,$W55,$T55,$U55,$AH55,0.1))</f>
        <v>0</v>
      </c>
      <c r="BO55" s="76" t="n">
        <f aca="false">IF(BJ55=0,0,bsd(2,BO$27,BK55,$W55,$T55,$U55,$AH55,0.1))</f>
        <v>0</v>
      </c>
      <c r="BP55" s="76" t="n">
        <f aca="false">IF(BJ55=0,0,bsd(BO$28,BO$27,BK55,$W55,$T55,$U55,$AH55,0.1))</f>
        <v>0</v>
      </c>
      <c r="BQ55" s="37" t="n">
        <f aca="false">BJ55*BN55</f>
        <v>0</v>
      </c>
      <c r="BR55" s="37" t="n">
        <f aca="false">BJ55*BO55</f>
        <v>0</v>
      </c>
      <c r="BS55" s="37" t="n">
        <f aca="false">BJ55*BP55</f>
        <v>0</v>
      </c>
      <c r="BU55" s="73" t="n">
        <f aca="false">IF($A55&gt;=BV$25,IF($A55&lt;=BV$26,$AI55,0),0)</f>
        <v>0</v>
      </c>
      <c r="BV55" s="196" t="e">
        <f aca="false">BX55/BU55</f>
        <v>#DIV/0!</v>
      </c>
      <c r="BW55" s="1" t="n">
        <f aca="false">BU55*($B55+H$13)</f>
        <v>0</v>
      </c>
      <c r="BX55" s="47" t="n">
        <f aca="false">IF(ISNUMBER(((BW55/BU55)+H$14+$Y55)*BU55),((BW55/BU55)+H$14+$Y55)*BU55,0)</f>
        <v>0</v>
      </c>
      <c r="BY55" s="76" t="n">
        <f aca="false">IF(BU55=0,0,bsd(1,BZ$27,BV55,$AD55,$AA55,$AB55,$AH55,0.1))</f>
        <v>0</v>
      </c>
      <c r="BZ55" s="76" t="n">
        <f aca="false">IF(BU55=0,0,bsd(2,BZ$27,BV55,$AD55,$AA55,$AB55,$AH55,0.1))</f>
        <v>0</v>
      </c>
      <c r="CA55" s="76" t="n">
        <f aca="false">IF(BU55=0,0,bsd(BZ$28,BZ$27,BV55,$AD55,$AA55,$AB55,$AH55,0.1))</f>
        <v>0</v>
      </c>
      <c r="CB55" s="37" t="n">
        <f aca="false">BU55*BY55</f>
        <v>0</v>
      </c>
      <c r="CC55" s="37" t="n">
        <f aca="false">BU55*BZ55</f>
        <v>0</v>
      </c>
      <c r="CD55" s="37" t="n">
        <f aca="false">BU55*CA55</f>
        <v>0</v>
      </c>
    </row>
    <row r="56" customFormat="false" ht="12.75" hidden="false" customHeight="false" outlineLevel="0" collapsed="false">
      <c r="A56" s="62" t="n">
        <f aca="false">DATE(YEAR(A55),MONTH(A55)+1,1)</f>
        <v>38018</v>
      </c>
      <c r="B56" s="63" t="n">
        <f aca="false">VLOOKUP(A56,STRADDLE,5,FALSE())</f>
        <v>3.485</v>
      </c>
      <c r="C56" s="4" t="n">
        <f aca="false">VLOOKUP(A56,STRADDLE,8,FALSE())</f>
        <v>0.365</v>
      </c>
      <c r="D56" s="63" t="n">
        <f aca="false">IF(D$28="nymex",0,VLOOKUP($A56,curvesettle,HLOOKUP(D$28,curvesettle,2,FALSE())))</f>
        <v>-0.075</v>
      </c>
      <c r="E56" s="65" t="n">
        <f aca="false">IF(ISNUMBER(VLOOKUP($A56,VOLCURVES,HLOOKUP(D$28,VOLCURVES,2,FALSE()),FALSE())),VLOOKUP($A56,VOLCURVES,HLOOKUP(D$28,VOLCURVES,2,FALSE()),FALSE()),1)</f>
        <v>1</v>
      </c>
      <c r="F56" s="64" t="n">
        <f aca="false">IF(D$28="NYMEX",$AG56,$AF56)</f>
        <v>-7913</v>
      </c>
      <c r="G56" s="4" t="e">
        <f aca="false">(($C56+H56)*$E56)+B$15</f>
        <v>#DIV/0!</v>
      </c>
      <c r="H56" s="4" t="e">
        <f aca="false">IF(B$16=1,xCalcSkew(A56,I56-AO56,b)/100,0)</f>
        <v>#DIV/0!</v>
      </c>
      <c r="I56" s="66" t="n">
        <f aca="false">IF($B$19=4,$AO56,$B$18)</f>
        <v>5</v>
      </c>
      <c r="K56" s="63" t="n">
        <f aca="false">IF(K$28="nymex",0,VLOOKUP($A56,curvesettle,HLOOKUP(K$28,curvesettle,2,FALSE())))</f>
        <v>-0.075</v>
      </c>
      <c r="L56" s="65" t="n">
        <f aca="false">IF(ISNUMBER(VLOOKUP($A56,VOLCURVES,HLOOKUP(K$28,VOLCURVES,2,FALSE()),FALSE())),VLOOKUP($A56,VOLCURVES,HLOOKUP(K$28,VOLCURVES,2,FALSE()),FALSE()),1)</f>
        <v>1</v>
      </c>
      <c r="M56" s="64" t="n">
        <f aca="false">IF(K$28="NYMEX",$AG56,$AF56)</f>
        <v>-7913</v>
      </c>
      <c r="N56" s="184" t="e">
        <f aca="false">(($C56+O56)*$L56)+D$15</f>
        <v>#DIV/0!</v>
      </c>
      <c r="O56" s="4" t="e">
        <f aca="false">IF(D$16=1,xCalcSkew($A56,P56-AZ56,b)/100,0)</f>
        <v>#DIV/0!</v>
      </c>
      <c r="P56" s="66" t="n">
        <f aca="false">IF($D$19=4,$AZ56,$D$18)</f>
        <v>3</v>
      </c>
      <c r="R56" s="63" t="n">
        <f aca="false">IF(R$28="nymex",0,VLOOKUP($A56,curvesettle,HLOOKUP(R$28,curvesettle,2,FALSE())))</f>
        <v>-0.25</v>
      </c>
      <c r="S56" s="65" t="n">
        <f aca="false">IF(ISNUMBER(VLOOKUP($A56,VOLCURVES,HLOOKUP(R$28,VOLCURVES,2,FALSE()),FALSE())),VLOOKUP($A56,VOLCURVES,HLOOKUP(R$28,VOLCURVES,2,FALSE()),FALSE()),1)</f>
        <v>1</v>
      </c>
      <c r="T56" s="64" t="n">
        <f aca="false">IF(R$28="NYMEX",$AG56,$AF56)</f>
        <v>-7913</v>
      </c>
      <c r="U56" s="184" t="e">
        <f aca="false">(($C56+V56)*$S56)+F$15</f>
        <v>#DIV/0!</v>
      </c>
      <c r="V56" s="4" t="e">
        <f aca="false">IF(F$16=1,xCalcSkew($A56,W56-BK56,b)/100,0)</f>
        <v>#DIV/0!</v>
      </c>
      <c r="W56" s="66" t="n">
        <f aca="false">IF($F$19=4,$BK56,$F$18)</f>
        <v>2.55</v>
      </c>
      <c r="X56" s="64"/>
      <c r="Y56" s="63" t="n">
        <f aca="false">IF(Y$28="nymex",0,VLOOKUP($A56,curvesettle,HLOOKUP(Y$28,curvesettle,2,FALSE())))</f>
        <v>0</v>
      </c>
      <c r="Z56" s="65" t="n">
        <f aca="false">IF(ISNUMBER(VLOOKUP($A56,VOLCURVES,HLOOKUP(Y$28,VOLCURVES,2,FALSE()),FALSE())),VLOOKUP($A56,VOLCURVES,HLOOKUP(Y$28,VOLCURVES,2,FALSE()),FALSE()),1)</f>
        <v>1</v>
      </c>
      <c r="AA56" s="64" t="n">
        <f aca="false">IF(Y$28="NYMEX",$AG56,$AF56)</f>
        <v>-7914</v>
      </c>
      <c r="AB56" s="4" t="e">
        <f aca="false">(($C56+AC56)*$Z56)+H$15</f>
        <v>#DIV/0!</v>
      </c>
      <c r="AC56" s="4" t="e">
        <f aca="false">IF(H$16=1,xCalcSkew($A56,AD56-BV56,b)/100,0)</f>
        <v>#DIV/0!</v>
      </c>
      <c r="AD56" s="66" t="n">
        <f aca="false">IF($H$19=4,$BV56,$H$18)</f>
        <v>2.9</v>
      </c>
      <c r="AF56" s="64" t="n">
        <f aca="false">VLOOKUP($A56,expiration,2,FALSE())-$B$2</f>
        <v>-7913</v>
      </c>
      <c r="AG56" s="64" t="n">
        <f aca="false">VLOOKUP($A56,expiration,3,FALSE())-$B$2</f>
        <v>-7914</v>
      </c>
      <c r="AH56" s="4" t="n">
        <f aca="false">VLOOKUP($A56,STRADDLE,14,FALSE())</f>
        <v>0.0354685691421812</v>
      </c>
      <c r="AI56" s="72" t="n">
        <f aca="false">A57-A56</f>
        <v>29</v>
      </c>
      <c r="AJ56" s="76"/>
      <c r="AK56" s="76"/>
      <c r="AL56" s="76"/>
      <c r="AM56" s="76"/>
      <c r="AN56" s="73" t="n">
        <f aca="false">IF($A56&gt;=AO$25,IF($A56&lt;=AO$26,$AI56,0),0)</f>
        <v>0</v>
      </c>
      <c r="AO56" s="196" t="e">
        <f aca="false">AQ56/AN56</f>
        <v>#DIV/0!</v>
      </c>
      <c r="AP56" s="1" t="n">
        <f aca="false">AN56*($B56+B$13)</f>
        <v>0</v>
      </c>
      <c r="AQ56" s="47" t="n">
        <f aca="false">IF(ISNUMBER(((AP56/AN56)+B$14+$D56)*AN56),((AP56/AN56)+B$14+$D56)*AN56,0)</f>
        <v>0</v>
      </c>
      <c r="AR56" s="76" t="n">
        <f aca="false">IF(AN56=0,0,bsd(1,AS$27,AO56,$I56,$F56,$G56,$AH56,0.1))</f>
        <v>0</v>
      </c>
      <c r="AS56" s="76" t="n">
        <f aca="false">IF(AN56=0,0,bsd(2,AS$27,AO56,$I56,$F56,$G56,$AH56,0.1))</f>
        <v>0</v>
      </c>
      <c r="AT56" s="76" t="n">
        <f aca="false">IF(AN56=0,0,bsd(AS$28,AS$27,AO56,$I56,$F56,$G56,$AH56,0.1))</f>
        <v>0</v>
      </c>
      <c r="AU56" s="37" t="n">
        <f aca="false">AN56*AR56</f>
        <v>0</v>
      </c>
      <c r="AV56" s="37" t="n">
        <f aca="false">AN56*AS56</f>
        <v>0</v>
      </c>
      <c r="AW56" s="37" t="n">
        <f aca="false">AN56*AT56</f>
        <v>0</v>
      </c>
      <c r="AY56" s="73" t="n">
        <f aca="false">IF($A56&gt;=AZ$25,IF($A56&lt;=AZ$26,$AI56,0),0)</f>
        <v>0</v>
      </c>
      <c r="AZ56" s="196" t="e">
        <f aca="false">BB56/AY56</f>
        <v>#DIV/0!</v>
      </c>
      <c r="BA56" s="1" t="n">
        <f aca="false">AY56*($B56+D$13)</f>
        <v>0</v>
      </c>
      <c r="BB56" s="47" t="n">
        <f aca="false">IF(ISNUMBER(((BA56/AY56)+D$14+$K56)*AY56),((BA56/AY56)+D$14+$K56)*AY56,0)</f>
        <v>0</v>
      </c>
      <c r="BC56" s="76" t="n">
        <f aca="false">IF(AY56=0,0,bsd(1,BD$27,AZ56,$P56,$M56,$N56,$AH56,0.1))</f>
        <v>0</v>
      </c>
      <c r="BD56" s="76" t="n">
        <f aca="false">IF(AY56=0,0,bsd(2,BD$27,AZ56,$P56,$M56,$N56,$AH56,0.1))</f>
        <v>0</v>
      </c>
      <c r="BE56" s="76" t="n">
        <f aca="false">IF(AY56=0,0,bsd(BD$28,BD$27,AZ56,$P56,$M56,$N56,$AH56,0.1))</f>
        <v>0</v>
      </c>
      <c r="BF56" s="37" t="n">
        <f aca="false">AY56*BC56</f>
        <v>0</v>
      </c>
      <c r="BG56" s="37" t="n">
        <f aca="false">AY56*BD56</f>
        <v>0</v>
      </c>
      <c r="BH56" s="37" t="n">
        <f aca="false">AY56*BE56</f>
        <v>0</v>
      </c>
      <c r="BJ56" s="73" t="n">
        <f aca="false">IF($A56&gt;=BK$25,IF($A56&lt;=BK$26,$AI56,0),0)</f>
        <v>0</v>
      </c>
      <c r="BK56" s="196" t="e">
        <f aca="false">BM56/BJ56</f>
        <v>#DIV/0!</v>
      </c>
      <c r="BL56" s="1" t="n">
        <f aca="false">BJ56*($B56+F$13)</f>
        <v>0</v>
      </c>
      <c r="BM56" s="47" t="n">
        <f aca="false">IF(ISNUMBER(((BL56/BJ56)+F$14+$R56)*BJ56),((BL56/BJ56)+F$14+$R56)*BJ56,0)</f>
        <v>0</v>
      </c>
      <c r="BN56" s="76" t="n">
        <f aca="false">IF(BJ56=0,0,bsd(1,BO$27,BK56,$W56,$T56,$U56,$AH56,0.1))</f>
        <v>0</v>
      </c>
      <c r="BO56" s="76" t="n">
        <f aca="false">IF(BJ56=0,0,bsd(2,BO$27,BK56,$W56,$T56,$U56,$AH56,0.1))</f>
        <v>0</v>
      </c>
      <c r="BP56" s="76" t="n">
        <f aca="false">IF(BJ56=0,0,bsd(BO$28,BO$27,BK56,$W56,$T56,$U56,$AH56,0.1))</f>
        <v>0</v>
      </c>
      <c r="BQ56" s="37" t="n">
        <f aca="false">BJ56*BN56</f>
        <v>0</v>
      </c>
      <c r="BR56" s="37" t="n">
        <f aca="false">BJ56*BO56</f>
        <v>0</v>
      </c>
      <c r="BS56" s="37" t="n">
        <f aca="false">BJ56*BP56</f>
        <v>0</v>
      </c>
      <c r="BU56" s="73" t="n">
        <f aca="false">IF($A56&gt;=BV$25,IF($A56&lt;=BV$26,$AI56,0),0)</f>
        <v>0</v>
      </c>
      <c r="BV56" s="196" t="e">
        <f aca="false">BX56/BU56</f>
        <v>#DIV/0!</v>
      </c>
      <c r="BW56" s="1" t="n">
        <f aca="false">BU56*($B56+H$13)</f>
        <v>0</v>
      </c>
      <c r="BX56" s="47" t="n">
        <f aca="false">IF(ISNUMBER(((BW56/BU56)+H$14+$Y56)*BU56),((BW56/BU56)+H$14+$Y56)*BU56,0)</f>
        <v>0</v>
      </c>
      <c r="BY56" s="76" t="n">
        <f aca="false">IF(BU56=0,0,bsd(1,BZ$27,BV56,$AD56,$AA56,$AB56,$AH56,0.1))</f>
        <v>0</v>
      </c>
      <c r="BZ56" s="76" t="n">
        <f aca="false">IF(BU56=0,0,bsd(2,BZ$27,BV56,$AD56,$AA56,$AB56,$AH56,0.1))</f>
        <v>0</v>
      </c>
      <c r="CA56" s="76" t="n">
        <f aca="false">IF(BU56=0,0,bsd(BZ$28,BZ$27,BV56,$AD56,$AA56,$AB56,$AH56,0.1))</f>
        <v>0</v>
      </c>
      <c r="CB56" s="37" t="n">
        <f aca="false">BU56*BY56</f>
        <v>0</v>
      </c>
      <c r="CC56" s="37" t="n">
        <f aca="false">BU56*BZ56</f>
        <v>0</v>
      </c>
      <c r="CD56" s="37" t="n">
        <f aca="false">BU56*CA56</f>
        <v>0</v>
      </c>
    </row>
    <row r="57" customFormat="false" ht="12.75" hidden="false" customHeight="false" outlineLevel="0" collapsed="false">
      <c r="A57" s="62" t="n">
        <f aca="false">DATE(YEAR(A56),MONTH(A56)+1,1)</f>
        <v>38047</v>
      </c>
      <c r="B57" s="63" t="n">
        <f aca="false">VLOOKUP(A57,STRADDLE,5,FALSE())</f>
        <v>3.355</v>
      </c>
      <c r="C57" s="4" t="n">
        <f aca="false">VLOOKUP(A57,STRADDLE,8,FALSE())</f>
        <v>0.35</v>
      </c>
      <c r="D57" s="63" t="n">
        <f aca="false">IF(D$28="nymex",0,VLOOKUP($A57,curvesettle,HLOOKUP(D$28,curvesettle,2,FALSE())))</f>
        <v>-0.075</v>
      </c>
      <c r="E57" s="65" t="n">
        <f aca="false">IF(ISNUMBER(VLOOKUP($A57,VOLCURVES,HLOOKUP(D$28,VOLCURVES,2,FALSE()),FALSE())),VLOOKUP($A57,VOLCURVES,HLOOKUP(D$28,VOLCURVES,2,FALSE()),FALSE()),1)</f>
        <v>1</v>
      </c>
      <c r="F57" s="64" t="n">
        <f aca="false">IF(D$28="NYMEX",$AG57,$AF57)</f>
        <v>-7885</v>
      </c>
      <c r="G57" s="4" t="e">
        <f aca="false">(($C57+H57)*$E57)+B$15</f>
        <v>#DIV/0!</v>
      </c>
      <c r="H57" s="4" t="e">
        <f aca="false">IF(B$16=1,xCalcSkew(A57,I57-AO57,b)/100,0)</f>
        <v>#DIV/0!</v>
      </c>
      <c r="I57" s="66" t="n">
        <f aca="false">IF($B$19=4,$AO57,$B$18)</f>
        <v>5</v>
      </c>
      <c r="K57" s="63" t="n">
        <f aca="false">IF(K$28="nymex",0,VLOOKUP($A57,curvesettle,HLOOKUP(K$28,curvesettle,2,FALSE())))</f>
        <v>-0.075</v>
      </c>
      <c r="L57" s="65" t="n">
        <f aca="false">IF(ISNUMBER(VLOOKUP($A57,VOLCURVES,HLOOKUP(K$28,VOLCURVES,2,FALSE()),FALSE())),VLOOKUP($A57,VOLCURVES,HLOOKUP(K$28,VOLCURVES,2,FALSE()),FALSE()),1)</f>
        <v>1</v>
      </c>
      <c r="M57" s="64" t="n">
        <f aca="false">IF(K$28="NYMEX",$AG57,$AF57)</f>
        <v>-7885</v>
      </c>
      <c r="N57" s="184" t="e">
        <f aca="false">(($C57+O57)*$L57)+D$15</f>
        <v>#DIV/0!</v>
      </c>
      <c r="O57" s="4" t="e">
        <f aca="false">IF(D$16=1,xCalcSkew($A57,P57-AZ57,b)/100,0)</f>
        <v>#DIV/0!</v>
      </c>
      <c r="P57" s="66" t="n">
        <f aca="false">IF($D$19=4,$AZ57,$D$18)</f>
        <v>3</v>
      </c>
      <c r="R57" s="63" t="n">
        <f aca="false">IF(R$28="nymex",0,VLOOKUP($A57,curvesettle,HLOOKUP(R$28,curvesettle,2,FALSE())))</f>
        <v>-0.25</v>
      </c>
      <c r="S57" s="65" t="n">
        <f aca="false">IF(ISNUMBER(VLOOKUP($A57,VOLCURVES,HLOOKUP(R$28,VOLCURVES,2,FALSE()),FALSE())),VLOOKUP($A57,VOLCURVES,HLOOKUP(R$28,VOLCURVES,2,FALSE()),FALSE()),1)</f>
        <v>1</v>
      </c>
      <c r="T57" s="64" t="n">
        <f aca="false">IF(R$28="NYMEX",$AG57,$AF57)</f>
        <v>-7885</v>
      </c>
      <c r="U57" s="184" t="e">
        <f aca="false">(($C57+V57)*$S57)+F$15</f>
        <v>#DIV/0!</v>
      </c>
      <c r="V57" s="4" t="e">
        <f aca="false">IF(F$16=1,xCalcSkew($A57,W57-BK57,b)/100,0)</f>
        <v>#DIV/0!</v>
      </c>
      <c r="W57" s="66" t="n">
        <f aca="false">IF($F$19=4,$BK57,$F$18)</f>
        <v>2.55</v>
      </c>
      <c r="X57" s="64"/>
      <c r="Y57" s="63" t="n">
        <f aca="false">IF(Y$28="nymex",0,VLOOKUP($A57,curvesettle,HLOOKUP(Y$28,curvesettle,2,FALSE())))</f>
        <v>0</v>
      </c>
      <c r="Z57" s="65" t="n">
        <f aca="false">IF(ISNUMBER(VLOOKUP($A57,VOLCURVES,HLOOKUP(Y$28,VOLCURVES,2,FALSE()),FALSE())),VLOOKUP($A57,VOLCURVES,HLOOKUP(Y$28,VOLCURVES,2,FALSE()),FALSE()),1)</f>
        <v>1</v>
      </c>
      <c r="AA57" s="64" t="n">
        <f aca="false">IF(Y$28="NYMEX",$AG57,$AF57)</f>
        <v>-7886</v>
      </c>
      <c r="AB57" s="4" t="e">
        <f aca="false">(($C57+AC57)*$Z57)+H$15</f>
        <v>#DIV/0!</v>
      </c>
      <c r="AC57" s="4" t="e">
        <f aca="false">IF(H$16=1,xCalcSkew($A57,AD57-BV57,b)/100,0)</f>
        <v>#DIV/0!</v>
      </c>
      <c r="AD57" s="66" t="n">
        <f aca="false">IF($H$19=4,$BV57,$H$18)</f>
        <v>2.9</v>
      </c>
      <c r="AF57" s="64" t="n">
        <f aca="false">VLOOKUP($A57,expiration,2,FALSE())-$B$2</f>
        <v>-7885</v>
      </c>
      <c r="AG57" s="64" t="n">
        <f aca="false">VLOOKUP($A57,expiration,3,FALSE())-$B$2</f>
        <v>-7886</v>
      </c>
      <c r="AH57" s="4" t="n">
        <f aca="false">VLOOKUP($A57,STRADDLE,14,FALSE())</f>
        <v>0.0362446584359817</v>
      </c>
      <c r="AI57" s="72" t="n">
        <f aca="false">A58-A57</f>
        <v>31</v>
      </c>
      <c r="AJ57" s="76"/>
      <c r="AK57" s="76"/>
      <c r="AL57" s="76"/>
      <c r="AM57" s="76"/>
      <c r="AN57" s="73" t="n">
        <f aca="false">IF($A57&gt;=AO$25,IF($A57&lt;=AO$26,$AI57,0),0)</f>
        <v>0</v>
      </c>
      <c r="AO57" s="196" t="e">
        <f aca="false">AQ57/AN57</f>
        <v>#DIV/0!</v>
      </c>
      <c r="AP57" s="1" t="n">
        <f aca="false">AN57*($B57+B$13)</f>
        <v>0</v>
      </c>
      <c r="AQ57" s="47" t="n">
        <f aca="false">IF(ISNUMBER(((AP57/AN57)+B$14+$D57)*AN57),((AP57/AN57)+B$14+$D57)*AN57,0)</f>
        <v>0</v>
      </c>
      <c r="AR57" s="76" t="n">
        <f aca="false">IF(AN57=0,0,bsd(1,AS$27,AO57,$I57,$F57,$G57,$AH57,0.1))</f>
        <v>0</v>
      </c>
      <c r="AS57" s="76" t="n">
        <f aca="false">IF(AN57=0,0,bsd(2,AS$27,AO57,$I57,$F57,$G57,$AH57,0.1))</f>
        <v>0</v>
      </c>
      <c r="AT57" s="76" t="n">
        <f aca="false">IF(AN57=0,0,bsd(AS$28,AS$27,AO57,$I57,$F57,$G57,$AH57,0.1))</f>
        <v>0</v>
      </c>
      <c r="AU57" s="37" t="n">
        <f aca="false">AN57*AR57</f>
        <v>0</v>
      </c>
      <c r="AV57" s="37" t="n">
        <f aca="false">AN57*AS57</f>
        <v>0</v>
      </c>
      <c r="AW57" s="37" t="n">
        <f aca="false">AN57*AT57</f>
        <v>0</v>
      </c>
      <c r="AY57" s="73" t="n">
        <f aca="false">IF($A57&gt;=AZ$25,IF($A57&lt;=AZ$26,$AI57,0),0)</f>
        <v>0</v>
      </c>
      <c r="AZ57" s="196" t="e">
        <f aca="false">BB57/AY57</f>
        <v>#DIV/0!</v>
      </c>
      <c r="BA57" s="1" t="n">
        <f aca="false">AY57*($B57+D$13)</f>
        <v>0</v>
      </c>
      <c r="BB57" s="47" t="n">
        <f aca="false">IF(ISNUMBER(((BA57/AY57)+D$14+$K57)*AY57),((BA57/AY57)+D$14+$K57)*AY57,0)</f>
        <v>0</v>
      </c>
      <c r="BC57" s="76" t="n">
        <f aca="false">IF(AY57=0,0,bsd(1,BD$27,AZ57,$P57,$M57,$N57,$AH57,0.1))</f>
        <v>0</v>
      </c>
      <c r="BD57" s="76" t="n">
        <f aca="false">IF(AY57=0,0,bsd(2,BD$27,AZ57,$P57,$M57,$N57,$AH57,0.1))</f>
        <v>0</v>
      </c>
      <c r="BE57" s="76" t="n">
        <f aca="false">IF(AY57=0,0,bsd(BD$28,BD$27,AZ57,$P57,$M57,$N57,$AH57,0.1))</f>
        <v>0</v>
      </c>
      <c r="BF57" s="37" t="n">
        <f aca="false">AY57*BC57</f>
        <v>0</v>
      </c>
      <c r="BG57" s="37" t="n">
        <f aca="false">AY57*BD57</f>
        <v>0</v>
      </c>
      <c r="BH57" s="37" t="n">
        <f aca="false">AY57*BE57</f>
        <v>0</v>
      </c>
      <c r="BJ57" s="73" t="n">
        <f aca="false">IF($A57&gt;=BK$25,IF($A57&lt;=BK$26,$AI57,0),0)</f>
        <v>0</v>
      </c>
      <c r="BK57" s="196" t="e">
        <f aca="false">BM57/BJ57</f>
        <v>#DIV/0!</v>
      </c>
      <c r="BL57" s="1" t="n">
        <f aca="false">BJ57*($B57+F$13)</f>
        <v>0</v>
      </c>
      <c r="BM57" s="47" t="n">
        <f aca="false">IF(ISNUMBER(((BL57/BJ57)+F$14+$R57)*BJ57),((BL57/BJ57)+F$14+$R57)*BJ57,0)</f>
        <v>0</v>
      </c>
      <c r="BN57" s="76" t="n">
        <f aca="false">IF(BJ57=0,0,bsd(1,BO$27,BK57,$W57,$T57,$U57,$AH57,0.1))</f>
        <v>0</v>
      </c>
      <c r="BO57" s="76" t="n">
        <f aca="false">IF(BJ57=0,0,bsd(2,BO$27,BK57,$W57,$T57,$U57,$AH57,0.1))</f>
        <v>0</v>
      </c>
      <c r="BP57" s="76" t="n">
        <f aca="false">IF(BJ57=0,0,bsd(BO$28,BO$27,BK57,$W57,$T57,$U57,$AH57,0.1))</f>
        <v>0</v>
      </c>
      <c r="BQ57" s="37" t="n">
        <f aca="false">BJ57*BN57</f>
        <v>0</v>
      </c>
      <c r="BR57" s="37" t="n">
        <f aca="false">BJ57*BO57</f>
        <v>0</v>
      </c>
      <c r="BS57" s="37" t="n">
        <f aca="false">BJ57*BP57</f>
        <v>0</v>
      </c>
      <c r="BU57" s="73" t="n">
        <f aca="false">IF($A57&gt;=BV$25,IF($A57&lt;=BV$26,$AI57,0),0)</f>
        <v>0</v>
      </c>
      <c r="BV57" s="196" t="e">
        <f aca="false">BX57/BU57</f>
        <v>#DIV/0!</v>
      </c>
      <c r="BW57" s="1" t="n">
        <f aca="false">BU57*($B57+H$13)</f>
        <v>0</v>
      </c>
      <c r="BX57" s="47" t="n">
        <f aca="false">IF(ISNUMBER(((BW57/BU57)+H$14+$Y57)*BU57),((BW57/BU57)+H$14+$Y57)*BU57,0)</f>
        <v>0</v>
      </c>
      <c r="BY57" s="76" t="n">
        <f aca="false">IF(BU57=0,0,bsd(1,BZ$27,BV57,$AD57,$AA57,$AB57,$AH57,0.1))</f>
        <v>0</v>
      </c>
      <c r="BZ57" s="76" t="n">
        <f aca="false">IF(BU57=0,0,bsd(2,BZ$27,BV57,$AD57,$AA57,$AB57,$AH57,0.1))</f>
        <v>0</v>
      </c>
      <c r="CA57" s="76" t="n">
        <f aca="false">IF(BU57=0,0,bsd(BZ$28,BZ$27,BV57,$AD57,$AA57,$AB57,$AH57,0.1))</f>
        <v>0</v>
      </c>
      <c r="CB57" s="37" t="n">
        <f aca="false">BU57*BY57</f>
        <v>0</v>
      </c>
      <c r="CC57" s="37" t="n">
        <f aca="false">BU57*BZ57</f>
        <v>0</v>
      </c>
      <c r="CD57" s="37" t="n">
        <f aca="false">BU57*CA57</f>
        <v>0</v>
      </c>
    </row>
    <row r="58" customFormat="false" ht="12.75" hidden="false" customHeight="false" outlineLevel="0" collapsed="false">
      <c r="A58" s="62" t="n">
        <f aca="false">DATE(YEAR(A57),MONTH(A57)+1,1)</f>
        <v>38078</v>
      </c>
      <c r="B58" s="63" t="n">
        <f aca="false">VLOOKUP(A58,STRADDLE,5,FALSE())</f>
        <v>3.17</v>
      </c>
      <c r="C58" s="4" t="n">
        <f aca="false">VLOOKUP(A58,STRADDLE,8,FALSE())</f>
        <v>0.32</v>
      </c>
      <c r="D58" s="63" t="n">
        <f aca="false">IF(D$28="nymex",0,VLOOKUP($A58,curvesettle,HLOOKUP(D$28,curvesettle,2,FALSE())))</f>
        <v>-0.0725</v>
      </c>
      <c r="E58" s="65" t="n">
        <f aca="false">IF(ISNUMBER(VLOOKUP($A58,VOLCURVES,HLOOKUP(D$28,VOLCURVES,2,FALSE()),FALSE())),VLOOKUP($A58,VOLCURVES,HLOOKUP(D$28,VOLCURVES,2,FALSE()),FALSE()),1)</f>
        <v>1</v>
      </c>
      <c r="F58" s="64" t="n">
        <f aca="false">IF(D$28="NYMEX",$AG58,$AF58)</f>
        <v>-7852</v>
      </c>
      <c r="G58" s="4" t="e">
        <f aca="false">(($C58+H58)*$E58)+B$15</f>
        <v>#DIV/0!</v>
      </c>
      <c r="H58" s="4" t="e">
        <f aca="false">IF(B$16=1,xCalcSkew(A58,I58-AO58,b)/100,0)</f>
        <v>#DIV/0!</v>
      </c>
      <c r="I58" s="66" t="n">
        <f aca="false">IF($B$19=4,$AO58,$B$18)</f>
        <v>5</v>
      </c>
      <c r="K58" s="63" t="n">
        <f aca="false">IF(K$28="nymex",0,VLOOKUP($A58,curvesettle,HLOOKUP(K$28,curvesettle,2,FALSE())))</f>
        <v>-0.0725</v>
      </c>
      <c r="L58" s="65" t="n">
        <f aca="false">IF(ISNUMBER(VLOOKUP($A58,VOLCURVES,HLOOKUP(K$28,VOLCURVES,2,FALSE()),FALSE())),VLOOKUP($A58,VOLCURVES,HLOOKUP(K$28,VOLCURVES,2,FALSE()),FALSE()),1)</f>
        <v>1</v>
      </c>
      <c r="M58" s="64" t="n">
        <f aca="false">IF(K$28="NYMEX",$AG58,$AF58)</f>
        <v>-7852</v>
      </c>
      <c r="N58" s="184" t="e">
        <f aca="false">(($C58+O58)*$L58)+D$15</f>
        <v>#DIV/0!</v>
      </c>
      <c r="O58" s="4" t="e">
        <f aca="false">IF(D$16=1,xCalcSkew($A58,P58-AZ58,b)/100,0)</f>
        <v>#DIV/0!</v>
      </c>
      <c r="P58" s="66" t="n">
        <f aca="false">IF($D$19=4,$AZ58,$D$18)</f>
        <v>3</v>
      </c>
      <c r="R58" s="63" t="n">
        <f aca="false">IF(R$28="nymex",0,VLOOKUP($A58,curvesettle,HLOOKUP(R$28,curvesettle,2,FALSE())))</f>
        <v>-0.42</v>
      </c>
      <c r="S58" s="65" t="n">
        <f aca="false">IF(ISNUMBER(VLOOKUP($A58,VOLCURVES,HLOOKUP(R$28,VOLCURVES,2,FALSE()),FALSE())),VLOOKUP($A58,VOLCURVES,HLOOKUP(R$28,VOLCURVES,2,FALSE()),FALSE()),1)</f>
        <v>1</v>
      </c>
      <c r="T58" s="64" t="n">
        <f aca="false">IF(R$28="NYMEX",$AG58,$AF58)</f>
        <v>-7852</v>
      </c>
      <c r="U58" s="184" t="e">
        <f aca="false">(($C58+V58)*$S58)+F$15</f>
        <v>#DIV/0!</v>
      </c>
      <c r="V58" s="4" t="e">
        <f aca="false">IF(F$16=1,xCalcSkew($A58,W58-BK58,b)/100,0)</f>
        <v>#DIV/0!</v>
      </c>
      <c r="W58" s="66" t="n">
        <f aca="false">IF($F$19=4,$BK58,$F$18)</f>
        <v>2.55</v>
      </c>
      <c r="X58" s="64"/>
      <c r="Y58" s="63" t="n">
        <f aca="false">IF(Y$28="nymex",0,VLOOKUP($A58,curvesettle,HLOOKUP(Y$28,curvesettle,2,FALSE())))</f>
        <v>0</v>
      </c>
      <c r="Z58" s="65" t="n">
        <f aca="false">IF(ISNUMBER(VLOOKUP($A58,VOLCURVES,HLOOKUP(Y$28,VOLCURVES,2,FALSE()),FALSE())),VLOOKUP($A58,VOLCURVES,HLOOKUP(Y$28,VOLCURVES,2,FALSE()),FALSE()),1)</f>
        <v>1</v>
      </c>
      <c r="AA58" s="64" t="n">
        <f aca="false">IF(Y$28="NYMEX",$AG58,$AF58)</f>
        <v>-7855</v>
      </c>
      <c r="AB58" s="4" t="e">
        <f aca="false">(($C58+AC58)*$Z58)+H$15</f>
        <v>#DIV/0!</v>
      </c>
      <c r="AC58" s="4" t="e">
        <f aca="false">IF(H$16=1,xCalcSkew($A58,AD58-BV58,b)/100,0)</f>
        <v>#DIV/0!</v>
      </c>
      <c r="AD58" s="66" t="n">
        <f aca="false">IF($H$19=4,$BV58,$H$18)</f>
        <v>2.9</v>
      </c>
      <c r="AF58" s="64" t="n">
        <f aca="false">VLOOKUP($A58,expiration,2,FALSE())-$B$2</f>
        <v>-7852</v>
      </c>
      <c r="AG58" s="64" t="n">
        <f aca="false">VLOOKUP($A58,expiration,3,FALSE())-$B$2</f>
        <v>-7855</v>
      </c>
      <c r="AH58" s="4" t="n">
        <f aca="false">VLOOKUP($A58,STRADDLE,14,FALSE())</f>
        <v>0.0370210690335231</v>
      </c>
      <c r="AI58" s="72" t="n">
        <f aca="false">A59-A58</f>
        <v>30</v>
      </c>
      <c r="AJ58" s="76"/>
      <c r="AK58" s="76"/>
      <c r="AL58" s="76"/>
      <c r="AM58" s="76"/>
      <c r="AN58" s="73" t="n">
        <f aca="false">IF($A58&gt;=AO$25,IF($A58&lt;=AO$26,$AI58,0),0)</f>
        <v>0</v>
      </c>
      <c r="AO58" s="196" t="e">
        <f aca="false">AQ58/AN58</f>
        <v>#DIV/0!</v>
      </c>
      <c r="AP58" s="1" t="n">
        <f aca="false">AN58*($B58+B$13)</f>
        <v>0</v>
      </c>
      <c r="AQ58" s="47" t="n">
        <f aca="false">IF(ISNUMBER(((AP58/AN58)+B$14+$D58)*AN58),((AP58/AN58)+B$14+$D58)*AN58,0)</f>
        <v>0</v>
      </c>
      <c r="AR58" s="76" t="n">
        <f aca="false">IF(AN58=0,0,bsd(1,AS$27,AO58,$I58,$F58,$G58,$AH58,0.1))</f>
        <v>0</v>
      </c>
      <c r="AS58" s="76" t="n">
        <f aca="false">IF(AN58=0,0,bsd(2,AS$27,AO58,$I58,$F58,$G58,$AH58,0.1))</f>
        <v>0</v>
      </c>
      <c r="AT58" s="76" t="n">
        <f aca="false">IF(AN58=0,0,bsd(AS$28,AS$27,AO58,$I58,$F58,$G58,$AH58,0.1))</f>
        <v>0</v>
      </c>
      <c r="AU58" s="37" t="n">
        <f aca="false">AN58*AR58</f>
        <v>0</v>
      </c>
      <c r="AV58" s="37" t="n">
        <f aca="false">AN58*AS58</f>
        <v>0</v>
      </c>
      <c r="AW58" s="37" t="n">
        <f aca="false">AN58*AT58</f>
        <v>0</v>
      </c>
      <c r="AY58" s="73" t="n">
        <f aca="false">IF($A58&gt;=AZ$25,IF($A58&lt;=AZ$26,$AI58,0),0)</f>
        <v>0</v>
      </c>
      <c r="AZ58" s="196" t="e">
        <f aca="false">BB58/AY58</f>
        <v>#DIV/0!</v>
      </c>
      <c r="BA58" s="1" t="n">
        <f aca="false">AY58*($B58+D$13)</f>
        <v>0</v>
      </c>
      <c r="BB58" s="47" t="n">
        <f aca="false">IF(ISNUMBER(((BA58/AY58)+D$14+$K58)*AY58),((BA58/AY58)+D$14+$K58)*AY58,0)</f>
        <v>0</v>
      </c>
      <c r="BC58" s="76" t="n">
        <f aca="false">IF(AY58=0,0,bsd(1,BD$27,AZ58,$P58,$M58,$N58,$AH58,0.1))</f>
        <v>0</v>
      </c>
      <c r="BD58" s="76" t="n">
        <f aca="false">IF(AY58=0,0,bsd(2,BD$27,AZ58,$P58,$M58,$N58,$AH58,0.1))</f>
        <v>0</v>
      </c>
      <c r="BE58" s="76" t="n">
        <f aca="false">IF(AY58=0,0,bsd(BD$28,BD$27,AZ58,$P58,$M58,$N58,$AH58,0.1))</f>
        <v>0</v>
      </c>
      <c r="BF58" s="37" t="n">
        <f aca="false">AY58*BC58</f>
        <v>0</v>
      </c>
      <c r="BG58" s="37" t="n">
        <f aca="false">AY58*BD58</f>
        <v>0</v>
      </c>
      <c r="BH58" s="37" t="n">
        <f aca="false">AY58*BE58</f>
        <v>0</v>
      </c>
      <c r="BJ58" s="73" t="n">
        <f aca="false">IF($A58&gt;=BK$25,IF($A58&lt;=BK$26,$AI58,0),0)</f>
        <v>0</v>
      </c>
      <c r="BK58" s="196" t="e">
        <f aca="false">BM58/BJ58</f>
        <v>#DIV/0!</v>
      </c>
      <c r="BL58" s="1" t="n">
        <f aca="false">BJ58*($B58+F$13)</f>
        <v>0</v>
      </c>
      <c r="BM58" s="47" t="n">
        <f aca="false">IF(ISNUMBER(((BL58/BJ58)+F$14+$R58)*BJ58),((BL58/BJ58)+F$14+$R58)*BJ58,0)</f>
        <v>0</v>
      </c>
      <c r="BN58" s="76" t="n">
        <f aca="false">IF(BJ58=0,0,bsd(1,BO$27,BK58,$W58,$T58,$U58,$AH58,0.1))</f>
        <v>0</v>
      </c>
      <c r="BO58" s="76" t="n">
        <f aca="false">IF(BJ58=0,0,bsd(2,BO$27,BK58,$W58,$T58,$U58,$AH58,0.1))</f>
        <v>0</v>
      </c>
      <c r="BP58" s="76" t="n">
        <f aca="false">IF(BJ58=0,0,bsd(BO$28,BO$27,BK58,$W58,$T58,$U58,$AH58,0.1))</f>
        <v>0</v>
      </c>
      <c r="BQ58" s="37" t="n">
        <f aca="false">BJ58*BN58</f>
        <v>0</v>
      </c>
      <c r="BR58" s="37" t="n">
        <f aca="false">BJ58*BO58</f>
        <v>0</v>
      </c>
      <c r="BS58" s="37" t="n">
        <f aca="false">BJ58*BP58</f>
        <v>0</v>
      </c>
      <c r="BU58" s="73" t="n">
        <f aca="false">IF($A58&gt;=BV$25,IF($A58&lt;=BV$26,$AI58,0),0)</f>
        <v>0</v>
      </c>
      <c r="BV58" s="196" t="e">
        <f aca="false">BX58/BU58</f>
        <v>#DIV/0!</v>
      </c>
      <c r="BW58" s="1" t="n">
        <f aca="false">BU58*($B58+H$13)</f>
        <v>0</v>
      </c>
      <c r="BX58" s="47" t="n">
        <f aca="false">IF(ISNUMBER(((BW58/BU58)+H$14+$Y58)*BU58),((BW58/BU58)+H$14+$Y58)*BU58,0)</f>
        <v>0</v>
      </c>
      <c r="BY58" s="76" t="n">
        <f aca="false">IF(BU58=0,0,bsd(1,BZ$27,BV58,$AD58,$AA58,$AB58,$AH58,0.1))</f>
        <v>0</v>
      </c>
      <c r="BZ58" s="76" t="n">
        <f aca="false">IF(BU58=0,0,bsd(2,BZ$27,BV58,$AD58,$AA58,$AB58,$AH58,0.1))</f>
        <v>0</v>
      </c>
      <c r="CA58" s="76" t="n">
        <f aca="false">IF(BU58=0,0,bsd(BZ$28,BZ$27,BV58,$AD58,$AA58,$AB58,$AH58,0.1))</f>
        <v>0</v>
      </c>
      <c r="CB58" s="37" t="n">
        <f aca="false">BU58*BY58</f>
        <v>0</v>
      </c>
      <c r="CC58" s="37" t="n">
        <f aca="false">BU58*BZ58</f>
        <v>0</v>
      </c>
      <c r="CD58" s="37" t="n">
        <f aca="false">BU58*CA58</f>
        <v>0</v>
      </c>
    </row>
    <row r="59" customFormat="false" ht="12.75" hidden="false" customHeight="false" outlineLevel="0" collapsed="false">
      <c r="A59" s="62" t="n">
        <f aca="false">DATE(YEAR(A58),MONTH(A58)+1,1)</f>
        <v>38108</v>
      </c>
      <c r="B59" s="63" t="n">
        <f aca="false">VLOOKUP(A59,STRADDLE,5,FALSE())</f>
        <v>3.165</v>
      </c>
      <c r="C59" s="4" t="n">
        <f aca="false">VLOOKUP(A59,STRADDLE,8,FALSE())</f>
        <v>0.315</v>
      </c>
      <c r="D59" s="63" t="n">
        <f aca="false">IF(D$28="nymex",0,VLOOKUP($A59,curvesettle,HLOOKUP(D$28,curvesettle,2,FALSE())))</f>
        <v>-0.0725</v>
      </c>
      <c r="E59" s="65" t="n">
        <f aca="false">IF(ISNUMBER(VLOOKUP($A59,VOLCURVES,HLOOKUP(D$28,VOLCURVES,2,FALSE()),FALSE())),VLOOKUP($A59,VOLCURVES,HLOOKUP(D$28,VOLCURVES,2,FALSE()),FALSE()),1)</f>
        <v>1</v>
      </c>
      <c r="F59" s="64" t="n">
        <f aca="false">IF(D$28="NYMEX",$AG59,$AF59)</f>
        <v>-7822</v>
      </c>
      <c r="G59" s="4" t="e">
        <f aca="false">(($C59+H59)*$E59)+B$15</f>
        <v>#DIV/0!</v>
      </c>
      <c r="H59" s="4" t="e">
        <f aca="false">IF(B$16=1,xCalcSkew(A59,I59-AO59,b)/100,0)</f>
        <v>#DIV/0!</v>
      </c>
      <c r="I59" s="66" t="n">
        <f aca="false">IF($B$19=4,$AO59,$B$18)</f>
        <v>5</v>
      </c>
      <c r="K59" s="63" t="n">
        <f aca="false">IF(K$28="nymex",0,VLOOKUP($A59,curvesettle,HLOOKUP(K$28,curvesettle,2,FALSE())))</f>
        <v>-0.0725</v>
      </c>
      <c r="L59" s="65" t="n">
        <f aca="false">IF(ISNUMBER(VLOOKUP($A59,VOLCURVES,HLOOKUP(K$28,VOLCURVES,2,FALSE()),FALSE())),VLOOKUP($A59,VOLCURVES,HLOOKUP(K$28,VOLCURVES,2,FALSE()),FALSE()),1)</f>
        <v>1</v>
      </c>
      <c r="M59" s="64" t="n">
        <f aca="false">IF(K$28="NYMEX",$AG59,$AF59)</f>
        <v>-7822</v>
      </c>
      <c r="N59" s="184" t="e">
        <f aca="false">(($C59+O59)*$L59)+D$15</f>
        <v>#DIV/0!</v>
      </c>
      <c r="O59" s="4" t="e">
        <f aca="false">IF(D$16=1,xCalcSkew($A59,P59-AZ59,b)/100,0)</f>
        <v>#DIV/0!</v>
      </c>
      <c r="P59" s="66" t="n">
        <f aca="false">IF($D$19=4,$AZ59,$D$18)</f>
        <v>3</v>
      </c>
      <c r="R59" s="63" t="n">
        <f aca="false">IF(R$28="nymex",0,VLOOKUP($A59,curvesettle,HLOOKUP(R$28,curvesettle,2,FALSE())))</f>
        <v>-0.42</v>
      </c>
      <c r="S59" s="65" t="n">
        <f aca="false">IF(ISNUMBER(VLOOKUP($A59,VOLCURVES,HLOOKUP(R$28,VOLCURVES,2,FALSE()),FALSE())),VLOOKUP($A59,VOLCURVES,HLOOKUP(R$28,VOLCURVES,2,FALSE()),FALSE()),1)</f>
        <v>1</v>
      </c>
      <c r="T59" s="64" t="n">
        <f aca="false">IF(R$28="NYMEX",$AG59,$AF59)</f>
        <v>-7822</v>
      </c>
      <c r="U59" s="184" t="e">
        <f aca="false">(($C59+V59)*$S59)+F$15</f>
        <v>#DIV/0!</v>
      </c>
      <c r="V59" s="4" t="e">
        <f aca="false">IF(F$16=1,xCalcSkew($A59,W59-BK59,b)/100,0)</f>
        <v>#DIV/0!</v>
      </c>
      <c r="W59" s="66" t="n">
        <f aca="false">IF($F$19=4,$BK59,$F$18)</f>
        <v>2.55</v>
      </c>
      <c r="X59" s="64"/>
      <c r="Y59" s="63" t="n">
        <f aca="false">IF(Y$28="nymex",0,VLOOKUP($A59,curvesettle,HLOOKUP(Y$28,curvesettle,2,FALSE())))</f>
        <v>0</v>
      </c>
      <c r="Z59" s="65" t="n">
        <f aca="false">IF(ISNUMBER(VLOOKUP($A59,VOLCURVES,HLOOKUP(Y$28,VOLCURVES,2,FALSE()),FALSE())),VLOOKUP($A59,VOLCURVES,HLOOKUP(Y$28,VOLCURVES,2,FALSE()),FALSE()),1)</f>
        <v>1</v>
      </c>
      <c r="AA59" s="64" t="n">
        <f aca="false">IF(Y$28="NYMEX",$AG59,$AF59)</f>
        <v>-7823</v>
      </c>
      <c r="AB59" s="4" t="e">
        <f aca="false">(($C59+AC59)*$Z59)+H$15</f>
        <v>#DIV/0!</v>
      </c>
      <c r="AC59" s="4" t="e">
        <f aca="false">IF(H$16=1,xCalcSkew($A59,AD59-BV59,b)/100,0)</f>
        <v>#DIV/0!</v>
      </c>
      <c r="AD59" s="66" t="n">
        <f aca="false">IF($H$19=4,$BV59,$H$18)</f>
        <v>2.9</v>
      </c>
      <c r="AF59" s="64" t="n">
        <f aca="false">VLOOKUP($A59,expiration,2,FALSE())-$B$2</f>
        <v>-7822</v>
      </c>
      <c r="AG59" s="64" t="n">
        <f aca="false">VLOOKUP($A59,expiration,3,FALSE())-$B$2</f>
        <v>-7823</v>
      </c>
      <c r="AH59" s="4" t="n">
        <f aca="false">VLOOKUP($A59,STRADDLE,14,FALSE())</f>
        <v>0.037717515784331</v>
      </c>
      <c r="AI59" s="72" t="n">
        <f aca="false">A60-A59</f>
        <v>31</v>
      </c>
      <c r="AJ59" s="76"/>
      <c r="AK59" s="76"/>
      <c r="AL59" s="76"/>
      <c r="AM59" s="76"/>
      <c r="AN59" s="73" t="n">
        <f aca="false">IF($A59&gt;=AO$25,IF($A59&lt;=AO$26,$AI59,0),0)</f>
        <v>0</v>
      </c>
      <c r="AO59" s="196" t="e">
        <f aca="false">AQ59/AN59</f>
        <v>#DIV/0!</v>
      </c>
      <c r="AP59" s="1" t="n">
        <f aca="false">AN59*($B59+B$13)</f>
        <v>0</v>
      </c>
      <c r="AQ59" s="47" t="n">
        <f aca="false">IF(ISNUMBER(((AP59/AN59)+B$14+$D59)*AN59),((AP59/AN59)+B$14+$D59)*AN59,0)</f>
        <v>0</v>
      </c>
      <c r="AR59" s="76" t="n">
        <f aca="false">IF(AN59=0,0,bsd(1,AS$27,AO59,$I59,$F59,$G59,$AH59,0.1))</f>
        <v>0</v>
      </c>
      <c r="AS59" s="76" t="n">
        <f aca="false">IF(AN59=0,0,bsd(2,AS$27,AO59,$I59,$F59,$G59,$AH59,0.1))</f>
        <v>0</v>
      </c>
      <c r="AT59" s="76" t="n">
        <f aca="false">IF(AN59=0,0,bsd(AS$28,AS$27,AO59,$I59,$F59,$G59,$AH59,0.1))</f>
        <v>0</v>
      </c>
      <c r="AU59" s="37" t="n">
        <f aca="false">AN59*AR59</f>
        <v>0</v>
      </c>
      <c r="AV59" s="37" t="n">
        <f aca="false">AN59*AS59</f>
        <v>0</v>
      </c>
      <c r="AW59" s="37" t="n">
        <f aca="false">AN59*AT59</f>
        <v>0</v>
      </c>
      <c r="AY59" s="73" t="n">
        <f aca="false">IF($A59&gt;=AZ$25,IF($A59&lt;=AZ$26,$AI59,0),0)</f>
        <v>0</v>
      </c>
      <c r="AZ59" s="196" t="e">
        <f aca="false">BB59/AY59</f>
        <v>#DIV/0!</v>
      </c>
      <c r="BA59" s="1" t="n">
        <f aca="false">AY59*($B59+D$13)</f>
        <v>0</v>
      </c>
      <c r="BB59" s="47" t="n">
        <f aca="false">IF(ISNUMBER(((BA59/AY59)+D$14+$K59)*AY59),((BA59/AY59)+D$14+$K59)*AY59,0)</f>
        <v>0</v>
      </c>
      <c r="BC59" s="76" t="n">
        <f aca="false">IF(AY59=0,0,bsd(1,BD$27,AZ59,$P59,$M59,$N59,$AH59,0.1))</f>
        <v>0</v>
      </c>
      <c r="BD59" s="76" t="n">
        <f aca="false">IF(AY59=0,0,bsd(2,BD$27,AZ59,$P59,$M59,$N59,$AH59,0.1))</f>
        <v>0</v>
      </c>
      <c r="BE59" s="76" t="n">
        <f aca="false">IF(AY59=0,0,bsd(BD$28,BD$27,AZ59,$P59,$M59,$N59,$AH59,0.1))</f>
        <v>0</v>
      </c>
      <c r="BF59" s="37" t="n">
        <f aca="false">AY59*BC59</f>
        <v>0</v>
      </c>
      <c r="BG59" s="37" t="n">
        <f aca="false">AY59*BD59</f>
        <v>0</v>
      </c>
      <c r="BH59" s="37" t="n">
        <f aca="false">AY59*BE59</f>
        <v>0</v>
      </c>
      <c r="BJ59" s="73" t="n">
        <f aca="false">IF($A59&gt;=BK$25,IF($A59&lt;=BK$26,$AI59,0),0)</f>
        <v>0</v>
      </c>
      <c r="BK59" s="196" t="e">
        <f aca="false">BM59/BJ59</f>
        <v>#DIV/0!</v>
      </c>
      <c r="BL59" s="1" t="n">
        <f aca="false">BJ59*($B59+F$13)</f>
        <v>0</v>
      </c>
      <c r="BM59" s="47" t="n">
        <f aca="false">IF(ISNUMBER(((BL59/BJ59)+F$14+$R59)*BJ59),((BL59/BJ59)+F$14+$R59)*BJ59,0)</f>
        <v>0</v>
      </c>
      <c r="BN59" s="76" t="n">
        <f aca="false">IF(BJ59=0,0,bsd(1,BO$27,BK59,$W59,$T59,$U59,$AH59,0.1))</f>
        <v>0</v>
      </c>
      <c r="BO59" s="76" t="n">
        <f aca="false">IF(BJ59=0,0,bsd(2,BO$27,BK59,$W59,$T59,$U59,$AH59,0.1))</f>
        <v>0</v>
      </c>
      <c r="BP59" s="76" t="n">
        <f aca="false">IF(BJ59=0,0,bsd(BO$28,BO$27,BK59,$W59,$T59,$U59,$AH59,0.1))</f>
        <v>0</v>
      </c>
      <c r="BQ59" s="37" t="n">
        <f aca="false">BJ59*BN59</f>
        <v>0</v>
      </c>
      <c r="BR59" s="37" t="n">
        <f aca="false">BJ59*BO59</f>
        <v>0</v>
      </c>
      <c r="BS59" s="37" t="n">
        <f aca="false">BJ59*BP59</f>
        <v>0</v>
      </c>
      <c r="BU59" s="73" t="n">
        <f aca="false">IF($A59&gt;=BV$25,IF($A59&lt;=BV$26,$AI59,0),0)</f>
        <v>0</v>
      </c>
      <c r="BV59" s="196" t="e">
        <f aca="false">BX59/BU59</f>
        <v>#DIV/0!</v>
      </c>
      <c r="BW59" s="1" t="n">
        <f aca="false">BU59*($B59+H$13)</f>
        <v>0</v>
      </c>
      <c r="BX59" s="47" t="n">
        <f aca="false">IF(ISNUMBER(((BW59/BU59)+H$14+$Y59)*BU59),((BW59/BU59)+H$14+$Y59)*BU59,0)</f>
        <v>0</v>
      </c>
      <c r="BY59" s="76" t="n">
        <f aca="false">IF(BU59=0,0,bsd(1,BZ$27,BV59,$AD59,$AA59,$AB59,$AH59,0.1))</f>
        <v>0</v>
      </c>
      <c r="BZ59" s="76" t="n">
        <f aca="false">IF(BU59=0,0,bsd(2,BZ$27,BV59,$AD59,$AA59,$AB59,$AH59,0.1))</f>
        <v>0</v>
      </c>
      <c r="CA59" s="76" t="n">
        <f aca="false">IF(BU59=0,0,bsd(BZ$28,BZ$27,BV59,$AD59,$AA59,$AB59,$AH59,0.1))</f>
        <v>0</v>
      </c>
      <c r="CB59" s="37" t="n">
        <f aca="false">BU59*BY59</f>
        <v>0</v>
      </c>
      <c r="CC59" s="37" t="n">
        <f aca="false">BU59*BZ59</f>
        <v>0</v>
      </c>
      <c r="CD59" s="37" t="n">
        <f aca="false">BU59*CA59</f>
        <v>0</v>
      </c>
    </row>
    <row r="60" customFormat="false" ht="12.75" hidden="false" customHeight="false" outlineLevel="0" collapsed="false">
      <c r="A60" s="62" t="n">
        <f aca="false">DATE(YEAR(A59),MONTH(A59)+1,1)</f>
        <v>38139</v>
      </c>
      <c r="B60" s="63" t="n">
        <f aca="false">VLOOKUP(A60,STRADDLE,5,FALSE())</f>
        <v>3.2</v>
      </c>
      <c r="C60" s="4" t="n">
        <f aca="false">VLOOKUP(A60,STRADDLE,8,FALSE())</f>
        <v>0.315</v>
      </c>
      <c r="D60" s="63" t="n">
        <f aca="false">IF(D$28="nymex",0,VLOOKUP($A60,curvesettle,HLOOKUP(D$28,curvesettle,2,FALSE())))</f>
        <v>-0.0725</v>
      </c>
      <c r="E60" s="65" t="n">
        <f aca="false">IF(ISNUMBER(VLOOKUP($A60,VOLCURVES,HLOOKUP(D$28,VOLCURVES,2,FALSE()),FALSE())),VLOOKUP($A60,VOLCURVES,HLOOKUP(D$28,VOLCURVES,2,FALSE()),FALSE()),1)</f>
        <v>1</v>
      </c>
      <c r="F60" s="64" t="n">
        <f aca="false">IF(D$28="NYMEX",$AG60,$AF60)</f>
        <v>-7794</v>
      </c>
      <c r="G60" s="4" t="e">
        <f aca="false">(($C60+H60)*$E60)+B$15</f>
        <v>#DIV/0!</v>
      </c>
      <c r="H60" s="4" t="e">
        <f aca="false">IF(B$16=1,xCalcSkew(A60,I60-AO60,b)/100,0)</f>
        <v>#DIV/0!</v>
      </c>
      <c r="I60" s="66" t="n">
        <f aca="false">IF($B$19=4,$AO60,$B$18)</f>
        <v>5</v>
      </c>
      <c r="K60" s="63" t="n">
        <f aca="false">IF(K$28="nymex",0,VLOOKUP($A60,curvesettle,HLOOKUP(K$28,curvesettle,2,FALSE())))</f>
        <v>-0.0725</v>
      </c>
      <c r="L60" s="65" t="n">
        <f aca="false">IF(ISNUMBER(VLOOKUP($A60,VOLCURVES,HLOOKUP(K$28,VOLCURVES,2,FALSE()),FALSE())),VLOOKUP($A60,VOLCURVES,HLOOKUP(K$28,VOLCURVES,2,FALSE()),FALSE()),1)</f>
        <v>1</v>
      </c>
      <c r="M60" s="64" t="n">
        <f aca="false">IF(K$28="NYMEX",$AG60,$AF60)</f>
        <v>-7794</v>
      </c>
      <c r="N60" s="184" t="e">
        <f aca="false">(($C60+O60)*$L60)+D$15</f>
        <v>#DIV/0!</v>
      </c>
      <c r="O60" s="4" t="e">
        <f aca="false">IF(D$16=1,xCalcSkew($A60,P60-AZ60,b)/100,0)</f>
        <v>#DIV/0!</v>
      </c>
      <c r="P60" s="66" t="n">
        <f aca="false">IF($D$19=4,$AZ60,$D$18)</f>
        <v>3</v>
      </c>
      <c r="R60" s="63" t="n">
        <f aca="false">IF(R$28="nymex",0,VLOOKUP($A60,curvesettle,HLOOKUP(R$28,curvesettle,2,FALSE())))</f>
        <v>-0.42</v>
      </c>
      <c r="S60" s="65" t="n">
        <f aca="false">IF(ISNUMBER(VLOOKUP($A60,VOLCURVES,HLOOKUP(R$28,VOLCURVES,2,FALSE()),FALSE())),VLOOKUP($A60,VOLCURVES,HLOOKUP(R$28,VOLCURVES,2,FALSE()),FALSE()),1)</f>
        <v>1</v>
      </c>
      <c r="T60" s="64" t="n">
        <f aca="false">IF(R$28="NYMEX",$AG60,$AF60)</f>
        <v>-7794</v>
      </c>
      <c r="U60" s="184" t="e">
        <f aca="false">(($C60+V60)*$S60)+F$15</f>
        <v>#DIV/0!</v>
      </c>
      <c r="V60" s="4" t="e">
        <f aca="false">IF(F$16=1,xCalcSkew($A60,W60-BK60,b)/100,0)</f>
        <v>#DIV/0!</v>
      </c>
      <c r="W60" s="66" t="n">
        <f aca="false">IF($F$19=4,$BK60,$F$18)</f>
        <v>2.55</v>
      </c>
      <c r="X60" s="64"/>
      <c r="Y60" s="63" t="n">
        <f aca="false">IF(Y$28="nymex",0,VLOOKUP($A60,curvesettle,HLOOKUP(Y$28,curvesettle,2,FALSE())))</f>
        <v>0</v>
      </c>
      <c r="Z60" s="65" t="n">
        <f aca="false">IF(ISNUMBER(VLOOKUP($A60,VOLCURVES,HLOOKUP(Y$28,VOLCURVES,2,FALSE()),FALSE())),VLOOKUP($A60,VOLCURVES,HLOOKUP(Y$28,VOLCURVES,2,FALSE()),FALSE()),1)</f>
        <v>1</v>
      </c>
      <c r="AA60" s="64" t="n">
        <f aca="false">IF(Y$28="NYMEX",$AG60,$AF60)</f>
        <v>-7795</v>
      </c>
      <c r="AB60" s="4" t="e">
        <f aca="false">(($C60+AC60)*$Z60)+H$15</f>
        <v>#DIV/0!</v>
      </c>
      <c r="AC60" s="4" t="e">
        <f aca="false">IF(H$16=1,xCalcSkew($A60,AD60-BV60,b)/100,0)</f>
        <v>#DIV/0!</v>
      </c>
      <c r="AD60" s="66" t="n">
        <f aca="false">IF($H$19=4,$BV60,$H$18)</f>
        <v>2.9</v>
      </c>
      <c r="AF60" s="64" t="n">
        <f aca="false">VLOOKUP($A60,expiration,2,FALSE())-$B$2</f>
        <v>-7794</v>
      </c>
      <c r="AG60" s="64" t="n">
        <f aca="false">VLOOKUP($A60,expiration,3,FALSE())-$B$2</f>
        <v>-7795</v>
      </c>
      <c r="AH60" s="4" t="n">
        <f aca="false">VLOOKUP($A60,STRADDLE,14,FALSE())</f>
        <v>0.038437177597991</v>
      </c>
      <c r="AI60" s="72" t="n">
        <f aca="false">A61-A60</f>
        <v>30</v>
      </c>
      <c r="AJ60" s="76"/>
      <c r="AK60" s="76"/>
      <c r="AL60" s="76"/>
      <c r="AM60" s="76"/>
      <c r="AN60" s="73" t="n">
        <f aca="false">IF($A60&gt;=AO$25,IF($A60&lt;=AO$26,$AI60,0),0)</f>
        <v>0</v>
      </c>
      <c r="AO60" s="196" t="e">
        <f aca="false">AQ60/AN60</f>
        <v>#DIV/0!</v>
      </c>
      <c r="AP60" s="1" t="n">
        <f aca="false">AN60*($B60+B$13)</f>
        <v>0</v>
      </c>
      <c r="AQ60" s="47" t="n">
        <f aca="false">IF(ISNUMBER(((AP60/AN60)+B$14+$D60)*AN60),((AP60/AN60)+B$14+$D60)*AN60,0)</f>
        <v>0</v>
      </c>
      <c r="AR60" s="76" t="n">
        <f aca="false">IF(AN60=0,0,bsd(1,AS$27,AO60,$I60,$F60,$G60,$AH60,0.1))</f>
        <v>0</v>
      </c>
      <c r="AS60" s="76" t="n">
        <f aca="false">IF(AN60=0,0,bsd(2,AS$27,AO60,$I60,$F60,$G60,$AH60,0.1))</f>
        <v>0</v>
      </c>
      <c r="AT60" s="76" t="n">
        <f aca="false">IF(AN60=0,0,bsd(AS$28,AS$27,AO60,$I60,$F60,$G60,$AH60,0.1))</f>
        <v>0</v>
      </c>
      <c r="AU60" s="37" t="n">
        <f aca="false">AN60*AR60</f>
        <v>0</v>
      </c>
      <c r="AV60" s="37" t="n">
        <f aca="false">AN60*AS60</f>
        <v>0</v>
      </c>
      <c r="AW60" s="37" t="n">
        <f aca="false">AN60*AT60</f>
        <v>0</v>
      </c>
      <c r="AY60" s="73" t="n">
        <f aca="false">IF($A60&gt;=AZ$25,IF($A60&lt;=AZ$26,$AI60,0),0)</f>
        <v>0</v>
      </c>
      <c r="AZ60" s="196" t="e">
        <f aca="false">BB60/AY60</f>
        <v>#DIV/0!</v>
      </c>
      <c r="BA60" s="1" t="n">
        <f aca="false">AY60*($B60+D$13)</f>
        <v>0</v>
      </c>
      <c r="BB60" s="47" t="n">
        <f aca="false">IF(ISNUMBER(((BA60/AY60)+D$14+$K60)*AY60),((BA60/AY60)+D$14+$K60)*AY60,0)</f>
        <v>0</v>
      </c>
      <c r="BC60" s="76" t="n">
        <f aca="false">IF(AY60=0,0,bsd(1,BD$27,AZ60,$P60,$M60,$N60,$AH60,0.1))</f>
        <v>0</v>
      </c>
      <c r="BD60" s="76" t="n">
        <f aca="false">IF(AY60=0,0,bsd(2,BD$27,AZ60,$P60,$M60,$N60,$AH60,0.1))</f>
        <v>0</v>
      </c>
      <c r="BE60" s="76" t="n">
        <f aca="false">IF(AY60=0,0,bsd(BD$28,BD$27,AZ60,$P60,$M60,$N60,$AH60,0.1))</f>
        <v>0</v>
      </c>
      <c r="BF60" s="37" t="n">
        <f aca="false">AY60*BC60</f>
        <v>0</v>
      </c>
      <c r="BG60" s="37" t="n">
        <f aca="false">AY60*BD60</f>
        <v>0</v>
      </c>
      <c r="BH60" s="37" t="n">
        <f aca="false">AY60*BE60</f>
        <v>0</v>
      </c>
      <c r="BJ60" s="73" t="n">
        <f aca="false">IF($A60&gt;=BK$25,IF($A60&lt;=BK$26,$AI60,0),0)</f>
        <v>0</v>
      </c>
      <c r="BK60" s="196" t="e">
        <f aca="false">BM60/BJ60</f>
        <v>#DIV/0!</v>
      </c>
      <c r="BL60" s="1" t="n">
        <f aca="false">BJ60*($B60+F$13)</f>
        <v>0</v>
      </c>
      <c r="BM60" s="47" t="n">
        <f aca="false">IF(ISNUMBER(((BL60/BJ60)+F$14+$R60)*BJ60),((BL60/BJ60)+F$14+$R60)*BJ60,0)</f>
        <v>0</v>
      </c>
      <c r="BN60" s="76" t="n">
        <f aca="false">IF(BJ60=0,0,bsd(1,BO$27,BK60,$W60,$T60,$U60,$AH60,0.1))</f>
        <v>0</v>
      </c>
      <c r="BO60" s="76" t="n">
        <f aca="false">IF(BJ60=0,0,bsd(2,BO$27,BK60,$W60,$T60,$U60,$AH60,0.1))</f>
        <v>0</v>
      </c>
      <c r="BP60" s="76" t="n">
        <f aca="false">IF(BJ60=0,0,bsd(BO$28,BO$27,BK60,$W60,$T60,$U60,$AH60,0.1))</f>
        <v>0</v>
      </c>
      <c r="BQ60" s="37" t="n">
        <f aca="false">BJ60*BN60</f>
        <v>0</v>
      </c>
      <c r="BR60" s="37" t="n">
        <f aca="false">BJ60*BO60</f>
        <v>0</v>
      </c>
      <c r="BS60" s="37" t="n">
        <f aca="false">BJ60*BP60</f>
        <v>0</v>
      </c>
      <c r="BU60" s="73" t="n">
        <f aca="false">IF($A60&gt;=BV$25,IF($A60&lt;=BV$26,$AI60,0),0)</f>
        <v>0</v>
      </c>
      <c r="BV60" s="196" t="e">
        <f aca="false">BX60/BU60</f>
        <v>#DIV/0!</v>
      </c>
      <c r="BW60" s="1" t="n">
        <f aca="false">BU60*($B60+H$13)</f>
        <v>0</v>
      </c>
      <c r="BX60" s="47" t="n">
        <f aca="false">IF(ISNUMBER(((BW60/BU60)+H$14+$Y60)*BU60),((BW60/BU60)+H$14+$Y60)*BU60,0)</f>
        <v>0</v>
      </c>
      <c r="BY60" s="76" t="n">
        <f aca="false">IF(BU60=0,0,bsd(1,BZ$27,BV60,$AD60,$AA60,$AB60,$AH60,0.1))</f>
        <v>0</v>
      </c>
      <c r="BZ60" s="76" t="n">
        <f aca="false">IF(BU60=0,0,bsd(2,BZ$27,BV60,$AD60,$AA60,$AB60,$AH60,0.1))</f>
        <v>0</v>
      </c>
      <c r="CA60" s="76" t="n">
        <f aca="false">IF(BU60=0,0,bsd(BZ$28,BZ$27,BV60,$AD60,$AA60,$AB60,$AH60,0.1))</f>
        <v>0</v>
      </c>
      <c r="CB60" s="37" t="n">
        <f aca="false">BU60*BY60</f>
        <v>0</v>
      </c>
      <c r="CC60" s="37" t="n">
        <f aca="false">BU60*BZ60</f>
        <v>0</v>
      </c>
      <c r="CD60" s="37" t="n">
        <f aca="false">BU60*CA60</f>
        <v>0</v>
      </c>
    </row>
    <row r="61" customFormat="false" ht="12.75" hidden="false" customHeight="false" outlineLevel="0" collapsed="false">
      <c r="A61" s="62" t="n">
        <f aca="false">DATE(YEAR(A60),MONTH(A60)+1,1)</f>
        <v>38169</v>
      </c>
      <c r="B61" s="63" t="n">
        <f aca="false">VLOOKUP(A61,STRADDLE,5,FALSE())</f>
        <v>3.24</v>
      </c>
      <c r="C61" s="4" t="n">
        <f aca="false">VLOOKUP(A61,STRADDLE,8,FALSE())</f>
        <v>0.315</v>
      </c>
      <c r="D61" s="63" t="n">
        <f aca="false">IF(D$28="nymex",0,VLOOKUP($A61,curvesettle,HLOOKUP(D$28,curvesettle,2,FALSE())))</f>
        <v>-0.0725</v>
      </c>
      <c r="E61" s="65" t="n">
        <f aca="false">IF(ISNUMBER(VLOOKUP($A61,VOLCURVES,HLOOKUP(D$28,VOLCURVES,2,FALSE()),FALSE())),VLOOKUP($A61,VOLCURVES,HLOOKUP(D$28,VOLCURVES,2,FALSE()),FALSE()),1)</f>
        <v>1</v>
      </c>
      <c r="F61" s="64" t="n">
        <f aca="false">IF(D$28="NYMEX",$AG61,$AF61)</f>
        <v>-7761</v>
      </c>
      <c r="G61" s="4" t="e">
        <f aca="false">(($C61+H61)*$E61)+B$15</f>
        <v>#DIV/0!</v>
      </c>
      <c r="H61" s="4" t="e">
        <f aca="false">IF(B$16=1,xCalcSkew(A61,I61-AO61,b)/100,0)</f>
        <v>#DIV/0!</v>
      </c>
      <c r="I61" s="66" t="n">
        <f aca="false">IF($B$19=4,$AO61,$B$18)</f>
        <v>5</v>
      </c>
      <c r="K61" s="63" t="n">
        <f aca="false">IF(K$28="nymex",0,VLOOKUP($A61,curvesettle,HLOOKUP(K$28,curvesettle,2,FALSE())))</f>
        <v>-0.0725</v>
      </c>
      <c r="L61" s="65" t="n">
        <f aca="false">IF(ISNUMBER(VLOOKUP($A61,VOLCURVES,HLOOKUP(K$28,VOLCURVES,2,FALSE()),FALSE())),VLOOKUP($A61,VOLCURVES,HLOOKUP(K$28,VOLCURVES,2,FALSE()),FALSE()),1)</f>
        <v>1</v>
      </c>
      <c r="M61" s="64" t="n">
        <f aca="false">IF(K$28="NYMEX",$AG61,$AF61)</f>
        <v>-7761</v>
      </c>
      <c r="N61" s="184" t="e">
        <f aca="false">(($C61+O61)*$L61)+D$15</f>
        <v>#DIV/0!</v>
      </c>
      <c r="O61" s="4" t="e">
        <f aca="false">IF(D$16=1,xCalcSkew($A61,P61-AZ61,b)/100,0)</f>
        <v>#DIV/0!</v>
      </c>
      <c r="P61" s="66" t="n">
        <f aca="false">IF($D$19=4,$AZ61,$D$18)</f>
        <v>3</v>
      </c>
      <c r="R61" s="63" t="n">
        <f aca="false">IF(R$28="nymex",0,VLOOKUP($A61,curvesettle,HLOOKUP(R$28,curvesettle,2,FALSE())))</f>
        <v>-0.42</v>
      </c>
      <c r="S61" s="65" t="n">
        <f aca="false">IF(ISNUMBER(VLOOKUP($A61,VOLCURVES,HLOOKUP(R$28,VOLCURVES,2,FALSE()),FALSE())),VLOOKUP($A61,VOLCURVES,HLOOKUP(R$28,VOLCURVES,2,FALSE()),FALSE()),1)</f>
        <v>1</v>
      </c>
      <c r="T61" s="64" t="n">
        <f aca="false">IF(R$28="NYMEX",$AG61,$AF61)</f>
        <v>-7761</v>
      </c>
      <c r="U61" s="184" t="e">
        <f aca="false">(($C61+V61)*$S61)+F$15</f>
        <v>#DIV/0!</v>
      </c>
      <c r="V61" s="4" t="e">
        <f aca="false">IF(F$16=1,xCalcSkew($A61,W61-BK61,b)/100,0)</f>
        <v>#DIV/0!</v>
      </c>
      <c r="W61" s="66" t="n">
        <f aca="false">IF($F$19=4,$BK61,$F$18)</f>
        <v>2.55</v>
      </c>
      <c r="X61" s="64"/>
      <c r="Y61" s="63" t="n">
        <f aca="false">IF(Y$28="nymex",0,VLOOKUP($A61,curvesettle,HLOOKUP(Y$28,curvesettle,2,FALSE())))</f>
        <v>0</v>
      </c>
      <c r="Z61" s="65" t="n">
        <f aca="false">IF(ISNUMBER(VLOOKUP($A61,VOLCURVES,HLOOKUP(Y$28,VOLCURVES,2,FALSE()),FALSE())),VLOOKUP($A61,VOLCURVES,HLOOKUP(Y$28,VOLCURVES,2,FALSE()),FALSE()),1)</f>
        <v>1</v>
      </c>
      <c r="AA61" s="64" t="n">
        <f aca="false">IF(Y$28="NYMEX",$AG61,$AF61)</f>
        <v>-7764</v>
      </c>
      <c r="AB61" s="4" t="e">
        <f aca="false">(($C61+AC61)*$Z61)+H$15</f>
        <v>#DIV/0!</v>
      </c>
      <c r="AC61" s="4" t="e">
        <f aca="false">IF(H$16=1,xCalcSkew($A61,AD61-BV61,b)/100,0)</f>
        <v>#DIV/0!</v>
      </c>
      <c r="AD61" s="66" t="n">
        <f aca="false">IF($H$19=4,$BV61,$H$18)</f>
        <v>2.9</v>
      </c>
      <c r="AF61" s="64" t="n">
        <f aca="false">VLOOKUP($A61,expiration,2,FALSE())-$B$2</f>
        <v>-7761</v>
      </c>
      <c r="AG61" s="64" t="n">
        <f aca="false">VLOOKUP($A61,expiration,3,FALSE())-$B$2</f>
        <v>-7764</v>
      </c>
      <c r="AH61" s="4" t="n">
        <f aca="false">VLOOKUP($A61,STRADDLE,14,FALSE())</f>
        <v>0.0390982280263858</v>
      </c>
      <c r="AI61" s="72" t="n">
        <f aca="false">A62-A61</f>
        <v>31</v>
      </c>
      <c r="AJ61" s="76"/>
      <c r="AK61" s="76"/>
      <c r="AL61" s="76"/>
      <c r="AM61" s="76"/>
      <c r="AN61" s="73" t="n">
        <f aca="false">IF($A61&gt;=AO$25,IF($A61&lt;=AO$26,$AI61,0),0)</f>
        <v>0</v>
      </c>
      <c r="AO61" s="196" t="e">
        <f aca="false">AQ61/AN61</f>
        <v>#DIV/0!</v>
      </c>
      <c r="AP61" s="1" t="n">
        <f aca="false">AN61*($B61+B$13)</f>
        <v>0</v>
      </c>
      <c r="AQ61" s="47" t="n">
        <f aca="false">IF(ISNUMBER(((AP61/AN61)+B$14+$D61)*AN61),((AP61/AN61)+B$14+$D61)*AN61,0)</f>
        <v>0</v>
      </c>
      <c r="AR61" s="76" t="n">
        <f aca="false">IF(AN61=0,0,bsd(1,AS$27,AO61,$I61,$F61,$G61,$AH61,0.1))</f>
        <v>0</v>
      </c>
      <c r="AS61" s="76" t="n">
        <f aca="false">IF(AN61=0,0,bsd(2,AS$27,AO61,$I61,$F61,$G61,$AH61,0.1))</f>
        <v>0</v>
      </c>
      <c r="AT61" s="76" t="n">
        <f aca="false">IF(AN61=0,0,bsd(AS$28,AS$27,AO61,$I61,$F61,$G61,$AH61,0.1))</f>
        <v>0</v>
      </c>
      <c r="AU61" s="37" t="n">
        <f aca="false">AN61*AR61</f>
        <v>0</v>
      </c>
      <c r="AV61" s="37" t="n">
        <f aca="false">AN61*AS61</f>
        <v>0</v>
      </c>
      <c r="AW61" s="37" t="n">
        <f aca="false">AN61*AT61</f>
        <v>0</v>
      </c>
      <c r="AY61" s="73" t="n">
        <f aca="false">IF($A61&gt;=AZ$25,IF($A61&lt;=AZ$26,$AI61,0),0)</f>
        <v>0</v>
      </c>
      <c r="AZ61" s="196" t="e">
        <f aca="false">BB61/AY61</f>
        <v>#DIV/0!</v>
      </c>
      <c r="BA61" s="1" t="n">
        <f aca="false">AY61*($B61+D$13)</f>
        <v>0</v>
      </c>
      <c r="BB61" s="47" t="n">
        <f aca="false">IF(ISNUMBER(((BA61/AY61)+D$14+$K61)*AY61),((BA61/AY61)+D$14+$K61)*AY61,0)</f>
        <v>0</v>
      </c>
      <c r="BC61" s="76" t="n">
        <f aca="false">IF(AY61=0,0,bsd(1,BD$27,AZ61,$P61,$M61,$N61,$AH61,0.1))</f>
        <v>0</v>
      </c>
      <c r="BD61" s="76" t="n">
        <f aca="false">IF(AY61=0,0,bsd(2,BD$27,AZ61,$P61,$M61,$N61,$AH61,0.1))</f>
        <v>0</v>
      </c>
      <c r="BE61" s="76" t="n">
        <f aca="false">IF(AY61=0,0,bsd(BD$28,BD$27,AZ61,$P61,$M61,$N61,$AH61,0.1))</f>
        <v>0</v>
      </c>
      <c r="BF61" s="37" t="n">
        <f aca="false">AY61*BC61</f>
        <v>0</v>
      </c>
      <c r="BG61" s="37" t="n">
        <f aca="false">AY61*BD61</f>
        <v>0</v>
      </c>
      <c r="BH61" s="37" t="n">
        <f aca="false">AY61*BE61</f>
        <v>0</v>
      </c>
      <c r="BJ61" s="73" t="n">
        <f aca="false">IF($A61&gt;=BK$25,IF($A61&lt;=BK$26,$AI61,0),0)</f>
        <v>0</v>
      </c>
      <c r="BK61" s="196" t="e">
        <f aca="false">BM61/BJ61</f>
        <v>#DIV/0!</v>
      </c>
      <c r="BL61" s="1" t="n">
        <f aca="false">BJ61*($B61+F$13)</f>
        <v>0</v>
      </c>
      <c r="BM61" s="47" t="n">
        <f aca="false">IF(ISNUMBER(((BL61/BJ61)+F$14+$R61)*BJ61),((BL61/BJ61)+F$14+$R61)*BJ61,0)</f>
        <v>0</v>
      </c>
      <c r="BN61" s="76" t="n">
        <f aca="false">IF(BJ61=0,0,bsd(1,BO$27,BK61,$W61,$T61,$U61,$AH61,0.1))</f>
        <v>0</v>
      </c>
      <c r="BO61" s="76" t="n">
        <f aca="false">IF(BJ61=0,0,bsd(2,BO$27,BK61,$W61,$T61,$U61,$AH61,0.1))</f>
        <v>0</v>
      </c>
      <c r="BP61" s="76" t="n">
        <f aca="false">IF(BJ61=0,0,bsd(BO$28,BO$27,BK61,$W61,$T61,$U61,$AH61,0.1))</f>
        <v>0</v>
      </c>
      <c r="BQ61" s="37" t="n">
        <f aca="false">BJ61*BN61</f>
        <v>0</v>
      </c>
      <c r="BR61" s="37" t="n">
        <f aca="false">BJ61*BO61</f>
        <v>0</v>
      </c>
      <c r="BS61" s="37" t="n">
        <f aca="false">BJ61*BP61</f>
        <v>0</v>
      </c>
      <c r="BU61" s="73" t="n">
        <f aca="false">IF($A61&gt;=BV$25,IF($A61&lt;=BV$26,$AI61,0),0)</f>
        <v>0</v>
      </c>
      <c r="BV61" s="196" t="e">
        <f aca="false">BX61/BU61</f>
        <v>#DIV/0!</v>
      </c>
      <c r="BW61" s="1" t="n">
        <f aca="false">BU61*($B61+H$13)</f>
        <v>0</v>
      </c>
      <c r="BX61" s="47" t="n">
        <f aca="false">IF(ISNUMBER(((BW61/BU61)+H$14+$Y61)*BU61),((BW61/BU61)+H$14+$Y61)*BU61,0)</f>
        <v>0</v>
      </c>
      <c r="BY61" s="76" t="n">
        <f aca="false">IF(BU61=0,0,bsd(1,BZ$27,BV61,$AD61,$AA61,$AB61,$AH61,0.1))</f>
        <v>0</v>
      </c>
      <c r="BZ61" s="76" t="n">
        <f aca="false">IF(BU61=0,0,bsd(2,BZ$27,BV61,$AD61,$AA61,$AB61,$AH61,0.1))</f>
        <v>0</v>
      </c>
      <c r="CA61" s="76" t="n">
        <f aca="false">IF(BU61=0,0,bsd(BZ$28,BZ$27,BV61,$AD61,$AA61,$AB61,$AH61,0.1))</f>
        <v>0</v>
      </c>
      <c r="CB61" s="37" t="n">
        <f aca="false">BU61*BY61</f>
        <v>0</v>
      </c>
      <c r="CC61" s="37" t="n">
        <f aca="false">BU61*BZ61</f>
        <v>0</v>
      </c>
      <c r="CD61" s="37" t="n">
        <f aca="false">BU61*CA61</f>
        <v>0</v>
      </c>
    </row>
    <row r="62" customFormat="false" ht="12.75" hidden="false" customHeight="false" outlineLevel="0" collapsed="false">
      <c r="A62" s="62" t="n">
        <f aca="false">DATE(YEAR(A61),MONTH(A61)+1,1)</f>
        <v>38200</v>
      </c>
      <c r="B62" s="63" t="n">
        <f aca="false">VLOOKUP(A62,STRADDLE,5,FALSE())</f>
        <v>3.28</v>
      </c>
      <c r="C62" s="4" t="n">
        <f aca="false">VLOOKUP(A62,STRADDLE,8,FALSE())</f>
        <v>0.315</v>
      </c>
      <c r="D62" s="63" t="n">
        <f aca="false">IF(D$28="nymex",0,VLOOKUP($A62,curvesettle,HLOOKUP(D$28,curvesettle,2,FALSE())))</f>
        <v>-0.0725</v>
      </c>
      <c r="E62" s="65" t="n">
        <f aca="false">IF(ISNUMBER(VLOOKUP($A62,VOLCURVES,HLOOKUP(D$28,VOLCURVES,2,FALSE()),FALSE())),VLOOKUP($A62,VOLCURVES,HLOOKUP(D$28,VOLCURVES,2,FALSE()),FALSE()),1)</f>
        <v>1</v>
      </c>
      <c r="F62" s="64" t="n">
        <f aca="false">IF(D$28="NYMEX",$AG62,$AF62)</f>
        <v>-7731</v>
      </c>
      <c r="G62" s="4" t="e">
        <f aca="false">(($C62+H62)*$E62)+B$15</f>
        <v>#DIV/0!</v>
      </c>
      <c r="H62" s="4" t="e">
        <f aca="false">IF(B$16=1,xCalcSkew(A62,I62-AO62,b)/100,0)</f>
        <v>#DIV/0!</v>
      </c>
      <c r="I62" s="66" t="n">
        <f aca="false">IF($B$19=4,$AO62,$B$18)</f>
        <v>5</v>
      </c>
      <c r="K62" s="63" t="n">
        <f aca="false">IF(K$28="nymex",0,VLOOKUP($A62,curvesettle,HLOOKUP(K$28,curvesettle,2,FALSE())))</f>
        <v>-0.0725</v>
      </c>
      <c r="L62" s="65" t="n">
        <f aca="false">IF(ISNUMBER(VLOOKUP($A62,VOLCURVES,HLOOKUP(K$28,VOLCURVES,2,FALSE()),FALSE())),VLOOKUP($A62,VOLCURVES,HLOOKUP(K$28,VOLCURVES,2,FALSE()),FALSE()),1)</f>
        <v>1</v>
      </c>
      <c r="M62" s="64" t="n">
        <f aca="false">IF(K$28="NYMEX",$AG62,$AF62)</f>
        <v>-7731</v>
      </c>
      <c r="N62" s="184" t="e">
        <f aca="false">(($C62+O62)*$L62)+D$15</f>
        <v>#DIV/0!</v>
      </c>
      <c r="O62" s="4" t="e">
        <f aca="false">IF(D$16=1,xCalcSkew($A62,P62-AZ62,b)/100,0)</f>
        <v>#DIV/0!</v>
      </c>
      <c r="P62" s="66" t="n">
        <f aca="false">IF($D$19=4,$AZ62,$D$18)</f>
        <v>3</v>
      </c>
      <c r="R62" s="63" t="n">
        <f aca="false">IF(R$28="nymex",0,VLOOKUP($A62,curvesettle,HLOOKUP(R$28,curvesettle,2,FALSE())))</f>
        <v>-0.42</v>
      </c>
      <c r="S62" s="65" t="n">
        <f aca="false">IF(ISNUMBER(VLOOKUP($A62,VOLCURVES,HLOOKUP(R$28,VOLCURVES,2,FALSE()),FALSE())),VLOOKUP($A62,VOLCURVES,HLOOKUP(R$28,VOLCURVES,2,FALSE()),FALSE()),1)</f>
        <v>1</v>
      </c>
      <c r="T62" s="64" t="n">
        <f aca="false">IF(R$28="NYMEX",$AG62,$AF62)</f>
        <v>-7731</v>
      </c>
      <c r="U62" s="184" t="e">
        <f aca="false">(($C62+V62)*$S62)+F$15</f>
        <v>#DIV/0!</v>
      </c>
      <c r="V62" s="4" t="e">
        <f aca="false">IF(F$16=1,xCalcSkew($A62,W62-BK62,b)/100,0)</f>
        <v>#DIV/0!</v>
      </c>
      <c r="W62" s="66" t="n">
        <f aca="false">IF($F$19=4,$BK62,$F$18)</f>
        <v>2.55</v>
      </c>
      <c r="X62" s="64"/>
      <c r="Y62" s="63" t="n">
        <f aca="false">IF(Y$28="nymex",0,VLOOKUP($A62,curvesettle,HLOOKUP(Y$28,curvesettle,2,FALSE())))</f>
        <v>0</v>
      </c>
      <c r="Z62" s="65" t="n">
        <f aca="false">IF(ISNUMBER(VLOOKUP($A62,VOLCURVES,HLOOKUP(Y$28,VOLCURVES,2,FALSE()),FALSE())),VLOOKUP($A62,VOLCURVES,HLOOKUP(Y$28,VOLCURVES,2,FALSE()),FALSE()),1)</f>
        <v>1</v>
      </c>
      <c r="AA62" s="64" t="n">
        <f aca="false">IF(Y$28="NYMEX",$AG62,$AF62)</f>
        <v>-7732</v>
      </c>
      <c r="AB62" s="4" t="e">
        <f aca="false">(($C62+AC62)*$Z62)+H$15</f>
        <v>#DIV/0!</v>
      </c>
      <c r="AC62" s="4" t="e">
        <f aca="false">IF(H$16=1,xCalcSkew($A62,AD62-BV62,b)/100,0)</f>
        <v>#DIV/0!</v>
      </c>
      <c r="AD62" s="66" t="n">
        <f aca="false">IF($H$19=4,$BV62,$H$18)</f>
        <v>2.9</v>
      </c>
      <c r="AF62" s="64" t="n">
        <f aca="false">VLOOKUP($A62,expiration,2,FALSE())-$B$2</f>
        <v>-7731</v>
      </c>
      <c r="AG62" s="64" t="n">
        <f aca="false">VLOOKUP($A62,expiration,3,FALSE())-$B$2</f>
        <v>-7732</v>
      </c>
      <c r="AH62" s="4" t="n">
        <f aca="false">VLOOKUP($A62,STRADDLE,14,FALSE())</f>
        <v>0.0397424893326637</v>
      </c>
      <c r="AI62" s="72" t="n">
        <f aca="false">A63-A62</f>
        <v>31</v>
      </c>
      <c r="AJ62" s="76"/>
      <c r="AK62" s="76"/>
      <c r="AL62" s="76"/>
      <c r="AM62" s="76"/>
      <c r="AN62" s="73" t="n">
        <f aca="false">IF($A62&gt;=AO$25,IF($A62&lt;=AO$26,$AI62,0),0)</f>
        <v>0</v>
      </c>
      <c r="AO62" s="196" t="e">
        <f aca="false">AQ62/AN62</f>
        <v>#DIV/0!</v>
      </c>
      <c r="AP62" s="1" t="n">
        <f aca="false">AN62*($B62+B$13)</f>
        <v>0</v>
      </c>
      <c r="AQ62" s="47" t="n">
        <f aca="false">IF(ISNUMBER(((AP62/AN62)+B$14+$D62)*AN62),((AP62/AN62)+B$14+$D62)*AN62,0)</f>
        <v>0</v>
      </c>
      <c r="AR62" s="76" t="n">
        <f aca="false">IF(AN62=0,0,bsd(1,AS$27,AO62,$I62,$F62,$G62,$AH62,0.1))</f>
        <v>0</v>
      </c>
      <c r="AS62" s="76" t="n">
        <f aca="false">IF(AN62=0,0,bsd(2,AS$27,AO62,$I62,$F62,$G62,$AH62,0.1))</f>
        <v>0</v>
      </c>
      <c r="AT62" s="76" t="n">
        <f aca="false">IF(AN62=0,0,bsd(AS$28,AS$27,AO62,$I62,$F62,$G62,$AH62,0.1))</f>
        <v>0</v>
      </c>
      <c r="AU62" s="37" t="n">
        <f aca="false">AN62*AR62</f>
        <v>0</v>
      </c>
      <c r="AV62" s="37" t="n">
        <f aca="false">AN62*AS62</f>
        <v>0</v>
      </c>
      <c r="AW62" s="37" t="n">
        <f aca="false">AN62*AT62</f>
        <v>0</v>
      </c>
      <c r="AY62" s="73" t="n">
        <f aca="false">IF($A62&gt;=AZ$25,IF($A62&lt;=AZ$26,$AI62,0),0)</f>
        <v>0</v>
      </c>
      <c r="AZ62" s="196" t="e">
        <f aca="false">BB62/AY62</f>
        <v>#DIV/0!</v>
      </c>
      <c r="BA62" s="1" t="n">
        <f aca="false">AY62*($B62+D$13)</f>
        <v>0</v>
      </c>
      <c r="BB62" s="47" t="n">
        <f aca="false">IF(ISNUMBER(((BA62/AY62)+D$14+$K62)*AY62),((BA62/AY62)+D$14+$K62)*AY62,0)</f>
        <v>0</v>
      </c>
      <c r="BC62" s="76" t="n">
        <f aca="false">IF(AY62=0,0,bsd(1,BD$27,AZ62,$P62,$M62,$N62,$AH62,0.1))</f>
        <v>0</v>
      </c>
      <c r="BD62" s="76" t="n">
        <f aca="false">IF(AY62=0,0,bsd(2,BD$27,AZ62,$P62,$M62,$N62,$AH62,0.1))</f>
        <v>0</v>
      </c>
      <c r="BE62" s="76" t="n">
        <f aca="false">IF(AY62=0,0,bsd(BD$28,BD$27,AZ62,$P62,$M62,$N62,$AH62,0.1))</f>
        <v>0</v>
      </c>
      <c r="BF62" s="37" t="n">
        <f aca="false">AY62*BC62</f>
        <v>0</v>
      </c>
      <c r="BG62" s="37" t="n">
        <f aca="false">AY62*BD62</f>
        <v>0</v>
      </c>
      <c r="BH62" s="37" t="n">
        <f aca="false">AY62*BE62</f>
        <v>0</v>
      </c>
      <c r="BJ62" s="73" t="n">
        <f aca="false">IF($A62&gt;=BK$25,IF($A62&lt;=BK$26,$AI62,0),0)</f>
        <v>0</v>
      </c>
      <c r="BK62" s="196" t="e">
        <f aca="false">BM62/BJ62</f>
        <v>#DIV/0!</v>
      </c>
      <c r="BL62" s="1" t="n">
        <f aca="false">BJ62*($B62+F$13)</f>
        <v>0</v>
      </c>
      <c r="BM62" s="47" t="n">
        <f aca="false">IF(ISNUMBER(((BL62/BJ62)+F$14+$R62)*BJ62),((BL62/BJ62)+F$14+$R62)*BJ62,0)</f>
        <v>0</v>
      </c>
      <c r="BN62" s="76" t="n">
        <f aca="false">IF(BJ62=0,0,bsd(1,BO$27,BK62,$W62,$T62,$U62,$AH62,0.1))</f>
        <v>0</v>
      </c>
      <c r="BO62" s="76" t="n">
        <f aca="false">IF(BJ62=0,0,bsd(2,BO$27,BK62,$W62,$T62,$U62,$AH62,0.1))</f>
        <v>0</v>
      </c>
      <c r="BP62" s="76" t="n">
        <f aca="false">IF(BJ62=0,0,bsd(BO$28,BO$27,BK62,$W62,$T62,$U62,$AH62,0.1))</f>
        <v>0</v>
      </c>
      <c r="BQ62" s="37" t="n">
        <f aca="false">BJ62*BN62</f>
        <v>0</v>
      </c>
      <c r="BR62" s="37" t="n">
        <f aca="false">BJ62*BO62</f>
        <v>0</v>
      </c>
      <c r="BS62" s="37" t="n">
        <f aca="false">BJ62*BP62</f>
        <v>0</v>
      </c>
      <c r="BU62" s="73" t="n">
        <f aca="false">IF($A62&gt;=BV$25,IF($A62&lt;=BV$26,$AI62,0),0)</f>
        <v>0</v>
      </c>
      <c r="BV62" s="196" t="e">
        <f aca="false">BX62/BU62</f>
        <v>#DIV/0!</v>
      </c>
      <c r="BW62" s="1" t="n">
        <f aca="false">BU62*($B62+H$13)</f>
        <v>0</v>
      </c>
      <c r="BX62" s="47" t="n">
        <f aca="false">IF(ISNUMBER(((BW62/BU62)+H$14+$Y62)*BU62),((BW62/BU62)+H$14+$Y62)*BU62,0)</f>
        <v>0</v>
      </c>
      <c r="BY62" s="76" t="n">
        <f aca="false">IF(BU62=0,0,bsd(1,BZ$27,BV62,$AD62,$AA62,$AB62,$AH62,0.1))</f>
        <v>0</v>
      </c>
      <c r="BZ62" s="76" t="n">
        <f aca="false">IF(BU62=0,0,bsd(2,BZ$27,BV62,$AD62,$AA62,$AB62,$AH62,0.1))</f>
        <v>0</v>
      </c>
      <c r="CA62" s="76" t="n">
        <f aca="false">IF(BU62=0,0,bsd(BZ$28,BZ$27,BV62,$AD62,$AA62,$AB62,$AH62,0.1))</f>
        <v>0</v>
      </c>
      <c r="CB62" s="37" t="n">
        <f aca="false">BU62*BY62</f>
        <v>0</v>
      </c>
      <c r="CC62" s="37" t="n">
        <f aca="false">BU62*BZ62</f>
        <v>0</v>
      </c>
      <c r="CD62" s="37" t="n">
        <f aca="false">BU62*CA62</f>
        <v>0</v>
      </c>
    </row>
    <row r="63" customFormat="false" ht="12.75" hidden="false" customHeight="false" outlineLevel="0" collapsed="false">
      <c r="A63" s="62" t="n">
        <f aca="false">DATE(YEAR(A62),MONTH(A62)+1,1)</f>
        <v>38231</v>
      </c>
      <c r="B63" s="63" t="n">
        <f aca="false">VLOOKUP(A63,STRADDLE,5,FALSE())</f>
        <v>3.275</v>
      </c>
      <c r="C63" s="4" t="n">
        <f aca="false">VLOOKUP(A63,STRADDLE,8,FALSE())</f>
        <v>0.315</v>
      </c>
      <c r="D63" s="63" t="n">
        <f aca="false">IF(D$28="nymex",0,VLOOKUP($A63,curvesettle,HLOOKUP(D$28,curvesettle,2,FALSE())))</f>
        <v>-0.0725</v>
      </c>
      <c r="E63" s="65" t="n">
        <f aca="false">IF(ISNUMBER(VLOOKUP($A63,VOLCURVES,HLOOKUP(D$28,VOLCURVES,2,FALSE()),FALSE())),VLOOKUP($A63,VOLCURVES,HLOOKUP(D$28,VOLCURVES,2,FALSE()),FALSE()),1)</f>
        <v>1</v>
      </c>
      <c r="F63" s="64" t="n">
        <f aca="false">IF(D$28="NYMEX",$AG63,$AF63)</f>
        <v>-7701</v>
      </c>
      <c r="G63" s="4" t="e">
        <f aca="false">(($C63+H63)*$E63)+B$15</f>
        <v>#DIV/0!</v>
      </c>
      <c r="H63" s="4" t="e">
        <f aca="false">IF(B$16=1,xCalcSkew(A63,I63-AO63,b)/100,0)</f>
        <v>#DIV/0!</v>
      </c>
      <c r="I63" s="66" t="n">
        <f aca="false">IF($B$19=4,$AO63,$B$18)</f>
        <v>5</v>
      </c>
      <c r="K63" s="63" t="n">
        <f aca="false">IF(K$28="nymex",0,VLOOKUP($A63,curvesettle,HLOOKUP(K$28,curvesettle,2,FALSE())))</f>
        <v>-0.0725</v>
      </c>
      <c r="L63" s="65" t="n">
        <f aca="false">IF(ISNUMBER(VLOOKUP($A63,VOLCURVES,HLOOKUP(K$28,VOLCURVES,2,FALSE()),FALSE())),VLOOKUP($A63,VOLCURVES,HLOOKUP(K$28,VOLCURVES,2,FALSE()),FALSE()),1)</f>
        <v>1</v>
      </c>
      <c r="M63" s="64" t="n">
        <f aca="false">IF(K$28="NYMEX",$AG63,$AF63)</f>
        <v>-7701</v>
      </c>
      <c r="N63" s="184" t="e">
        <f aca="false">(($C63+O63)*$L63)+D$15</f>
        <v>#DIV/0!</v>
      </c>
      <c r="O63" s="4" t="e">
        <f aca="false">IF(D$16=1,xCalcSkew($A63,P63-AZ63,b)/100,0)</f>
        <v>#DIV/0!</v>
      </c>
      <c r="P63" s="66" t="n">
        <f aca="false">IF($D$19=4,$AZ63,$D$18)</f>
        <v>3</v>
      </c>
      <c r="R63" s="63" t="n">
        <f aca="false">IF(R$28="nymex",0,VLOOKUP($A63,curvesettle,HLOOKUP(R$28,curvesettle,2,FALSE())))</f>
        <v>-0.42</v>
      </c>
      <c r="S63" s="65" t="n">
        <f aca="false">IF(ISNUMBER(VLOOKUP($A63,VOLCURVES,HLOOKUP(R$28,VOLCURVES,2,FALSE()),FALSE())),VLOOKUP($A63,VOLCURVES,HLOOKUP(R$28,VOLCURVES,2,FALSE()),FALSE()),1)</f>
        <v>1</v>
      </c>
      <c r="T63" s="64" t="n">
        <f aca="false">IF(R$28="NYMEX",$AG63,$AF63)</f>
        <v>-7701</v>
      </c>
      <c r="U63" s="184" t="e">
        <f aca="false">(($C63+V63)*$S63)+F$15</f>
        <v>#DIV/0!</v>
      </c>
      <c r="V63" s="4" t="e">
        <f aca="false">IF(F$16=1,xCalcSkew($A63,W63-BK63,b)/100,0)</f>
        <v>#DIV/0!</v>
      </c>
      <c r="W63" s="66" t="n">
        <f aca="false">IF($F$19=4,$BK63,$F$18)</f>
        <v>2.55</v>
      </c>
      <c r="X63" s="64"/>
      <c r="Y63" s="63" t="n">
        <f aca="false">IF(Y$28="nymex",0,VLOOKUP($A63,curvesettle,HLOOKUP(Y$28,curvesettle,2,FALSE())))</f>
        <v>0</v>
      </c>
      <c r="Z63" s="65" t="n">
        <f aca="false">IF(ISNUMBER(VLOOKUP($A63,VOLCURVES,HLOOKUP(Y$28,VOLCURVES,2,FALSE()),FALSE())),VLOOKUP($A63,VOLCURVES,HLOOKUP(Y$28,VOLCURVES,2,FALSE()),FALSE()),1)</f>
        <v>1</v>
      </c>
      <c r="AA63" s="64" t="n">
        <f aca="false">IF(Y$28="NYMEX",$AG63,$AF63)</f>
        <v>-7702</v>
      </c>
      <c r="AB63" s="4" t="e">
        <f aca="false">(($C63+AC63)*$Z63)+H$15</f>
        <v>#DIV/0!</v>
      </c>
      <c r="AC63" s="4" t="e">
        <f aca="false">IF(H$16=1,xCalcSkew($A63,AD63-BV63,b)/100,0)</f>
        <v>#DIV/0!</v>
      </c>
      <c r="AD63" s="66" t="n">
        <f aca="false">IF($H$19=4,$BV63,$H$18)</f>
        <v>2.9</v>
      </c>
      <c r="AF63" s="64" t="n">
        <f aca="false">VLOOKUP($A63,expiration,2,FALSE())-$B$2</f>
        <v>-7701</v>
      </c>
      <c r="AG63" s="64" t="n">
        <f aca="false">VLOOKUP($A63,expiration,3,FALSE())-$B$2</f>
        <v>-7702</v>
      </c>
      <c r="AH63" s="4" t="n">
        <f aca="false">VLOOKUP($A63,STRADDLE,14,FALSE())</f>
        <v>0.0403867507782238</v>
      </c>
      <c r="AI63" s="72" t="n">
        <f aca="false">A64-A63</f>
        <v>30</v>
      </c>
      <c r="AJ63" s="76"/>
      <c r="AK63" s="76"/>
      <c r="AL63" s="76"/>
      <c r="AM63" s="76"/>
      <c r="AN63" s="73" t="n">
        <f aca="false">IF($A63&gt;=AO$25,IF($A63&lt;=AO$26,$AI63,0),0)</f>
        <v>0</v>
      </c>
      <c r="AO63" s="196" t="e">
        <f aca="false">AQ63/AN63</f>
        <v>#DIV/0!</v>
      </c>
      <c r="AP63" s="1" t="n">
        <f aca="false">AN63*($B63+B$13)</f>
        <v>0</v>
      </c>
      <c r="AQ63" s="47" t="n">
        <f aca="false">IF(ISNUMBER(((AP63/AN63)+B$14+$D63)*AN63),((AP63/AN63)+B$14+$D63)*AN63,0)</f>
        <v>0</v>
      </c>
      <c r="AR63" s="76" t="n">
        <f aca="false">IF(AN63=0,0,bsd(1,AS$27,AO63,$I63,$F63,$G63,$AH63,0.1))</f>
        <v>0</v>
      </c>
      <c r="AS63" s="76" t="n">
        <f aca="false">IF(AN63=0,0,bsd(2,AS$27,AO63,$I63,$F63,$G63,$AH63,0.1))</f>
        <v>0</v>
      </c>
      <c r="AT63" s="76" t="n">
        <f aca="false">IF(AN63=0,0,bsd(AS$28,AS$27,AO63,$I63,$F63,$G63,$AH63,0.1))</f>
        <v>0</v>
      </c>
      <c r="AU63" s="37" t="n">
        <f aca="false">AN63*AR63</f>
        <v>0</v>
      </c>
      <c r="AV63" s="37" t="n">
        <f aca="false">AN63*AS63</f>
        <v>0</v>
      </c>
      <c r="AW63" s="37" t="n">
        <f aca="false">AN63*AT63</f>
        <v>0</v>
      </c>
      <c r="AY63" s="73" t="n">
        <f aca="false">IF($A63&gt;=AZ$25,IF($A63&lt;=AZ$26,$AI63,0),0)</f>
        <v>0</v>
      </c>
      <c r="AZ63" s="196" t="e">
        <f aca="false">BB63/AY63</f>
        <v>#DIV/0!</v>
      </c>
      <c r="BA63" s="1" t="n">
        <f aca="false">AY63*($B63+D$13)</f>
        <v>0</v>
      </c>
      <c r="BB63" s="47" t="n">
        <f aca="false">IF(ISNUMBER(((BA63/AY63)+D$14+$K63)*AY63),((BA63/AY63)+D$14+$K63)*AY63,0)</f>
        <v>0</v>
      </c>
      <c r="BC63" s="76" t="n">
        <f aca="false">IF(AY63=0,0,bsd(1,BD$27,AZ63,$P63,$M63,$N63,$AH63,0.1))</f>
        <v>0</v>
      </c>
      <c r="BD63" s="76" t="n">
        <f aca="false">IF(AY63=0,0,bsd(2,BD$27,AZ63,$P63,$M63,$N63,$AH63,0.1))</f>
        <v>0</v>
      </c>
      <c r="BE63" s="76" t="n">
        <f aca="false">IF(AY63=0,0,bsd(BD$28,BD$27,AZ63,$P63,$M63,$N63,$AH63,0.1))</f>
        <v>0</v>
      </c>
      <c r="BF63" s="37" t="n">
        <f aca="false">AY63*BC63</f>
        <v>0</v>
      </c>
      <c r="BG63" s="37" t="n">
        <f aca="false">AY63*BD63</f>
        <v>0</v>
      </c>
      <c r="BH63" s="37" t="n">
        <f aca="false">AY63*BE63</f>
        <v>0</v>
      </c>
      <c r="BJ63" s="73" t="n">
        <f aca="false">IF($A63&gt;=BK$25,IF($A63&lt;=BK$26,$AI63,0),0)</f>
        <v>0</v>
      </c>
      <c r="BK63" s="196" t="e">
        <f aca="false">BM63/BJ63</f>
        <v>#DIV/0!</v>
      </c>
      <c r="BL63" s="1" t="n">
        <f aca="false">BJ63*($B63+F$13)</f>
        <v>0</v>
      </c>
      <c r="BM63" s="47" t="n">
        <f aca="false">IF(ISNUMBER(((BL63/BJ63)+F$14+$R63)*BJ63),((BL63/BJ63)+F$14+$R63)*BJ63,0)</f>
        <v>0</v>
      </c>
      <c r="BN63" s="76" t="n">
        <f aca="false">IF(BJ63=0,0,bsd(1,BO$27,BK63,$W63,$T63,$U63,$AH63,0.1))</f>
        <v>0</v>
      </c>
      <c r="BO63" s="76" t="n">
        <f aca="false">IF(BJ63=0,0,bsd(2,BO$27,BK63,$W63,$T63,$U63,$AH63,0.1))</f>
        <v>0</v>
      </c>
      <c r="BP63" s="76" t="n">
        <f aca="false">IF(BJ63=0,0,bsd(BO$28,BO$27,BK63,$W63,$T63,$U63,$AH63,0.1))</f>
        <v>0</v>
      </c>
      <c r="BQ63" s="37" t="n">
        <f aca="false">BJ63*BN63</f>
        <v>0</v>
      </c>
      <c r="BR63" s="37" t="n">
        <f aca="false">BJ63*BO63</f>
        <v>0</v>
      </c>
      <c r="BS63" s="37" t="n">
        <f aca="false">BJ63*BP63</f>
        <v>0</v>
      </c>
      <c r="BU63" s="73" t="n">
        <f aca="false">IF($A63&gt;=BV$25,IF($A63&lt;=BV$26,$AI63,0),0)</f>
        <v>0</v>
      </c>
      <c r="BV63" s="196" t="e">
        <f aca="false">BX63/BU63</f>
        <v>#DIV/0!</v>
      </c>
      <c r="BW63" s="1" t="n">
        <f aca="false">BU63*($B63+H$13)</f>
        <v>0</v>
      </c>
      <c r="BX63" s="47" t="n">
        <f aca="false">IF(ISNUMBER(((BW63/BU63)+H$14+$Y63)*BU63),((BW63/BU63)+H$14+$Y63)*BU63,0)</f>
        <v>0</v>
      </c>
      <c r="BY63" s="76" t="n">
        <f aca="false">IF(BU63=0,0,bsd(1,BZ$27,BV63,$AD63,$AA63,$AB63,$AH63,0.1))</f>
        <v>0</v>
      </c>
      <c r="BZ63" s="76" t="n">
        <f aca="false">IF(BU63=0,0,bsd(2,BZ$27,BV63,$AD63,$AA63,$AB63,$AH63,0.1))</f>
        <v>0</v>
      </c>
      <c r="CA63" s="76" t="n">
        <f aca="false">IF(BU63=0,0,bsd(BZ$28,BZ$27,BV63,$AD63,$AA63,$AB63,$AH63,0.1))</f>
        <v>0</v>
      </c>
      <c r="CB63" s="37" t="n">
        <f aca="false">BU63*BY63</f>
        <v>0</v>
      </c>
      <c r="CC63" s="37" t="n">
        <f aca="false">BU63*BZ63</f>
        <v>0</v>
      </c>
      <c r="CD63" s="37" t="n">
        <f aca="false">BU63*CA63</f>
        <v>0</v>
      </c>
    </row>
    <row r="64" customFormat="false" ht="12.75" hidden="false" customHeight="false" outlineLevel="0" collapsed="false">
      <c r="A64" s="62" t="n">
        <f aca="false">DATE(YEAR(A63),MONTH(A63)+1,1)</f>
        <v>38261</v>
      </c>
      <c r="B64" s="63" t="n">
        <f aca="false">VLOOKUP(A64,STRADDLE,5,FALSE())</f>
        <v>3.3</v>
      </c>
      <c r="C64" s="4" t="n">
        <f aca="false">VLOOKUP(A64,STRADDLE,8,FALSE())</f>
        <v>0.315</v>
      </c>
      <c r="D64" s="63" t="n">
        <f aca="false">IF(D$28="nymex",0,VLOOKUP($A64,curvesettle,HLOOKUP(D$28,curvesettle,2,FALSE())))</f>
        <v>-0.0725</v>
      </c>
      <c r="E64" s="65" t="n">
        <f aca="false">IF(ISNUMBER(VLOOKUP($A64,VOLCURVES,HLOOKUP(D$28,VOLCURVES,2,FALSE()),FALSE())),VLOOKUP($A64,VOLCURVES,HLOOKUP(D$28,VOLCURVES,2,FALSE()),FALSE()),1)</f>
        <v>1</v>
      </c>
      <c r="F64" s="64" t="n">
        <f aca="false">IF(D$28="NYMEX",$AG64,$AF64)</f>
        <v>-7669</v>
      </c>
      <c r="G64" s="4" t="e">
        <f aca="false">(($C64+H64)*$E64)+B$15</f>
        <v>#DIV/0!</v>
      </c>
      <c r="H64" s="4" t="e">
        <f aca="false">IF(B$16=1,xCalcSkew(A64,I64-AO64,b)/100,0)</f>
        <v>#DIV/0!</v>
      </c>
      <c r="I64" s="66" t="n">
        <f aca="false">IF($B$19=4,$AO64,$B$18)</f>
        <v>5</v>
      </c>
      <c r="K64" s="63" t="n">
        <f aca="false">IF(K$28="nymex",0,VLOOKUP($A64,curvesettle,HLOOKUP(K$28,curvesettle,2,FALSE())))</f>
        <v>-0.0725</v>
      </c>
      <c r="L64" s="65" t="n">
        <f aca="false">IF(ISNUMBER(VLOOKUP($A64,VOLCURVES,HLOOKUP(K$28,VOLCURVES,2,FALSE()),FALSE())),VLOOKUP($A64,VOLCURVES,HLOOKUP(K$28,VOLCURVES,2,FALSE()),FALSE()),1)</f>
        <v>1</v>
      </c>
      <c r="M64" s="64" t="n">
        <f aca="false">IF(K$28="NYMEX",$AG64,$AF64)</f>
        <v>-7669</v>
      </c>
      <c r="N64" s="184" t="e">
        <f aca="false">(($C64+O64)*$L64)+D$15</f>
        <v>#DIV/0!</v>
      </c>
      <c r="O64" s="4" t="e">
        <f aca="false">IF(D$16=1,xCalcSkew($A64,P64-AZ64,b)/100,0)</f>
        <v>#DIV/0!</v>
      </c>
      <c r="P64" s="66" t="n">
        <f aca="false">IF($D$19=4,$AZ64,$D$18)</f>
        <v>3</v>
      </c>
      <c r="R64" s="63" t="n">
        <f aca="false">IF(R$28="nymex",0,VLOOKUP($A64,curvesettle,HLOOKUP(R$28,curvesettle,2,FALSE())))</f>
        <v>-0.42</v>
      </c>
      <c r="S64" s="65" t="n">
        <f aca="false">IF(ISNUMBER(VLOOKUP($A64,VOLCURVES,HLOOKUP(R$28,VOLCURVES,2,FALSE()),FALSE())),VLOOKUP($A64,VOLCURVES,HLOOKUP(R$28,VOLCURVES,2,FALSE()),FALSE()),1)</f>
        <v>1</v>
      </c>
      <c r="T64" s="64" t="n">
        <f aca="false">IF(R$28="NYMEX",$AG64,$AF64)</f>
        <v>-7669</v>
      </c>
      <c r="U64" s="184" t="e">
        <f aca="false">(($C64+V64)*$S64)+F$15</f>
        <v>#DIV/0!</v>
      </c>
      <c r="V64" s="4" t="e">
        <f aca="false">IF(F$16=1,xCalcSkew($A64,W64-BK64,b)/100,0)</f>
        <v>#DIV/0!</v>
      </c>
      <c r="W64" s="66" t="n">
        <f aca="false">IF($F$19=4,$BK64,$F$18)</f>
        <v>2.55</v>
      </c>
      <c r="X64" s="64"/>
      <c r="Y64" s="63" t="n">
        <f aca="false">IF(Y$28="nymex",0,VLOOKUP($A64,curvesettle,HLOOKUP(Y$28,curvesettle,2,FALSE())))</f>
        <v>0</v>
      </c>
      <c r="Z64" s="65" t="n">
        <f aca="false">IF(ISNUMBER(VLOOKUP($A64,VOLCURVES,HLOOKUP(Y$28,VOLCURVES,2,FALSE()),FALSE())),VLOOKUP($A64,VOLCURVES,HLOOKUP(Y$28,VOLCURVES,2,FALSE()),FALSE()),1)</f>
        <v>1</v>
      </c>
      <c r="AA64" s="64" t="n">
        <f aca="false">IF(Y$28="NYMEX",$AG64,$AF64)</f>
        <v>-7670</v>
      </c>
      <c r="AB64" s="4" t="e">
        <f aca="false">(($C64+AC64)*$Z64)+H$15</f>
        <v>#DIV/0!</v>
      </c>
      <c r="AC64" s="4" t="e">
        <f aca="false">IF(H$16=1,xCalcSkew($A64,AD64-BV64,b)/100,0)</f>
        <v>#DIV/0!</v>
      </c>
      <c r="AD64" s="66" t="n">
        <f aca="false">IF($H$19=4,$BV64,$H$18)</f>
        <v>2.9</v>
      </c>
      <c r="AF64" s="64" t="n">
        <f aca="false">VLOOKUP($A64,expiration,2,FALSE())-$B$2</f>
        <v>-7669</v>
      </c>
      <c r="AG64" s="64" t="n">
        <f aca="false">VLOOKUP($A64,expiration,3,FALSE())-$B$2</f>
        <v>-7670</v>
      </c>
      <c r="AH64" s="4" t="n">
        <f aca="false">VLOOKUP($A64,STRADDLE,14,FALSE())</f>
        <v>0.0409754465349472</v>
      </c>
      <c r="AI64" s="72" t="n">
        <f aca="false">A65-A64</f>
        <v>31</v>
      </c>
      <c r="AJ64" s="76"/>
      <c r="AK64" s="76"/>
      <c r="AL64" s="76"/>
      <c r="AM64" s="76"/>
      <c r="AN64" s="73" t="n">
        <f aca="false">IF($A64&gt;=AO$25,IF($A64&lt;=AO$26,$AI64,0),0)</f>
        <v>0</v>
      </c>
      <c r="AO64" s="196" t="e">
        <f aca="false">AQ64/AN64</f>
        <v>#DIV/0!</v>
      </c>
      <c r="AP64" s="1" t="n">
        <f aca="false">AN64*($B64+B$13)</f>
        <v>0</v>
      </c>
      <c r="AQ64" s="47" t="n">
        <f aca="false">IF(ISNUMBER(((AP64/AN64)+B$14+$D64)*AN64),((AP64/AN64)+B$14+$D64)*AN64,0)</f>
        <v>0</v>
      </c>
      <c r="AR64" s="76" t="n">
        <f aca="false">IF(AN64=0,0,bsd(1,AS$27,AO64,$I64,$F64,$G64,$AH64,0.1))</f>
        <v>0</v>
      </c>
      <c r="AS64" s="76" t="n">
        <f aca="false">IF(AN64=0,0,bsd(2,AS$27,AO64,$I64,$F64,$G64,$AH64,0.1))</f>
        <v>0</v>
      </c>
      <c r="AT64" s="76" t="n">
        <f aca="false">IF(AN64=0,0,bsd(AS$28,AS$27,AO64,$I64,$F64,$G64,$AH64,0.1))</f>
        <v>0</v>
      </c>
      <c r="AU64" s="37" t="n">
        <f aca="false">AN64*AR64</f>
        <v>0</v>
      </c>
      <c r="AV64" s="37" t="n">
        <f aca="false">AN64*AS64</f>
        <v>0</v>
      </c>
      <c r="AW64" s="37" t="n">
        <f aca="false">AN64*AT64</f>
        <v>0</v>
      </c>
      <c r="AY64" s="73" t="n">
        <f aca="false">IF($A64&gt;=AZ$25,IF($A64&lt;=AZ$26,$AI64,0),0)</f>
        <v>0</v>
      </c>
      <c r="AZ64" s="196" t="e">
        <f aca="false">BB64/AY64</f>
        <v>#DIV/0!</v>
      </c>
      <c r="BA64" s="1" t="n">
        <f aca="false">AY64*($B64+D$13)</f>
        <v>0</v>
      </c>
      <c r="BB64" s="47" t="n">
        <f aca="false">IF(ISNUMBER(((BA64/AY64)+D$14+$K64)*AY64),((BA64/AY64)+D$14+$K64)*AY64,0)</f>
        <v>0</v>
      </c>
      <c r="BC64" s="76" t="n">
        <f aca="false">IF(AY64=0,0,bsd(1,BD$27,AZ64,$P64,$M64,$N64,$AH64,0.1))</f>
        <v>0</v>
      </c>
      <c r="BD64" s="76" t="n">
        <f aca="false">IF(AY64=0,0,bsd(2,BD$27,AZ64,$P64,$M64,$N64,$AH64,0.1))</f>
        <v>0</v>
      </c>
      <c r="BE64" s="76" t="n">
        <f aca="false">IF(AY64=0,0,bsd(BD$28,BD$27,AZ64,$P64,$M64,$N64,$AH64,0.1))</f>
        <v>0</v>
      </c>
      <c r="BF64" s="37" t="n">
        <f aca="false">AY64*BC64</f>
        <v>0</v>
      </c>
      <c r="BG64" s="37" t="n">
        <f aca="false">AY64*BD64</f>
        <v>0</v>
      </c>
      <c r="BH64" s="37" t="n">
        <f aca="false">AY64*BE64</f>
        <v>0</v>
      </c>
      <c r="BJ64" s="73" t="n">
        <f aca="false">IF($A64&gt;=BK$25,IF($A64&lt;=BK$26,$AI64,0),0)</f>
        <v>0</v>
      </c>
      <c r="BK64" s="196" t="e">
        <f aca="false">BM64/BJ64</f>
        <v>#DIV/0!</v>
      </c>
      <c r="BL64" s="1" t="n">
        <f aca="false">BJ64*($B64+F$13)</f>
        <v>0</v>
      </c>
      <c r="BM64" s="47" t="n">
        <f aca="false">IF(ISNUMBER(((BL64/BJ64)+F$14+$R64)*BJ64),((BL64/BJ64)+F$14+$R64)*BJ64,0)</f>
        <v>0</v>
      </c>
      <c r="BN64" s="76" t="n">
        <f aca="false">IF(BJ64=0,0,bsd(1,BO$27,BK64,$W64,$T64,$U64,$AH64,0.1))</f>
        <v>0</v>
      </c>
      <c r="BO64" s="76" t="n">
        <f aca="false">IF(BJ64=0,0,bsd(2,BO$27,BK64,$W64,$T64,$U64,$AH64,0.1))</f>
        <v>0</v>
      </c>
      <c r="BP64" s="76" t="n">
        <f aca="false">IF(BJ64=0,0,bsd(BO$28,BO$27,BK64,$W64,$T64,$U64,$AH64,0.1))</f>
        <v>0</v>
      </c>
      <c r="BQ64" s="37" t="n">
        <f aca="false">BJ64*BN64</f>
        <v>0</v>
      </c>
      <c r="BR64" s="37" t="n">
        <f aca="false">BJ64*BO64</f>
        <v>0</v>
      </c>
      <c r="BS64" s="37" t="n">
        <f aca="false">BJ64*BP64</f>
        <v>0</v>
      </c>
      <c r="BU64" s="73" t="n">
        <f aca="false">IF($A64&gt;=BV$25,IF($A64&lt;=BV$26,$AI64,0),0)</f>
        <v>0</v>
      </c>
      <c r="BV64" s="196" t="e">
        <f aca="false">BX64/BU64</f>
        <v>#DIV/0!</v>
      </c>
      <c r="BW64" s="1" t="n">
        <f aca="false">BU64*($B64+H$13)</f>
        <v>0</v>
      </c>
      <c r="BX64" s="47" t="n">
        <f aca="false">IF(ISNUMBER(((BW64/BU64)+H$14+$Y64)*BU64),((BW64/BU64)+H$14+$Y64)*BU64,0)</f>
        <v>0</v>
      </c>
      <c r="BY64" s="76" t="n">
        <f aca="false">IF(BU64=0,0,bsd(1,BZ$27,BV64,$AD64,$AA64,$AB64,$AH64,0.1))</f>
        <v>0</v>
      </c>
      <c r="BZ64" s="76" t="n">
        <f aca="false">IF(BU64=0,0,bsd(2,BZ$27,BV64,$AD64,$AA64,$AB64,$AH64,0.1))</f>
        <v>0</v>
      </c>
      <c r="CA64" s="76" t="n">
        <f aca="false">IF(BU64=0,0,bsd(BZ$28,BZ$27,BV64,$AD64,$AA64,$AB64,$AH64,0.1))</f>
        <v>0</v>
      </c>
      <c r="CB64" s="37" t="n">
        <f aca="false">BU64*BY64</f>
        <v>0</v>
      </c>
      <c r="CC64" s="37" t="n">
        <f aca="false">BU64*BZ64</f>
        <v>0</v>
      </c>
      <c r="CD64" s="37" t="n">
        <f aca="false">BU64*CA64</f>
        <v>0</v>
      </c>
    </row>
    <row r="65" customFormat="false" ht="12.75" hidden="false" customHeight="false" outlineLevel="0" collapsed="false">
      <c r="A65" s="62" t="n">
        <f aca="false">DATE(YEAR(A64),MONTH(A64)+1,1)</f>
        <v>38292</v>
      </c>
      <c r="B65" s="63" t="n">
        <f aca="false">VLOOKUP(A65,STRADDLE,5,FALSE())</f>
        <v>3.452</v>
      </c>
      <c r="C65" s="4" t="n">
        <f aca="false">VLOOKUP(A65,STRADDLE,8,FALSE())</f>
        <v>0.315</v>
      </c>
      <c r="D65" s="63" t="n">
        <f aca="false">IF(D$28="nymex",0,VLOOKUP($A65,curvesettle,HLOOKUP(D$28,curvesettle,2,FALSE())))</f>
        <v>-0.075</v>
      </c>
      <c r="E65" s="65" t="n">
        <f aca="false">IF(ISNUMBER(VLOOKUP($A65,VOLCURVES,HLOOKUP(D$28,VOLCURVES,2,FALSE()),FALSE())),VLOOKUP($A65,VOLCURVES,HLOOKUP(D$28,VOLCURVES,2,FALSE()),FALSE()),1)</f>
        <v>1</v>
      </c>
      <c r="F65" s="64" t="n">
        <f aca="false">IF(D$28="NYMEX",$AG65,$AF65)</f>
        <v>-7640</v>
      </c>
      <c r="G65" s="4" t="e">
        <f aca="false">(($C65+H65)*$E65)+B$15</f>
        <v>#DIV/0!</v>
      </c>
      <c r="H65" s="4" t="e">
        <f aca="false">IF(B$16=1,xCalcSkew(A65,I65-AO65,b)/100,0)</f>
        <v>#DIV/0!</v>
      </c>
      <c r="I65" s="66" t="n">
        <f aca="false">IF($B$19=4,$AO65,$B$18)</f>
        <v>5</v>
      </c>
      <c r="K65" s="63" t="n">
        <f aca="false">IF(K$28="nymex",0,VLOOKUP($A65,curvesettle,HLOOKUP(K$28,curvesettle,2,FALSE())))</f>
        <v>-0.075</v>
      </c>
      <c r="L65" s="65" t="n">
        <f aca="false">IF(ISNUMBER(VLOOKUP($A65,VOLCURVES,HLOOKUP(K$28,VOLCURVES,2,FALSE()),FALSE())),VLOOKUP($A65,VOLCURVES,HLOOKUP(K$28,VOLCURVES,2,FALSE()),FALSE()),1)</f>
        <v>1</v>
      </c>
      <c r="M65" s="64" t="n">
        <f aca="false">IF(K$28="NYMEX",$AG65,$AF65)</f>
        <v>-7640</v>
      </c>
      <c r="N65" s="184" t="e">
        <f aca="false">(($C65+O65)*$L65)+D$15</f>
        <v>#DIV/0!</v>
      </c>
      <c r="O65" s="4" t="e">
        <f aca="false">IF(D$16=1,xCalcSkew($A65,P65-AZ65,b)/100,0)</f>
        <v>#DIV/0!</v>
      </c>
      <c r="P65" s="66" t="n">
        <f aca="false">IF($D$19=4,$AZ65,$D$18)</f>
        <v>3</v>
      </c>
      <c r="R65" s="63" t="n">
        <f aca="false">IF(R$28="nymex",0,VLOOKUP($A65,curvesettle,HLOOKUP(R$28,curvesettle,2,FALSE())))</f>
        <v>-0.27</v>
      </c>
      <c r="S65" s="65" t="n">
        <f aca="false">IF(ISNUMBER(VLOOKUP($A65,VOLCURVES,HLOOKUP(R$28,VOLCURVES,2,FALSE()),FALSE())),VLOOKUP($A65,VOLCURVES,HLOOKUP(R$28,VOLCURVES,2,FALSE()),FALSE()),1)</f>
        <v>1</v>
      </c>
      <c r="T65" s="64" t="n">
        <f aca="false">IF(R$28="NYMEX",$AG65,$AF65)</f>
        <v>-7640</v>
      </c>
      <c r="U65" s="184" t="e">
        <f aca="false">(($C65+V65)*$S65)+F$15</f>
        <v>#DIV/0!</v>
      </c>
      <c r="V65" s="4" t="e">
        <f aca="false">IF(F$16=1,xCalcSkew($A65,W65-BK65,b)/100,0)</f>
        <v>#DIV/0!</v>
      </c>
      <c r="W65" s="66" t="n">
        <f aca="false">IF($F$19=4,$BK65,$F$18)</f>
        <v>2.55</v>
      </c>
      <c r="X65" s="64"/>
      <c r="Y65" s="63" t="n">
        <f aca="false">IF(Y$28="nymex",0,VLOOKUP($A65,curvesettle,HLOOKUP(Y$28,curvesettle,2,FALSE())))</f>
        <v>0</v>
      </c>
      <c r="Z65" s="65" t="n">
        <f aca="false">IF(ISNUMBER(VLOOKUP($A65,VOLCURVES,HLOOKUP(Y$28,VOLCURVES,2,FALSE()),FALSE())),VLOOKUP($A65,VOLCURVES,HLOOKUP(Y$28,VOLCURVES,2,FALSE()),FALSE()),1)</f>
        <v>1</v>
      </c>
      <c r="AA65" s="64" t="n">
        <f aca="false">IF(Y$28="NYMEX",$AG65,$AF65)</f>
        <v>-7641</v>
      </c>
      <c r="AB65" s="4" t="e">
        <f aca="false">(($C65+AC65)*$Z65)+H$15</f>
        <v>#DIV/0!</v>
      </c>
      <c r="AC65" s="4" t="e">
        <f aca="false">IF(H$16=1,xCalcSkew($A65,AD65-BV65,b)/100,0)</f>
        <v>#DIV/0!</v>
      </c>
      <c r="AD65" s="66" t="n">
        <f aca="false">IF($H$19=4,$BV65,$H$18)</f>
        <v>2.9</v>
      </c>
      <c r="AF65" s="64" t="n">
        <f aca="false">VLOOKUP($A65,expiration,2,FALSE())-$B$2</f>
        <v>-7640</v>
      </c>
      <c r="AG65" s="64" t="n">
        <f aca="false">VLOOKUP($A65,expiration,3,FALSE())-$B$2</f>
        <v>-7641</v>
      </c>
      <c r="AH65" s="4" t="n">
        <f aca="false">VLOOKUP($A65,STRADDLE,14,FALSE())</f>
        <v>0.0415503422333172</v>
      </c>
      <c r="AI65" s="72" t="n">
        <f aca="false">A66-A65</f>
        <v>30</v>
      </c>
      <c r="AJ65" s="76"/>
      <c r="AK65" s="76"/>
      <c r="AL65" s="76"/>
      <c r="AM65" s="76"/>
      <c r="AN65" s="73" t="n">
        <f aca="false">IF($A65&gt;=AO$25,IF($A65&lt;=AO$26,$AI65,0),0)</f>
        <v>0</v>
      </c>
      <c r="AO65" s="196" t="e">
        <f aca="false">AQ65/AN65</f>
        <v>#DIV/0!</v>
      </c>
      <c r="AP65" s="1" t="n">
        <f aca="false">AN65*($B65+B$13)</f>
        <v>0</v>
      </c>
      <c r="AQ65" s="47" t="n">
        <f aca="false">IF(ISNUMBER(((AP65/AN65)+B$14+$D65)*AN65),((AP65/AN65)+B$14+$D65)*AN65,0)</f>
        <v>0</v>
      </c>
      <c r="AR65" s="76" t="n">
        <f aca="false">IF(AN65=0,0,bsd(1,AS$27,AO65,$I65,$F65,$G65,$AH65,0.1))</f>
        <v>0</v>
      </c>
      <c r="AS65" s="76" t="n">
        <f aca="false">IF(AN65=0,0,bsd(2,AS$27,AO65,$I65,$F65,$G65,$AH65,0.1))</f>
        <v>0</v>
      </c>
      <c r="AT65" s="76" t="n">
        <f aca="false">IF(AN65=0,0,bsd(AS$28,AS$27,AO65,$I65,$F65,$G65,$AH65,0.1))</f>
        <v>0</v>
      </c>
      <c r="AU65" s="37" t="n">
        <f aca="false">AN65*AR65</f>
        <v>0</v>
      </c>
      <c r="AV65" s="37" t="n">
        <f aca="false">AN65*AS65</f>
        <v>0</v>
      </c>
      <c r="AW65" s="37" t="n">
        <f aca="false">AN65*AT65</f>
        <v>0</v>
      </c>
      <c r="AY65" s="73" t="n">
        <f aca="false">IF($A65&gt;=AZ$25,IF($A65&lt;=AZ$26,$AI65,0),0)</f>
        <v>0</v>
      </c>
      <c r="AZ65" s="196" t="e">
        <f aca="false">BB65/AY65</f>
        <v>#DIV/0!</v>
      </c>
      <c r="BA65" s="1" t="n">
        <f aca="false">AY65*($B65+D$13)</f>
        <v>0</v>
      </c>
      <c r="BB65" s="47" t="n">
        <f aca="false">IF(ISNUMBER(((BA65/AY65)+D$14+$K65)*AY65),((BA65/AY65)+D$14+$K65)*AY65,0)</f>
        <v>0</v>
      </c>
      <c r="BC65" s="76" t="n">
        <f aca="false">IF(AY65=0,0,bsd(1,BD$27,AZ65,$P65,$M65,$N65,$AH65,0.1))</f>
        <v>0</v>
      </c>
      <c r="BD65" s="76" t="n">
        <f aca="false">IF(AY65=0,0,bsd(2,BD$27,AZ65,$P65,$M65,$N65,$AH65,0.1))</f>
        <v>0</v>
      </c>
      <c r="BE65" s="76" t="n">
        <f aca="false">IF(AY65=0,0,bsd(BD$28,BD$27,AZ65,$P65,$M65,$N65,$AH65,0.1))</f>
        <v>0</v>
      </c>
      <c r="BF65" s="37" t="n">
        <f aca="false">AY65*BC65</f>
        <v>0</v>
      </c>
      <c r="BG65" s="37" t="n">
        <f aca="false">AY65*BD65</f>
        <v>0</v>
      </c>
      <c r="BH65" s="37" t="n">
        <f aca="false">AY65*BE65</f>
        <v>0</v>
      </c>
      <c r="BJ65" s="73" t="n">
        <f aca="false">IF($A65&gt;=BK$25,IF($A65&lt;=BK$26,$AI65,0),0)</f>
        <v>0</v>
      </c>
      <c r="BK65" s="196" t="e">
        <f aca="false">BM65/BJ65</f>
        <v>#DIV/0!</v>
      </c>
      <c r="BL65" s="1" t="n">
        <f aca="false">BJ65*($B65+F$13)</f>
        <v>0</v>
      </c>
      <c r="BM65" s="47" t="n">
        <f aca="false">IF(ISNUMBER(((BL65/BJ65)+F$14+$R65)*BJ65),((BL65/BJ65)+F$14+$R65)*BJ65,0)</f>
        <v>0</v>
      </c>
      <c r="BN65" s="76" t="n">
        <f aca="false">IF(BJ65=0,0,bsd(1,BO$27,BK65,$W65,$T65,$U65,$AH65,0.1))</f>
        <v>0</v>
      </c>
      <c r="BO65" s="76" t="n">
        <f aca="false">IF(BJ65=0,0,bsd(2,BO$27,BK65,$W65,$T65,$U65,$AH65,0.1))</f>
        <v>0</v>
      </c>
      <c r="BP65" s="76" t="n">
        <f aca="false">IF(BJ65=0,0,bsd(BO$28,BO$27,BK65,$W65,$T65,$U65,$AH65,0.1))</f>
        <v>0</v>
      </c>
      <c r="BQ65" s="37" t="n">
        <f aca="false">BJ65*BN65</f>
        <v>0</v>
      </c>
      <c r="BR65" s="37" t="n">
        <f aca="false">BJ65*BO65</f>
        <v>0</v>
      </c>
      <c r="BS65" s="37" t="n">
        <f aca="false">BJ65*BP65</f>
        <v>0</v>
      </c>
      <c r="BU65" s="73" t="n">
        <f aca="false">IF($A65&gt;=BV$25,IF($A65&lt;=BV$26,$AI65,0),0)</f>
        <v>0</v>
      </c>
      <c r="BV65" s="196" t="e">
        <f aca="false">BX65/BU65</f>
        <v>#DIV/0!</v>
      </c>
      <c r="BW65" s="1" t="n">
        <f aca="false">BU65*($B65+H$13)</f>
        <v>0</v>
      </c>
      <c r="BX65" s="47" t="n">
        <f aca="false">IF(ISNUMBER(((BW65/BU65)+H$14+$Y65)*BU65),((BW65/BU65)+H$14+$Y65)*BU65,0)</f>
        <v>0</v>
      </c>
      <c r="BY65" s="76" t="n">
        <f aca="false">IF(BU65=0,0,bsd(1,BZ$27,BV65,$AD65,$AA65,$AB65,$AH65,0.1))</f>
        <v>0</v>
      </c>
      <c r="BZ65" s="76" t="n">
        <f aca="false">IF(BU65=0,0,bsd(2,BZ$27,BV65,$AD65,$AA65,$AB65,$AH65,0.1))</f>
        <v>0</v>
      </c>
      <c r="CA65" s="76" t="n">
        <f aca="false">IF(BU65=0,0,bsd(BZ$28,BZ$27,BV65,$AD65,$AA65,$AB65,$AH65,0.1))</f>
        <v>0</v>
      </c>
      <c r="CB65" s="37" t="n">
        <f aca="false">BU65*BY65</f>
        <v>0</v>
      </c>
      <c r="CC65" s="37" t="n">
        <f aca="false">BU65*BZ65</f>
        <v>0</v>
      </c>
      <c r="CD65" s="37" t="n">
        <f aca="false">BU65*CA65</f>
        <v>0</v>
      </c>
    </row>
    <row r="66" customFormat="false" ht="12.75" hidden="false" customHeight="false" outlineLevel="0" collapsed="false">
      <c r="A66" s="62" t="n">
        <f aca="false">DATE(YEAR(A65),MONTH(A65)+1,1)</f>
        <v>38322</v>
      </c>
      <c r="B66" s="63" t="n">
        <f aca="false">VLOOKUP(A66,STRADDLE,5,FALSE())</f>
        <v>3.595</v>
      </c>
      <c r="C66" s="4" t="n">
        <f aca="false">VLOOKUP(A66,STRADDLE,8,FALSE())</f>
        <v>0.315</v>
      </c>
      <c r="D66" s="63" t="n">
        <f aca="false">IF(D$28="nymex",0,VLOOKUP($A66,curvesettle,HLOOKUP(D$28,curvesettle,2,FALSE())))</f>
        <v>-0.075</v>
      </c>
      <c r="E66" s="65" t="n">
        <f aca="false">IF(ISNUMBER(VLOOKUP($A66,VOLCURVES,HLOOKUP(D$28,VOLCURVES,2,FALSE()),FALSE())),VLOOKUP($A66,VOLCURVES,HLOOKUP(D$28,VOLCURVES,2,FALSE()),FALSE()),1)</f>
        <v>1</v>
      </c>
      <c r="F66" s="64" t="n">
        <f aca="false">IF(D$28="NYMEX",$AG66,$AF66)</f>
        <v>-7610</v>
      </c>
      <c r="G66" s="4" t="e">
        <f aca="false">(($C66+H66)*$E66)+B$15</f>
        <v>#DIV/0!</v>
      </c>
      <c r="H66" s="4" t="e">
        <f aca="false">IF(B$16=1,xCalcSkew(A66,I66-AO66,b)/100,0)</f>
        <v>#DIV/0!</v>
      </c>
      <c r="I66" s="66" t="n">
        <f aca="false">IF($B$19=4,$AO66,$B$18)</f>
        <v>5</v>
      </c>
      <c r="K66" s="63" t="n">
        <f aca="false">IF(K$28="nymex",0,VLOOKUP($A66,curvesettle,HLOOKUP(K$28,curvesettle,2,FALSE())))</f>
        <v>-0.075</v>
      </c>
      <c r="L66" s="65" t="n">
        <f aca="false">IF(ISNUMBER(VLOOKUP($A66,VOLCURVES,HLOOKUP(K$28,VOLCURVES,2,FALSE()),FALSE())),VLOOKUP($A66,VOLCURVES,HLOOKUP(K$28,VOLCURVES,2,FALSE()),FALSE()),1)</f>
        <v>1</v>
      </c>
      <c r="M66" s="64" t="n">
        <f aca="false">IF(K$28="NYMEX",$AG66,$AF66)</f>
        <v>-7610</v>
      </c>
      <c r="N66" s="184" t="e">
        <f aca="false">(($C66+O66)*$L66)+D$15</f>
        <v>#DIV/0!</v>
      </c>
      <c r="O66" s="4" t="e">
        <f aca="false">IF(D$16=1,xCalcSkew($A66,P66-AZ66,b)/100,0)</f>
        <v>#DIV/0!</v>
      </c>
      <c r="P66" s="66" t="n">
        <f aca="false">IF($D$19=4,$AZ66,$D$18)</f>
        <v>3</v>
      </c>
      <c r="R66" s="63" t="n">
        <f aca="false">IF(R$28="nymex",0,VLOOKUP($A66,curvesettle,HLOOKUP(R$28,curvesettle,2,FALSE())))</f>
        <v>-0.27</v>
      </c>
      <c r="S66" s="65" t="n">
        <f aca="false">IF(ISNUMBER(VLOOKUP($A66,VOLCURVES,HLOOKUP(R$28,VOLCURVES,2,FALSE()),FALSE())),VLOOKUP($A66,VOLCURVES,HLOOKUP(R$28,VOLCURVES,2,FALSE()),FALSE()),1)</f>
        <v>1</v>
      </c>
      <c r="T66" s="64" t="n">
        <f aca="false">IF(R$28="NYMEX",$AG66,$AF66)</f>
        <v>-7610</v>
      </c>
      <c r="U66" s="184" t="e">
        <f aca="false">(($C66+V66)*$S66)+F$15</f>
        <v>#DIV/0!</v>
      </c>
      <c r="V66" s="4" t="e">
        <f aca="false">IF(F$16=1,xCalcSkew($A66,W66-BK66,b)/100,0)</f>
        <v>#DIV/0!</v>
      </c>
      <c r="W66" s="66" t="n">
        <f aca="false">IF($F$19=4,$BK66,$F$18)</f>
        <v>2.55</v>
      </c>
      <c r="X66" s="64"/>
      <c r="Y66" s="63" t="n">
        <f aca="false">IF(Y$28="nymex",0,VLOOKUP($A66,curvesettle,HLOOKUP(Y$28,curvesettle,2,FALSE())))</f>
        <v>0</v>
      </c>
      <c r="Z66" s="65" t="n">
        <f aca="false">IF(ISNUMBER(VLOOKUP($A66,VOLCURVES,HLOOKUP(Y$28,VOLCURVES,2,FALSE()),FALSE())),VLOOKUP($A66,VOLCURVES,HLOOKUP(Y$28,VOLCURVES,2,FALSE()),FALSE()),1)</f>
        <v>1</v>
      </c>
      <c r="AA66" s="64" t="n">
        <f aca="false">IF(Y$28="NYMEX",$AG66,$AF66)</f>
        <v>-7612</v>
      </c>
      <c r="AB66" s="4" t="e">
        <f aca="false">(($C66+AC66)*$Z66)+H$15</f>
        <v>#DIV/0!</v>
      </c>
      <c r="AC66" s="4" t="e">
        <f aca="false">IF(H$16=1,xCalcSkew($A66,AD66-BV66,b)/100,0)</f>
        <v>#DIV/0!</v>
      </c>
      <c r="AD66" s="66" t="n">
        <f aca="false">IF($H$19=4,$BV66,$H$18)</f>
        <v>2.9</v>
      </c>
      <c r="AF66" s="64" t="n">
        <f aca="false">VLOOKUP($A66,expiration,2,FALSE())-$B$2</f>
        <v>-7610</v>
      </c>
      <c r="AG66" s="64" t="n">
        <f aca="false">VLOOKUP($A66,expiration,3,FALSE())-$B$2</f>
        <v>-7612</v>
      </c>
      <c r="AH66" s="4" t="n">
        <f aca="false">VLOOKUP($A66,STRADDLE,14,FALSE())</f>
        <v>0.0421066930146625</v>
      </c>
      <c r="AI66" s="72" t="n">
        <f aca="false">A67-A66</f>
        <v>31</v>
      </c>
      <c r="AJ66" s="76"/>
      <c r="AK66" s="76"/>
      <c r="AL66" s="76"/>
      <c r="AM66" s="76"/>
      <c r="AN66" s="73" t="n">
        <f aca="false">IF($A66&gt;=AO$25,IF($A66&lt;=AO$26,$AI66,0),0)</f>
        <v>0</v>
      </c>
      <c r="AO66" s="196" t="e">
        <f aca="false">AQ66/AN66</f>
        <v>#DIV/0!</v>
      </c>
      <c r="AP66" s="1" t="n">
        <f aca="false">AN66*($B66+B$13)</f>
        <v>0</v>
      </c>
      <c r="AQ66" s="47" t="n">
        <f aca="false">IF(ISNUMBER(((AP66/AN66)+B$14+$D66)*AN66),((AP66/AN66)+B$14+$D66)*AN66,0)</f>
        <v>0</v>
      </c>
      <c r="AR66" s="76" t="n">
        <f aca="false">IF(AN66=0,0,bsd(1,AS$27,AO66,$I66,$F66,$G66,$AH66,0.1))</f>
        <v>0</v>
      </c>
      <c r="AS66" s="76" t="n">
        <f aca="false">IF(AN66=0,0,bsd(2,AS$27,AO66,$I66,$F66,$G66,$AH66,0.1))</f>
        <v>0</v>
      </c>
      <c r="AT66" s="76" t="n">
        <f aca="false">IF(AN66=0,0,bsd(AS$28,AS$27,AO66,$I66,$F66,$G66,$AH66,0.1))</f>
        <v>0</v>
      </c>
      <c r="AU66" s="37" t="n">
        <f aca="false">AN66*AR66</f>
        <v>0</v>
      </c>
      <c r="AV66" s="37" t="n">
        <f aca="false">AN66*AS66</f>
        <v>0</v>
      </c>
      <c r="AW66" s="37" t="n">
        <f aca="false">AN66*AT66</f>
        <v>0</v>
      </c>
      <c r="AY66" s="73" t="n">
        <f aca="false">IF($A66&gt;=AZ$25,IF($A66&lt;=AZ$26,$AI66,0),0)</f>
        <v>0</v>
      </c>
      <c r="AZ66" s="196" t="e">
        <f aca="false">BB66/AY66</f>
        <v>#DIV/0!</v>
      </c>
      <c r="BA66" s="1" t="n">
        <f aca="false">AY66*($B66+D$13)</f>
        <v>0</v>
      </c>
      <c r="BB66" s="47" t="n">
        <f aca="false">IF(ISNUMBER(((BA66/AY66)+D$14+$K66)*AY66),((BA66/AY66)+D$14+$K66)*AY66,0)</f>
        <v>0</v>
      </c>
      <c r="BC66" s="76" t="n">
        <f aca="false">IF(AY66=0,0,bsd(1,BD$27,AZ66,$P66,$M66,$N66,$AH66,0.1))</f>
        <v>0</v>
      </c>
      <c r="BD66" s="76" t="n">
        <f aca="false">IF(AY66=0,0,bsd(2,BD$27,AZ66,$P66,$M66,$N66,$AH66,0.1))</f>
        <v>0</v>
      </c>
      <c r="BE66" s="76" t="n">
        <f aca="false">IF(AY66=0,0,bsd(BD$28,BD$27,AZ66,$P66,$M66,$N66,$AH66,0.1))</f>
        <v>0</v>
      </c>
      <c r="BF66" s="37" t="n">
        <f aca="false">AY66*BC66</f>
        <v>0</v>
      </c>
      <c r="BG66" s="37" t="n">
        <f aca="false">AY66*BD66</f>
        <v>0</v>
      </c>
      <c r="BH66" s="37" t="n">
        <f aca="false">AY66*BE66</f>
        <v>0</v>
      </c>
      <c r="BJ66" s="73" t="n">
        <f aca="false">IF($A66&gt;=BK$25,IF($A66&lt;=BK$26,$AI66,0),0)</f>
        <v>0</v>
      </c>
      <c r="BK66" s="196" t="e">
        <f aca="false">BM66/BJ66</f>
        <v>#DIV/0!</v>
      </c>
      <c r="BL66" s="1" t="n">
        <f aca="false">BJ66*($B66+F$13)</f>
        <v>0</v>
      </c>
      <c r="BM66" s="47" t="n">
        <f aca="false">IF(ISNUMBER(((BL66/BJ66)+F$14+$R66)*BJ66),((BL66/BJ66)+F$14+$R66)*BJ66,0)</f>
        <v>0</v>
      </c>
      <c r="BN66" s="76" t="n">
        <f aca="false">IF(BJ66=0,0,bsd(1,BO$27,BK66,$W66,$T66,$U66,$AH66,0.1))</f>
        <v>0</v>
      </c>
      <c r="BO66" s="76" t="n">
        <f aca="false">IF(BJ66=0,0,bsd(2,BO$27,BK66,$W66,$T66,$U66,$AH66,0.1))</f>
        <v>0</v>
      </c>
      <c r="BP66" s="76" t="n">
        <f aca="false">IF(BJ66=0,0,bsd(BO$28,BO$27,BK66,$W66,$T66,$U66,$AH66,0.1))</f>
        <v>0</v>
      </c>
      <c r="BQ66" s="37" t="n">
        <f aca="false">BJ66*BN66</f>
        <v>0</v>
      </c>
      <c r="BR66" s="37" t="n">
        <f aca="false">BJ66*BO66</f>
        <v>0</v>
      </c>
      <c r="BS66" s="37" t="n">
        <f aca="false">BJ66*BP66</f>
        <v>0</v>
      </c>
      <c r="BU66" s="73" t="n">
        <f aca="false">IF($A66&gt;=BV$25,IF($A66&lt;=BV$26,$AI66,0),0)</f>
        <v>0</v>
      </c>
      <c r="BV66" s="196" t="e">
        <f aca="false">BX66/BU66</f>
        <v>#DIV/0!</v>
      </c>
      <c r="BW66" s="1" t="n">
        <f aca="false">BU66*($B66+H$13)</f>
        <v>0</v>
      </c>
      <c r="BX66" s="47" t="n">
        <f aca="false">IF(ISNUMBER(((BW66/BU66)+H$14+$Y66)*BU66),((BW66/BU66)+H$14+$Y66)*BU66,0)</f>
        <v>0</v>
      </c>
      <c r="BY66" s="76" t="n">
        <f aca="false">IF(BU66=0,0,bsd(1,BZ$27,BV66,$AD66,$AA66,$AB66,$AH66,0.1))</f>
        <v>0</v>
      </c>
      <c r="BZ66" s="76" t="n">
        <f aca="false">IF(BU66=0,0,bsd(2,BZ$27,BV66,$AD66,$AA66,$AB66,$AH66,0.1))</f>
        <v>0</v>
      </c>
      <c r="CA66" s="76" t="n">
        <f aca="false">IF(BU66=0,0,bsd(BZ$28,BZ$27,BV66,$AD66,$AA66,$AB66,$AH66,0.1))</f>
        <v>0</v>
      </c>
      <c r="CB66" s="37" t="n">
        <f aca="false">BU66*BY66</f>
        <v>0</v>
      </c>
      <c r="CC66" s="37" t="n">
        <f aca="false">BU66*BZ66</f>
        <v>0</v>
      </c>
      <c r="CD66" s="37" t="n">
        <f aca="false">BU66*CA66</f>
        <v>0</v>
      </c>
    </row>
    <row r="67" customFormat="false" ht="12.75" hidden="false" customHeight="false" outlineLevel="0" collapsed="false">
      <c r="A67" s="62" t="n">
        <f aca="false">DATE(YEAR(A66),MONTH(A66)+1,1)</f>
        <v>38353</v>
      </c>
      <c r="B67" s="63" t="n">
        <f aca="false">VLOOKUP(A67,STRADDLE,5,FALSE())</f>
        <v>3.655</v>
      </c>
      <c r="C67" s="4" t="n">
        <f aca="false">VLOOKUP(A67,STRADDLE,8,FALSE())</f>
        <v>0.315</v>
      </c>
      <c r="D67" s="63" t="n">
        <f aca="false">IF(D$28="nymex",0,VLOOKUP($A67,curvesettle,HLOOKUP(D$28,curvesettle,2,FALSE())))</f>
        <v>-0.075</v>
      </c>
      <c r="E67" s="65" t="n">
        <f aca="false">IF(ISNUMBER(VLOOKUP($A67,VOLCURVES,HLOOKUP(D$28,VOLCURVES,2,FALSE()),FALSE())),VLOOKUP($A67,VOLCURVES,HLOOKUP(D$28,VOLCURVES,2,FALSE()),FALSE()),1)</f>
        <v>1</v>
      </c>
      <c r="F67" s="64" t="n">
        <f aca="false">IF(D$28="NYMEX",$AG67,$AF67)</f>
        <v>-7578</v>
      </c>
      <c r="G67" s="4" t="e">
        <f aca="false">(($C67+H67)*$E67)+B$15</f>
        <v>#DIV/0!</v>
      </c>
      <c r="H67" s="4" t="e">
        <f aca="false">IF(B$16=1,xCalcSkew(A67,I67-AO67,b)/100,0)</f>
        <v>#DIV/0!</v>
      </c>
      <c r="I67" s="66" t="n">
        <f aca="false">IF($B$19=4,$AO67,$B$18)</f>
        <v>5</v>
      </c>
      <c r="K67" s="63" t="n">
        <f aca="false">IF(K$28="nymex",0,VLOOKUP($A67,curvesettle,HLOOKUP(K$28,curvesettle,2,FALSE())))</f>
        <v>-0.075</v>
      </c>
      <c r="L67" s="65" t="n">
        <f aca="false">IF(ISNUMBER(VLOOKUP($A67,VOLCURVES,HLOOKUP(K$28,VOLCURVES,2,FALSE()),FALSE())),VLOOKUP($A67,VOLCURVES,HLOOKUP(K$28,VOLCURVES,2,FALSE()),FALSE()),1)</f>
        <v>1</v>
      </c>
      <c r="M67" s="64" t="n">
        <f aca="false">IF(K$28="NYMEX",$AG67,$AF67)</f>
        <v>-7578</v>
      </c>
      <c r="N67" s="184" t="e">
        <f aca="false">(($C67+O67)*$L67)+D$15</f>
        <v>#DIV/0!</v>
      </c>
      <c r="O67" s="4" t="e">
        <f aca="false">IF(D$16=1,xCalcSkew($A67,P67-AZ67,b)/100,0)</f>
        <v>#DIV/0!</v>
      </c>
      <c r="P67" s="66" t="n">
        <f aca="false">IF($D$19=4,$AZ67,$D$18)</f>
        <v>3</v>
      </c>
      <c r="R67" s="63" t="n">
        <f aca="false">IF(R$28="nymex",0,VLOOKUP($A67,curvesettle,HLOOKUP(R$28,curvesettle,2,FALSE())))</f>
        <v>-0.27</v>
      </c>
      <c r="S67" s="65" t="n">
        <f aca="false">IF(ISNUMBER(VLOOKUP($A67,VOLCURVES,HLOOKUP(R$28,VOLCURVES,2,FALSE()),FALSE())),VLOOKUP($A67,VOLCURVES,HLOOKUP(R$28,VOLCURVES,2,FALSE()),FALSE()),1)</f>
        <v>1</v>
      </c>
      <c r="T67" s="64" t="n">
        <f aca="false">IF(R$28="NYMEX",$AG67,$AF67)</f>
        <v>-7578</v>
      </c>
      <c r="U67" s="184" t="e">
        <f aca="false">(($C67+V67)*$S67)+F$15</f>
        <v>#DIV/0!</v>
      </c>
      <c r="V67" s="4" t="e">
        <f aca="false">IF(F$16=1,xCalcSkew($A67,W67-BK67,b)/100,0)</f>
        <v>#DIV/0!</v>
      </c>
      <c r="W67" s="66" t="n">
        <f aca="false">IF($F$19=4,$BK67,$F$18)</f>
        <v>2.55</v>
      </c>
      <c r="X67" s="64"/>
      <c r="Y67" s="63" t="n">
        <f aca="false">IF(Y$28="nymex",0,VLOOKUP($A67,curvesettle,HLOOKUP(Y$28,curvesettle,2,FALSE())))</f>
        <v>0</v>
      </c>
      <c r="Z67" s="65" t="n">
        <f aca="false">IF(ISNUMBER(VLOOKUP($A67,VOLCURVES,HLOOKUP(Y$28,VOLCURVES,2,FALSE()),FALSE())),VLOOKUP($A67,VOLCURVES,HLOOKUP(Y$28,VOLCURVES,2,FALSE()),FALSE()),1)</f>
        <v>1</v>
      </c>
      <c r="AA67" s="64" t="n">
        <f aca="false">IF(Y$28="NYMEX",$AG67,$AF67)</f>
        <v>-7579</v>
      </c>
      <c r="AB67" s="4" t="e">
        <f aca="false">(($C67+AC67)*$Z67)+H$15</f>
        <v>#DIV/0!</v>
      </c>
      <c r="AC67" s="4" t="e">
        <f aca="false">IF(H$16=1,xCalcSkew($A67,AD67-BV67,b)/100,0)</f>
        <v>#DIV/0!</v>
      </c>
      <c r="AD67" s="66" t="n">
        <f aca="false">IF($H$19=4,$BV67,$H$18)</f>
        <v>2.9</v>
      </c>
      <c r="AF67" s="64" t="n">
        <f aca="false">VLOOKUP($A67,expiration,2,FALSE())-$B$2</f>
        <v>-7578</v>
      </c>
      <c r="AG67" s="64" t="n">
        <f aca="false">VLOOKUP($A67,expiration,3,FALSE())-$B$2</f>
        <v>-7579</v>
      </c>
      <c r="AH67" s="4" t="n">
        <f aca="false">VLOOKUP($A67,STRADDLE,14,FALSE())</f>
        <v>0.0426576899474638</v>
      </c>
      <c r="AI67" s="72" t="n">
        <f aca="false">A68-A67</f>
        <v>31</v>
      </c>
      <c r="AJ67" s="76"/>
      <c r="AK67" s="76"/>
      <c r="AL67" s="76"/>
      <c r="AM67" s="76"/>
      <c r="AN67" s="73" t="n">
        <f aca="false">IF($A67&gt;=AO$25,IF($A67&lt;=AO$26,$AI67,0),0)</f>
        <v>0</v>
      </c>
      <c r="AO67" s="196" t="e">
        <f aca="false">AQ67/AN67</f>
        <v>#DIV/0!</v>
      </c>
      <c r="AP67" s="1" t="n">
        <f aca="false">AN67*($B67+B$13)</f>
        <v>0</v>
      </c>
      <c r="AQ67" s="47" t="n">
        <f aca="false">IF(ISNUMBER(((AP67/AN67)+B$14+$D67)*AN67),((AP67/AN67)+B$14+$D67)*AN67,0)</f>
        <v>0</v>
      </c>
      <c r="AR67" s="76" t="n">
        <f aca="false">IF(AN67=0,0,bsd(1,AS$27,AO67,$I67,$F67,$G67,$AH67,0.1))</f>
        <v>0</v>
      </c>
      <c r="AS67" s="76" t="n">
        <f aca="false">IF(AN67=0,0,bsd(2,AS$27,AO67,$I67,$F67,$G67,$AH67,0.1))</f>
        <v>0</v>
      </c>
      <c r="AT67" s="76" t="n">
        <f aca="false">IF(AN67=0,0,bsd(AS$28,AS$27,AO67,$I67,$F67,$G67,$AH67,0.1))</f>
        <v>0</v>
      </c>
      <c r="AU67" s="37" t="n">
        <f aca="false">AN67*AR67</f>
        <v>0</v>
      </c>
      <c r="AV67" s="37" t="n">
        <f aca="false">AN67*AS67</f>
        <v>0</v>
      </c>
      <c r="AW67" s="37" t="n">
        <f aca="false">AN67*AT67</f>
        <v>0</v>
      </c>
      <c r="AY67" s="73" t="n">
        <f aca="false">IF($A67&gt;=AZ$25,IF($A67&lt;=AZ$26,$AI67,0),0)</f>
        <v>0</v>
      </c>
      <c r="AZ67" s="196" t="e">
        <f aca="false">BB67/AY67</f>
        <v>#DIV/0!</v>
      </c>
      <c r="BA67" s="1" t="n">
        <f aca="false">AY67*($B67+D$13)</f>
        <v>0</v>
      </c>
      <c r="BB67" s="47" t="n">
        <f aca="false">IF(ISNUMBER(((BA67/AY67)+D$14+$K67)*AY67),((BA67/AY67)+D$14+$K67)*AY67,0)</f>
        <v>0</v>
      </c>
      <c r="BC67" s="76" t="n">
        <f aca="false">IF(AY67=0,0,bsd(1,BD$27,AZ67,$P67,$M67,$N67,$AH67,0.1))</f>
        <v>0</v>
      </c>
      <c r="BD67" s="76" t="n">
        <f aca="false">IF(AY67=0,0,bsd(2,BD$27,AZ67,$P67,$M67,$N67,$AH67,0.1))</f>
        <v>0</v>
      </c>
      <c r="BE67" s="76" t="n">
        <f aca="false">IF(AY67=0,0,bsd(BD$28,BD$27,AZ67,$P67,$M67,$N67,$AH67,0.1))</f>
        <v>0</v>
      </c>
      <c r="BF67" s="37" t="n">
        <f aca="false">AY67*BC67</f>
        <v>0</v>
      </c>
      <c r="BG67" s="37" t="n">
        <f aca="false">AY67*BD67</f>
        <v>0</v>
      </c>
      <c r="BH67" s="37" t="n">
        <f aca="false">AY67*BE67</f>
        <v>0</v>
      </c>
      <c r="BJ67" s="73" t="n">
        <f aca="false">IF($A67&gt;=BK$25,IF($A67&lt;=BK$26,$AI67,0),0)</f>
        <v>0</v>
      </c>
      <c r="BK67" s="196" t="e">
        <f aca="false">BM67/BJ67</f>
        <v>#DIV/0!</v>
      </c>
      <c r="BL67" s="1" t="n">
        <f aca="false">BJ67*($B67+F$13)</f>
        <v>0</v>
      </c>
      <c r="BM67" s="47" t="n">
        <f aca="false">IF(ISNUMBER(((BL67/BJ67)+F$14+$R67)*BJ67),((BL67/BJ67)+F$14+$R67)*BJ67,0)</f>
        <v>0</v>
      </c>
      <c r="BN67" s="76" t="n">
        <f aca="false">IF(BJ67=0,0,bsd(1,BO$27,BK67,$W67,$T67,$U67,$AH67,0.1))</f>
        <v>0</v>
      </c>
      <c r="BO67" s="76" t="n">
        <f aca="false">IF(BJ67=0,0,bsd(2,BO$27,BK67,$W67,$T67,$U67,$AH67,0.1))</f>
        <v>0</v>
      </c>
      <c r="BP67" s="76" t="n">
        <f aca="false">IF(BJ67=0,0,bsd(BO$28,BO$27,BK67,$W67,$T67,$U67,$AH67,0.1))</f>
        <v>0</v>
      </c>
      <c r="BQ67" s="37" t="n">
        <f aca="false">BJ67*BN67</f>
        <v>0</v>
      </c>
      <c r="BR67" s="37" t="n">
        <f aca="false">BJ67*BO67</f>
        <v>0</v>
      </c>
      <c r="BS67" s="37" t="n">
        <f aca="false">BJ67*BP67</f>
        <v>0</v>
      </c>
      <c r="BU67" s="73" t="n">
        <f aca="false">IF($A67&gt;=BV$25,IF($A67&lt;=BV$26,$AI67,0),0)</f>
        <v>0</v>
      </c>
      <c r="BV67" s="196" t="e">
        <f aca="false">BX67/BU67</f>
        <v>#DIV/0!</v>
      </c>
      <c r="BW67" s="1" t="n">
        <f aca="false">BU67*($B67+H$13)</f>
        <v>0</v>
      </c>
      <c r="BX67" s="47" t="n">
        <f aca="false">IF(ISNUMBER(((BW67/BU67)+H$14+$Y67)*BU67),((BW67/BU67)+H$14+$Y67)*BU67,0)</f>
        <v>0</v>
      </c>
      <c r="BY67" s="76" t="n">
        <f aca="false">IF(BU67=0,0,bsd(1,BZ$27,BV67,$AD67,$AA67,$AB67,$AH67,0.1))</f>
        <v>0</v>
      </c>
      <c r="BZ67" s="76" t="n">
        <f aca="false">IF(BU67=0,0,bsd(2,BZ$27,BV67,$AD67,$AA67,$AB67,$AH67,0.1))</f>
        <v>0</v>
      </c>
      <c r="CA67" s="76" t="n">
        <f aca="false">IF(BU67=0,0,bsd(BZ$28,BZ$27,BV67,$AD67,$AA67,$AB67,$AH67,0.1))</f>
        <v>0</v>
      </c>
      <c r="CB67" s="37" t="n">
        <f aca="false">BU67*BY67</f>
        <v>0</v>
      </c>
      <c r="CC67" s="37" t="n">
        <f aca="false">BU67*BZ67</f>
        <v>0</v>
      </c>
      <c r="CD67" s="37" t="n">
        <f aca="false">BU67*CA67</f>
        <v>0</v>
      </c>
    </row>
    <row r="68" customFormat="false" ht="12.75" hidden="false" customHeight="false" outlineLevel="0" collapsed="false">
      <c r="A68" s="62" t="n">
        <f aca="false">DATE(YEAR(A67),MONTH(A67)+1,1)</f>
        <v>38384</v>
      </c>
      <c r="B68" s="63" t="n">
        <f aca="false">VLOOKUP(A68,STRADDLE,5,FALSE())</f>
        <v>3.57</v>
      </c>
      <c r="C68" s="4" t="n">
        <f aca="false">VLOOKUP(A68,STRADDLE,8,FALSE())</f>
        <v>0.3125</v>
      </c>
      <c r="D68" s="63" t="n">
        <f aca="false">IF(D$28="nymex",0,VLOOKUP($A68,curvesettle,HLOOKUP(D$28,curvesettle,2,FALSE())))</f>
        <v>-0.075</v>
      </c>
      <c r="E68" s="65" t="n">
        <f aca="false">IF(ISNUMBER(VLOOKUP($A68,VOLCURVES,HLOOKUP(D$28,VOLCURVES,2,FALSE()),FALSE())),VLOOKUP($A68,VOLCURVES,HLOOKUP(D$28,VOLCURVES,2,FALSE()),FALSE()),1)</f>
        <v>1</v>
      </c>
      <c r="F68" s="64" t="n">
        <f aca="false">IF(D$28="NYMEX",$AG68,$AF68)</f>
        <v>-7548</v>
      </c>
      <c r="G68" s="4" t="e">
        <f aca="false">(($C68+H68)*$E68)+B$15</f>
        <v>#DIV/0!</v>
      </c>
      <c r="H68" s="4" t="e">
        <f aca="false">IF(B$16=1,xCalcSkew(A68,I68-AO68,b)/100,0)</f>
        <v>#DIV/0!</v>
      </c>
      <c r="I68" s="66" t="n">
        <f aca="false">IF($B$19=4,$AO68,$B$18)</f>
        <v>5</v>
      </c>
      <c r="K68" s="63" t="n">
        <f aca="false">IF(K$28="nymex",0,VLOOKUP($A68,curvesettle,HLOOKUP(K$28,curvesettle,2,FALSE())))</f>
        <v>-0.075</v>
      </c>
      <c r="L68" s="65" t="n">
        <f aca="false">IF(ISNUMBER(VLOOKUP($A68,VOLCURVES,HLOOKUP(K$28,VOLCURVES,2,FALSE()),FALSE())),VLOOKUP($A68,VOLCURVES,HLOOKUP(K$28,VOLCURVES,2,FALSE()),FALSE()),1)</f>
        <v>1</v>
      </c>
      <c r="M68" s="64" t="n">
        <f aca="false">IF(K$28="NYMEX",$AG68,$AF68)</f>
        <v>-7548</v>
      </c>
      <c r="N68" s="184" t="e">
        <f aca="false">(($C68+O68)*$L68)+D$15</f>
        <v>#DIV/0!</v>
      </c>
      <c r="O68" s="4" t="e">
        <f aca="false">IF(D$16=1,xCalcSkew($A68,P68-AZ68,b)/100,0)</f>
        <v>#DIV/0!</v>
      </c>
      <c r="P68" s="66" t="n">
        <f aca="false">IF($D$19=4,$AZ68,$D$18)</f>
        <v>3</v>
      </c>
      <c r="R68" s="63" t="n">
        <f aca="false">IF(R$28="nymex",0,VLOOKUP($A68,curvesettle,HLOOKUP(R$28,curvesettle,2,FALSE())))</f>
        <v>-0.27</v>
      </c>
      <c r="S68" s="65" t="n">
        <f aca="false">IF(ISNUMBER(VLOOKUP($A68,VOLCURVES,HLOOKUP(R$28,VOLCURVES,2,FALSE()),FALSE())),VLOOKUP($A68,VOLCURVES,HLOOKUP(R$28,VOLCURVES,2,FALSE()),FALSE()),1)</f>
        <v>1</v>
      </c>
      <c r="T68" s="64" t="n">
        <f aca="false">IF(R$28="NYMEX",$AG68,$AF68)</f>
        <v>-7548</v>
      </c>
      <c r="U68" s="184" t="e">
        <f aca="false">(($C68+V68)*$S68)+F$15</f>
        <v>#DIV/0!</v>
      </c>
      <c r="V68" s="4" t="e">
        <f aca="false">IF(F$16=1,xCalcSkew($A68,W68-BK68,b)/100,0)</f>
        <v>#DIV/0!</v>
      </c>
      <c r="W68" s="66" t="n">
        <f aca="false">IF($F$19=4,$BK68,$F$18)</f>
        <v>2.55</v>
      </c>
      <c r="X68" s="64"/>
      <c r="Y68" s="63" t="n">
        <f aca="false">IF(Y$28="nymex",0,VLOOKUP($A68,curvesettle,HLOOKUP(Y$28,curvesettle,2,FALSE())))</f>
        <v>0</v>
      </c>
      <c r="Z68" s="65" t="n">
        <f aca="false">IF(ISNUMBER(VLOOKUP($A68,VOLCURVES,HLOOKUP(Y$28,VOLCURVES,2,FALSE()),FALSE())),VLOOKUP($A68,VOLCURVES,HLOOKUP(Y$28,VOLCURVES,2,FALSE()),FALSE()),1)</f>
        <v>1</v>
      </c>
      <c r="AA68" s="64" t="n">
        <f aca="false">IF(Y$28="NYMEX",$AG68,$AF68)</f>
        <v>-7549</v>
      </c>
      <c r="AB68" s="4" t="e">
        <f aca="false">(($C68+AC68)*$Z68)+H$15</f>
        <v>#DIV/0!</v>
      </c>
      <c r="AC68" s="4" t="e">
        <f aca="false">IF(H$16=1,xCalcSkew($A68,AD68-BV68,b)/100,0)</f>
        <v>#DIV/0!</v>
      </c>
      <c r="AD68" s="66" t="n">
        <f aca="false">IF($H$19=4,$BV68,$H$18)</f>
        <v>2.9</v>
      </c>
      <c r="AF68" s="64" t="n">
        <f aca="false">VLOOKUP($A68,expiration,2,FALSE())-$B$2</f>
        <v>-7548</v>
      </c>
      <c r="AG68" s="64" t="n">
        <f aca="false">VLOOKUP($A68,expiration,3,FALSE())-$B$2</f>
        <v>-7549</v>
      </c>
      <c r="AH68" s="4" t="n">
        <f aca="false">VLOOKUP($A68,STRADDLE,14,FALSE())</f>
        <v>0.0431890054626174</v>
      </c>
      <c r="AI68" s="72" t="n">
        <f aca="false">A69-A68</f>
        <v>28</v>
      </c>
      <c r="AJ68" s="76"/>
      <c r="AK68" s="76"/>
      <c r="AL68" s="76"/>
      <c r="AM68" s="76"/>
      <c r="AN68" s="73" t="n">
        <f aca="false">IF($A68&gt;=AO$25,IF($A68&lt;=AO$26,$AI68,0),0)</f>
        <v>0</v>
      </c>
      <c r="AO68" s="196" t="e">
        <f aca="false">AQ68/AN68</f>
        <v>#DIV/0!</v>
      </c>
      <c r="AP68" s="1" t="n">
        <f aca="false">AN68*($B68+B$13)</f>
        <v>0</v>
      </c>
      <c r="AQ68" s="47" t="n">
        <f aca="false">IF(ISNUMBER(((AP68/AN68)+B$14+$D68)*AN68),((AP68/AN68)+B$14+$D68)*AN68,0)</f>
        <v>0</v>
      </c>
      <c r="AR68" s="76" t="n">
        <f aca="false">IF(AN68=0,0,bsd(1,AS$27,AO68,$I68,$F68,$G68,$AH68,0.1))</f>
        <v>0</v>
      </c>
      <c r="AS68" s="76" t="n">
        <f aca="false">IF(AN68=0,0,bsd(2,AS$27,AO68,$I68,$F68,$G68,$AH68,0.1))</f>
        <v>0</v>
      </c>
      <c r="AT68" s="76" t="n">
        <f aca="false">IF(AN68=0,0,bsd(AS$28,AS$27,AO68,$I68,$F68,$G68,$AH68,0.1))</f>
        <v>0</v>
      </c>
      <c r="AU68" s="37" t="n">
        <f aca="false">AN68*AR68</f>
        <v>0</v>
      </c>
      <c r="AV68" s="37" t="n">
        <f aca="false">AN68*AS68</f>
        <v>0</v>
      </c>
      <c r="AW68" s="37" t="n">
        <f aca="false">AN68*AT68</f>
        <v>0</v>
      </c>
      <c r="AY68" s="73" t="n">
        <f aca="false">IF($A68&gt;=AZ$25,IF($A68&lt;=AZ$26,$AI68,0),0)</f>
        <v>0</v>
      </c>
      <c r="AZ68" s="196" t="e">
        <f aca="false">BB68/AY68</f>
        <v>#DIV/0!</v>
      </c>
      <c r="BA68" s="1" t="n">
        <f aca="false">AY68*($B68+D$13)</f>
        <v>0</v>
      </c>
      <c r="BB68" s="47" t="n">
        <f aca="false">IF(ISNUMBER(((BA68/AY68)+D$14+$K68)*AY68),((BA68/AY68)+D$14+$K68)*AY68,0)</f>
        <v>0</v>
      </c>
      <c r="BC68" s="76" t="n">
        <f aca="false">IF(AY68=0,0,bsd(1,BD$27,AZ68,$P68,$M68,$N68,$AH68,0.1))</f>
        <v>0</v>
      </c>
      <c r="BD68" s="76" t="n">
        <f aca="false">IF(AY68=0,0,bsd(2,BD$27,AZ68,$P68,$M68,$N68,$AH68,0.1))</f>
        <v>0</v>
      </c>
      <c r="BE68" s="76" t="n">
        <f aca="false">IF(AY68=0,0,bsd(BD$28,BD$27,AZ68,$P68,$M68,$N68,$AH68,0.1))</f>
        <v>0</v>
      </c>
      <c r="BF68" s="37" t="n">
        <f aca="false">AY68*BC68</f>
        <v>0</v>
      </c>
      <c r="BG68" s="37" t="n">
        <f aca="false">AY68*BD68</f>
        <v>0</v>
      </c>
      <c r="BH68" s="37" t="n">
        <f aca="false">AY68*BE68</f>
        <v>0</v>
      </c>
      <c r="BJ68" s="73" t="n">
        <f aca="false">IF($A68&gt;=BK$25,IF($A68&lt;=BK$26,$AI68,0),0)</f>
        <v>0</v>
      </c>
      <c r="BK68" s="196" t="e">
        <f aca="false">BM68/BJ68</f>
        <v>#DIV/0!</v>
      </c>
      <c r="BL68" s="1" t="n">
        <f aca="false">BJ68*($B68+F$13)</f>
        <v>0</v>
      </c>
      <c r="BM68" s="47" t="n">
        <f aca="false">IF(ISNUMBER(((BL68/BJ68)+F$14+$R68)*BJ68),((BL68/BJ68)+F$14+$R68)*BJ68,0)</f>
        <v>0</v>
      </c>
      <c r="BN68" s="76" t="n">
        <f aca="false">IF(BJ68=0,0,bsd(1,BO$27,BK68,$W68,$T68,$U68,$AH68,0.1))</f>
        <v>0</v>
      </c>
      <c r="BO68" s="76" t="n">
        <f aca="false">IF(BJ68=0,0,bsd(2,BO$27,BK68,$W68,$T68,$U68,$AH68,0.1))</f>
        <v>0</v>
      </c>
      <c r="BP68" s="76" t="n">
        <f aca="false">IF(BJ68=0,0,bsd(BO$28,BO$27,BK68,$W68,$T68,$U68,$AH68,0.1))</f>
        <v>0</v>
      </c>
      <c r="BQ68" s="37" t="n">
        <f aca="false">BJ68*BN68</f>
        <v>0</v>
      </c>
      <c r="BR68" s="37" t="n">
        <f aca="false">BJ68*BO68</f>
        <v>0</v>
      </c>
      <c r="BS68" s="37" t="n">
        <f aca="false">BJ68*BP68</f>
        <v>0</v>
      </c>
      <c r="BU68" s="73" t="n">
        <f aca="false">IF($A68&gt;=BV$25,IF($A68&lt;=BV$26,$AI68,0),0)</f>
        <v>0</v>
      </c>
      <c r="BV68" s="196" t="e">
        <f aca="false">BX68/BU68</f>
        <v>#DIV/0!</v>
      </c>
      <c r="BW68" s="1" t="n">
        <f aca="false">BU68*($B68+H$13)</f>
        <v>0</v>
      </c>
      <c r="BX68" s="47" t="n">
        <f aca="false">IF(ISNUMBER(((BW68/BU68)+H$14+$Y68)*BU68),((BW68/BU68)+H$14+$Y68)*BU68,0)</f>
        <v>0</v>
      </c>
      <c r="BY68" s="76" t="n">
        <f aca="false">IF(BU68=0,0,bsd(1,BZ$27,BV68,$AD68,$AA68,$AB68,$AH68,0.1))</f>
        <v>0</v>
      </c>
      <c r="BZ68" s="76" t="n">
        <f aca="false">IF(BU68=0,0,bsd(2,BZ$27,BV68,$AD68,$AA68,$AB68,$AH68,0.1))</f>
        <v>0</v>
      </c>
      <c r="CA68" s="76" t="n">
        <f aca="false">IF(BU68=0,0,bsd(BZ$28,BZ$27,BV68,$AD68,$AA68,$AB68,$AH68,0.1))</f>
        <v>0</v>
      </c>
      <c r="CB68" s="37" t="n">
        <f aca="false">BU68*BY68</f>
        <v>0</v>
      </c>
      <c r="CC68" s="37" t="n">
        <f aca="false">BU68*BZ68</f>
        <v>0</v>
      </c>
      <c r="CD68" s="37" t="n">
        <f aca="false">BU68*CA68</f>
        <v>0</v>
      </c>
    </row>
    <row r="69" customFormat="false" ht="12.75" hidden="false" customHeight="false" outlineLevel="0" collapsed="false">
      <c r="A69" s="62" t="n">
        <f aca="false">DATE(YEAR(A68),MONTH(A68)+1,1)</f>
        <v>38412</v>
      </c>
      <c r="B69" s="63" t="n">
        <f aca="false">VLOOKUP(A69,STRADDLE,5,FALSE())</f>
        <v>3.44</v>
      </c>
      <c r="C69" s="4" t="n">
        <f aca="false">VLOOKUP(A69,STRADDLE,8,FALSE())</f>
        <v>0.3025</v>
      </c>
      <c r="D69" s="63" t="n">
        <f aca="false">IF(D$28="nymex",0,VLOOKUP($A69,curvesettle,HLOOKUP(D$28,curvesettle,2,FALSE())))</f>
        <v>-0.075</v>
      </c>
      <c r="E69" s="65" t="n">
        <f aca="false">IF(ISNUMBER(VLOOKUP($A69,VOLCURVES,HLOOKUP(D$28,VOLCURVES,2,FALSE()),FALSE())),VLOOKUP($A69,VOLCURVES,HLOOKUP(D$28,VOLCURVES,2,FALSE()),FALSE()),1)</f>
        <v>1</v>
      </c>
      <c r="F69" s="64" t="n">
        <f aca="false">IF(D$28="NYMEX",$AG69,$AF69)</f>
        <v>-7520</v>
      </c>
      <c r="G69" s="4" t="e">
        <f aca="false">(($C69+H69)*$E69)+B$15</f>
        <v>#DIV/0!</v>
      </c>
      <c r="H69" s="4" t="e">
        <f aca="false">IF(B$16=1,xCalcSkew(A69,I69-AO69,b)/100,0)</f>
        <v>#DIV/0!</v>
      </c>
      <c r="I69" s="66" t="n">
        <f aca="false">IF($B$19=4,$AO69,$B$18)</f>
        <v>5</v>
      </c>
      <c r="K69" s="63" t="n">
        <f aca="false">IF(K$28="nymex",0,VLOOKUP($A69,curvesettle,HLOOKUP(K$28,curvesettle,2,FALSE())))</f>
        <v>-0.075</v>
      </c>
      <c r="L69" s="65" t="n">
        <f aca="false">IF(ISNUMBER(VLOOKUP($A69,VOLCURVES,HLOOKUP(K$28,VOLCURVES,2,FALSE()),FALSE())),VLOOKUP($A69,VOLCURVES,HLOOKUP(K$28,VOLCURVES,2,FALSE()),FALSE()),1)</f>
        <v>1</v>
      </c>
      <c r="M69" s="64" t="n">
        <f aca="false">IF(K$28="NYMEX",$AG69,$AF69)</f>
        <v>-7520</v>
      </c>
      <c r="N69" s="184" t="e">
        <f aca="false">(($C69+O69)*$L69)+D$15</f>
        <v>#DIV/0!</v>
      </c>
      <c r="O69" s="4" t="e">
        <f aca="false">IF(D$16=1,xCalcSkew($A69,P69-AZ69,b)/100,0)</f>
        <v>#DIV/0!</v>
      </c>
      <c r="P69" s="66" t="n">
        <f aca="false">IF($D$19=4,$AZ69,$D$18)</f>
        <v>3</v>
      </c>
      <c r="R69" s="63" t="n">
        <f aca="false">IF(R$28="nymex",0,VLOOKUP($A69,curvesettle,HLOOKUP(R$28,curvesettle,2,FALSE())))</f>
        <v>-0.27</v>
      </c>
      <c r="S69" s="65" t="n">
        <f aca="false">IF(ISNUMBER(VLOOKUP($A69,VOLCURVES,HLOOKUP(R$28,VOLCURVES,2,FALSE()),FALSE())),VLOOKUP($A69,VOLCURVES,HLOOKUP(R$28,VOLCURVES,2,FALSE()),FALSE()),1)</f>
        <v>1</v>
      </c>
      <c r="T69" s="64" t="n">
        <f aca="false">IF(R$28="NYMEX",$AG69,$AF69)</f>
        <v>-7520</v>
      </c>
      <c r="U69" s="184" t="e">
        <f aca="false">(($C69+V69)*$S69)+F$15</f>
        <v>#DIV/0!</v>
      </c>
      <c r="V69" s="4" t="e">
        <f aca="false">IF(F$16=1,xCalcSkew($A69,W69-BK69,b)/100,0)</f>
        <v>#DIV/0!</v>
      </c>
      <c r="W69" s="66" t="n">
        <f aca="false">IF($F$19=4,$BK69,$F$18)</f>
        <v>2.55</v>
      </c>
      <c r="X69" s="64"/>
      <c r="Y69" s="63" t="n">
        <f aca="false">IF(Y$28="nymex",0,VLOOKUP($A69,curvesettle,HLOOKUP(Y$28,curvesettle,2,FALSE())))</f>
        <v>0</v>
      </c>
      <c r="Z69" s="65" t="n">
        <f aca="false">IF(ISNUMBER(VLOOKUP($A69,VOLCURVES,HLOOKUP(Y$28,VOLCURVES,2,FALSE()),FALSE())),VLOOKUP($A69,VOLCURVES,HLOOKUP(Y$28,VOLCURVES,2,FALSE()),FALSE()),1)</f>
        <v>1</v>
      </c>
      <c r="AA69" s="64" t="n">
        <f aca="false">IF(Y$28="NYMEX",$AG69,$AF69)</f>
        <v>-7521</v>
      </c>
      <c r="AB69" s="4" t="e">
        <f aca="false">(($C69+AC69)*$Z69)+H$15</f>
        <v>#DIV/0!</v>
      </c>
      <c r="AC69" s="4" t="e">
        <f aca="false">IF(H$16=1,xCalcSkew($A69,AD69-BV69,b)/100,0)</f>
        <v>#DIV/0!</v>
      </c>
      <c r="AD69" s="66" t="n">
        <f aca="false">IF($H$19=4,$BV69,$H$18)</f>
        <v>2.9</v>
      </c>
      <c r="AF69" s="64" t="n">
        <f aca="false">VLOOKUP($A69,expiration,2,FALSE())-$B$2</f>
        <v>-7520</v>
      </c>
      <c r="AG69" s="64" t="n">
        <f aca="false">VLOOKUP($A69,expiration,3,FALSE())-$B$2</f>
        <v>-7521</v>
      </c>
      <c r="AH69" s="4" t="n">
        <f aca="false">VLOOKUP($A69,STRADDLE,14,FALSE())</f>
        <v>0.0436689034285567</v>
      </c>
      <c r="AI69" s="72" t="n">
        <f aca="false">A70-A69</f>
        <v>31</v>
      </c>
      <c r="AJ69" s="76"/>
      <c r="AK69" s="76"/>
      <c r="AL69" s="76"/>
      <c r="AM69" s="76"/>
      <c r="AN69" s="73" t="n">
        <f aca="false">IF($A69&gt;=AO$25,IF($A69&lt;=AO$26,$AI69,0),0)</f>
        <v>0</v>
      </c>
      <c r="AO69" s="196" t="e">
        <f aca="false">AQ69/AN69</f>
        <v>#DIV/0!</v>
      </c>
      <c r="AP69" s="1" t="n">
        <f aca="false">AN69*($B69+B$13)</f>
        <v>0</v>
      </c>
      <c r="AQ69" s="47" t="n">
        <f aca="false">IF(ISNUMBER(((AP69/AN69)+B$14+$D69)*AN69),((AP69/AN69)+B$14+$D69)*AN69,0)</f>
        <v>0</v>
      </c>
      <c r="AR69" s="76" t="n">
        <f aca="false">IF(AN69=0,0,bsd(1,AS$27,AO69,$I69,$F69,$G69,$AH69,0.1))</f>
        <v>0</v>
      </c>
      <c r="AS69" s="76" t="n">
        <f aca="false">IF(AN69=0,0,bsd(2,AS$27,AO69,$I69,$F69,$G69,$AH69,0.1))</f>
        <v>0</v>
      </c>
      <c r="AT69" s="76" t="n">
        <f aca="false">IF(AN69=0,0,bsd(AS$28,AS$27,AO69,$I69,$F69,$G69,$AH69,0.1))</f>
        <v>0</v>
      </c>
      <c r="AU69" s="37" t="n">
        <f aca="false">AN69*AR69</f>
        <v>0</v>
      </c>
      <c r="AV69" s="37" t="n">
        <f aca="false">AN69*AS69</f>
        <v>0</v>
      </c>
      <c r="AW69" s="37" t="n">
        <f aca="false">AN69*AT69</f>
        <v>0</v>
      </c>
      <c r="AY69" s="73" t="n">
        <f aca="false">IF($A69&gt;=AZ$25,IF($A69&lt;=AZ$26,$AI69,0),0)</f>
        <v>0</v>
      </c>
      <c r="AZ69" s="196" t="e">
        <f aca="false">BB69/AY69</f>
        <v>#DIV/0!</v>
      </c>
      <c r="BA69" s="1" t="n">
        <f aca="false">AY69*($B69+D$13)</f>
        <v>0</v>
      </c>
      <c r="BB69" s="47" t="n">
        <f aca="false">IF(ISNUMBER(((BA69/AY69)+D$14+$K69)*AY69),((BA69/AY69)+D$14+$K69)*AY69,0)</f>
        <v>0</v>
      </c>
      <c r="BC69" s="76" t="n">
        <f aca="false">IF(AY69=0,0,bsd(1,BD$27,AZ69,$P69,$M69,$N69,$AH69,0.1))</f>
        <v>0</v>
      </c>
      <c r="BD69" s="76" t="n">
        <f aca="false">IF(AY69=0,0,bsd(2,BD$27,AZ69,$P69,$M69,$N69,$AH69,0.1))</f>
        <v>0</v>
      </c>
      <c r="BE69" s="76" t="n">
        <f aca="false">IF(AY69=0,0,bsd(BD$28,BD$27,AZ69,$P69,$M69,$N69,$AH69,0.1))</f>
        <v>0</v>
      </c>
      <c r="BF69" s="37" t="n">
        <f aca="false">AY69*BC69</f>
        <v>0</v>
      </c>
      <c r="BG69" s="37" t="n">
        <f aca="false">AY69*BD69</f>
        <v>0</v>
      </c>
      <c r="BH69" s="37" t="n">
        <f aca="false">AY69*BE69</f>
        <v>0</v>
      </c>
      <c r="BJ69" s="73" t="n">
        <f aca="false">IF($A69&gt;=BK$25,IF($A69&lt;=BK$26,$AI69,0),0)</f>
        <v>0</v>
      </c>
      <c r="BK69" s="196" t="e">
        <f aca="false">BM69/BJ69</f>
        <v>#DIV/0!</v>
      </c>
      <c r="BL69" s="1" t="n">
        <f aca="false">BJ69*($B69+F$13)</f>
        <v>0</v>
      </c>
      <c r="BM69" s="47" t="n">
        <f aca="false">IF(ISNUMBER(((BL69/BJ69)+F$14+$R69)*BJ69),((BL69/BJ69)+F$14+$R69)*BJ69,0)</f>
        <v>0</v>
      </c>
      <c r="BN69" s="76" t="n">
        <f aca="false">IF(BJ69=0,0,bsd(1,BO$27,BK69,$W69,$T69,$U69,$AH69,0.1))</f>
        <v>0</v>
      </c>
      <c r="BO69" s="76" t="n">
        <f aca="false">IF(BJ69=0,0,bsd(2,BO$27,BK69,$W69,$T69,$U69,$AH69,0.1))</f>
        <v>0</v>
      </c>
      <c r="BP69" s="76" t="n">
        <f aca="false">IF(BJ69=0,0,bsd(BO$28,BO$27,BK69,$W69,$T69,$U69,$AH69,0.1))</f>
        <v>0</v>
      </c>
      <c r="BQ69" s="37" t="n">
        <f aca="false">BJ69*BN69</f>
        <v>0</v>
      </c>
      <c r="BR69" s="37" t="n">
        <f aca="false">BJ69*BO69</f>
        <v>0</v>
      </c>
      <c r="BS69" s="37" t="n">
        <f aca="false">BJ69*BP69</f>
        <v>0</v>
      </c>
      <c r="BU69" s="73" t="n">
        <f aca="false">IF($A69&gt;=BV$25,IF($A69&lt;=BV$26,$AI69,0),0)</f>
        <v>0</v>
      </c>
      <c r="BV69" s="196" t="e">
        <f aca="false">BX69/BU69</f>
        <v>#DIV/0!</v>
      </c>
      <c r="BW69" s="1" t="n">
        <f aca="false">BU69*($B69+H$13)</f>
        <v>0</v>
      </c>
      <c r="BX69" s="47" t="n">
        <f aca="false">IF(ISNUMBER(((BW69/BU69)+H$14+$Y69)*BU69),((BW69/BU69)+H$14+$Y69)*BU69,0)</f>
        <v>0</v>
      </c>
      <c r="BY69" s="76" t="n">
        <f aca="false">IF(BU69=0,0,bsd(1,BZ$27,BV69,$AD69,$AA69,$AB69,$AH69,0.1))</f>
        <v>0</v>
      </c>
      <c r="BZ69" s="76" t="n">
        <f aca="false">IF(BU69=0,0,bsd(2,BZ$27,BV69,$AD69,$AA69,$AB69,$AH69,0.1))</f>
        <v>0</v>
      </c>
      <c r="CA69" s="76" t="n">
        <f aca="false">IF(BU69=0,0,bsd(BZ$28,BZ$27,BV69,$AD69,$AA69,$AB69,$AH69,0.1))</f>
        <v>0</v>
      </c>
      <c r="CB69" s="37" t="n">
        <f aca="false">BU69*BY69</f>
        <v>0</v>
      </c>
      <c r="CC69" s="37" t="n">
        <f aca="false">BU69*BZ69</f>
        <v>0</v>
      </c>
      <c r="CD69" s="37" t="n">
        <f aca="false">BU69*CA69</f>
        <v>0</v>
      </c>
    </row>
    <row r="70" customFormat="false" ht="12.75" hidden="false" customHeight="false" outlineLevel="0" collapsed="false">
      <c r="A70" s="62" t="n">
        <f aca="false">DATE(YEAR(A69),MONTH(A69)+1,1)</f>
        <v>38443</v>
      </c>
      <c r="B70" s="63" t="n">
        <f aca="false">VLOOKUP(A70,STRADDLE,5,FALSE())</f>
        <v>3.255</v>
      </c>
      <c r="C70" s="4" t="n">
        <f aca="false">VLOOKUP(A70,STRADDLE,8,FALSE())</f>
        <v>0.2925</v>
      </c>
      <c r="D70" s="63" t="n">
        <f aca="false">IF(D$28="nymex",0,VLOOKUP($A70,curvesettle,HLOOKUP(D$28,curvesettle,2,FALSE())))</f>
        <v>-0.0725</v>
      </c>
      <c r="E70" s="65" t="n">
        <f aca="false">IF(ISNUMBER(VLOOKUP($A70,VOLCURVES,HLOOKUP(D$28,VOLCURVES,2,FALSE()),FALSE())),VLOOKUP($A70,VOLCURVES,HLOOKUP(D$28,VOLCURVES,2,FALSE()),FALSE()),1)</f>
        <v>1</v>
      </c>
      <c r="F70" s="64" t="n">
        <f aca="false">IF(D$28="NYMEX",$AG70,$AF70)</f>
        <v>-7487</v>
      </c>
      <c r="G70" s="4" t="e">
        <f aca="false">(($C70+H70)*$E70)+B$15</f>
        <v>#DIV/0!</v>
      </c>
      <c r="H70" s="4" t="e">
        <f aca="false">IF(B$16=1,xCalcSkew(A70,I70-AO70,b)/100,0)</f>
        <v>#DIV/0!</v>
      </c>
      <c r="I70" s="66" t="n">
        <f aca="false">IF($B$19=4,$AO70,$B$18)</f>
        <v>5</v>
      </c>
      <c r="K70" s="63" t="n">
        <f aca="false">IF(K$28="nymex",0,VLOOKUP($A70,curvesettle,HLOOKUP(K$28,curvesettle,2,FALSE())))</f>
        <v>-0.0725</v>
      </c>
      <c r="L70" s="65" t="n">
        <f aca="false">IF(ISNUMBER(VLOOKUP($A70,VOLCURVES,HLOOKUP(K$28,VOLCURVES,2,FALSE()),FALSE())),VLOOKUP($A70,VOLCURVES,HLOOKUP(K$28,VOLCURVES,2,FALSE()),FALSE()),1)</f>
        <v>1</v>
      </c>
      <c r="M70" s="64" t="n">
        <f aca="false">IF(K$28="NYMEX",$AG70,$AF70)</f>
        <v>-7487</v>
      </c>
      <c r="N70" s="184" t="e">
        <f aca="false">(($C70+O70)*$L70)+D$15</f>
        <v>#DIV/0!</v>
      </c>
      <c r="O70" s="4" t="e">
        <f aca="false">IF(D$16=1,xCalcSkew($A70,P70-AZ70,b)/100,0)</f>
        <v>#DIV/0!</v>
      </c>
      <c r="P70" s="66" t="n">
        <f aca="false">IF($D$19=4,$AZ70,$D$18)</f>
        <v>3</v>
      </c>
      <c r="R70" s="63" t="n">
        <f aca="false">IF(R$28="nymex",0,VLOOKUP($A70,curvesettle,HLOOKUP(R$28,curvesettle,2,FALSE())))</f>
        <v>-0.42</v>
      </c>
      <c r="S70" s="65" t="n">
        <f aca="false">IF(ISNUMBER(VLOOKUP($A70,VOLCURVES,HLOOKUP(R$28,VOLCURVES,2,FALSE()),FALSE())),VLOOKUP($A70,VOLCURVES,HLOOKUP(R$28,VOLCURVES,2,FALSE()),FALSE()),1)</f>
        <v>1</v>
      </c>
      <c r="T70" s="64" t="n">
        <f aca="false">IF(R$28="NYMEX",$AG70,$AF70)</f>
        <v>-7487</v>
      </c>
      <c r="U70" s="184" t="e">
        <f aca="false">(($C70+V70)*$S70)+F$15</f>
        <v>#DIV/0!</v>
      </c>
      <c r="V70" s="4" t="e">
        <f aca="false">IF(F$16=1,xCalcSkew($A70,W70-BK70,b)/100,0)</f>
        <v>#DIV/0!</v>
      </c>
      <c r="W70" s="66" t="n">
        <f aca="false">IF($F$19=4,$BK70,$F$18)</f>
        <v>2.55</v>
      </c>
      <c r="X70" s="64"/>
      <c r="Y70" s="63" t="n">
        <f aca="false">IF(Y$28="nymex",0,VLOOKUP($A70,curvesettle,HLOOKUP(Y$28,curvesettle,2,FALSE())))</f>
        <v>0</v>
      </c>
      <c r="Z70" s="65" t="n">
        <f aca="false">IF(ISNUMBER(VLOOKUP($A70,VOLCURVES,HLOOKUP(Y$28,VOLCURVES,2,FALSE()),FALSE())),VLOOKUP($A70,VOLCURVES,HLOOKUP(Y$28,VOLCURVES,2,FALSE()),FALSE()),1)</f>
        <v>1</v>
      </c>
      <c r="AA70" s="64" t="n">
        <f aca="false">IF(Y$28="NYMEX",$AG70,$AF70)</f>
        <v>-7488</v>
      </c>
      <c r="AB70" s="4" t="e">
        <f aca="false">(($C70+AC70)*$Z70)+H$15</f>
        <v>#DIV/0!</v>
      </c>
      <c r="AC70" s="4" t="e">
        <f aca="false">IF(H$16=1,xCalcSkew($A70,AD70-BV70,b)/100,0)</f>
        <v>#DIV/0!</v>
      </c>
      <c r="AD70" s="66" t="n">
        <f aca="false">IF($H$19=4,$BV70,$H$18)</f>
        <v>2.9</v>
      </c>
      <c r="AF70" s="64" t="n">
        <f aca="false">VLOOKUP($A70,expiration,2,FALSE())-$B$2</f>
        <v>-7487</v>
      </c>
      <c r="AG70" s="64" t="n">
        <f aca="false">VLOOKUP($A70,expiration,3,FALSE())-$B$2</f>
        <v>-7488</v>
      </c>
      <c r="AH70" s="4" t="n">
        <f aca="false">VLOOKUP($A70,STRADDLE,14,FALSE())</f>
        <v>0.0441629859154538</v>
      </c>
      <c r="AI70" s="72" t="n">
        <f aca="false">A71-A70</f>
        <v>30</v>
      </c>
      <c r="AJ70" s="76"/>
      <c r="AK70" s="76"/>
      <c r="AL70" s="76"/>
      <c r="AM70" s="76"/>
      <c r="AN70" s="73" t="n">
        <f aca="false">IF($A70&gt;=AO$25,IF($A70&lt;=AO$26,$AI70,0),0)</f>
        <v>0</v>
      </c>
      <c r="AO70" s="196" t="e">
        <f aca="false">AQ70/AN70</f>
        <v>#DIV/0!</v>
      </c>
      <c r="AP70" s="1" t="n">
        <f aca="false">AN70*($B70+B$13)</f>
        <v>0</v>
      </c>
      <c r="AQ70" s="47" t="n">
        <f aca="false">IF(ISNUMBER(((AP70/AN70)+B$14+$D70)*AN70),((AP70/AN70)+B$14+$D70)*AN70,0)</f>
        <v>0</v>
      </c>
      <c r="AR70" s="76" t="n">
        <f aca="false">IF(AN70=0,0,bsd(1,AS$27,AO70,$I70,$F70,$G70,$AH70,0.1))</f>
        <v>0</v>
      </c>
      <c r="AS70" s="76" t="n">
        <f aca="false">IF(AN70=0,0,bsd(2,AS$27,AO70,$I70,$F70,$G70,$AH70,0.1))</f>
        <v>0</v>
      </c>
      <c r="AT70" s="76" t="n">
        <f aca="false">IF(AN70=0,0,bsd(AS$28,AS$27,AO70,$I70,$F70,$G70,$AH70,0.1))</f>
        <v>0</v>
      </c>
      <c r="AU70" s="37" t="n">
        <f aca="false">AN70*AR70</f>
        <v>0</v>
      </c>
      <c r="AV70" s="37" t="n">
        <f aca="false">AN70*AS70</f>
        <v>0</v>
      </c>
      <c r="AW70" s="37" t="n">
        <f aca="false">AN70*AT70</f>
        <v>0</v>
      </c>
      <c r="AY70" s="73" t="n">
        <f aca="false">IF($A70&gt;=AZ$25,IF($A70&lt;=AZ$26,$AI70,0),0)</f>
        <v>0</v>
      </c>
      <c r="AZ70" s="196" t="e">
        <f aca="false">BB70/AY70</f>
        <v>#DIV/0!</v>
      </c>
      <c r="BA70" s="1" t="n">
        <f aca="false">AY70*($B70+D$13)</f>
        <v>0</v>
      </c>
      <c r="BB70" s="47" t="n">
        <f aca="false">IF(ISNUMBER(((BA70/AY70)+D$14+$K70)*AY70),((BA70/AY70)+D$14+$K70)*AY70,0)</f>
        <v>0</v>
      </c>
      <c r="BC70" s="76" t="n">
        <f aca="false">IF(AY70=0,0,bsd(1,BD$27,AZ70,$P70,$M70,$N70,$AH70,0.1))</f>
        <v>0</v>
      </c>
      <c r="BD70" s="76" t="n">
        <f aca="false">IF(AY70=0,0,bsd(2,BD$27,AZ70,$P70,$M70,$N70,$AH70,0.1))</f>
        <v>0</v>
      </c>
      <c r="BE70" s="76" t="n">
        <f aca="false">IF(AY70=0,0,bsd(BD$28,BD$27,AZ70,$P70,$M70,$N70,$AH70,0.1))</f>
        <v>0</v>
      </c>
      <c r="BF70" s="37" t="n">
        <f aca="false">AY70*BC70</f>
        <v>0</v>
      </c>
      <c r="BG70" s="37" t="n">
        <f aca="false">AY70*BD70</f>
        <v>0</v>
      </c>
      <c r="BH70" s="37" t="n">
        <f aca="false">AY70*BE70</f>
        <v>0</v>
      </c>
      <c r="BJ70" s="73" t="n">
        <f aca="false">IF($A70&gt;=BK$25,IF($A70&lt;=BK$26,$AI70,0),0)</f>
        <v>0</v>
      </c>
      <c r="BK70" s="196" t="e">
        <f aca="false">BM70/BJ70</f>
        <v>#DIV/0!</v>
      </c>
      <c r="BL70" s="1" t="n">
        <f aca="false">BJ70*($B70+F$13)</f>
        <v>0</v>
      </c>
      <c r="BM70" s="47" t="n">
        <f aca="false">IF(ISNUMBER(((BL70/BJ70)+F$14+$R70)*BJ70),((BL70/BJ70)+F$14+$R70)*BJ70,0)</f>
        <v>0</v>
      </c>
      <c r="BN70" s="76" t="n">
        <f aca="false">IF(BJ70=0,0,bsd(1,BO$27,BK70,$W70,$T70,$U70,$AH70,0.1))</f>
        <v>0</v>
      </c>
      <c r="BO70" s="76" t="n">
        <f aca="false">IF(BJ70=0,0,bsd(2,BO$27,BK70,$W70,$T70,$U70,$AH70,0.1))</f>
        <v>0</v>
      </c>
      <c r="BP70" s="76" t="n">
        <f aca="false">IF(BJ70=0,0,bsd(BO$28,BO$27,BK70,$W70,$T70,$U70,$AH70,0.1))</f>
        <v>0</v>
      </c>
      <c r="BQ70" s="37" t="n">
        <f aca="false">BJ70*BN70</f>
        <v>0</v>
      </c>
      <c r="BR70" s="37" t="n">
        <f aca="false">BJ70*BO70</f>
        <v>0</v>
      </c>
      <c r="BS70" s="37" t="n">
        <f aca="false">BJ70*BP70</f>
        <v>0</v>
      </c>
      <c r="BU70" s="73" t="n">
        <f aca="false">IF($A70&gt;=BV$25,IF($A70&lt;=BV$26,$AI70,0),0)</f>
        <v>0</v>
      </c>
      <c r="BV70" s="196" t="e">
        <f aca="false">BX70/BU70</f>
        <v>#DIV/0!</v>
      </c>
      <c r="BW70" s="1" t="n">
        <f aca="false">BU70*($B70+H$13)</f>
        <v>0</v>
      </c>
      <c r="BX70" s="47" t="n">
        <f aca="false">IF(ISNUMBER(((BW70/BU70)+H$14+$Y70)*BU70),((BW70/BU70)+H$14+$Y70)*BU70,0)</f>
        <v>0</v>
      </c>
      <c r="BY70" s="76" t="n">
        <f aca="false">IF(BU70=0,0,bsd(1,BZ$27,BV70,$AD70,$AA70,$AB70,$AH70,0.1))</f>
        <v>0</v>
      </c>
      <c r="BZ70" s="76" t="n">
        <f aca="false">IF(BU70=0,0,bsd(2,BZ$27,BV70,$AD70,$AA70,$AB70,$AH70,0.1))</f>
        <v>0</v>
      </c>
      <c r="CA70" s="76" t="n">
        <f aca="false">IF(BU70=0,0,bsd(BZ$28,BZ$27,BV70,$AD70,$AA70,$AB70,$AH70,0.1))</f>
        <v>0</v>
      </c>
      <c r="CB70" s="37" t="n">
        <f aca="false">BU70*BY70</f>
        <v>0</v>
      </c>
      <c r="CC70" s="37" t="n">
        <f aca="false">BU70*BZ70</f>
        <v>0</v>
      </c>
      <c r="CD70" s="37" t="n">
        <f aca="false">BU70*CA70</f>
        <v>0</v>
      </c>
    </row>
    <row r="71" customFormat="false" ht="12.75" hidden="false" customHeight="false" outlineLevel="0" collapsed="false">
      <c r="A71" s="62" t="n">
        <f aca="false">DATE(YEAR(A70),MONTH(A70)+1,1)</f>
        <v>38473</v>
      </c>
      <c r="B71" s="63" t="n">
        <f aca="false">VLOOKUP(A71,STRADDLE,5,FALSE())</f>
        <v>3.25</v>
      </c>
      <c r="C71" s="4" t="n">
        <f aca="false">VLOOKUP(A71,STRADDLE,8,FALSE())</f>
        <v>0.285</v>
      </c>
      <c r="D71" s="63" t="n">
        <f aca="false">IF(D$28="nymex",0,VLOOKUP($A71,curvesettle,HLOOKUP(D$28,curvesettle,2,FALSE())))</f>
        <v>-0.0725</v>
      </c>
      <c r="E71" s="65" t="n">
        <f aca="false">IF(ISNUMBER(VLOOKUP($A71,VOLCURVES,HLOOKUP(D$28,VOLCURVES,2,FALSE()),FALSE())),VLOOKUP($A71,VOLCURVES,HLOOKUP(D$28,VOLCURVES,2,FALSE()),FALSE()),1)</f>
        <v>1</v>
      </c>
      <c r="F71" s="64" t="n">
        <f aca="false">IF(D$28="NYMEX",$AG71,$AF71)</f>
        <v>-7458</v>
      </c>
      <c r="G71" s="4" t="e">
        <f aca="false">(($C71+H71)*$E71)+B$15</f>
        <v>#DIV/0!</v>
      </c>
      <c r="H71" s="4" t="e">
        <f aca="false">IF(B$16=1,xCalcSkew(A71,I71-AO71,b)/100,0)</f>
        <v>#DIV/0!</v>
      </c>
      <c r="I71" s="66" t="n">
        <f aca="false">IF($B$19=4,$AO71,$B$18)</f>
        <v>5</v>
      </c>
      <c r="K71" s="63" t="n">
        <f aca="false">IF(K$28="nymex",0,VLOOKUP($A71,curvesettle,HLOOKUP(K$28,curvesettle,2,FALSE())))</f>
        <v>-0.0725</v>
      </c>
      <c r="L71" s="65" t="n">
        <f aca="false">IF(ISNUMBER(VLOOKUP($A71,VOLCURVES,HLOOKUP(K$28,VOLCURVES,2,FALSE()),FALSE())),VLOOKUP($A71,VOLCURVES,HLOOKUP(K$28,VOLCURVES,2,FALSE()),FALSE()),1)</f>
        <v>1</v>
      </c>
      <c r="M71" s="64" t="n">
        <f aca="false">IF(K$28="NYMEX",$AG71,$AF71)</f>
        <v>-7458</v>
      </c>
      <c r="N71" s="184" t="e">
        <f aca="false">(($C71+O71)*$L71)+D$15</f>
        <v>#DIV/0!</v>
      </c>
      <c r="O71" s="4" t="e">
        <f aca="false">IF(D$16=1,xCalcSkew($A71,P71-AZ71,b)/100,0)</f>
        <v>#DIV/0!</v>
      </c>
      <c r="P71" s="66" t="n">
        <f aca="false">IF($D$19=4,$AZ71,$D$18)</f>
        <v>3</v>
      </c>
      <c r="R71" s="63" t="n">
        <f aca="false">IF(R$28="nymex",0,VLOOKUP($A71,curvesettle,HLOOKUP(R$28,curvesettle,2,FALSE())))</f>
        <v>-0.42</v>
      </c>
      <c r="S71" s="65" t="n">
        <f aca="false">IF(ISNUMBER(VLOOKUP($A71,VOLCURVES,HLOOKUP(R$28,VOLCURVES,2,FALSE()),FALSE())),VLOOKUP($A71,VOLCURVES,HLOOKUP(R$28,VOLCURVES,2,FALSE()),FALSE()),1)</f>
        <v>1</v>
      </c>
      <c r="T71" s="64" t="n">
        <f aca="false">IF(R$28="NYMEX",$AG71,$AF71)</f>
        <v>-7458</v>
      </c>
      <c r="U71" s="184" t="e">
        <f aca="false">(($C71+V71)*$S71)+F$15</f>
        <v>#DIV/0!</v>
      </c>
      <c r="V71" s="4" t="e">
        <f aca="false">IF(F$16=1,xCalcSkew($A71,W71-BK71,b)/100,0)</f>
        <v>#DIV/0!</v>
      </c>
      <c r="W71" s="66" t="n">
        <f aca="false">IF($F$19=4,$BK71,$F$18)</f>
        <v>2.55</v>
      </c>
      <c r="X71" s="64"/>
      <c r="Y71" s="63" t="n">
        <f aca="false">IF(Y$28="nymex",0,VLOOKUP($A71,curvesettle,HLOOKUP(Y$28,curvesettle,2,FALSE())))</f>
        <v>0</v>
      </c>
      <c r="Z71" s="65" t="n">
        <f aca="false">IF(ISNUMBER(VLOOKUP($A71,VOLCURVES,HLOOKUP(Y$28,VOLCURVES,2,FALSE()),FALSE())),VLOOKUP($A71,VOLCURVES,HLOOKUP(Y$28,VOLCURVES,2,FALSE()),FALSE()),1)</f>
        <v>1</v>
      </c>
      <c r="AA71" s="64" t="n">
        <f aca="false">IF(Y$28="NYMEX",$AG71,$AF71)</f>
        <v>-7459</v>
      </c>
      <c r="AB71" s="4" t="e">
        <f aca="false">(($C71+AC71)*$Z71)+H$15</f>
        <v>#DIV/0!</v>
      </c>
      <c r="AC71" s="4" t="e">
        <f aca="false">IF(H$16=1,xCalcSkew($A71,AD71-BV71,b)/100,0)</f>
        <v>#DIV/0!</v>
      </c>
      <c r="AD71" s="66" t="n">
        <f aca="false">IF($H$19=4,$BV71,$H$18)</f>
        <v>2.9</v>
      </c>
      <c r="AF71" s="64" t="n">
        <f aca="false">VLOOKUP($A71,expiration,2,FALSE())-$B$2</f>
        <v>-7458</v>
      </c>
      <c r="AG71" s="64" t="n">
        <f aca="false">VLOOKUP($A71,expiration,3,FALSE())-$B$2</f>
        <v>-7459</v>
      </c>
      <c r="AH71" s="4" t="n">
        <f aca="false">VLOOKUP($A71,STRADDLE,14,FALSE())</f>
        <v>0.0446087139677753</v>
      </c>
      <c r="AI71" s="72" t="n">
        <f aca="false">A72-A71</f>
        <v>31</v>
      </c>
      <c r="AJ71" s="76"/>
      <c r="AK71" s="76"/>
      <c r="AL71" s="76"/>
      <c r="AM71" s="76"/>
      <c r="AN71" s="73" t="n">
        <f aca="false">IF($A71&gt;=AO$25,IF($A71&lt;=AO$26,$AI71,0),0)</f>
        <v>0</v>
      </c>
      <c r="AO71" s="196" t="e">
        <f aca="false">AQ71/AN71</f>
        <v>#DIV/0!</v>
      </c>
      <c r="AP71" s="1" t="n">
        <f aca="false">AN71*($B71+B$13)</f>
        <v>0</v>
      </c>
      <c r="AQ71" s="47" t="n">
        <f aca="false">IF(ISNUMBER(((AP71/AN71)+B$14+$D71)*AN71),((AP71/AN71)+B$14+$D71)*AN71,0)</f>
        <v>0</v>
      </c>
      <c r="AR71" s="76" t="n">
        <f aca="false">IF(AN71=0,0,bsd(1,AS$27,AO71,$I71,$F71,$G71,$AH71,0.1))</f>
        <v>0</v>
      </c>
      <c r="AS71" s="76" t="n">
        <f aca="false">IF(AN71=0,0,bsd(2,AS$27,AO71,$I71,$F71,$G71,$AH71,0.1))</f>
        <v>0</v>
      </c>
      <c r="AT71" s="76" t="n">
        <f aca="false">IF(AN71=0,0,bsd(AS$28,AS$27,AO71,$I71,$F71,$G71,$AH71,0.1))</f>
        <v>0</v>
      </c>
      <c r="AU71" s="37" t="n">
        <f aca="false">AN71*AR71</f>
        <v>0</v>
      </c>
      <c r="AV71" s="37" t="n">
        <f aca="false">AN71*AS71</f>
        <v>0</v>
      </c>
      <c r="AW71" s="37" t="n">
        <f aca="false">AN71*AT71</f>
        <v>0</v>
      </c>
      <c r="AY71" s="73" t="n">
        <f aca="false">IF($A71&gt;=AZ$25,IF($A71&lt;=AZ$26,$AI71,0),0)</f>
        <v>0</v>
      </c>
      <c r="AZ71" s="196" t="e">
        <f aca="false">BB71/AY71</f>
        <v>#DIV/0!</v>
      </c>
      <c r="BA71" s="1" t="n">
        <f aca="false">AY71*($B71+D$13)</f>
        <v>0</v>
      </c>
      <c r="BB71" s="47" t="n">
        <f aca="false">IF(ISNUMBER(((BA71/AY71)+D$14+$K71)*AY71),((BA71/AY71)+D$14+$K71)*AY71,0)</f>
        <v>0</v>
      </c>
      <c r="BC71" s="76" t="n">
        <f aca="false">IF(AY71=0,0,bsd(1,BD$27,AZ71,$P71,$M71,$N71,$AH71,0.1))</f>
        <v>0</v>
      </c>
      <c r="BD71" s="76" t="n">
        <f aca="false">IF(AY71=0,0,bsd(2,BD$27,AZ71,$P71,$M71,$N71,$AH71,0.1))</f>
        <v>0</v>
      </c>
      <c r="BE71" s="76" t="n">
        <f aca="false">IF(AY71=0,0,bsd(BD$28,BD$27,AZ71,$P71,$M71,$N71,$AH71,0.1))</f>
        <v>0</v>
      </c>
      <c r="BF71" s="37" t="n">
        <f aca="false">AY71*BC71</f>
        <v>0</v>
      </c>
      <c r="BG71" s="37" t="n">
        <f aca="false">AY71*BD71</f>
        <v>0</v>
      </c>
      <c r="BH71" s="37" t="n">
        <f aca="false">AY71*BE71</f>
        <v>0</v>
      </c>
      <c r="BJ71" s="73" t="n">
        <f aca="false">IF($A71&gt;=BK$25,IF($A71&lt;=BK$26,$AI71,0),0)</f>
        <v>0</v>
      </c>
      <c r="BK71" s="196" t="e">
        <f aca="false">BM71/BJ71</f>
        <v>#DIV/0!</v>
      </c>
      <c r="BL71" s="1" t="n">
        <f aca="false">BJ71*($B71+F$13)</f>
        <v>0</v>
      </c>
      <c r="BM71" s="47" t="n">
        <f aca="false">IF(ISNUMBER(((BL71/BJ71)+F$14+$R71)*BJ71),((BL71/BJ71)+F$14+$R71)*BJ71,0)</f>
        <v>0</v>
      </c>
      <c r="BN71" s="76" t="n">
        <f aca="false">IF(BJ71=0,0,bsd(1,BO$27,BK71,$W71,$T71,$U71,$AH71,0.1))</f>
        <v>0</v>
      </c>
      <c r="BO71" s="76" t="n">
        <f aca="false">IF(BJ71=0,0,bsd(2,BO$27,BK71,$W71,$T71,$U71,$AH71,0.1))</f>
        <v>0</v>
      </c>
      <c r="BP71" s="76" t="n">
        <f aca="false">IF(BJ71=0,0,bsd(BO$28,BO$27,BK71,$W71,$T71,$U71,$AH71,0.1))</f>
        <v>0</v>
      </c>
      <c r="BQ71" s="37" t="n">
        <f aca="false">BJ71*BN71</f>
        <v>0</v>
      </c>
      <c r="BR71" s="37" t="n">
        <f aca="false">BJ71*BO71</f>
        <v>0</v>
      </c>
      <c r="BS71" s="37" t="n">
        <f aca="false">BJ71*BP71</f>
        <v>0</v>
      </c>
      <c r="BU71" s="73" t="n">
        <f aca="false">IF($A71&gt;=BV$25,IF($A71&lt;=BV$26,$AI71,0),0)</f>
        <v>0</v>
      </c>
      <c r="BV71" s="196" t="e">
        <f aca="false">BX71/BU71</f>
        <v>#DIV/0!</v>
      </c>
      <c r="BW71" s="1" t="n">
        <f aca="false">BU71*($B71+H$13)</f>
        <v>0</v>
      </c>
      <c r="BX71" s="47" t="n">
        <f aca="false">IF(ISNUMBER(((BW71/BU71)+H$14+$Y71)*BU71),((BW71/BU71)+H$14+$Y71)*BU71,0)</f>
        <v>0</v>
      </c>
      <c r="BY71" s="76" t="n">
        <f aca="false">IF(BU71=0,0,bsd(1,BZ$27,BV71,$AD71,$AA71,$AB71,$AH71,0.1))</f>
        <v>0</v>
      </c>
      <c r="BZ71" s="76" t="n">
        <f aca="false">IF(BU71=0,0,bsd(2,BZ$27,BV71,$AD71,$AA71,$AB71,$AH71,0.1))</f>
        <v>0</v>
      </c>
      <c r="CA71" s="76" t="n">
        <f aca="false">IF(BU71=0,0,bsd(BZ$28,BZ$27,BV71,$AD71,$AA71,$AB71,$AH71,0.1))</f>
        <v>0</v>
      </c>
      <c r="CB71" s="37" t="n">
        <f aca="false">BU71*BY71</f>
        <v>0</v>
      </c>
      <c r="CC71" s="37" t="n">
        <f aca="false">BU71*BZ71</f>
        <v>0</v>
      </c>
      <c r="CD71" s="37" t="n">
        <f aca="false">BU71*CA71</f>
        <v>0</v>
      </c>
    </row>
    <row r="72" customFormat="false" ht="12.75" hidden="false" customHeight="false" outlineLevel="0" collapsed="false">
      <c r="A72" s="62" t="n">
        <f aca="false">DATE(YEAR(A71),MONTH(A71)+1,1)</f>
        <v>38504</v>
      </c>
      <c r="B72" s="63" t="n">
        <f aca="false">VLOOKUP(A72,STRADDLE,5,FALSE())</f>
        <v>3.285</v>
      </c>
      <c r="C72" s="4" t="n">
        <f aca="false">VLOOKUP(A72,STRADDLE,8,FALSE())</f>
        <v>0.285</v>
      </c>
      <c r="D72" s="63" t="n">
        <f aca="false">IF(D$28="nymex",0,VLOOKUP($A72,curvesettle,HLOOKUP(D$28,curvesettle,2,FALSE())))</f>
        <v>-0.0725</v>
      </c>
      <c r="E72" s="65" t="n">
        <f aca="false">IF(ISNUMBER(VLOOKUP($A72,VOLCURVES,HLOOKUP(D$28,VOLCURVES,2,FALSE()),FALSE())),VLOOKUP($A72,VOLCURVES,HLOOKUP(D$28,VOLCURVES,2,FALSE()),FALSE()),1)</f>
        <v>1</v>
      </c>
      <c r="F72" s="64" t="n">
        <f aca="false">IF(D$28="NYMEX",$AG72,$AF72)</f>
        <v>-7429</v>
      </c>
      <c r="G72" s="4" t="e">
        <f aca="false">(($C72+H72)*$E72)+B$15</f>
        <v>#DIV/0!</v>
      </c>
      <c r="H72" s="4" t="e">
        <f aca="false">IF(B$16=1,xCalcSkew(A72,I72-AO72,b)/100,0)</f>
        <v>#DIV/0!</v>
      </c>
      <c r="I72" s="66" t="n">
        <f aca="false">IF($B$19=4,$AO72,$B$18)</f>
        <v>5</v>
      </c>
      <c r="K72" s="63" t="n">
        <f aca="false">IF(K$28="nymex",0,VLOOKUP($A72,curvesettle,HLOOKUP(K$28,curvesettle,2,FALSE())))</f>
        <v>-0.0725</v>
      </c>
      <c r="L72" s="65" t="n">
        <f aca="false">IF(ISNUMBER(VLOOKUP($A72,VOLCURVES,HLOOKUP(K$28,VOLCURVES,2,FALSE()),FALSE())),VLOOKUP($A72,VOLCURVES,HLOOKUP(K$28,VOLCURVES,2,FALSE()),FALSE()),1)</f>
        <v>1</v>
      </c>
      <c r="M72" s="64" t="n">
        <f aca="false">IF(K$28="NYMEX",$AG72,$AF72)</f>
        <v>-7429</v>
      </c>
      <c r="N72" s="184" t="e">
        <f aca="false">(($C72+O72)*$L72)+D$15</f>
        <v>#DIV/0!</v>
      </c>
      <c r="O72" s="4" t="e">
        <f aca="false">IF(D$16=1,xCalcSkew($A72,P72-AZ72,b)/100,0)</f>
        <v>#DIV/0!</v>
      </c>
      <c r="P72" s="66" t="n">
        <f aca="false">IF($D$19=4,$AZ72,$D$18)</f>
        <v>3</v>
      </c>
      <c r="R72" s="63" t="n">
        <f aca="false">IF(R$28="nymex",0,VLOOKUP($A72,curvesettle,HLOOKUP(R$28,curvesettle,2,FALSE())))</f>
        <v>-0.42</v>
      </c>
      <c r="S72" s="65" t="n">
        <f aca="false">IF(ISNUMBER(VLOOKUP($A72,VOLCURVES,HLOOKUP(R$28,VOLCURVES,2,FALSE()),FALSE())),VLOOKUP($A72,VOLCURVES,HLOOKUP(R$28,VOLCURVES,2,FALSE()),FALSE()),1)</f>
        <v>1</v>
      </c>
      <c r="T72" s="64" t="n">
        <f aca="false">IF(R$28="NYMEX",$AG72,$AF72)</f>
        <v>-7429</v>
      </c>
      <c r="U72" s="184" t="e">
        <f aca="false">(($C72+V72)*$S72)+F$15</f>
        <v>#DIV/0!</v>
      </c>
      <c r="V72" s="4" t="e">
        <f aca="false">IF(F$16=1,xCalcSkew($A72,W72-BK72,b)/100,0)</f>
        <v>#DIV/0!</v>
      </c>
      <c r="W72" s="66" t="n">
        <f aca="false">IF($F$19=4,$BK72,$F$18)</f>
        <v>2.55</v>
      </c>
      <c r="X72" s="64"/>
      <c r="Y72" s="63" t="n">
        <f aca="false">IF(Y$28="nymex",0,VLOOKUP($A72,curvesettle,HLOOKUP(Y$28,curvesettle,2,FALSE())))</f>
        <v>0</v>
      </c>
      <c r="Z72" s="65" t="n">
        <f aca="false">IF(ISNUMBER(VLOOKUP($A72,VOLCURVES,HLOOKUP(Y$28,VOLCURVES,2,FALSE()),FALSE())),VLOOKUP($A72,VOLCURVES,HLOOKUP(Y$28,VOLCURVES,2,FALSE()),FALSE()),1)</f>
        <v>1</v>
      </c>
      <c r="AA72" s="64" t="n">
        <f aca="false">IF(Y$28="NYMEX",$AG72,$AF72)</f>
        <v>-7430</v>
      </c>
      <c r="AB72" s="4" t="e">
        <f aca="false">(($C72+AC72)*$Z72)+H$15</f>
        <v>#DIV/0!</v>
      </c>
      <c r="AC72" s="4" t="e">
        <f aca="false">IF(H$16=1,xCalcSkew($A72,AD72-BV72,b)/100,0)</f>
        <v>#DIV/0!</v>
      </c>
      <c r="AD72" s="66" t="n">
        <f aca="false">IF($H$19=4,$BV72,$H$18)</f>
        <v>2.9</v>
      </c>
      <c r="AF72" s="64" t="n">
        <f aca="false">VLOOKUP($A72,expiration,2,FALSE())-$B$2</f>
        <v>-7429</v>
      </c>
      <c r="AG72" s="64" t="n">
        <f aca="false">VLOOKUP($A72,expiration,3,FALSE())-$B$2</f>
        <v>-7430</v>
      </c>
      <c r="AH72" s="4" t="n">
        <f aca="false">VLOOKUP($A72,STRADDLE,14,FALSE())</f>
        <v>0.0450692996917126</v>
      </c>
      <c r="AI72" s="72" t="n">
        <f aca="false">A73-A72</f>
        <v>30</v>
      </c>
      <c r="AJ72" s="76"/>
      <c r="AK72" s="76"/>
      <c r="AL72" s="76"/>
      <c r="AM72" s="76"/>
      <c r="AN72" s="73" t="n">
        <f aca="false">IF($A72&gt;=AO$25,IF($A72&lt;=AO$26,$AI72,0),0)</f>
        <v>0</v>
      </c>
      <c r="AO72" s="196" t="e">
        <f aca="false">AQ72/AN72</f>
        <v>#DIV/0!</v>
      </c>
      <c r="AP72" s="1" t="n">
        <f aca="false">AN72*($B72+B$13)</f>
        <v>0</v>
      </c>
      <c r="AQ72" s="47" t="n">
        <f aca="false">IF(ISNUMBER(((AP72/AN72)+B$14+$D72)*AN72),((AP72/AN72)+B$14+$D72)*AN72,0)</f>
        <v>0</v>
      </c>
      <c r="AR72" s="76" t="n">
        <f aca="false">IF(AN72=0,0,bsd(1,AS$27,AO72,$I72,$F72,$G72,$AH72,0.1))</f>
        <v>0</v>
      </c>
      <c r="AS72" s="76" t="n">
        <f aca="false">IF(AN72=0,0,bsd(2,AS$27,AO72,$I72,$F72,$G72,$AH72,0.1))</f>
        <v>0</v>
      </c>
      <c r="AT72" s="76" t="n">
        <f aca="false">IF(AN72=0,0,bsd(AS$28,AS$27,AO72,$I72,$F72,$G72,$AH72,0.1))</f>
        <v>0</v>
      </c>
      <c r="AU72" s="37" t="n">
        <f aca="false">AN72*AR72</f>
        <v>0</v>
      </c>
      <c r="AV72" s="37" t="n">
        <f aca="false">AN72*AS72</f>
        <v>0</v>
      </c>
      <c r="AW72" s="37" t="n">
        <f aca="false">AN72*AT72</f>
        <v>0</v>
      </c>
      <c r="AY72" s="73" t="n">
        <f aca="false">IF($A72&gt;=AZ$25,IF($A72&lt;=AZ$26,$AI72,0),0)</f>
        <v>0</v>
      </c>
      <c r="AZ72" s="196" t="e">
        <f aca="false">BB72/AY72</f>
        <v>#DIV/0!</v>
      </c>
      <c r="BA72" s="1" t="n">
        <f aca="false">AY72*($B72+D$13)</f>
        <v>0</v>
      </c>
      <c r="BB72" s="47" t="n">
        <f aca="false">IF(ISNUMBER(((BA72/AY72)+D$14+$K72)*AY72),((BA72/AY72)+D$14+$K72)*AY72,0)</f>
        <v>0</v>
      </c>
      <c r="BC72" s="76" t="n">
        <f aca="false">IF(AY72=0,0,bsd(1,BD$27,AZ72,$P72,$M72,$N72,$AH72,0.1))</f>
        <v>0</v>
      </c>
      <c r="BD72" s="76" t="n">
        <f aca="false">IF(AY72=0,0,bsd(2,BD$27,AZ72,$P72,$M72,$N72,$AH72,0.1))</f>
        <v>0</v>
      </c>
      <c r="BE72" s="76" t="n">
        <f aca="false">IF(AY72=0,0,bsd(BD$28,BD$27,AZ72,$P72,$M72,$N72,$AH72,0.1))</f>
        <v>0</v>
      </c>
      <c r="BF72" s="37" t="n">
        <f aca="false">AY72*BC72</f>
        <v>0</v>
      </c>
      <c r="BG72" s="37" t="n">
        <f aca="false">AY72*BD72</f>
        <v>0</v>
      </c>
      <c r="BH72" s="37" t="n">
        <f aca="false">AY72*BE72</f>
        <v>0</v>
      </c>
      <c r="BJ72" s="73" t="n">
        <f aca="false">IF($A72&gt;=BK$25,IF($A72&lt;=BK$26,$AI72,0),0)</f>
        <v>0</v>
      </c>
      <c r="BK72" s="196" t="e">
        <f aca="false">BM72/BJ72</f>
        <v>#DIV/0!</v>
      </c>
      <c r="BL72" s="1" t="n">
        <f aca="false">BJ72*($B72+F$13)</f>
        <v>0</v>
      </c>
      <c r="BM72" s="47" t="n">
        <f aca="false">IF(ISNUMBER(((BL72/BJ72)+F$14+$R72)*BJ72),((BL72/BJ72)+F$14+$R72)*BJ72,0)</f>
        <v>0</v>
      </c>
      <c r="BN72" s="76" t="n">
        <f aca="false">IF(BJ72=0,0,bsd(1,BO$27,BK72,$W72,$T72,$U72,$AH72,0.1))</f>
        <v>0</v>
      </c>
      <c r="BO72" s="76" t="n">
        <f aca="false">IF(BJ72=0,0,bsd(2,BO$27,BK72,$W72,$T72,$U72,$AH72,0.1))</f>
        <v>0</v>
      </c>
      <c r="BP72" s="76" t="n">
        <f aca="false">IF(BJ72=0,0,bsd(BO$28,BO$27,BK72,$W72,$T72,$U72,$AH72,0.1))</f>
        <v>0</v>
      </c>
      <c r="BQ72" s="37" t="n">
        <f aca="false">BJ72*BN72</f>
        <v>0</v>
      </c>
      <c r="BR72" s="37" t="n">
        <f aca="false">BJ72*BO72</f>
        <v>0</v>
      </c>
      <c r="BS72" s="37" t="n">
        <f aca="false">BJ72*BP72</f>
        <v>0</v>
      </c>
      <c r="BU72" s="73" t="n">
        <f aca="false">IF($A72&gt;=BV$25,IF($A72&lt;=BV$26,$AI72,0),0)</f>
        <v>0</v>
      </c>
      <c r="BV72" s="196" t="e">
        <f aca="false">BX72/BU72</f>
        <v>#DIV/0!</v>
      </c>
      <c r="BW72" s="1" t="n">
        <f aca="false">BU72*($B72+H$13)</f>
        <v>0</v>
      </c>
      <c r="BX72" s="47" t="n">
        <f aca="false">IF(ISNUMBER(((BW72/BU72)+H$14+$Y72)*BU72),((BW72/BU72)+H$14+$Y72)*BU72,0)</f>
        <v>0</v>
      </c>
      <c r="BY72" s="76" t="n">
        <f aca="false">IF(BU72=0,0,bsd(1,BZ$27,BV72,$AD72,$AA72,$AB72,$AH72,0.1))</f>
        <v>0</v>
      </c>
      <c r="BZ72" s="76" t="n">
        <f aca="false">IF(BU72=0,0,bsd(2,BZ$27,BV72,$AD72,$AA72,$AB72,$AH72,0.1))</f>
        <v>0</v>
      </c>
      <c r="CA72" s="76" t="n">
        <f aca="false">IF(BU72=0,0,bsd(BZ$28,BZ$27,BV72,$AD72,$AA72,$AB72,$AH72,0.1))</f>
        <v>0</v>
      </c>
      <c r="CB72" s="37" t="n">
        <f aca="false">BU72*BY72</f>
        <v>0</v>
      </c>
      <c r="CC72" s="37" t="n">
        <f aca="false">BU72*BZ72</f>
        <v>0</v>
      </c>
      <c r="CD72" s="37" t="n">
        <f aca="false">BU72*CA72</f>
        <v>0</v>
      </c>
    </row>
    <row r="73" customFormat="false" ht="12.75" hidden="false" customHeight="false" outlineLevel="0" collapsed="false">
      <c r="A73" s="62" t="n">
        <f aca="false">DATE(YEAR(A72),MONTH(A72)+1,1)</f>
        <v>38534</v>
      </c>
      <c r="B73" s="63" t="n">
        <f aca="false">VLOOKUP(A73,STRADDLE,5,FALSE())</f>
        <v>3.325</v>
      </c>
      <c r="C73" s="4" t="n">
        <f aca="false">VLOOKUP(A73,STRADDLE,8,FALSE())</f>
        <v>0.28</v>
      </c>
      <c r="D73" s="63" t="n">
        <f aca="false">IF(D$28="nymex",0,VLOOKUP($A73,curvesettle,HLOOKUP(D$28,curvesettle,2,FALSE())))</f>
        <v>-0.0725</v>
      </c>
      <c r="E73" s="65" t="n">
        <f aca="false">IF(ISNUMBER(VLOOKUP($A73,VOLCURVES,HLOOKUP(D$28,VOLCURVES,2,FALSE()),FALSE())),VLOOKUP($A73,VOLCURVES,HLOOKUP(D$28,VOLCURVES,2,FALSE()),FALSE()),1)</f>
        <v>1</v>
      </c>
      <c r="F73" s="64" t="n">
        <f aca="false">IF(D$28="NYMEX",$AG73,$AF73)</f>
        <v>-7396</v>
      </c>
      <c r="G73" s="4" t="e">
        <f aca="false">(($C73+H73)*$E73)+B$15</f>
        <v>#DIV/0!</v>
      </c>
      <c r="H73" s="4" t="e">
        <f aca="false">IF(B$16=1,xCalcSkew(A73,I73-AO73,b)/100,0)</f>
        <v>#DIV/0!</v>
      </c>
      <c r="I73" s="66" t="n">
        <f aca="false">IF($B$19=4,$AO73,$B$18)</f>
        <v>5</v>
      </c>
      <c r="K73" s="63" t="n">
        <f aca="false">IF(K$28="nymex",0,VLOOKUP($A73,curvesettle,HLOOKUP(K$28,curvesettle,2,FALSE())))</f>
        <v>-0.0725</v>
      </c>
      <c r="L73" s="65" t="n">
        <f aca="false">IF(ISNUMBER(VLOOKUP($A73,VOLCURVES,HLOOKUP(K$28,VOLCURVES,2,FALSE()),FALSE())),VLOOKUP($A73,VOLCURVES,HLOOKUP(K$28,VOLCURVES,2,FALSE()),FALSE()),1)</f>
        <v>1</v>
      </c>
      <c r="M73" s="64" t="n">
        <f aca="false">IF(K$28="NYMEX",$AG73,$AF73)</f>
        <v>-7396</v>
      </c>
      <c r="N73" s="184" t="e">
        <f aca="false">(($C73+O73)*$L73)+D$15</f>
        <v>#DIV/0!</v>
      </c>
      <c r="O73" s="4" t="e">
        <f aca="false">IF(D$16=1,xCalcSkew($A73,P73-AZ73,b)/100,0)</f>
        <v>#DIV/0!</v>
      </c>
      <c r="P73" s="66" t="n">
        <f aca="false">IF($D$19=4,$AZ73,$D$18)</f>
        <v>3</v>
      </c>
      <c r="R73" s="63" t="n">
        <f aca="false">IF(R$28="nymex",0,VLOOKUP($A73,curvesettle,HLOOKUP(R$28,curvesettle,2,FALSE())))</f>
        <v>-0.42</v>
      </c>
      <c r="S73" s="65" t="n">
        <f aca="false">IF(ISNUMBER(VLOOKUP($A73,VOLCURVES,HLOOKUP(R$28,VOLCURVES,2,FALSE()),FALSE())),VLOOKUP($A73,VOLCURVES,HLOOKUP(R$28,VOLCURVES,2,FALSE()),FALSE()),1)</f>
        <v>1</v>
      </c>
      <c r="T73" s="64" t="n">
        <f aca="false">IF(R$28="NYMEX",$AG73,$AF73)</f>
        <v>-7396</v>
      </c>
      <c r="U73" s="184" t="e">
        <f aca="false">(($C73+V73)*$S73)+F$15</f>
        <v>#DIV/0!</v>
      </c>
      <c r="V73" s="4" t="e">
        <f aca="false">IF(F$16=1,xCalcSkew($A73,W73-BK73,b)/100,0)</f>
        <v>#DIV/0!</v>
      </c>
      <c r="W73" s="66" t="n">
        <f aca="false">IF($F$19=4,$BK73,$F$18)</f>
        <v>2.55</v>
      </c>
      <c r="X73" s="64"/>
      <c r="Y73" s="63" t="n">
        <f aca="false">IF(Y$28="nymex",0,VLOOKUP($A73,curvesettle,HLOOKUP(Y$28,curvesettle,2,FALSE())))</f>
        <v>0</v>
      </c>
      <c r="Z73" s="65" t="n">
        <f aca="false">IF(ISNUMBER(VLOOKUP($A73,VOLCURVES,HLOOKUP(Y$28,VOLCURVES,2,FALSE()),FALSE())),VLOOKUP($A73,VOLCURVES,HLOOKUP(Y$28,VOLCURVES,2,FALSE()),FALSE()),1)</f>
        <v>1</v>
      </c>
      <c r="AA73" s="64" t="n">
        <f aca="false">IF(Y$28="NYMEX",$AG73,$AF73)</f>
        <v>-7397</v>
      </c>
      <c r="AB73" s="4" t="e">
        <f aca="false">(($C73+AC73)*$Z73)+H$15</f>
        <v>#DIV/0!</v>
      </c>
      <c r="AC73" s="4" t="e">
        <f aca="false">IF(H$16=1,xCalcSkew($A73,AD73-BV73,b)/100,0)</f>
        <v>#DIV/0!</v>
      </c>
      <c r="AD73" s="66" t="n">
        <f aca="false">IF($H$19=4,$BV73,$H$18)</f>
        <v>2.9</v>
      </c>
      <c r="AF73" s="64" t="n">
        <f aca="false">VLOOKUP($A73,expiration,2,FALSE())-$B$2</f>
        <v>-7396</v>
      </c>
      <c r="AG73" s="64" t="n">
        <f aca="false">VLOOKUP($A73,expiration,3,FALSE())-$B$2</f>
        <v>-7397</v>
      </c>
      <c r="AH73" s="4" t="n">
        <f aca="false">VLOOKUP($A73,STRADDLE,14,FALSE())</f>
        <v>0.0454931128840683</v>
      </c>
      <c r="AI73" s="72" t="n">
        <f aca="false">A74-A73</f>
        <v>31</v>
      </c>
      <c r="AJ73" s="76"/>
      <c r="AK73" s="76"/>
      <c r="AL73" s="76"/>
      <c r="AM73" s="76"/>
      <c r="AN73" s="73" t="n">
        <f aca="false">IF($A73&gt;=AO$25,IF($A73&lt;=AO$26,$AI73,0),0)</f>
        <v>0</v>
      </c>
      <c r="AO73" s="196" t="e">
        <f aca="false">AQ73/AN73</f>
        <v>#DIV/0!</v>
      </c>
      <c r="AP73" s="1" t="n">
        <f aca="false">AN73*($B73+B$13)</f>
        <v>0</v>
      </c>
      <c r="AQ73" s="47" t="n">
        <f aca="false">IF(ISNUMBER(((AP73/AN73)+B$14+$D73)*AN73),((AP73/AN73)+B$14+$D73)*AN73,0)</f>
        <v>0</v>
      </c>
      <c r="AR73" s="76" t="n">
        <f aca="false">IF(AN73=0,0,bsd(1,AS$27,AO73,$I73,$F73,$G73,$AH73,0.1))</f>
        <v>0</v>
      </c>
      <c r="AS73" s="76" t="n">
        <f aca="false">IF(AN73=0,0,bsd(2,AS$27,AO73,$I73,$F73,$G73,$AH73,0.1))</f>
        <v>0</v>
      </c>
      <c r="AT73" s="76" t="n">
        <f aca="false">IF(AN73=0,0,bsd(AS$28,AS$27,AO73,$I73,$F73,$G73,$AH73,0.1))</f>
        <v>0</v>
      </c>
      <c r="AU73" s="37" t="n">
        <f aca="false">AN73*AR73</f>
        <v>0</v>
      </c>
      <c r="AV73" s="37" t="n">
        <f aca="false">AN73*AS73</f>
        <v>0</v>
      </c>
      <c r="AW73" s="37" t="n">
        <f aca="false">AN73*AT73</f>
        <v>0</v>
      </c>
      <c r="AY73" s="73" t="n">
        <f aca="false">IF($A73&gt;=AZ$25,IF($A73&lt;=AZ$26,$AI73,0),0)</f>
        <v>0</v>
      </c>
      <c r="AZ73" s="196" t="e">
        <f aca="false">BB73/AY73</f>
        <v>#DIV/0!</v>
      </c>
      <c r="BA73" s="1" t="n">
        <f aca="false">AY73*($B73+D$13)</f>
        <v>0</v>
      </c>
      <c r="BB73" s="47" t="n">
        <f aca="false">IF(ISNUMBER(((BA73/AY73)+D$14+$K73)*AY73),((BA73/AY73)+D$14+$K73)*AY73,0)</f>
        <v>0</v>
      </c>
      <c r="BC73" s="76" t="n">
        <f aca="false">IF(AY73=0,0,bsd(1,BD$27,AZ73,$P73,$M73,$N73,$AH73,0.1))</f>
        <v>0</v>
      </c>
      <c r="BD73" s="76" t="n">
        <f aca="false">IF(AY73=0,0,bsd(2,BD$27,AZ73,$P73,$M73,$N73,$AH73,0.1))</f>
        <v>0</v>
      </c>
      <c r="BE73" s="76" t="n">
        <f aca="false">IF(AY73=0,0,bsd(BD$28,BD$27,AZ73,$P73,$M73,$N73,$AH73,0.1))</f>
        <v>0</v>
      </c>
      <c r="BF73" s="37" t="n">
        <f aca="false">AY73*BC73</f>
        <v>0</v>
      </c>
      <c r="BG73" s="37" t="n">
        <f aca="false">AY73*BD73</f>
        <v>0</v>
      </c>
      <c r="BH73" s="37" t="n">
        <f aca="false">AY73*BE73</f>
        <v>0</v>
      </c>
      <c r="BJ73" s="73" t="n">
        <f aca="false">IF($A73&gt;=BK$25,IF($A73&lt;=BK$26,$AI73,0),0)</f>
        <v>0</v>
      </c>
      <c r="BK73" s="196" t="e">
        <f aca="false">BM73/BJ73</f>
        <v>#DIV/0!</v>
      </c>
      <c r="BL73" s="1" t="n">
        <f aca="false">BJ73*($B73+F$13)</f>
        <v>0</v>
      </c>
      <c r="BM73" s="47" t="n">
        <f aca="false">IF(ISNUMBER(((BL73/BJ73)+F$14+$R73)*BJ73),((BL73/BJ73)+F$14+$R73)*BJ73,0)</f>
        <v>0</v>
      </c>
      <c r="BN73" s="76" t="n">
        <f aca="false">IF(BJ73=0,0,bsd(1,BO$27,BK73,$W73,$T73,$U73,$AH73,0.1))</f>
        <v>0</v>
      </c>
      <c r="BO73" s="76" t="n">
        <f aca="false">IF(BJ73=0,0,bsd(2,BO$27,BK73,$W73,$T73,$U73,$AH73,0.1))</f>
        <v>0</v>
      </c>
      <c r="BP73" s="76" t="n">
        <f aca="false">IF(BJ73=0,0,bsd(BO$28,BO$27,BK73,$W73,$T73,$U73,$AH73,0.1))</f>
        <v>0</v>
      </c>
      <c r="BQ73" s="37" t="n">
        <f aca="false">BJ73*BN73</f>
        <v>0</v>
      </c>
      <c r="BR73" s="37" t="n">
        <f aca="false">BJ73*BO73</f>
        <v>0</v>
      </c>
      <c r="BS73" s="37" t="n">
        <f aca="false">BJ73*BP73</f>
        <v>0</v>
      </c>
      <c r="BU73" s="73" t="n">
        <f aca="false">IF($A73&gt;=BV$25,IF($A73&lt;=BV$26,$AI73,0),0)</f>
        <v>0</v>
      </c>
      <c r="BV73" s="196" t="e">
        <f aca="false">BX73/BU73</f>
        <v>#DIV/0!</v>
      </c>
      <c r="BW73" s="1" t="n">
        <f aca="false">BU73*($B73+H$13)</f>
        <v>0</v>
      </c>
      <c r="BX73" s="47" t="n">
        <f aca="false">IF(ISNUMBER(((BW73/BU73)+H$14+$Y73)*BU73),((BW73/BU73)+H$14+$Y73)*BU73,0)</f>
        <v>0</v>
      </c>
      <c r="BY73" s="76" t="n">
        <f aca="false">IF(BU73=0,0,bsd(1,BZ$27,BV73,$AD73,$AA73,$AB73,$AH73,0.1))</f>
        <v>0</v>
      </c>
      <c r="BZ73" s="76" t="n">
        <f aca="false">IF(BU73=0,0,bsd(2,BZ$27,BV73,$AD73,$AA73,$AB73,$AH73,0.1))</f>
        <v>0</v>
      </c>
      <c r="CA73" s="76" t="n">
        <f aca="false">IF(BU73=0,0,bsd(BZ$28,BZ$27,BV73,$AD73,$AA73,$AB73,$AH73,0.1))</f>
        <v>0</v>
      </c>
      <c r="CB73" s="37" t="n">
        <f aca="false">BU73*BY73</f>
        <v>0</v>
      </c>
      <c r="CC73" s="37" t="n">
        <f aca="false">BU73*BZ73</f>
        <v>0</v>
      </c>
      <c r="CD73" s="37" t="n">
        <f aca="false">BU73*CA73</f>
        <v>0</v>
      </c>
    </row>
    <row r="74" customFormat="false" ht="12.75" hidden="false" customHeight="false" outlineLevel="0" collapsed="false">
      <c r="A74" s="62" t="n">
        <f aca="false">DATE(YEAR(A73),MONTH(A73)+1,1)</f>
        <v>38565</v>
      </c>
      <c r="B74" s="63" t="n">
        <f aca="false">VLOOKUP(A74,STRADDLE,5,FALSE())</f>
        <v>3.365</v>
      </c>
      <c r="C74" s="4" t="n">
        <f aca="false">VLOOKUP(A74,STRADDLE,8,FALSE())</f>
        <v>0.28</v>
      </c>
      <c r="D74" s="63" t="n">
        <f aca="false">IF(D$28="nymex",0,VLOOKUP($A74,curvesettle,HLOOKUP(D$28,curvesettle,2,FALSE())))</f>
        <v>-0.0725</v>
      </c>
      <c r="E74" s="65" t="n">
        <f aca="false">IF(ISNUMBER(VLOOKUP($A74,VOLCURVES,HLOOKUP(D$28,VOLCURVES,2,FALSE()),FALSE())),VLOOKUP($A74,VOLCURVES,HLOOKUP(D$28,VOLCURVES,2,FALSE()),FALSE()),1)</f>
        <v>1</v>
      </c>
      <c r="F74" s="64" t="n">
        <f aca="false">IF(D$28="NYMEX",$AG74,$AF74)</f>
        <v>-7367</v>
      </c>
      <c r="G74" s="4" t="e">
        <f aca="false">(($C74+H74)*$E74)+B$15</f>
        <v>#DIV/0!</v>
      </c>
      <c r="H74" s="4" t="e">
        <f aca="false">IF(B$16=1,xCalcSkew(A74,I74-AO74,b)/100,0)</f>
        <v>#DIV/0!</v>
      </c>
      <c r="I74" s="66" t="n">
        <f aca="false">IF($B$19=4,$AO74,$B$18)</f>
        <v>5</v>
      </c>
      <c r="K74" s="63" t="n">
        <f aca="false">IF(K$28="nymex",0,VLOOKUP($A74,curvesettle,HLOOKUP(K$28,curvesettle,2,FALSE())))</f>
        <v>-0.0725</v>
      </c>
      <c r="L74" s="65" t="n">
        <f aca="false">IF(ISNUMBER(VLOOKUP($A74,VOLCURVES,HLOOKUP(K$28,VOLCURVES,2,FALSE()),FALSE())),VLOOKUP($A74,VOLCURVES,HLOOKUP(K$28,VOLCURVES,2,FALSE()),FALSE()),1)</f>
        <v>1</v>
      </c>
      <c r="M74" s="64" t="n">
        <f aca="false">IF(K$28="NYMEX",$AG74,$AF74)</f>
        <v>-7367</v>
      </c>
      <c r="N74" s="184" t="e">
        <f aca="false">(($C74+O74)*$L74)+D$15</f>
        <v>#DIV/0!</v>
      </c>
      <c r="O74" s="4" t="e">
        <f aca="false">IF(D$16=1,xCalcSkew($A74,P74-AZ74,b)/100,0)</f>
        <v>#DIV/0!</v>
      </c>
      <c r="P74" s="66" t="n">
        <f aca="false">IF($D$19=4,$AZ74,$D$18)</f>
        <v>3</v>
      </c>
      <c r="R74" s="63" t="n">
        <f aca="false">IF(R$28="nymex",0,VLOOKUP($A74,curvesettle,HLOOKUP(R$28,curvesettle,2,FALSE())))</f>
        <v>-0.42</v>
      </c>
      <c r="S74" s="65" t="n">
        <f aca="false">IF(ISNUMBER(VLOOKUP($A74,VOLCURVES,HLOOKUP(R$28,VOLCURVES,2,FALSE()),FALSE())),VLOOKUP($A74,VOLCURVES,HLOOKUP(R$28,VOLCURVES,2,FALSE()),FALSE()),1)</f>
        <v>1</v>
      </c>
      <c r="T74" s="64" t="n">
        <f aca="false">IF(R$28="NYMEX",$AG74,$AF74)</f>
        <v>-7367</v>
      </c>
      <c r="U74" s="184" t="e">
        <f aca="false">(($C74+V74)*$S74)+F$15</f>
        <v>#DIV/0!</v>
      </c>
      <c r="V74" s="4" t="e">
        <f aca="false">IF(F$16=1,xCalcSkew($A74,W74-BK74,b)/100,0)</f>
        <v>#DIV/0!</v>
      </c>
      <c r="W74" s="66" t="n">
        <f aca="false">IF($F$19=4,$BK74,$F$18)</f>
        <v>2.55</v>
      </c>
      <c r="X74" s="64"/>
      <c r="Y74" s="63" t="n">
        <f aca="false">IF(Y$28="nymex",0,VLOOKUP($A74,curvesettle,HLOOKUP(Y$28,curvesettle,2,FALSE())))</f>
        <v>0</v>
      </c>
      <c r="Z74" s="65" t="n">
        <f aca="false">IF(ISNUMBER(VLOOKUP($A74,VOLCURVES,HLOOKUP(Y$28,VOLCURVES,2,FALSE()),FALSE())),VLOOKUP($A74,VOLCURVES,HLOOKUP(Y$28,VOLCURVES,2,FALSE()),FALSE()),1)</f>
        <v>1</v>
      </c>
      <c r="AA74" s="64" t="n">
        <f aca="false">IF(Y$28="NYMEX",$AG74,$AF74)</f>
        <v>-7368</v>
      </c>
      <c r="AB74" s="4" t="e">
        <f aca="false">(($C74+AC74)*$Z74)+H$15</f>
        <v>#DIV/0!</v>
      </c>
      <c r="AC74" s="4" t="e">
        <f aca="false">IF(H$16=1,xCalcSkew($A74,AD74-BV74,b)/100,0)</f>
        <v>#DIV/0!</v>
      </c>
      <c r="AD74" s="66" t="n">
        <f aca="false">IF($H$19=4,$BV74,$H$18)</f>
        <v>2.9</v>
      </c>
      <c r="AF74" s="64" t="n">
        <f aca="false">VLOOKUP($A74,expiration,2,FALSE())-$B$2</f>
        <v>-7367</v>
      </c>
      <c r="AG74" s="64" t="n">
        <f aca="false">VLOOKUP($A74,expiration,3,FALSE())-$B$2</f>
        <v>-7368</v>
      </c>
      <c r="AH74" s="4" t="n">
        <f aca="false">VLOOKUP($A74,STRADDLE,14,FALSE())</f>
        <v>0.045909969215757</v>
      </c>
      <c r="AI74" s="72" t="n">
        <f aca="false">A75-A74</f>
        <v>31</v>
      </c>
      <c r="AJ74" s="76"/>
      <c r="AK74" s="76"/>
      <c r="AL74" s="76"/>
      <c r="AM74" s="76"/>
      <c r="AN74" s="73" t="n">
        <f aca="false">IF($A74&gt;=AO$25,IF($A74&lt;=AO$26,$AI74,0),0)</f>
        <v>0</v>
      </c>
      <c r="AO74" s="196" t="e">
        <f aca="false">AQ74/AN74</f>
        <v>#DIV/0!</v>
      </c>
      <c r="AP74" s="1" t="n">
        <f aca="false">AN74*($B74+B$13)</f>
        <v>0</v>
      </c>
      <c r="AQ74" s="47" t="n">
        <f aca="false">IF(ISNUMBER(((AP74/AN74)+B$14+$D74)*AN74),((AP74/AN74)+B$14+$D74)*AN74,0)</f>
        <v>0</v>
      </c>
      <c r="AR74" s="76" t="n">
        <f aca="false">IF(AN74=0,0,bsd(1,AS$27,AO74,$I74,$F74,$G74,$AH74,0.1))</f>
        <v>0</v>
      </c>
      <c r="AS74" s="76" t="n">
        <f aca="false">IF(AN74=0,0,bsd(2,AS$27,AO74,$I74,$F74,$G74,$AH74,0.1))</f>
        <v>0</v>
      </c>
      <c r="AT74" s="76" t="n">
        <f aca="false">IF(AN74=0,0,bsd(AS$28,AS$27,AO74,$I74,$F74,$G74,$AH74,0.1))</f>
        <v>0</v>
      </c>
      <c r="AU74" s="37" t="n">
        <f aca="false">AN74*AR74</f>
        <v>0</v>
      </c>
      <c r="AV74" s="37" t="n">
        <f aca="false">AN74*AS74</f>
        <v>0</v>
      </c>
      <c r="AW74" s="37" t="n">
        <f aca="false">AN74*AT74</f>
        <v>0</v>
      </c>
      <c r="AY74" s="73" t="n">
        <f aca="false">IF($A74&gt;=AZ$25,IF($A74&lt;=AZ$26,$AI74,0),0)</f>
        <v>0</v>
      </c>
      <c r="AZ74" s="196" t="e">
        <f aca="false">BB74/AY74</f>
        <v>#DIV/0!</v>
      </c>
      <c r="BA74" s="1" t="n">
        <f aca="false">AY74*($B74+D$13)</f>
        <v>0</v>
      </c>
      <c r="BB74" s="47" t="n">
        <f aca="false">IF(ISNUMBER(((BA74/AY74)+D$14+$K74)*AY74),((BA74/AY74)+D$14+$K74)*AY74,0)</f>
        <v>0</v>
      </c>
      <c r="BC74" s="76" t="n">
        <f aca="false">IF(AY74=0,0,bsd(1,BD$27,AZ74,$P74,$M74,$N74,$AH74,0.1))</f>
        <v>0</v>
      </c>
      <c r="BD74" s="76" t="n">
        <f aca="false">IF(AY74=0,0,bsd(2,BD$27,AZ74,$P74,$M74,$N74,$AH74,0.1))</f>
        <v>0</v>
      </c>
      <c r="BE74" s="76" t="n">
        <f aca="false">IF(AY74=0,0,bsd(BD$28,BD$27,AZ74,$P74,$M74,$N74,$AH74,0.1))</f>
        <v>0</v>
      </c>
      <c r="BF74" s="37" t="n">
        <f aca="false">AY74*BC74</f>
        <v>0</v>
      </c>
      <c r="BG74" s="37" t="n">
        <f aca="false">AY74*BD74</f>
        <v>0</v>
      </c>
      <c r="BH74" s="37" t="n">
        <f aca="false">AY74*BE74</f>
        <v>0</v>
      </c>
      <c r="BJ74" s="73" t="n">
        <f aca="false">IF($A74&gt;=BK$25,IF($A74&lt;=BK$26,$AI74,0),0)</f>
        <v>0</v>
      </c>
      <c r="BK74" s="196" t="e">
        <f aca="false">BM74/BJ74</f>
        <v>#DIV/0!</v>
      </c>
      <c r="BL74" s="1" t="n">
        <f aca="false">BJ74*($B74+F$13)</f>
        <v>0</v>
      </c>
      <c r="BM74" s="47" t="n">
        <f aca="false">IF(ISNUMBER(((BL74/BJ74)+F$14+$R74)*BJ74),((BL74/BJ74)+F$14+$R74)*BJ74,0)</f>
        <v>0</v>
      </c>
      <c r="BN74" s="76" t="n">
        <f aca="false">IF(BJ74=0,0,bsd(1,BO$27,BK74,$W74,$T74,$U74,$AH74,0.1))</f>
        <v>0</v>
      </c>
      <c r="BO74" s="76" t="n">
        <f aca="false">IF(BJ74=0,0,bsd(2,BO$27,BK74,$W74,$T74,$U74,$AH74,0.1))</f>
        <v>0</v>
      </c>
      <c r="BP74" s="76" t="n">
        <f aca="false">IF(BJ74=0,0,bsd(BO$28,BO$27,BK74,$W74,$T74,$U74,$AH74,0.1))</f>
        <v>0</v>
      </c>
      <c r="BQ74" s="37" t="n">
        <f aca="false">BJ74*BN74</f>
        <v>0</v>
      </c>
      <c r="BR74" s="37" t="n">
        <f aca="false">BJ74*BO74</f>
        <v>0</v>
      </c>
      <c r="BS74" s="37" t="n">
        <f aca="false">BJ74*BP74</f>
        <v>0</v>
      </c>
      <c r="BU74" s="73" t="n">
        <f aca="false">IF($A74&gt;=BV$25,IF($A74&lt;=BV$26,$AI74,0),0)</f>
        <v>0</v>
      </c>
      <c r="BV74" s="196" t="e">
        <f aca="false">BX74/BU74</f>
        <v>#DIV/0!</v>
      </c>
      <c r="BW74" s="1" t="n">
        <f aca="false">BU74*($B74+H$13)</f>
        <v>0</v>
      </c>
      <c r="BX74" s="47" t="n">
        <f aca="false">IF(ISNUMBER(((BW74/BU74)+H$14+$Y74)*BU74),((BW74/BU74)+H$14+$Y74)*BU74,0)</f>
        <v>0</v>
      </c>
      <c r="BY74" s="76" t="n">
        <f aca="false">IF(BU74=0,0,bsd(1,BZ$27,BV74,$AD74,$AA74,$AB74,$AH74,0.1))</f>
        <v>0</v>
      </c>
      <c r="BZ74" s="76" t="n">
        <f aca="false">IF(BU74=0,0,bsd(2,BZ$27,BV74,$AD74,$AA74,$AB74,$AH74,0.1))</f>
        <v>0</v>
      </c>
      <c r="CA74" s="76" t="n">
        <f aca="false">IF(BU74=0,0,bsd(BZ$28,BZ$27,BV74,$AD74,$AA74,$AB74,$AH74,0.1))</f>
        <v>0</v>
      </c>
      <c r="CB74" s="37" t="n">
        <f aca="false">BU74*BY74</f>
        <v>0</v>
      </c>
      <c r="CC74" s="37" t="n">
        <f aca="false">BU74*BZ74</f>
        <v>0</v>
      </c>
      <c r="CD74" s="37" t="n">
        <f aca="false">BU74*CA74</f>
        <v>0</v>
      </c>
    </row>
    <row r="75" customFormat="false" ht="12.75" hidden="false" customHeight="false" outlineLevel="0" collapsed="false">
      <c r="A75" s="62" t="n">
        <f aca="false">DATE(YEAR(A74),MONTH(A74)+1,1)</f>
        <v>38596</v>
      </c>
      <c r="B75" s="63" t="n">
        <f aca="false">VLOOKUP(A75,STRADDLE,5,FALSE())</f>
        <v>3.36</v>
      </c>
      <c r="C75" s="4" t="n">
        <f aca="false">VLOOKUP(A75,STRADDLE,8,FALSE())</f>
        <v>0.28</v>
      </c>
      <c r="D75" s="63" t="n">
        <f aca="false">IF(D$28="nymex",0,VLOOKUP($A75,curvesettle,HLOOKUP(D$28,curvesettle,2,FALSE())))</f>
        <v>-0.0725</v>
      </c>
      <c r="E75" s="65" t="n">
        <f aca="false">IF(ISNUMBER(VLOOKUP($A75,VOLCURVES,HLOOKUP(D$28,VOLCURVES,2,FALSE()),FALSE())),VLOOKUP($A75,VOLCURVES,HLOOKUP(D$28,VOLCURVES,2,FALSE()),FALSE()),1)</f>
        <v>1</v>
      </c>
      <c r="F75" s="64" t="n">
        <f aca="false">IF(D$28="NYMEX",$AG75,$AF75)</f>
        <v>-7334</v>
      </c>
      <c r="G75" s="4" t="e">
        <f aca="false">(($C75+H75)*$E75)+B$15</f>
        <v>#DIV/0!</v>
      </c>
      <c r="H75" s="4" t="e">
        <f aca="false">IF(B$16=1,xCalcSkew(A75,I75-AO75,b)/100,0)</f>
        <v>#DIV/0!</v>
      </c>
      <c r="I75" s="66" t="n">
        <f aca="false">IF($B$19=4,$AO75,$B$18)</f>
        <v>5</v>
      </c>
      <c r="K75" s="63" t="n">
        <f aca="false">IF(K$28="nymex",0,VLOOKUP($A75,curvesettle,HLOOKUP(K$28,curvesettle,2,FALSE())))</f>
        <v>-0.0725</v>
      </c>
      <c r="L75" s="65" t="n">
        <f aca="false">IF(ISNUMBER(VLOOKUP($A75,VOLCURVES,HLOOKUP(K$28,VOLCURVES,2,FALSE()),FALSE())),VLOOKUP($A75,VOLCURVES,HLOOKUP(K$28,VOLCURVES,2,FALSE()),FALSE()),1)</f>
        <v>1</v>
      </c>
      <c r="M75" s="64" t="n">
        <f aca="false">IF(K$28="NYMEX",$AG75,$AF75)</f>
        <v>-7334</v>
      </c>
      <c r="N75" s="184" t="e">
        <f aca="false">(($C75+O75)*$L75)+D$15</f>
        <v>#DIV/0!</v>
      </c>
      <c r="O75" s="4" t="e">
        <f aca="false">IF(D$16=1,xCalcSkew($A75,P75-AZ75,b)/100,0)</f>
        <v>#DIV/0!</v>
      </c>
      <c r="P75" s="66" t="n">
        <f aca="false">IF($D$19=4,$AZ75,$D$18)</f>
        <v>3</v>
      </c>
      <c r="R75" s="63" t="n">
        <f aca="false">IF(R$28="nymex",0,VLOOKUP($A75,curvesettle,HLOOKUP(R$28,curvesettle,2,FALSE())))</f>
        <v>-0.42</v>
      </c>
      <c r="S75" s="65" t="n">
        <f aca="false">IF(ISNUMBER(VLOOKUP($A75,VOLCURVES,HLOOKUP(R$28,VOLCURVES,2,FALSE()),FALSE())),VLOOKUP($A75,VOLCURVES,HLOOKUP(R$28,VOLCURVES,2,FALSE()),FALSE()),1)</f>
        <v>1</v>
      </c>
      <c r="T75" s="64" t="n">
        <f aca="false">IF(R$28="NYMEX",$AG75,$AF75)</f>
        <v>-7334</v>
      </c>
      <c r="U75" s="184" t="e">
        <f aca="false">(($C75+V75)*$S75)+F$15</f>
        <v>#DIV/0!</v>
      </c>
      <c r="V75" s="4" t="e">
        <f aca="false">IF(F$16=1,xCalcSkew($A75,W75-BK75,b)/100,0)</f>
        <v>#DIV/0!</v>
      </c>
      <c r="W75" s="66" t="n">
        <f aca="false">IF($F$19=4,$BK75,$F$18)</f>
        <v>2.55</v>
      </c>
      <c r="X75" s="64"/>
      <c r="Y75" s="63" t="n">
        <f aca="false">IF(Y$28="nymex",0,VLOOKUP($A75,curvesettle,HLOOKUP(Y$28,curvesettle,2,FALSE())))</f>
        <v>0</v>
      </c>
      <c r="Z75" s="65" t="n">
        <f aca="false">IF(ISNUMBER(VLOOKUP($A75,VOLCURVES,HLOOKUP(Y$28,VOLCURVES,2,FALSE()),FALSE())),VLOOKUP($A75,VOLCURVES,HLOOKUP(Y$28,VOLCURVES,2,FALSE()),FALSE()),1)</f>
        <v>1</v>
      </c>
      <c r="AA75" s="64" t="n">
        <f aca="false">IF(Y$28="NYMEX",$AG75,$AF75)</f>
        <v>-7337</v>
      </c>
      <c r="AB75" s="4" t="e">
        <f aca="false">(($C75+AC75)*$Z75)+H$15</f>
        <v>#DIV/0!</v>
      </c>
      <c r="AC75" s="4" t="e">
        <f aca="false">IF(H$16=1,xCalcSkew($A75,AD75-BV75,b)/100,0)</f>
        <v>#DIV/0!</v>
      </c>
      <c r="AD75" s="66" t="n">
        <f aca="false">IF($H$19=4,$BV75,$H$18)</f>
        <v>2.9</v>
      </c>
      <c r="AF75" s="64" t="n">
        <f aca="false">VLOOKUP($A75,expiration,2,FALSE())-$B$2</f>
        <v>-7334</v>
      </c>
      <c r="AG75" s="64" t="n">
        <f aca="false">VLOOKUP($A75,expiration,3,FALSE())-$B$2</f>
        <v>-7337</v>
      </c>
      <c r="AH75" s="4" t="n">
        <f aca="false">VLOOKUP($A75,STRADDLE,14,FALSE())</f>
        <v>0.04632682560558</v>
      </c>
      <c r="AI75" s="72" t="n">
        <f aca="false">A76-A75</f>
        <v>30</v>
      </c>
      <c r="AL75" s="64"/>
      <c r="AM75" s="73"/>
      <c r="AN75" s="73" t="n">
        <f aca="false">IF($A75&gt;=AO$25,IF($A75&lt;=AO$26,$AI75,0),0)</f>
        <v>0</v>
      </c>
      <c r="AO75" s="196" t="e">
        <f aca="false">AQ75/AN75</f>
        <v>#DIV/0!</v>
      </c>
      <c r="AP75" s="1" t="n">
        <f aca="false">AN75*($B75+B$13)</f>
        <v>0</v>
      </c>
      <c r="AQ75" s="47" t="n">
        <f aca="false">IF(ISNUMBER(((AP75/AN75)+B$14+$D75)*AN75),((AP75/AN75)+B$14+$D75)*AN75,0)</f>
        <v>0</v>
      </c>
      <c r="AR75" s="76" t="n">
        <f aca="false">IF(AN75=0,0,bsd(1,AS$27,AO75,$I75,$F75,$G75,$AH75,0.1))</f>
        <v>0</v>
      </c>
      <c r="AS75" s="76" t="n">
        <f aca="false">IF(AN75=0,0,bsd(2,AS$27,AO75,$I75,$F75,$G75,$AH75,0.1))</f>
        <v>0</v>
      </c>
      <c r="AT75" s="76" t="n">
        <f aca="false">IF(AN75=0,0,bsd(AS$28,AS$27,AO75,$I75,$F75,$G75,$AH75,0.1))</f>
        <v>0</v>
      </c>
      <c r="AU75" s="37" t="n">
        <f aca="false">AN75*AR75</f>
        <v>0</v>
      </c>
      <c r="AV75" s="37" t="n">
        <f aca="false">AN75*AS75</f>
        <v>0</v>
      </c>
      <c r="AW75" s="37" t="n">
        <f aca="false">AN75*AT75</f>
        <v>0</v>
      </c>
      <c r="AY75" s="73" t="n">
        <f aca="false">IF($A75&gt;=AZ$25,IF($A75&lt;=AZ$26,$AI75,0),0)</f>
        <v>0</v>
      </c>
      <c r="AZ75" s="196" t="e">
        <f aca="false">BB75/AY75</f>
        <v>#DIV/0!</v>
      </c>
      <c r="BA75" s="1" t="n">
        <f aca="false">AY75*($B75+D$13)</f>
        <v>0</v>
      </c>
      <c r="BB75" s="47" t="n">
        <f aca="false">IF(ISNUMBER(((BA75/AY75)+D$14+$K75)*AY75),((BA75/AY75)+D$14+$K75)*AY75,0)</f>
        <v>0</v>
      </c>
      <c r="BC75" s="76" t="n">
        <f aca="false">IF(AY75=0,0,bsd(1,BD$27,AZ75,$P75,$M75,$N75,$AH75,0.1))</f>
        <v>0</v>
      </c>
      <c r="BD75" s="76" t="n">
        <f aca="false">IF(AY75=0,0,bsd(2,BD$27,AZ75,$P75,$M75,$N75,$AH75,0.1))</f>
        <v>0</v>
      </c>
      <c r="BE75" s="76" t="n">
        <f aca="false">IF(AY75=0,0,bsd(BD$28,BD$27,AZ75,$P75,$M75,$N75,$AH75,0.1))</f>
        <v>0</v>
      </c>
      <c r="BF75" s="37" t="n">
        <f aca="false">AY75*BC75</f>
        <v>0</v>
      </c>
      <c r="BG75" s="37" t="n">
        <f aca="false">AY75*BD75</f>
        <v>0</v>
      </c>
      <c r="BH75" s="37" t="n">
        <f aca="false">AY75*BE75</f>
        <v>0</v>
      </c>
      <c r="BJ75" s="73" t="n">
        <f aca="false">IF($A75&gt;=BK$25,IF($A75&lt;=BK$26,$AI75,0),0)</f>
        <v>0</v>
      </c>
      <c r="BK75" s="196" t="e">
        <f aca="false">BM75/BJ75</f>
        <v>#DIV/0!</v>
      </c>
      <c r="BL75" s="1" t="n">
        <f aca="false">BJ75*($B75+F$13)</f>
        <v>0</v>
      </c>
      <c r="BM75" s="47" t="n">
        <f aca="false">IF(ISNUMBER(((BL75/BJ75)+F$14+$R75)*BJ75),((BL75/BJ75)+F$14+$R75)*BJ75,0)</f>
        <v>0</v>
      </c>
      <c r="BN75" s="76" t="n">
        <f aca="false">IF(BJ75=0,0,bsd(1,BO$27,BK75,$W75,$T75,$U75,$AH75,0.1))</f>
        <v>0</v>
      </c>
      <c r="BO75" s="76" t="n">
        <f aca="false">IF(BJ75=0,0,bsd(2,BO$27,BK75,$W75,$T75,$U75,$AH75,0.1))</f>
        <v>0</v>
      </c>
      <c r="BP75" s="76" t="n">
        <f aca="false">IF(BJ75=0,0,bsd(BO$28,BO$27,BK75,$W75,$T75,$U75,$AH75,0.1))</f>
        <v>0</v>
      </c>
      <c r="BQ75" s="37" t="n">
        <f aca="false">BJ75*BN75</f>
        <v>0</v>
      </c>
      <c r="BR75" s="37" t="n">
        <f aca="false">BJ75*BO75</f>
        <v>0</v>
      </c>
      <c r="BS75" s="37" t="n">
        <f aca="false">BJ75*BP75</f>
        <v>0</v>
      </c>
      <c r="BU75" s="73" t="n">
        <f aca="false">IF($A75&gt;=BV$25,IF($A75&lt;=BV$26,$AI75,0),0)</f>
        <v>0</v>
      </c>
      <c r="BV75" s="196" t="e">
        <f aca="false">BX75/BU75</f>
        <v>#DIV/0!</v>
      </c>
      <c r="BW75" s="1" t="n">
        <f aca="false">BU75*($B75+H$13)</f>
        <v>0</v>
      </c>
      <c r="BX75" s="47" t="n">
        <f aca="false">IF(ISNUMBER(((BW75/BU75)+H$14+$Y75)*BU75),((BW75/BU75)+H$14+$Y75)*BU75,0)</f>
        <v>0</v>
      </c>
      <c r="BY75" s="76" t="n">
        <f aca="false">IF(BU75=0,0,bsd(1,BZ$27,BV75,$AD75,$AA75,$AB75,$AH75,0.1))</f>
        <v>0</v>
      </c>
      <c r="BZ75" s="76" t="n">
        <f aca="false">IF(BU75=0,0,bsd(2,BZ$27,BV75,$AD75,$AA75,$AB75,$AH75,0.1))</f>
        <v>0</v>
      </c>
      <c r="CA75" s="76" t="n">
        <f aca="false">IF(BU75=0,0,bsd(BZ$28,BZ$27,BV75,$AD75,$AA75,$AB75,$AH75,0.1))</f>
        <v>0</v>
      </c>
      <c r="CB75" s="37" t="n">
        <f aca="false">BU75*BY75</f>
        <v>0</v>
      </c>
      <c r="CC75" s="37" t="n">
        <f aca="false">BU75*BZ75</f>
        <v>0</v>
      </c>
      <c r="CD75" s="37" t="n">
        <f aca="false">BU75*CA75</f>
        <v>0</v>
      </c>
    </row>
    <row r="76" customFormat="false" ht="12.75" hidden="false" customHeight="false" outlineLevel="0" collapsed="false">
      <c r="A76" s="62" t="n">
        <f aca="false">DATE(YEAR(A75),MONTH(A75)+1,1)</f>
        <v>38626</v>
      </c>
      <c r="B76" s="63" t="n">
        <f aca="false">VLOOKUP(A76,STRADDLE,5,FALSE())</f>
        <v>3.385</v>
      </c>
      <c r="C76" s="4" t="n">
        <f aca="false">VLOOKUP(A76,STRADDLE,8,FALSE())</f>
        <v>0.28</v>
      </c>
      <c r="D76" s="63" t="n">
        <f aca="false">IF(D$28="nymex",0,VLOOKUP($A76,curvesettle,HLOOKUP(D$28,curvesettle,2,FALSE())))</f>
        <v>-0.0725</v>
      </c>
      <c r="E76" s="65" t="n">
        <f aca="false">IF(ISNUMBER(VLOOKUP($A76,VOLCURVES,HLOOKUP(D$28,VOLCURVES,2,FALSE()),FALSE())),VLOOKUP($A76,VOLCURVES,HLOOKUP(D$28,VOLCURVES,2,FALSE()),FALSE()),1)</f>
        <v>1</v>
      </c>
      <c r="F76" s="64" t="n">
        <f aca="false">IF(D$28="NYMEX",$AG76,$AF76)</f>
        <v>-7304</v>
      </c>
      <c r="G76" s="4" t="e">
        <f aca="false">(($C76+H76)*$E76)+B$15</f>
        <v>#DIV/0!</v>
      </c>
      <c r="H76" s="4" t="e">
        <f aca="false">IF(B$16=1,xCalcSkew(A76,I76-AO76,b)/100,0)</f>
        <v>#DIV/0!</v>
      </c>
      <c r="I76" s="66" t="n">
        <f aca="false">IF($B$19=4,$AO76,$B$18)</f>
        <v>5</v>
      </c>
      <c r="K76" s="63" t="n">
        <f aca="false">IF(K$28="nymex",0,VLOOKUP($A76,curvesettle,HLOOKUP(K$28,curvesettle,2,FALSE())))</f>
        <v>-0.0725</v>
      </c>
      <c r="L76" s="65" t="n">
        <f aca="false">IF(ISNUMBER(VLOOKUP($A76,VOLCURVES,HLOOKUP(K$28,VOLCURVES,2,FALSE()),FALSE())),VLOOKUP($A76,VOLCURVES,HLOOKUP(K$28,VOLCURVES,2,FALSE()),FALSE()),1)</f>
        <v>1</v>
      </c>
      <c r="M76" s="64" t="n">
        <f aca="false">IF(K$28="NYMEX",$AG76,$AF76)</f>
        <v>-7304</v>
      </c>
      <c r="N76" s="184" t="e">
        <f aca="false">(($C76+O76)*$L76)+D$15</f>
        <v>#DIV/0!</v>
      </c>
      <c r="O76" s="4" t="e">
        <f aca="false">IF(D$16=1,xCalcSkew($A76,P76-AZ76,b)/100,0)</f>
        <v>#DIV/0!</v>
      </c>
      <c r="P76" s="66" t="n">
        <f aca="false">IF($D$19=4,$AZ76,$D$18)</f>
        <v>3</v>
      </c>
      <c r="R76" s="63" t="n">
        <f aca="false">IF(R$28="nymex",0,VLOOKUP($A76,curvesettle,HLOOKUP(R$28,curvesettle,2,FALSE())))</f>
        <v>-0.42</v>
      </c>
      <c r="S76" s="65" t="n">
        <f aca="false">IF(ISNUMBER(VLOOKUP($A76,VOLCURVES,HLOOKUP(R$28,VOLCURVES,2,FALSE()),FALSE())),VLOOKUP($A76,VOLCURVES,HLOOKUP(R$28,VOLCURVES,2,FALSE()),FALSE()),1)</f>
        <v>1</v>
      </c>
      <c r="T76" s="64" t="n">
        <f aca="false">IF(R$28="NYMEX",$AG76,$AF76)</f>
        <v>-7304</v>
      </c>
      <c r="U76" s="184" t="e">
        <f aca="false">(($C76+V76)*$S76)+F$15</f>
        <v>#DIV/0!</v>
      </c>
      <c r="V76" s="4" t="e">
        <f aca="false">IF(F$16=1,xCalcSkew($A76,W76-BK76,b)/100,0)</f>
        <v>#DIV/0!</v>
      </c>
      <c r="W76" s="66" t="n">
        <f aca="false">IF($F$19=4,$BK76,$F$18)</f>
        <v>2.55</v>
      </c>
      <c r="X76" s="64"/>
      <c r="Y76" s="63" t="n">
        <f aca="false">IF(Y$28="nymex",0,VLOOKUP($A76,curvesettle,HLOOKUP(Y$28,curvesettle,2,FALSE())))</f>
        <v>0</v>
      </c>
      <c r="Z76" s="65" t="n">
        <f aca="false">IF(ISNUMBER(VLOOKUP($A76,VOLCURVES,HLOOKUP(Y$28,VOLCURVES,2,FALSE()),FALSE())),VLOOKUP($A76,VOLCURVES,HLOOKUP(Y$28,VOLCURVES,2,FALSE()),FALSE()),1)</f>
        <v>1</v>
      </c>
      <c r="AA76" s="64" t="n">
        <f aca="false">IF(Y$28="NYMEX",$AG76,$AF76)</f>
        <v>-7305</v>
      </c>
      <c r="AB76" s="4" t="e">
        <f aca="false">(($C76+AC76)*$Z76)+H$15</f>
        <v>#DIV/0!</v>
      </c>
      <c r="AC76" s="4" t="e">
        <f aca="false">IF(H$16=1,xCalcSkew($A76,AD76-BV76,b)/100,0)</f>
        <v>#DIV/0!</v>
      </c>
      <c r="AD76" s="66" t="n">
        <f aca="false">IF($H$19=4,$BV76,$H$18)</f>
        <v>2.9</v>
      </c>
      <c r="AF76" s="64" t="n">
        <f aca="false">VLOOKUP($A76,expiration,2,FALSE())-$B$2</f>
        <v>-7304</v>
      </c>
      <c r="AG76" s="64" t="n">
        <f aca="false">VLOOKUP($A76,expiration,3,FALSE())-$B$2</f>
        <v>-7305</v>
      </c>
      <c r="AH76" s="4" t="n">
        <f aca="false">VLOOKUP($A76,STRADDLE,14,FALSE())</f>
        <v>0.0467165492653465</v>
      </c>
      <c r="AI76" s="72" t="n">
        <f aca="false">A77-A76</f>
        <v>31</v>
      </c>
      <c r="AL76" s="64"/>
      <c r="AM76" s="73"/>
      <c r="AN76" s="73" t="n">
        <f aca="false">IF($A76&gt;=AO$25,IF($A76&lt;=AO$26,$AI76,0),0)</f>
        <v>0</v>
      </c>
      <c r="AO76" s="196" t="e">
        <f aca="false">AQ76/AN76</f>
        <v>#DIV/0!</v>
      </c>
      <c r="AP76" s="1" t="n">
        <f aca="false">AN76*($B76+B$13)</f>
        <v>0</v>
      </c>
      <c r="AQ76" s="47" t="n">
        <f aca="false">IF(ISNUMBER(((AP76/AN76)+B$14+$D76)*AN76),((AP76/AN76)+B$14+$D76)*AN76,0)</f>
        <v>0</v>
      </c>
      <c r="AR76" s="76" t="n">
        <f aca="false">IF(AN76=0,0,bsd(1,AS$27,AO76,$I76,$F76,$G76,$AH76,0.1))</f>
        <v>0</v>
      </c>
      <c r="AS76" s="76" t="n">
        <f aca="false">IF(AN76=0,0,bsd(2,AS$27,AO76,$I76,$F76,$G76,$AH76,0.1))</f>
        <v>0</v>
      </c>
      <c r="AT76" s="76" t="n">
        <f aca="false">IF(AN76=0,0,bsd(AS$28,AS$27,AO76,$I76,$F76,$G76,$AH76,0.1))</f>
        <v>0</v>
      </c>
      <c r="AU76" s="37" t="n">
        <f aca="false">AN76*AR76</f>
        <v>0</v>
      </c>
      <c r="AV76" s="37" t="n">
        <f aca="false">AN76*AS76</f>
        <v>0</v>
      </c>
      <c r="AW76" s="37" t="n">
        <f aca="false">AN76*AT76</f>
        <v>0</v>
      </c>
      <c r="AY76" s="73" t="n">
        <f aca="false">IF($A76&gt;=AZ$25,IF($A76&lt;=AZ$26,$AI76,0),0)</f>
        <v>0</v>
      </c>
      <c r="AZ76" s="196" t="e">
        <f aca="false">BB76/AY76</f>
        <v>#DIV/0!</v>
      </c>
      <c r="BA76" s="1" t="n">
        <f aca="false">AY76*($B76+D$13)</f>
        <v>0</v>
      </c>
      <c r="BB76" s="47" t="n">
        <f aca="false">IF(ISNUMBER(((BA76/AY76)+D$14+$K76)*AY76),((BA76/AY76)+D$14+$K76)*AY76,0)</f>
        <v>0</v>
      </c>
      <c r="BC76" s="76" t="n">
        <f aca="false">IF(AY76=0,0,bsd(1,BD$27,AZ76,$P76,$M76,$N76,$AH76,0.1))</f>
        <v>0</v>
      </c>
      <c r="BD76" s="76" t="n">
        <f aca="false">IF(AY76=0,0,bsd(2,BD$27,AZ76,$P76,$M76,$N76,$AH76,0.1))</f>
        <v>0</v>
      </c>
      <c r="BE76" s="76" t="n">
        <f aca="false">IF(AY76=0,0,bsd(BD$28,BD$27,AZ76,$P76,$M76,$N76,$AH76,0.1))</f>
        <v>0</v>
      </c>
      <c r="BF76" s="37" t="n">
        <f aca="false">AY76*BC76</f>
        <v>0</v>
      </c>
      <c r="BG76" s="37" t="n">
        <f aca="false">AY76*BD76</f>
        <v>0</v>
      </c>
      <c r="BH76" s="37" t="n">
        <f aca="false">AY76*BE76</f>
        <v>0</v>
      </c>
      <c r="BJ76" s="73" t="n">
        <f aca="false">IF($A76&gt;=BK$25,IF($A76&lt;=BK$26,$AI76,0),0)</f>
        <v>0</v>
      </c>
      <c r="BK76" s="196" t="e">
        <f aca="false">BM76/BJ76</f>
        <v>#DIV/0!</v>
      </c>
      <c r="BL76" s="1" t="n">
        <f aca="false">BJ76*($B76+F$13)</f>
        <v>0</v>
      </c>
      <c r="BM76" s="47" t="n">
        <f aca="false">IF(ISNUMBER(((BL76/BJ76)+F$14+$R76)*BJ76),((BL76/BJ76)+F$14+$R76)*BJ76,0)</f>
        <v>0</v>
      </c>
      <c r="BN76" s="76" t="n">
        <f aca="false">IF(BJ76=0,0,bsd(1,BO$27,BK76,$W76,$T76,$U76,$AH76,0.1))</f>
        <v>0</v>
      </c>
      <c r="BO76" s="76" t="n">
        <f aca="false">IF(BJ76=0,0,bsd(2,BO$27,BK76,$W76,$T76,$U76,$AH76,0.1))</f>
        <v>0</v>
      </c>
      <c r="BP76" s="76" t="n">
        <f aca="false">IF(BJ76=0,0,bsd(BO$28,BO$27,BK76,$W76,$T76,$U76,$AH76,0.1))</f>
        <v>0</v>
      </c>
      <c r="BQ76" s="37" t="n">
        <f aca="false">BJ76*BN76</f>
        <v>0</v>
      </c>
      <c r="BR76" s="37" t="n">
        <f aca="false">BJ76*BO76</f>
        <v>0</v>
      </c>
      <c r="BS76" s="37" t="n">
        <f aca="false">BJ76*BP76</f>
        <v>0</v>
      </c>
      <c r="BU76" s="73" t="n">
        <f aca="false">IF($A76&gt;=BV$25,IF($A76&lt;=BV$26,$AI76,0),0)</f>
        <v>0</v>
      </c>
      <c r="BV76" s="196" t="e">
        <f aca="false">BX76/BU76</f>
        <v>#DIV/0!</v>
      </c>
      <c r="BW76" s="1" t="n">
        <f aca="false">BU76*($B76+H$13)</f>
        <v>0</v>
      </c>
      <c r="BX76" s="47" t="n">
        <f aca="false">IF(ISNUMBER(((BW76/BU76)+H$14+$Y76)*BU76),((BW76/BU76)+H$14+$Y76)*BU76,0)</f>
        <v>0</v>
      </c>
      <c r="BY76" s="76" t="n">
        <f aca="false">IF(BU76=0,0,bsd(1,BZ$27,BV76,$AD76,$AA76,$AB76,$AH76,0.1))</f>
        <v>0</v>
      </c>
      <c r="BZ76" s="76" t="n">
        <f aca="false">IF(BU76=0,0,bsd(2,BZ$27,BV76,$AD76,$AA76,$AB76,$AH76,0.1))</f>
        <v>0</v>
      </c>
      <c r="CA76" s="76" t="n">
        <f aca="false">IF(BU76=0,0,bsd(BZ$28,BZ$27,BV76,$AD76,$AA76,$AB76,$AH76,0.1))</f>
        <v>0</v>
      </c>
      <c r="CB76" s="37" t="n">
        <f aca="false">BU76*BY76</f>
        <v>0</v>
      </c>
      <c r="CC76" s="37" t="n">
        <f aca="false">BU76*BZ76</f>
        <v>0</v>
      </c>
      <c r="CD76" s="37" t="n">
        <f aca="false">BU76*CA76</f>
        <v>0</v>
      </c>
    </row>
    <row r="77" customFormat="false" ht="12.75" hidden="false" customHeight="false" outlineLevel="0" collapsed="false">
      <c r="A77" s="62" t="n">
        <f aca="false">DATE(YEAR(A76),MONTH(A76)+1,1)</f>
        <v>38657</v>
      </c>
      <c r="B77" s="63" t="n">
        <f aca="false">VLOOKUP(A77,STRADDLE,5,FALSE())</f>
        <v>3.537</v>
      </c>
      <c r="C77" s="4" t="n">
        <f aca="false">VLOOKUP(A77,STRADDLE,8,FALSE())</f>
        <v>0.28</v>
      </c>
      <c r="D77" s="63" t="n">
        <f aca="false">IF(D$28="nymex",0,VLOOKUP($A77,curvesettle,HLOOKUP(D$28,curvesettle,2,FALSE())))</f>
        <v>-0.075</v>
      </c>
      <c r="E77" s="65" t="n">
        <f aca="false">IF(ISNUMBER(VLOOKUP($A77,VOLCURVES,HLOOKUP(D$28,VOLCURVES,2,FALSE()),FALSE())),VLOOKUP($A77,VOLCURVES,HLOOKUP(D$28,VOLCURVES,2,FALSE()),FALSE()),1)</f>
        <v>1</v>
      </c>
      <c r="F77" s="64" t="n">
        <f aca="false">IF(D$28="NYMEX",$AG77,$AF77)</f>
        <v>-7275</v>
      </c>
      <c r="G77" s="4" t="e">
        <f aca="false">(($C77+H77)*$E77)+B$15</f>
        <v>#DIV/0!</v>
      </c>
      <c r="H77" s="4" t="e">
        <f aca="false">IF(B$16=1,xCalcSkew(A77,I77-AO77,b)/100,0)</f>
        <v>#DIV/0!</v>
      </c>
      <c r="I77" s="66" t="n">
        <f aca="false">IF($B$19=4,$AO77,$B$18)</f>
        <v>5</v>
      </c>
      <c r="K77" s="63" t="n">
        <f aca="false">IF(K$28="nymex",0,VLOOKUP($A77,curvesettle,HLOOKUP(K$28,curvesettle,2,FALSE())))</f>
        <v>-0.075</v>
      </c>
      <c r="L77" s="65" t="n">
        <f aca="false">IF(ISNUMBER(VLOOKUP($A77,VOLCURVES,HLOOKUP(K$28,VOLCURVES,2,FALSE()),FALSE())),VLOOKUP($A77,VOLCURVES,HLOOKUP(K$28,VOLCURVES,2,FALSE()),FALSE()),1)</f>
        <v>1</v>
      </c>
      <c r="M77" s="64" t="n">
        <f aca="false">IF(K$28="NYMEX",$AG77,$AF77)</f>
        <v>-7275</v>
      </c>
      <c r="N77" s="184" t="e">
        <f aca="false">(($C77+O77)*$L77)+D$15</f>
        <v>#DIV/0!</v>
      </c>
      <c r="O77" s="4" t="e">
        <f aca="false">IF(D$16=1,xCalcSkew($A77,P77-AZ77,b)/100,0)</f>
        <v>#DIV/0!</v>
      </c>
      <c r="P77" s="66" t="n">
        <f aca="false">IF($D$19=4,$AZ77,$D$18)</f>
        <v>3</v>
      </c>
      <c r="R77" s="63" t="n">
        <f aca="false">IF(R$28="nymex",0,VLOOKUP($A77,curvesettle,HLOOKUP(R$28,curvesettle,2,FALSE())))</f>
        <v>-0.26</v>
      </c>
      <c r="S77" s="65" t="n">
        <f aca="false">IF(ISNUMBER(VLOOKUP($A77,VOLCURVES,HLOOKUP(R$28,VOLCURVES,2,FALSE()),FALSE())),VLOOKUP($A77,VOLCURVES,HLOOKUP(R$28,VOLCURVES,2,FALSE()),FALSE()),1)</f>
        <v>1</v>
      </c>
      <c r="T77" s="64" t="n">
        <f aca="false">IF(R$28="NYMEX",$AG77,$AF77)</f>
        <v>-7275</v>
      </c>
      <c r="U77" s="184" t="e">
        <f aca="false">(($C77+V77)*$S77)+F$15</f>
        <v>#DIV/0!</v>
      </c>
      <c r="V77" s="4" t="e">
        <f aca="false">IF(F$16=1,xCalcSkew($A77,W77-BK77,b)/100,0)</f>
        <v>#DIV/0!</v>
      </c>
      <c r="W77" s="66" t="n">
        <f aca="false">IF($F$19=4,$BK77,$F$18)</f>
        <v>2.55</v>
      </c>
      <c r="X77" s="64"/>
      <c r="Y77" s="63" t="n">
        <f aca="false">IF(Y$28="nymex",0,VLOOKUP($A77,curvesettle,HLOOKUP(Y$28,curvesettle,2,FALSE())))</f>
        <v>0</v>
      </c>
      <c r="Z77" s="65" t="n">
        <f aca="false">IF(ISNUMBER(VLOOKUP($A77,VOLCURVES,HLOOKUP(Y$28,VOLCURVES,2,FALSE()),FALSE())),VLOOKUP($A77,VOLCURVES,HLOOKUP(Y$28,VOLCURVES,2,FALSE()),FALSE()),1)</f>
        <v>1</v>
      </c>
      <c r="AA77" s="64" t="n">
        <f aca="false">IF(Y$28="NYMEX",$AG77,$AF77)</f>
        <v>-7276</v>
      </c>
      <c r="AB77" s="4" t="e">
        <f aca="false">(($C77+AC77)*$Z77)+H$15</f>
        <v>#DIV/0!</v>
      </c>
      <c r="AC77" s="4" t="e">
        <f aca="false">IF(H$16=1,xCalcSkew($A77,AD77-BV77,b)/100,0)</f>
        <v>#DIV/0!</v>
      </c>
      <c r="AD77" s="66" t="n">
        <f aca="false">IF($H$19=4,$BV77,$H$18)</f>
        <v>2.9</v>
      </c>
      <c r="AF77" s="64" t="n">
        <f aca="false">VLOOKUP($A77,expiration,2,FALSE())-$B$2</f>
        <v>-7275</v>
      </c>
      <c r="AG77" s="64" t="n">
        <f aca="false">VLOOKUP($A77,expiration,3,FALSE())-$B$2</f>
        <v>-7276</v>
      </c>
      <c r="AH77" s="4" t="n">
        <f aca="false">VLOOKUP($A77,STRADDLE,14,FALSE())</f>
        <v>0.0470928800068173</v>
      </c>
      <c r="AI77" s="72" t="n">
        <f aca="false">A78-A77</f>
        <v>30</v>
      </c>
      <c r="AL77" s="64"/>
      <c r="AM77" s="73"/>
      <c r="AN77" s="73" t="n">
        <f aca="false">IF($A77&gt;=AO$25,IF($A77&lt;=AO$26,$AI77,0),0)</f>
        <v>0</v>
      </c>
      <c r="AO77" s="196" t="e">
        <f aca="false">AQ77/AN77</f>
        <v>#DIV/0!</v>
      </c>
      <c r="AP77" s="1" t="n">
        <f aca="false">AN77*($B77+B$13)</f>
        <v>0</v>
      </c>
      <c r="AQ77" s="47" t="n">
        <f aca="false">IF(ISNUMBER(((AP77/AN77)+B$14+$D77)*AN77),((AP77/AN77)+B$14+$D77)*AN77,0)</f>
        <v>0</v>
      </c>
      <c r="AR77" s="76" t="n">
        <f aca="false">IF(AN77=0,0,bsd(1,AS$27,AO77,$I77,$F77,$G77,$AH77,0.1))</f>
        <v>0</v>
      </c>
      <c r="AS77" s="76" t="n">
        <f aca="false">IF(AN77=0,0,bsd(2,AS$27,AO77,$I77,$F77,$G77,$AH77,0.1))</f>
        <v>0</v>
      </c>
      <c r="AT77" s="76" t="n">
        <f aca="false">IF(AN77=0,0,bsd(AS$28,AS$27,AO77,$I77,$F77,$G77,$AH77,0.1))</f>
        <v>0</v>
      </c>
      <c r="AU77" s="37" t="n">
        <f aca="false">AN77*AR77</f>
        <v>0</v>
      </c>
      <c r="AV77" s="37" t="n">
        <f aca="false">AN77*AS77</f>
        <v>0</v>
      </c>
      <c r="AW77" s="37" t="n">
        <f aca="false">AN77*AT77</f>
        <v>0</v>
      </c>
      <c r="AY77" s="73" t="n">
        <f aca="false">IF($A77&gt;=AZ$25,IF($A77&lt;=AZ$26,$AI77,0),0)</f>
        <v>0</v>
      </c>
      <c r="AZ77" s="196" t="e">
        <f aca="false">BB77/AY77</f>
        <v>#DIV/0!</v>
      </c>
      <c r="BA77" s="1" t="n">
        <f aca="false">AY77*($B77+D$13)</f>
        <v>0</v>
      </c>
      <c r="BB77" s="47" t="n">
        <f aca="false">IF(ISNUMBER(((BA77/AY77)+D$14+$K77)*AY77),((BA77/AY77)+D$14+$K77)*AY77,0)</f>
        <v>0</v>
      </c>
      <c r="BC77" s="76" t="n">
        <f aca="false">IF(AY77=0,0,bsd(1,BD$27,AZ77,$P77,$M77,$N77,$AH77,0.1))</f>
        <v>0</v>
      </c>
      <c r="BD77" s="76" t="n">
        <f aca="false">IF(AY77=0,0,bsd(2,BD$27,AZ77,$P77,$M77,$N77,$AH77,0.1))</f>
        <v>0</v>
      </c>
      <c r="BE77" s="76" t="n">
        <f aca="false">IF(AY77=0,0,bsd(BD$28,BD$27,AZ77,$P77,$M77,$N77,$AH77,0.1))</f>
        <v>0</v>
      </c>
      <c r="BF77" s="37" t="n">
        <f aca="false">AY77*BC77</f>
        <v>0</v>
      </c>
      <c r="BG77" s="37" t="n">
        <f aca="false">AY77*BD77</f>
        <v>0</v>
      </c>
      <c r="BH77" s="37" t="n">
        <f aca="false">AY77*BE77</f>
        <v>0</v>
      </c>
      <c r="BJ77" s="73" t="n">
        <f aca="false">IF($A77&gt;=BK$25,IF($A77&lt;=BK$26,$AI77,0),0)</f>
        <v>0</v>
      </c>
      <c r="BK77" s="196" t="e">
        <f aca="false">BM77/BJ77</f>
        <v>#DIV/0!</v>
      </c>
      <c r="BL77" s="1" t="n">
        <f aca="false">BJ77*($B77+F$13)</f>
        <v>0</v>
      </c>
      <c r="BM77" s="47" t="n">
        <f aca="false">IF(ISNUMBER(((BL77/BJ77)+F$14+$R77)*BJ77),((BL77/BJ77)+F$14+$R77)*BJ77,0)</f>
        <v>0</v>
      </c>
      <c r="BN77" s="76" t="n">
        <f aca="false">IF(BJ77=0,0,bsd(1,BO$27,BK77,$W77,$T77,$U77,$AH77,0.1))</f>
        <v>0</v>
      </c>
      <c r="BO77" s="76" t="n">
        <f aca="false">IF(BJ77=0,0,bsd(2,BO$27,BK77,$W77,$T77,$U77,$AH77,0.1))</f>
        <v>0</v>
      </c>
      <c r="BP77" s="76" t="n">
        <f aca="false">IF(BJ77=0,0,bsd(BO$28,BO$27,BK77,$W77,$T77,$U77,$AH77,0.1))</f>
        <v>0</v>
      </c>
      <c r="BQ77" s="37" t="n">
        <f aca="false">BJ77*BN77</f>
        <v>0</v>
      </c>
      <c r="BR77" s="37" t="n">
        <f aca="false">BJ77*BO77</f>
        <v>0</v>
      </c>
      <c r="BS77" s="37" t="n">
        <f aca="false">BJ77*BP77</f>
        <v>0</v>
      </c>
      <c r="BU77" s="73" t="n">
        <f aca="false">IF($A77&gt;=BV$25,IF($A77&lt;=BV$26,$AI77,0),0)</f>
        <v>0</v>
      </c>
      <c r="BV77" s="196" t="e">
        <f aca="false">BX77/BU77</f>
        <v>#DIV/0!</v>
      </c>
      <c r="BW77" s="1" t="n">
        <f aca="false">BU77*($B77+H$13)</f>
        <v>0</v>
      </c>
      <c r="BX77" s="47" t="n">
        <f aca="false">IF(ISNUMBER(((BW77/BU77)+H$14+$Y77)*BU77),((BW77/BU77)+H$14+$Y77)*BU77,0)</f>
        <v>0</v>
      </c>
      <c r="BY77" s="76" t="n">
        <f aca="false">IF(BU77=0,0,bsd(1,BZ$27,BV77,$AD77,$AA77,$AB77,$AH77,0.1))</f>
        <v>0</v>
      </c>
      <c r="BZ77" s="76" t="n">
        <f aca="false">IF(BU77=0,0,bsd(2,BZ$27,BV77,$AD77,$AA77,$AB77,$AH77,0.1))</f>
        <v>0</v>
      </c>
      <c r="CA77" s="76" t="n">
        <f aca="false">IF(BU77=0,0,bsd(BZ$28,BZ$27,BV77,$AD77,$AA77,$AB77,$AH77,0.1))</f>
        <v>0</v>
      </c>
      <c r="CB77" s="37" t="n">
        <f aca="false">BU77*BY77</f>
        <v>0</v>
      </c>
      <c r="CC77" s="37" t="n">
        <f aca="false">BU77*BZ77</f>
        <v>0</v>
      </c>
      <c r="CD77" s="37" t="n">
        <f aca="false">BU77*CA77</f>
        <v>0</v>
      </c>
    </row>
    <row r="78" customFormat="false" ht="12.75" hidden="false" customHeight="false" outlineLevel="0" collapsed="false">
      <c r="A78" s="62" t="n">
        <f aca="false">DATE(YEAR(A77),MONTH(A77)+1,1)</f>
        <v>38687</v>
      </c>
      <c r="B78" s="63" t="n">
        <f aca="false">VLOOKUP(A78,STRADDLE,5,FALSE())</f>
        <v>3.68</v>
      </c>
      <c r="C78" s="4" t="n">
        <f aca="false">VLOOKUP(A78,STRADDLE,8,FALSE())</f>
        <v>0.28</v>
      </c>
      <c r="D78" s="63" t="n">
        <f aca="false">IF(D$28="nymex",0,VLOOKUP($A78,curvesettle,HLOOKUP(D$28,curvesettle,2,FALSE())))</f>
        <v>-0.075</v>
      </c>
      <c r="E78" s="65" t="n">
        <f aca="false">IF(ISNUMBER(VLOOKUP($A78,VOLCURVES,HLOOKUP(D$28,VOLCURVES,2,FALSE()),FALSE())),VLOOKUP($A78,VOLCURVES,HLOOKUP(D$28,VOLCURVES,2,FALSE()),FALSE()),1)</f>
        <v>1</v>
      </c>
      <c r="F78" s="64" t="n">
        <f aca="false">IF(D$28="NYMEX",$AG78,$AF78)</f>
        <v>-7243</v>
      </c>
      <c r="G78" s="4" t="e">
        <f aca="false">(($C78+H78)*$E78)+B$15</f>
        <v>#DIV/0!</v>
      </c>
      <c r="H78" s="4" t="e">
        <f aca="false">IF(B$16=1,xCalcSkew(A78,I78-AO78,b)/100,0)</f>
        <v>#DIV/0!</v>
      </c>
      <c r="I78" s="66" t="n">
        <f aca="false">IF($B$19=4,$AO78,$B$18)</f>
        <v>5</v>
      </c>
      <c r="K78" s="63" t="n">
        <f aca="false">IF(K$28="nymex",0,VLOOKUP($A78,curvesettle,HLOOKUP(K$28,curvesettle,2,FALSE())))</f>
        <v>-0.075</v>
      </c>
      <c r="L78" s="65" t="n">
        <f aca="false">IF(ISNUMBER(VLOOKUP($A78,VOLCURVES,HLOOKUP(K$28,VOLCURVES,2,FALSE()),FALSE())),VLOOKUP($A78,VOLCURVES,HLOOKUP(K$28,VOLCURVES,2,FALSE()),FALSE()),1)</f>
        <v>1</v>
      </c>
      <c r="M78" s="64" t="n">
        <f aca="false">IF(K$28="NYMEX",$AG78,$AF78)</f>
        <v>-7243</v>
      </c>
      <c r="N78" s="184" t="e">
        <f aca="false">(($C78+O78)*$L78)+D$15</f>
        <v>#DIV/0!</v>
      </c>
      <c r="O78" s="4" t="e">
        <f aca="false">IF(D$16=1,xCalcSkew($A78,P78-AZ78,b)/100,0)</f>
        <v>#DIV/0!</v>
      </c>
      <c r="P78" s="66" t="n">
        <f aca="false">IF($D$19=4,$AZ78,$D$18)</f>
        <v>3</v>
      </c>
      <c r="R78" s="63" t="n">
        <f aca="false">IF(R$28="nymex",0,VLOOKUP($A78,curvesettle,HLOOKUP(R$28,curvesettle,2,FALSE())))</f>
        <v>-0.26</v>
      </c>
      <c r="S78" s="65" t="n">
        <f aca="false">IF(ISNUMBER(VLOOKUP($A78,VOLCURVES,HLOOKUP(R$28,VOLCURVES,2,FALSE()),FALSE())),VLOOKUP($A78,VOLCURVES,HLOOKUP(R$28,VOLCURVES,2,FALSE()),FALSE()),1)</f>
        <v>1</v>
      </c>
      <c r="T78" s="64" t="n">
        <f aca="false">IF(R$28="NYMEX",$AG78,$AF78)</f>
        <v>-7243</v>
      </c>
      <c r="U78" s="184" t="e">
        <f aca="false">(($C78+V78)*$S78)+F$15</f>
        <v>#DIV/0!</v>
      </c>
      <c r="V78" s="4" t="e">
        <f aca="false">IF(F$16=1,xCalcSkew($A78,W78-BK78,b)/100,0)</f>
        <v>#DIV/0!</v>
      </c>
      <c r="W78" s="66" t="n">
        <f aca="false">IF($F$19=4,$BK78,$F$18)</f>
        <v>2.55</v>
      </c>
      <c r="X78" s="64"/>
      <c r="Y78" s="63" t="n">
        <f aca="false">IF(Y$28="nymex",0,VLOOKUP($A78,curvesettle,HLOOKUP(Y$28,curvesettle,2,FALSE())))</f>
        <v>0</v>
      </c>
      <c r="Z78" s="65" t="n">
        <f aca="false">IF(ISNUMBER(VLOOKUP($A78,VOLCURVES,HLOOKUP(Y$28,VOLCURVES,2,FALSE()),FALSE())),VLOOKUP($A78,VOLCURVES,HLOOKUP(Y$28,VOLCURVES,2,FALSE()),FALSE()),1)</f>
        <v>1</v>
      </c>
      <c r="AA78" s="64" t="n">
        <f aca="false">IF(Y$28="NYMEX",$AG78,$AF78)</f>
        <v>-7246</v>
      </c>
      <c r="AB78" s="4" t="e">
        <f aca="false">(($C78+AC78)*$Z78)+H$15</f>
        <v>#DIV/0!</v>
      </c>
      <c r="AC78" s="4" t="e">
        <f aca="false">IF(H$16=1,xCalcSkew($A78,AD78-BV78,b)/100,0)</f>
        <v>#DIV/0!</v>
      </c>
      <c r="AD78" s="66" t="n">
        <f aca="false">IF($H$19=4,$BV78,$H$18)</f>
        <v>2.9</v>
      </c>
      <c r="AF78" s="64" t="n">
        <f aca="false">VLOOKUP($A78,expiration,2,FALSE())-$B$2</f>
        <v>-7243</v>
      </c>
      <c r="AG78" s="64" t="n">
        <f aca="false">VLOOKUP($A78,expiration,3,FALSE())-$B$2</f>
        <v>-7246</v>
      </c>
      <c r="AH78" s="4" t="n">
        <f aca="false">VLOOKUP($A78,STRADDLE,14,FALSE())</f>
        <v>0.0474570710920372</v>
      </c>
      <c r="AI78" s="72" t="n">
        <f aca="false">A79-A78</f>
        <v>31</v>
      </c>
      <c r="AL78" s="64"/>
      <c r="AM78" s="73"/>
      <c r="AN78" s="73" t="n">
        <f aca="false">IF($A78&gt;=AO$25,IF($A78&lt;=AO$26,$AI78,0),0)</f>
        <v>0</v>
      </c>
      <c r="AO78" s="196" t="e">
        <f aca="false">AQ78/AN78</f>
        <v>#DIV/0!</v>
      </c>
      <c r="AP78" s="1" t="n">
        <f aca="false">AN78*($B78+B$13)</f>
        <v>0</v>
      </c>
      <c r="AQ78" s="47" t="n">
        <f aca="false">IF(ISNUMBER(((AP78/AN78)+B$14+$D78)*AN78),((AP78/AN78)+B$14+$D78)*AN78,0)</f>
        <v>0</v>
      </c>
      <c r="AR78" s="76" t="n">
        <f aca="false">IF(AN78=0,0,bsd(1,AS$27,AO78,$I78,$F78,$G78,$AH78,0.1))</f>
        <v>0</v>
      </c>
      <c r="AS78" s="76" t="n">
        <f aca="false">IF(AN78=0,0,bsd(2,AS$27,AO78,$I78,$F78,$G78,$AH78,0.1))</f>
        <v>0</v>
      </c>
      <c r="AT78" s="76" t="n">
        <f aca="false">IF(AN78=0,0,bsd(AS$28,AS$27,AO78,$I78,$F78,$G78,$AH78,0.1))</f>
        <v>0</v>
      </c>
      <c r="AU78" s="37" t="n">
        <f aca="false">AN78*AR78</f>
        <v>0</v>
      </c>
      <c r="AV78" s="37" t="n">
        <f aca="false">AN78*AS78</f>
        <v>0</v>
      </c>
      <c r="AW78" s="37" t="n">
        <f aca="false">AN78*AT78</f>
        <v>0</v>
      </c>
      <c r="AY78" s="73" t="n">
        <f aca="false">IF($A78&gt;=AZ$25,IF($A78&lt;=AZ$26,$AI78,0),0)</f>
        <v>0</v>
      </c>
      <c r="AZ78" s="196" t="e">
        <f aca="false">BB78/AY78</f>
        <v>#DIV/0!</v>
      </c>
      <c r="BA78" s="1" t="n">
        <f aca="false">AY78*($B78+D$13)</f>
        <v>0</v>
      </c>
      <c r="BB78" s="47" t="n">
        <f aca="false">IF(ISNUMBER(((BA78/AY78)+D$14+$K78)*AY78),((BA78/AY78)+D$14+$K78)*AY78,0)</f>
        <v>0</v>
      </c>
      <c r="BC78" s="76" t="n">
        <f aca="false">IF(AY78=0,0,bsd(1,BD$27,AZ78,$P78,$M78,$N78,$AH78,0.1))</f>
        <v>0</v>
      </c>
      <c r="BD78" s="76" t="n">
        <f aca="false">IF(AY78=0,0,bsd(2,BD$27,AZ78,$P78,$M78,$N78,$AH78,0.1))</f>
        <v>0</v>
      </c>
      <c r="BE78" s="76" t="n">
        <f aca="false">IF(AY78=0,0,bsd(BD$28,BD$27,AZ78,$P78,$M78,$N78,$AH78,0.1))</f>
        <v>0</v>
      </c>
      <c r="BF78" s="37" t="n">
        <f aca="false">AY78*BC78</f>
        <v>0</v>
      </c>
      <c r="BG78" s="37" t="n">
        <f aca="false">AY78*BD78</f>
        <v>0</v>
      </c>
      <c r="BH78" s="37" t="n">
        <f aca="false">AY78*BE78</f>
        <v>0</v>
      </c>
      <c r="BJ78" s="73" t="n">
        <f aca="false">IF($A78&gt;=BK$25,IF($A78&lt;=BK$26,$AI78,0),0)</f>
        <v>0</v>
      </c>
      <c r="BK78" s="196" t="e">
        <f aca="false">BM78/BJ78</f>
        <v>#DIV/0!</v>
      </c>
      <c r="BL78" s="1" t="n">
        <f aca="false">BJ78*($B78+F$13)</f>
        <v>0</v>
      </c>
      <c r="BM78" s="47" t="n">
        <f aca="false">IF(ISNUMBER(((BL78/BJ78)+F$14+$R78)*BJ78),((BL78/BJ78)+F$14+$R78)*BJ78,0)</f>
        <v>0</v>
      </c>
      <c r="BN78" s="76" t="n">
        <f aca="false">IF(BJ78=0,0,bsd(1,BO$27,BK78,$W78,$T78,$U78,$AH78,0.1))</f>
        <v>0</v>
      </c>
      <c r="BO78" s="76" t="n">
        <f aca="false">IF(BJ78=0,0,bsd(2,BO$27,BK78,$W78,$T78,$U78,$AH78,0.1))</f>
        <v>0</v>
      </c>
      <c r="BP78" s="76" t="n">
        <f aca="false">IF(BJ78=0,0,bsd(BO$28,BO$27,BK78,$W78,$T78,$U78,$AH78,0.1))</f>
        <v>0</v>
      </c>
      <c r="BQ78" s="37" t="n">
        <f aca="false">BJ78*BN78</f>
        <v>0</v>
      </c>
      <c r="BR78" s="37" t="n">
        <f aca="false">BJ78*BO78</f>
        <v>0</v>
      </c>
      <c r="BS78" s="37" t="n">
        <f aca="false">BJ78*BP78</f>
        <v>0</v>
      </c>
      <c r="BU78" s="73" t="n">
        <f aca="false">IF($A78&gt;=BV$25,IF($A78&lt;=BV$26,$AI78,0),0)</f>
        <v>0</v>
      </c>
      <c r="BV78" s="196" t="e">
        <f aca="false">BX78/BU78</f>
        <v>#DIV/0!</v>
      </c>
      <c r="BW78" s="1" t="n">
        <f aca="false">BU78*($B78+H$13)</f>
        <v>0</v>
      </c>
      <c r="BX78" s="47" t="n">
        <f aca="false">IF(ISNUMBER(((BW78/BU78)+H$14+$Y78)*BU78),((BW78/BU78)+H$14+$Y78)*BU78,0)</f>
        <v>0</v>
      </c>
      <c r="BY78" s="76" t="n">
        <f aca="false">IF(BU78=0,0,bsd(1,BZ$27,BV78,$AD78,$AA78,$AB78,$AH78,0.1))</f>
        <v>0</v>
      </c>
      <c r="BZ78" s="76" t="n">
        <f aca="false">IF(BU78=0,0,bsd(2,BZ$27,BV78,$AD78,$AA78,$AB78,$AH78,0.1))</f>
        <v>0</v>
      </c>
      <c r="CA78" s="76" t="n">
        <f aca="false">IF(BU78=0,0,bsd(BZ$28,BZ$27,BV78,$AD78,$AA78,$AB78,$AH78,0.1))</f>
        <v>0</v>
      </c>
      <c r="CB78" s="37" t="n">
        <f aca="false">BU78*BY78</f>
        <v>0</v>
      </c>
      <c r="CC78" s="37" t="n">
        <f aca="false">BU78*BZ78</f>
        <v>0</v>
      </c>
      <c r="CD78" s="37" t="n">
        <f aca="false">BU78*CA78</f>
        <v>0</v>
      </c>
    </row>
    <row r="79" customFormat="false" ht="12.75" hidden="false" customHeight="false" outlineLevel="0" collapsed="false">
      <c r="A79" s="62" t="n">
        <f aca="false">DATE(YEAR(A78),MONTH(A78)+1,1)</f>
        <v>38718</v>
      </c>
      <c r="B79" s="63" t="n">
        <f aca="false">VLOOKUP(A79,STRADDLE,5,FALSE())</f>
        <v>3.735</v>
      </c>
      <c r="C79" s="4" t="n">
        <f aca="false">VLOOKUP(A79,STRADDLE,8,FALSE())</f>
        <v>0.285</v>
      </c>
      <c r="D79" s="63" t="n">
        <f aca="false">IF(D$28="nymex",0,VLOOKUP($A79,curvesettle,HLOOKUP(D$28,curvesettle,2,FALSE())))</f>
        <v>-0.075</v>
      </c>
      <c r="E79" s="65" t="n">
        <f aca="false">IF(ISNUMBER(VLOOKUP($A79,VOLCURVES,HLOOKUP(D$28,VOLCURVES,2,FALSE()),FALSE())),VLOOKUP($A79,VOLCURVES,HLOOKUP(D$28,VOLCURVES,2,FALSE()),FALSE()),1)</f>
        <v>1</v>
      </c>
      <c r="F79" s="64" t="n">
        <f aca="false">IF(D$28="NYMEX",$AG79,$AF79)</f>
        <v>-7213</v>
      </c>
      <c r="G79" s="4" t="e">
        <f aca="false">(($C79+H79)*$E79)+B$15</f>
        <v>#DIV/0!</v>
      </c>
      <c r="H79" s="4" t="e">
        <f aca="false">IF(B$16=1,xCalcSkew(A79,I79-AO79,b)/100,0)</f>
        <v>#DIV/0!</v>
      </c>
      <c r="I79" s="66" t="n">
        <f aca="false">IF($B$19=4,$AO79,$B$18)</f>
        <v>5</v>
      </c>
      <c r="K79" s="63" t="n">
        <f aca="false">IF(K$28="nymex",0,VLOOKUP($A79,curvesettle,HLOOKUP(K$28,curvesettle,2,FALSE())))</f>
        <v>-0.075</v>
      </c>
      <c r="L79" s="65" t="n">
        <f aca="false">IF(ISNUMBER(VLOOKUP($A79,VOLCURVES,HLOOKUP(K$28,VOLCURVES,2,FALSE()),FALSE())),VLOOKUP($A79,VOLCURVES,HLOOKUP(K$28,VOLCURVES,2,FALSE()),FALSE()),1)</f>
        <v>1</v>
      </c>
      <c r="M79" s="64" t="n">
        <f aca="false">IF(K$28="NYMEX",$AG79,$AF79)</f>
        <v>-7213</v>
      </c>
      <c r="N79" s="184" t="e">
        <f aca="false">(($C79+O79)*$L79)+D$15</f>
        <v>#DIV/0!</v>
      </c>
      <c r="O79" s="4" t="e">
        <f aca="false">IF(D$16=1,xCalcSkew($A79,P79-AZ79,b)/100,0)</f>
        <v>#DIV/0!</v>
      </c>
      <c r="P79" s="66" t="n">
        <f aca="false">IF($D$19=4,$AZ79,$D$18)</f>
        <v>3</v>
      </c>
      <c r="R79" s="63" t="n">
        <f aca="false">IF(R$28="nymex",0,VLOOKUP($A79,curvesettle,HLOOKUP(R$28,curvesettle,2,FALSE())))</f>
        <v>-0.26</v>
      </c>
      <c r="S79" s="65" t="n">
        <f aca="false">IF(ISNUMBER(VLOOKUP($A79,VOLCURVES,HLOOKUP(R$28,VOLCURVES,2,FALSE()),FALSE())),VLOOKUP($A79,VOLCURVES,HLOOKUP(R$28,VOLCURVES,2,FALSE()),FALSE()),1)</f>
        <v>1</v>
      </c>
      <c r="T79" s="64" t="n">
        <f aca="false">IF(R$28="NYMEX",$AG79,$AF79)</f>
        <v>-7213</v>
      </c>
      <c r="U79" s="184" t="e">
        <f aca="false">(($C79+V79)*$S79)+F$15</f>
        <v>#DIV/0!</v>
      </c>
      <c r="V79" s="4" t="e">
        <f aca="false">IF(F$16=1,xCalcSkew($A79,W79-BK79,b)/100,0)</f>
        <v>#DIV/0!</v>
      </c>
      <c r="W79" s="66" t="n">
        <f aca="false">IF($F$19=4,$BK79,$F$18)</f>
        <v>2.55</v>
      </c>
      <c r="X79" s="64"/>
      <c r="Y79" s="63" t="n">
        <f aca="false">IF(Y$28="nymex",0,VLOOKUP($A79,curvesettle,HLOOKUP(Y$28,curvesettle,2,FALSE())))</f>
        <v>0</v>
      </c>
      <c r="Z79" s="65" t="n">
        <f aca="false">IF(ISNUMBER(VLOOKUP($A79,VOLCURVES,HLOOKUP(Y$28,VOLCURVES,2,FALSE()),FALSE())),VLOOKUP($A79,VOLCURVES,HLOOKUP(Y$28,VOLCURVES,2,FALSE()),FALSE()),1)</f>
        <v>1</v>
      </c>
      <c r="AA79" s="64" t="n">
        <f aca="false">IF(Y$28="NYMEX",$AG79,$AF79)</f>
        <v>-7214</v>
      </c>
      <c r="AB79" s="4" t="e">
        <f aca="false">(($C79+AC79)*$Z79)+H$15</f>
        <v>#DIV/0!</v>
      </c>
      <c r="AC79" s="4" t="e">
        <f aca="false">IF(H$16=1,xCalcSkew($A79,AD79-BV79,b)/100,0)</f>
        <v>#DIV/0!</v>
      </c>
      <c r="AD79" s="66" t="n">
        <f aca="false">IF($H$19=4,$BV79,$H$18)</f>
        <v>2.9</v>
      </c>
      <c r="AF79" s="64" t="n">
        <f aca="false">VLOOKUP($A79,expiration,2,FALSE())-$B$2</f>
        <v>-7213</v>
      </c>
      <c r="AG79" s="64" t="n">
        <f aca="false">VLOOKUP($A79,expiration,3,FALSE())-$B$2</f>
        <v>-7214</v>
      </c>
      <c r="AH79" s="4" t="n">
        <f aca="false">VLOOKUP($A79,STRADDLE,14,FALSE())</f>
        <v>0.0478100678250022</v>
      </c>
      <c r="AI79" s="72" t="n">
        <f aca="false">A80-A79</f>
        <v>31</v>
      </c>
      <c r="AL79" s="64"/>
      <c r="AM79" s="73"/>
      <c r="AN79" s="73" t="n">
        <f aca="false">IF($A79&gt;=AO$25,IF($A79&lt;=AO$26,$AI79,0),0)</f>
        <v>0</v>
      </c>
      <c r="AO79" s="196" t="e">
        <f aca="false">AQ79/AN79</f>
        <v>#DIV/0!</v>
      </c>
      <c r="AP79" s="1" t="n">
        <f aca="false">AN79*($B79+B$13)</f>
        <v>0</v>
      </c>
      <c r="AQ79" s="47" t="n">
        <f aca="false">IF(ISNUMBER(((AP79/AN79)+B$14+$D79)*AN79),((AP79/AN79)+B$14+$D79)*AN79,0)</f>
        <v>0</v>
      </c>
      <c r="AR79" s="76" t="n">
        <f aca="false">IF(AN79=0,0,bsd(1,AS$27,AO79,$I79,$F79,$G79,$AH79,0.1))</f>
        <v>0</v>
      </c>
      <c r="AS79" s="76" t="n">
        <f aca="false">IF(AN79=0,0,bsd(2,AS$27,AO79,$I79,$F79,$G79,$AH79,0.1))</f>
        <v>0</v>
      </c>
      <c r="AT79" s="76" t="n">
        <f aca="false">IF(AN79=0,0,bsd(AS$28,AS$27,AO79,$I79,$F79,$G79,$AH79,0.1))</f>
        <v>0</v>
      </c>
      <c r="AU79" s="37" t="n">
        <f aca="false">AN79*AR79</f>
        <v>0</v>
      </c>
      <c r="AV79" s="37" t="n">
        <f aca="false">AN79*AS79</f>
        <v>0</v>
      </c>
      <c r="AW79" s="37" t="n">
        <f aca="false">AN79*AT79</f>
        <v>0</v>
      </c>
      <c r="AY79" s="73" t="n">
        <f aca="false">IF($A79&gt;=AZ$25,IF($A79&lt;=AZ$26,$AI79,0),0)</f>
        <v>0</v>
      </c>
      <c r="AZ79" s="196" t="e">
        <f aca="false">BB79/AY79</f>
        <v>#DIV/0!</v>
      </c>
      <c r="BA79" s="1" t="n">
        <f aca="false">AY79*($B79+D$13)</f>
        <v>0</v>
      </c>
      <c r="BB79" s="47" t="n">
        <f aca="false">IF(ISNUMBER(((BA79/AY79)+D$14+$K79)*AY79),((BA79/AY79)+D$14+$K79)*AY79,0)</f>
        <v>0</v>
      </c>
      <c r="BC79" s="76" t="n">
        <f aca="false">IF(AY79=0,0,bsd(1,BD$27,AZ79,$P79,$M79,$N79,$AH79,0.1))</f>
        <v>0</v>
      </c>
      <c r="BD79" s="76" t="n">
        <f aca="false">IF(AY79=0,0,bsd(2,BD$27,AZ79,$P79,$M79,$N79,$AH79,0.1))</f>
        <v>0</v>
      </c>
      <c r="BE79" s="76" t="n">
        <f aca="false">IF(AY79=0,0,bsd(BD$28,BD$27,AZ79,$P79,$M79,$N79,$AH79,0.1))</f>
        <v>0</v>
      </c>
      <c r="BF79" s="37" t="n">
        <f aca="false">AY79*BC79</f>
        <v>0</v>
      </c>
      <c r="BG79" s="37" t="n">
        <f aca="false">AY79*BD79</f>
        <v>0</v>
      </c>
      <c r="BH79" s="37" t="n">
        <f aca="false">AY79*BE79</f>
        <v>0</v>
      </c>
      <c r="BJ79" s="73" t="n">
        <f aca="false">IF($A79&gt;=BK$25,IF($A79&lt;=BK$26,$AI79,0),0)</f>
        <v>0</v>
      </c>
      <c r="BK79" s="196" t="e">
        <f aca="false">BM79/BJ79</f>
        <v>#DIV/0!</v>
      </c>
      <c r="BL79" s="1" t="n">
        <f aca="false">BJ79*($B79+F$13)</f>
        <v>0</v>
      </c>
      <c r="BM79" s="47" t="n">
        <f aca="false">IF(ISNUMBER(((BL79/BJ79)+F$14+$R79)*BJ79),((BL79/BJ79)+F$14+$R79)*BJ79,0)</f>
        <v>0</v>
      </c>
      <c r="BN79" s="76" t="n">
        <f aca="false">IF(BJ79=0,0,bsd(1,BO$27,BK79,$W79,$T79,$U79,$AH79,0.1))</f>
        <v>0</v>
      </c>
      <c r="BO79" s="76" t="n">
        <f aca="false">IF(BJ79=0,0,bsd(2,BO$27,BK79,$W79,$T79,$U79,$AH79,0.1))</f>
        <v>0</v>
      </c>
      <c r="BP79" s="76" t="n">
        <f aca="false">IF(BJ79=0,0,bsd(BO$28,BO$27,BK79,$W79,$T79,$U79,$AH79,0.1))</f>
        <v>0</v>
      </c>
      <c r="BQ79" s="37" t="n">
        <f aca="false">BJ79*BN79</f>
        <v>0</v>
      </c>
      <c r="BR79" s="37" t="n">
        <f aca="false">BJ79*BO79</f>
        <v>0</v>
      </c>
      <c r="BS79" s="37" t="n">
        <f aca="false">BJ79*BP79</f>
        <v>0</v>
      </c>
      <c r="BU79" s="73" t="n">
        <f aca="false">IF($A79&gt;=BV$25,IF($A79&lt;=BV$26,$AI79,0),0)</f>
        <v>0</v>
      </c>
      <c r="BV79" s="196" t="e">
        <f aca="false">BX79/BU79</f>
        <v>#DIV/0!</v>
      </c>
      <c r="BW79" s="1" t="n">
        <f aca="false">BU79*($B79+H$13)</f>
        <v>0</v>
      </c>
      <c r="BX79" s="47" t="n">
        <f aca="false">IF(ISNUMBER(((BW79/BU79)+H$14+$Y79)*BU79),((BW79/BU79)+H$14+$Y79)*BU79,0)</f>
        <v>0</v>
      </c>
      <c r="BY79" s="76" t="n">
        <f aca="false">IF(BU79=0,0,bsd(1,BZ$27,BV79,$AD79,$AA79,$AB79,$AH79,0.1))</f>
        <v>0</v>
      </c>
      <c r="BZ79" s="76" t="n">
        <f aca="false">IF(BU79=0,0,bsd(2,BZ$27,BV79,$AD79,$AA79,$AB79,$AH79,0.1))</f>
        <v>0</v>
      </c>
      <c r="CA79" s="76" t="n">
        <f aca="false">IF(BU79=0,0,bsd(BZ$28,BZ$27,BV79,$AD79,$AA79,$AB79,$AH79,0.1))</f>
        <v>0</v>
      </c>
      <c r="CB79" s="37" t="n">
        <f aca="false">BU79*BY79</f>
        <v>0</v>
      </c>
      <c r="CC79" s="37" t="n">
        <f aca="false">BU79*BZ79</f>
        <v>0</v>
      </c>
      <c r="CD79" s="37" t="n">
        <f aca="false">BU79*CA79</f>
        <v>0</v>
      </c>
    </row>
    <row r="80" customFormat="false" ht="12.75" hidden="false" customHeight="false" outlineLevel="0" collapsed="false">
      <c r="A80" s="62" t="n">
        <f aca="false">DATE(YEAR(A79),MONTH(A79)+1,1)</f>
        <v>38749</v>
      </c>
      <c r="B80" s="63" t="n">
        <f aca="false">VLOOKUP(A80,STRADDLE,5,FALSE())</f>
        <v>3.65</v>
      </c>
      <c r="C80" s="4" t="n">
        <f aca="false">VLOOKUP(A80,STRADDLE,8,FALSE())</f>
        <v>0.28</v>
      </c>
      <c r="D80" s="63" t="n">
        <f aca="false">IF(D$28="nymex",0,VLOOKUP($A80,curvesettle,HLOOKUP(D$28,curvesettle,2,FALSE())))</f>
        <v>-0.075</v>
      </c>
      <c r="E80" s="65" t="n">
        <f aca="false">IF(ISNUMBER(VLOOKUP($A80,VOLCURVES,HLOOKUP(D$28,VOLCURVES,2,FALSE()),FALSE())),VLOOKUP($A80,VOLCURVES,HLOOKUP(D$28,VOLCURVES,2,FALSE()),FALSE()),1)</f>
        <v>1</v>
      </c>
      <c r="F80" s="64" t="n">
        <f aca="false">IF(D$28="NYMEX",$AG80,$AF80)</f>
        <v>-7183</v>
      </c>
      <c r="G80" s="4" t="e">
        <f aca="false">(($C80+H80)*$E80)+B$15</f>
        <v>#DIV/0!</v>
      </c>
      <c r="H80" s="4" t="e">
        <f aca="false">IF(B$16=1,xCalcSkew(A80,I80-AO80,b)/100,0)</f>
        <v>#DIV/0!</v>
      </c>
      <c r="I80" s="66" t="n">
        <f aca="false">IF($B$19=4,$AO80,$B$18)</f>
        <v>5</v>
      </c>
      <c r="K80" s="63" t="n">
        <f aca="false">IF(K$28="nymex",0,VLOOKUP($A80,curvesettle,HLOOKUP(K$28,curvesettle,2,FALSE())))</f>
        <v>-0.075</v>
      </c>
      <c r="L80" s="65" t="n">
        <f aca="false">IF(ISNUMBER(VLOOKUP($A80,VOLCURVES,HLOOKUP(K$28,VOLCURVES,2,FALSE()),FALSE())),VLOOKUP($A80,VOLCURVES,HLOOKUP(K$28,VOLCURVES,2,FALSE()),FALSE()),1)</f>
        <v>1</v>
      </c>
      <c r="M80" s="64" t="n">
        <f aca="false">IF(K$28="NYMEX",$AG80,$AF80)</f>
        <v>-7183</v>
      </c>
      <c r="N80" s="184" t="e">
        <f aca="false">(($C80+O80)*$L80)+D$15</f>
        <v>#DIV/0!</v>
      </c>
      <c r="O80" s="4" t="e">
        <f aca="false">IF(D$16=1,xCalcSkew($A80,P80-AZ80,b)/100,0)</f>
        <v>#DIV/0!</v>
      </c>
      <c r="P80" s="66" t="n">
        <f aca="false">IF($D$19=4,$AZ80,$D$18)</f>
        <v>3</v>
      </c>
      <c r="R80" s="63" t="n">
        <f aca="false">IF(R$28="nymex",0,VLOOKUP($A80,curvesettle,HLOOKUP(R$28,curvesettle,2,FALSE())))</f>
        <v>-0.26</v>
      </c>
      <c r="S80" s="65" t="n">
        <f aca="false">IF(ISNUMBER(VLOOKUP($A80,VOLCURVES,HLOOKUP(R$28,VOLCURVES,2,FALSE()),FALSE())),VLOOKUP($A80,VOLCURVES,HLOOKUP(R$28,VOLCURVES,2,FALSE()),FALSE()),1)</f>
        <v>1</v>
      </c>
      <c r="T80" s="64" t="n">
        <f aca="false">IF(R$28="NYMEX",$AG80,$AF80)</f>
        <v>-7183</v>
      </c>
      <c r="U80" s="184" t="e">
        <f aca="false">(($C80+V80)*$S80)+F$15</f>
        <v>#DIV/0!</v>
      </c>
      <c r="V80" s="4" t="e">
        <f aca="false">IF(F$16=1,xCalcSkew($A80,W80-BK80,b)/100,0)</f>
        <v>#DIV/0!</v>
      </c>
      <c r="W80" s="66" t="n">
        <f aca="false">IF($F$19=4,$BK80,$F$18)</f>
        <v>2.55</v>
      </c>
      <c r="X80" s="64"/>
      <c r="Y80" s="63" t="n">
        <f aca="false">IF(Y$28="nymex",0,VLOOKUP($A80,curvesettle,HLOOKUP(Y$28,curvesettle,2,FALSE())))</f>
        <v>0</v>
      </c>
      <c r="Z80" s="65" t="n">
        <f aca="false">IF(ISNUMBER(VLOOKUP($A80,VOLCURVES,HLOOKUP(Y$28,VOLCURVES,2,FALSE()),FALSE())),VLOOKUP($A80,VOLCURVES,HLOOKUP(Y$28,VOLCURVES,2,FALSE()),FALSE()),1)</f>
        <v>1</v>
      </c>
      <c r="AA80" s="64" t="n">
        <f aca="false">IF(Y$28="NYMEX",$AG80,$AF80)</f>
        <v>-7184</v>
      </c>
      <c r="AB80" s="4" t="e">
        <f aca="false">(($C80+AC80)*$Z80)+H$15</f>
        <v>#DIV/0!</v>
      </c>
      <c r="AC80" s="4" t="e">
        <f aca="false">IF(H$16=1,xCalcSkew($A80,AD80-BV80,b)/100,0)</f>
        <v>#DIV/0!</v>
      </c>
      <c r="AD80" s="66" t="n">
        <f aca="false">IF($H$19=4,$BV80,$H$18)</f>
        <v>2.9</v>
      </c>
      <c r="AF80" s="64" t="n">
        <f aca="false">VLOOKUP($A80,expiration,2,FALSE())-$B$2</f>
        <v>-7183</v>
      </c>
      <c r="AG80" s="64" t="n">
        <f aca="false">VLOOKUP($A80,expiration,3,FALSE())-$B$2</f>
        <v>-7184</v>
      </c>
      <c r="AH80" s="4" t="n">
        <f aca="false">VLOOKUP($A80,STRADDLE,14,FALSE())</f>
        <v>0.0481206389556634</v>
      </c>
      <c r="AI80" s="72" t="n">
        <f aca="false">A81-A80</f>
        <v>28</v>
      </c>
      <c r="AL80" s="64"/>
      <c r="AM80" s="73"/>
      <c r="AN80" s="73" t="n">
        <f aca="false">IF($A80&gt;=AO$25,IF($A80&lt;=AO$26,$AI80,0),0)</f>
        <v>0</v>
      </c>
      <c r="AO80" s="196" t="e">
        <f aca="false">AQ80/AN80</f>
        <v>#DIV/0!</v>
      </c>
      <c r="AP80" s="1" t="n">
        <f aca="false">AN80*($B80+B$13)</f>
        <v>0</v>
      </c>
      <c r="AQ80" s="47" t="n">
        <f aca="false">IF(ISNUMBER(((AP80/AN80)+B$14+$D80)*AN80),((AP80/AN80)+B$14+$D80)*AN80,0)</f>
        <v>0</v>
      </c>
      <c r="AR80" s="76" t="n">
        <f aca="false">IF(AN80=0,0,bsd(1,AS$27,AO80,$I80,$F80,$G80,$AH80,0.1))</f>
        <v>0</v>
      </c>
      <c r="AS80" s="76" t="n">
        <f aca="false">IF(AN80=0,0,bsd(2,AS$27,AO80,$I80,$F80,$G80,$AH80,0.1))</f>
        <v>0</v>
      </c>
      <c r="AT80" s="76" t="n">
        <f aca="false">IF(AN80=0,0,bsd(AS$28,AS$27,AO80,$I80,$F80,$G80,$AH80,0.1))</f>
        <v>0</v>
      </c>
      <c r="AU80" s="37" t="n">
        <f aca="false">AN80*AR80</f>
        <v>0</v>
      </c>
      <c r="AV80" s="37" t="n">
        <f aca="false">AN80*AS80</f>
        <v>0</v>
      </c>
      <c r="AW80" s="37" t="n">
        <f aca="false">AN80*AT80</f>
        <v>0</v>
      </c>
      <c r="AY80" s="73" t="n">
        <f aca="false">IF($A80&gt;=AZ$25,IF($A80&lt;=AZ$26,$AI80,0),0)</f>
        <v>0</v>
      </c>
      <c r="AZ80" s="196" t="e">
        <f aca="false">BB80/AY80</f>
        <v>#DIV/0!</v>
      </c>
      <c r="BA80" s="1" t="n">
        <f aca="false">AY80*($B80+D$13)</f>
        <v>0</v>
      </c>
      <c r="BB80" s="47" t="n">
        <f aca="false">IF(ISNUMBER(((BA80/AY80)+D$14+$K80)*AY80),((BA80/AY80)+D$14+$K80)*AY80,0)</f>
        <v>0</v>
      </c>
      <c r="BC80" s="76" t="n">
        <f aca="false">IF(AY80=0,0,bsd(1,BD$27,AZ80,$P80,$M80,$N80,$AH80,0.1))</f>
        <v>0</v>
      </c>
      <c r="BD80" s="76" t="n">
        <f aca="false">IF(AY80=0,0,bsd(2,BD$27,AZ80,$P80,$M80,$N80,$AH80,0.1))</f>
        <v>0</v>
      </c>
      <c r="BE80" s="76" t="n">
        <f aca="false">IF(AY80=0,0,bsd(BD$28,BD$27,AZ80,$P80,$M80,$N80,$AH80,0.1))</f>
        <v>0</v>
      </c>
      <c r="BF80" s="37" t="n">
        <f aca="false">AY80*BC80</f>
        <v>0</v>
      </c>
      <c r="BG80" s="37" t="n">
        <f aca="false">AY80*BD80</f>
        <v>0</v>
      </c>
      <c r="BH80" s="37" t="n">
        <f aca="false">AY80*BE80</f>
        <v>0</v>
      </c>
      <c r="BJ80" s="73" t="n">
        <f aca="false">IF($A80&gt;=BK$25,IF($A80&lt;=BK$26,$AI80,0),0)</f>
        <v>0</v>
      </c>
      <c r="BK80" s="196" t="e">
        <f aca="false">BM80/BJ80</f>
        <v>#DIV/0!</v>
      </c>
      <c r="BL80" s="1" t="n">
        <f aca="false">BJ80*($B80+F$13)</f>
        <v>0</v>
      </c>
      <c r="BM80" s="47" t="n">
        <f aca="false">IF(ISNUMBER(((BL80/BJ80)+F$14+$R80)*BJ80),((BL80/BJ80)+F$14+$R80)*BJ80,0)</f>
        <v>0</v>
      </c>
      <c r="BN80" s="76" t="n">
        <f aca="false">IF(BJ80=0,0,bsd(1,BO$27,BK80,$W80,$T80,$U80,$AH80,0.1))</f>
        <v>0</v>
      </c>
      <c r="BO80" s="76" t="n">
        <f aca="false">IF(BJ80=0,0,bsd(2,BO$27,BK80,$W80,$T80,$U80,$AH80,0.1))</f>
        <v>0</v>
      </c>
      <c r="BP80" s="76" t="n">
        <f aca="false">IF(BJ80=0,0,bsd(BO$28,BO$27,BK80,$W80,$T80,$U80,$AH80,0.1))</f>
        <v>0</v>
      </c>
      <c r="BQ80" s="37" t="n">
        <f aca="false">BJ80*BN80</f>
        <v>0</v>
      </c>
      <c r="BR80" s="37" t="n">
        <f aca="false">BJ80*BO80</f>
        <v>0</v>
      </c>
      <c r="BS80" s="37" t="n">
        <f aca="false">BJ80*BP80</f>
        <v>0</v>
      </c>
      <c r="BU80" s="73" t="n">
        <f aca="false">IF($A80&gt;=BV$25,IF($A80&lt;=BV$26,$AI80,0),0)</f>
        <v>0</v>
      </c>
      <c r="BV80" s="196" t="e">
        <f aca="false">BX80/BU80</f>
        <v>#DIV/0!</v>
      </c>
      <c r="BW80" s="1" t="n">
        <f aca="false">BU80*($B80+H$13)</f>
        <v>0</v>
      </c>
      <c r="BX80" s="47" t="n">
        <f aca="false">IF(ISNUMBER(((BW80/BU80)+H$14+$Y80)*BU80),((BW80/BU80)+H$14+$Y80)*BU80,0)</f>
        <v>0</v>
      </c>
      <c r="BY80" s="76" t="n">
        <f aca="false">IF(BU80=0,0,bsd(1,BZ$27,BV80,$AD80,$AA80,$AB80,$AH80,0.1))</f>
        <v>0</v>
      </c>
      <c r="BZ80" s="76" t="n">
        <f aca="false">IF(BU80=0,0,bsd(2,BZ$27,BV80,$AD80,$AA80,$AB80,$AH80,0.1))</f>
        <v>0</v>
      </c>
      <c r="CA80" s="76" t="n">
        <f aca="false">IF(BU80=0,0,bsd(BZ$28,BZ$27,BV80,$AD80,$AA80,$AB80,$AH80,0.1))</f>
        <v>0</v>
      </c>
      <c r="CB80" s="37" t="n">
        <f aca="false">BU80*BY80</f>
        <v>0</v>
      </c>
      <c r="CC80" s="37" t="n">
        <f aca="false">BU80*BZ80</f>
        <v>0</v>
      </c>
      <c r="CD80" s="37" t="n">
        <f aca="false">BU80*CA80</f>
        <v>0</v>
      </c>
    </row>
    <row r="81" customFormat="false" ht="12.75" hidden="false" customHeight="false" outlineLevel="0" collapsed="false">
      <c r="A81" s="62" t="n">
        <f aca="false">DATE(YEAR(A80),MONTH(A80)+1,1)</f>
        <v>38777</v>
      </c>
      <c r="B81" s="63" t="n">
        <f aca="false">VLOOKUP(A81,STRADDLE,5,FALSE())</f>
        <v>3.52</v>
      </c>
      <c r="C81" s="4" t="n">
        <f aca="false">VLOOKUP(A81,STRADDLE,8,FALSE())</f>
        <v>0.27</v>
      </c>
      <c r="D81" s="63" t="n">
        <f aca="false">IF(D$28="nymex",0,VLOOKUP($A81,curvesettle,HLOOKUP(D$28,curvesettle,2,FALSE())))</f>
        <v>-0.075</v>
      </c>
      <c r="E81" s="65" t="n">
        <f aca="false">IF(ISNUMBER(VLOOKUP($A81,VOLCURVES,HLOOKUP(D$28,VOLCURVES,2,FALSE()),FALSE())),VLOOKUP($A81,VOLCURVES,HLOOKUP(D$28,VOLCURVES,2,FALSE()),FALSE()),1)</f>
        <v>1</v>
      </c>
      <c r="F81" s="64" t="n">
        <f aca="false">IF(D$28="NYMEX",$AG81,$AF81)</f>
        <v>-7155</v>
      </c>
      <c r="G81" s="4" t="e">
        <f aca="false">(($C81+H81)*$E81)+B$15</f>
        <v>#DIV/0!</v>
      </c>
      <c r="H81" s="4" t="e">
        <f aca="false">IF(B$16=1,xCalcSkew(A81,I81-AO81,b)/100,0)</f>
        <v>#DIV/0!</v>
      </c>
      <c r="I81" s="66" t="n">
        <f aca="false">IF($B$19=4,$AO81,$B$18)</f>
        <v>5</v>
      </c>
      <c r="K81" s="63" t="n">
        <f aca="false">IF(K$28="nymex",0,VLOOKUP($A81,curvesettle,HLOOKUP(K$28,curvesettle,2,FALSE())))</f>
        <v>-0.075</v>
      </c>
      <c r="L81" s="65" t="n">
        <f aca="false">IF(ISNUMBER(VLOOKUP($A81,VOLCURVES,HLOOKUP(K$28,VOLCURVES,2,FALSE()),FALSE())),VLOOKUP($A81,VOLCURVES,HLOOKUP(K$28,VOLCURVES,2,FALSE()),FALSE()),1)</f>
        <v>1</v>
      </c>
      <c r="M81" s="64" t="n">
        <f aca="false">IF(K$28="NYMEX",$AG81,$AF81)</f>
        <v>-7155</v>
      </c>
      <c r="N81" s="184" t="e">
        <f aca="false">(($C81+O81)*$L81)+D$15</f>
        <v>#DIV/0!</v>
      </c>
      <c r="O81" s="4" t="e">
        <f aca="false">IF(D$16=1,xCalcSkew($A81,P81-AZ81,b)/100,0)</f>
        <v>#DIV/0!</v>
      </c>
      <c r="P81" s="66" t="n">
        <f aca="false">IF($D$19=4,$AZ81,$D$18)</f>
        <v>3</v>
      </c>
      <c r="R81" s="63" t="n">
        <f aca="false">IF(R$28="nymex",0,VLOOKUP($A81,curvesettle,HLOOKUP(R$28,curvesettle,2,FALSE())))</f>
        <v>-0.26</v>
      </c>
      <c r="S81" s="65" t="n">
        <f aca="false">IF(ISNUMBER(VLOOKUP($A81,VOLCURVES,HLOOKUP(R$28,VOLCURVES,2,FALSE()),FALSE())),VLOOKUP($A81,VOLCURVES,HLOOKUP(R$28,VOLCURVES,2,FALSE()),FALSE()),1)</f>
        <v>1</v>
      </c>
      <c r="T81" s="64" t="n">
        <f aca="false">IF(R$28="NYMEX",$AG81,$AF81)</f>
        <v>-7155</v>
      </c>
      <c r="U81" s="184" t="e">
        <f aca="false">(($C81+V81)*$S81)+F$15</f>
        <v>#DIV/0!</v>
      </c>
      <c r="V81" s="4" t="e">
        <f aca="false">IF(F$16=1,xCalcSkew($A81,W81-BK81,b)/100,0)</f>
        <v>#DIV/0!</v>
      </c>
      <c r="W81" s="66" t="n">
        <f aca="false">IF($F$19=4,$BK81,$F$18)</f>
        <v>2.55</v>
      </c>
      <c r="X81" s="64"/>
      <c r="Y81" s="63" t="n">
        <f aca="false">IF(Y$28="nymex",0,VLOOKUP($A81,curvesettle,HLOOKUP(Y$28,curvesettle,2,FALSE())))</f>
        <v>0</v>
      </c>
      <c r="Z81" s="65" t="n">
        <f aca="false">IF(ISNUMBER(VLOOKUP($A81,VOLCURVES,HLOOKUP(Y$28,VOLCURVES,2,FALSE()),FALSE())),VLOOKUP($A81,VOLCURVES,HLOOKUP(Y$28,VOLCURVES,2,FALSE()),FALSE()),1)</f>
        <v>1</v>
      </c>
      <c r="AA81" s="64" t="n">
        <f aca="false">IF(Y$28="NYMEX",$AG81,$AF81)</f>
        <v>-7156</v>
      </c>
      <c r="AB81" s="4" t="e">
        <f aca="false">(($C81+AC81)*$Z81)+H$15</f>
        <v>#DIV/0!</v>
      </c>
      <c r="AC81" s="4" t="e">
        <f aca="false">IF(H$16=1,xCalcSkew($A81,AD81-BV81,b)/100,0)</f>
        <v>#DIV/0!</v>
      </c>
      <c r="AD81" s="66" t="n">
        <f aca="false">IF($H$19=4,$BV81,$H$18)</f>
        <v>2.9</v>
      </c>
      <c r="AF81" s="64" t="n">
        <f aca="false">VLOOKUP($A81,expiration,2,FALSE())-$B$2</f>
        <v>-7155</v>
      </c>
      <c r="AG81" s="64" t="n">
        <f aca="false">VLOOKUP($A81,expiration,3,FALSE())-$B$2</f>
        <v>-7156</v>
      </c>
      <c r="AH81" s="4" t="n">
        <f aca="false">VLOOKUP($A81,STRADDLE,14,FALSE())</f>
        <v>0.0484011548433219</v>
      </c>
      <c r="AI81" s="72" t="n">
        <f aca="false">A82-A81</f>
        <v>31</v>
      </c>
      <c r="AL81" s="64"/>
      <c r="AM81" s="73"/>
      <c r="AN81" s="73" t="n">
        <f aca="false">IF($A81&gt;=AO$25,IF($A81&lt;=AO$26,$AI81,0),0)</f>
        <v>0</v>
      </c>
      <c r="AO81" s="196" t="e">
        <f aca="false">AQ81/AN81</f>
        <v>#DIV/0!</v>
      </c>
      <c r="AP81" s="1" t="n">
        <f aca="false">AN81*($B81+B$13)</f>
        <v>0</v>
      </c>
      <c r="AQ81" s="47" t="n">
        <f aca="false">IF(ISNUMBER(((AP81/AN81)+B$14+$D81)*AN81),((AP81/AN81)+B$14+$D81)*AN81,0)</f>
        <v>0</v>
      </c>
      <c r="AR81" s="76" t="n">
        <f aca="false">IF(AN81=0,0,bsd(1,AS$27,AO81,$I81,$F81,$G81,$AH81,0.1))</f>
        <v>0</v>
      </c>
      <c r="AS81" s="76" t="n">
        <f aca="false">IF(AN81=0,0,bsd(2,AS$27,AO81,$I81,$F81,$G81,$AH81,0.1))</f>
        <v>0</v>
      </c>
      <c r="AT81" s="76" t="n">
        <f aca="false">IF(AN81=0,0,bsd(AS$28,AS$27,AO81,$I81,$F81,$G81,$AH81,0.1))</f>
        <v>0</v>
      </c>
      <c r="AU81" s="37" t="n">
        <f aca="false">AN81*AR81</f>
        <v>0</v>
      </c>
      <c r="AV81" s="37" t="n">
        <f aca="false">AN81*AS81</f>
        <v>0</v>
      </c>
      <c r="AW81" s="37" t="n">
        <f aca="false">AN81*AT81</f>
        <v>0</v>
      </c>
      <c r="AY81" s="73" t="n">
        <f aca="false">IF($A81&gt;=AZ$25,IF($A81&lt;=AZ$26,$AI81,0),0)</f>
        <v>0</v>
      </c>
      <c r="AZ81" s="196" t="e">
        <f aca="false">BB81/AY81</f>
        <v>#DIV/0!</v>
      </c>
      <c r="BA81" s="1" t="n">
        <f aca="false">AY81*($B81+D$13)</f>
        <v>0</v>
      </c>
      <c r="BB81" s="47" t="n">
        <f aca="false">IF(ISNUMBER(((BA81/AY81)+D$14+$K81)*AY81),((BA81/AY81)+D$14+$K81)*AY81,0)</f>
        <v>0</v>
      </c>
      <c r="BC81" s="76" t="n">
        <f aca="false">IF(AY81=0,0,bsd(1,BD$27,AZ81,$P81,$M81,$N81,$AH81,0.1))</f>
        <v>0</v>
      </c>
      <c r="BD81" s="76" t="n">
        <f aca="false">IF(AY81=0,0,bsd(2,BD$27,AZ81,$P81,$M81,$N81,$AH81,0.1))</f>
        <v>0</v>
      </c>
      <c r="BE81" s="76" t="n">
        <f aca="false">IF(AY81=0,0,bsd(BD$28,BD$27,AZ81,$P81,$M81,$N81,$AH81,0.1))</f>
        <v>0</v>
      </c>
      <c r="BF81" s="37" t="n">
        <f aca="false">AY81*BC81</f>
        <v>0</v>
      </c>
      <c r="BG81" s="37" t="n">
        <f aca="false">AY81*BD81</f>
        <v>0</v>
      </c>
      <c r="BH81" s="37" t="n">
        <f aca="false">AY81*BE81</f>
        <v>0</v>
      </c>
      <c r="BJ81" s="73" t="n">
        <f aca="false">IF($A81&gt;=BK$25,IF($A81&lt;=BK$26,$AI81,0),0)</f>
        <v>0</v>
      </c>
      <c r="BK81" s="196" t="e">
        <f aca="false">BM81/BJ81</f>
        <v>#DIV/0!</v>
      </c>
      <c r="BL81" s="1" t="n">
        <f aca="false">BJ81*($B81+F$13)</f>
        <v>0</v>
      </c>
      <c r="BM81" s="47" t="n">
        <f aca="false">IF(ISNUMBER(((BL81/BJ81)+F$14+$R81)*BJ81),((BL81/BJ81)+F$14+$R81)*BJ81,0)</f>
        <v>0</v>
      </c>
      <c r="BN81" s="76" t="n">
        <f aca="false">IF(BJ81=0,0,bsd(1,BO$27,BK81,$W81,$T81,$U81,$AH81,0.1))</f>
        <v>0</v>
      </c>
      <c r="BO81" s="76" t="n">
        <f aca="false">IF(BJ81=0,0,bsd(2,BO$27,BK81,$W81,$T81,$U81,$AH81,0.1))</f>
        <v>0</v>
      </c>
      <c r="BP81" s="76" t="n">
        <f aca="false">IF(BJ81=0,0,bsd(BO$28,BO$27,BK81,$W81,$T81,$U81,$AH81,0.1))</f>
        <v>0</v>
      </c>
      <c r="BQ81" s="37" t="n">
        <f aca="false">BJ81*BN81</f>
        <v>0</v>
      </c>
      <c r="BR81" s="37" t="n">
        <f aca="false">BJ81*BO81</f>
        <v>0</v>
      </c>
      <c r="BS81" s="37" t="n">
        <f aca="false">BJ81*BP81</f>
        <v>0</v>
      </c>
      <c r="BU81" s="73" t="n">
        <f aca="false">IF($A81&gt;=BV$25,IF($A81&lt;=BV$26,$AI81,0),0)</f>
        <v>0</v>
      </c>
      <c r="BV81" s="196" t="e">
        <f aca="false">BX81/BU81</f>
        <v>#DIV/0!</v>
      </c>
      <c r="BW81" s="1" t="n">
        <f aca="false">BU81*($B81+H$13)</f>
        <v>0</v>
      </c>
      <c r="BX81" s="47" t="n">
        <f aca="false">IF(ISNUMBER(((BW81/BU81)+H$14+$Y81)*BU81),((BW81/BU81)+H$14+$Y81)*BU81,0)</f>
        <v>0</v>
      </c>
      <c r="BY81" s="76" t="n">
        <f aca="false">IF(BU81=0,0,bsd(1,BZ$27,BV81,$AD81,$AA81,$AB81,$AH81,0.1))</f>
        <v>0</v>
      </c>
      <c r="BZ81" s="76" t="n">
        <f aca="false">IF(BU81=0,0,bsd(2,BZ$27,BV81,$AD81,$AA81,$AB81,$AH81,0.1))</f>
        <v>0</v>
      </c>
      <c r="CA81" s="76" t="n">
        <f aca="false">IF(BU81=0,0,bsd(BZ$28,BZ$27,BV81,$AD81,$AA81,$AB81,$AH81,0.1))</f>
        <v>0</v>
      </c>
      <c r="CB81" s="37" t="n">
        <f aca="false">BU81*BY81</f>
        <v>0</v>
      </c>
      <c r="CC81" s="37" t="n">
        <f aca="false">BU81*BZ81</f>
        <v>0</v>
      </c>
      <c r="CD81" s="37" t="n">
        <f aca="false">BU81*CA81</f>
        <v>0</v>
      </c>
    </row>
    <row r="82" customFormat="false" ht="12.75" hidden="false" customHeight="false" outlineLevel="0" collapsed="false">
      <c r="A82" s="62" t="n">
        <f aca="false">DATE(YEAR(A81),MONTH(A81)+1,1)</f>
        <v>38808</v>
      </c>
      <c r="B82" s="63" t="n">
        <f aca="false">VLOOKUP(A82,STRADDLE,5,FALSE())</f>
        <v>3.335</v>
      </c>
      <c r="C82" s="4" t="n">
        <f aca="false">VLOOKUP(A82,STRADDLE,8,FALSE())</f>
        <v>0.25</v>
      </c>
      <c r="D82" s="63" t="n">
        <f aca="false">IF(D$28="nymex",0,VLOOKUP($A82,curvesettle,HLOOKUP(D$28,curvesettle,2,FALSE())))</f>
        <v>-0.0725</v>
      </c>
      <c r="E82" s="65" t="n">
        <f aca="false">IF(ISNUMBER(VLOOKUP($A82,VOLCURVES,HLOOKUP(D$28,VOLCURVES,2,FALSE()),FALSE())),VLOOKUP($A82,VOLCURVES,HLOOKUP(D$28,VOLCURVES,2,FALSE()),FALSE()),1)</f>
        <v>1</v>
      </c>
      <c r="F82" s="64" t="n">
        <f aca="false">IF(D$28="NYMEX",$AG82,$AF82)</f>
        <v>-7122</v>
      </c>
      <c r="G82" s="4" t="e">
        <f aca="false">(($C82+H82)*$E82)+B$15</f>
        <v>#DIV/0!</v>
      </c>
      <c r="H82" s="4" t="e">
        <f aca="false">IF(B$16=1,xCalcSkew(A82,I82-AO82,b)/100,0)</f>
        <v>#DIV/0!</v>
      </c>
      <c r="I82" s="66" t="n">
        <f aca="false">IF($B$19=4,$AO82,$B$18)</f>
        <v>5</v>
      </c>
      <c r="K82" s="63" t="n">
        <f aca="false">IF(K$28="nymex",0,VLOOKUP($A82,curvesettle,HLOOKUP(K$28,curvesettle,2,FALSE())))</f>
        <v>-0.0725</v>
      </c>
      <c r="L82" s="65" t="n">
        <f aca="false">IF(ISNUMBER(VLOOKUP($A82,VOLCURVES,HLOOKUP(K$28,VOLCURVES,2,FALSE()),FALSE())),VLOOKUP($A82,VOLCURVES,HLOOKUP(K$28,VOLCURVES,2,FALSE()),FALSE()),1)</f>
        <v>1</v>
      </c>
      <c r="M82" s="64" t="n">
        <f aca="false">IF(K$28="NYMEX",$AG82,$AF82)</f>
        <v>-7122</v>
      </c>
      <c r="N82" s="184" t="e">
        <f aca="false">(($C82+O82)*$L82)+D$15</f>
        <v>#DIV/0!</v>
      </c>
      <c r="O82" s="4" t="e">
        <f aca="false">IF(D$16=1,xCalcSkew($A82,P82-AZ82,b)/100,0)</f>
        <v>#DIV/0!</v>
      </c>
      <c r="P82" s="66" t="n">
        <f aca="false">IF($D$19=4,$AZ82,$D$18)</f>
        <v>3</v>
      </c>
      <c r="R82" s="63" t="n">
        <f aca="false">IF(R$28="nymex",0,VLOOKUP($A82,curvesettle,HLOOKUP(R$28,curvesettle,2,FALSE())))</f>
        <v>-0.39</v>
      </c>
      <c r="S82" s="65" t="n">
        <f aca="false">IF(ISNUMBER(VLOOKUP($A82,VOLCURVES,HLOOKUP(R$28,VOLCURVES,2,FALSE()),FALSE())),VLOOKUP($A82,VOLCURVES,HLOOKUP(R$28,VOLCURVES,2,FALSE()),FALSE()),1)</f>
        <v>1</v>
      </c>
      <c r="T82" s="64" t="n">
        <f aca="false">IF(R$28="NYMEX",$AG82,$AF82)</f>
        <v>-7122</v>
      </c>
      <c r="U82" s="184" t="e">
        <f aca="false">(($C82+V82)*$S82)+F$15</f>
        <v>#DIV/0!</v>
      </c>
      <c r="V82" s="4" t="e">
        <f aca="false">IF(F$16=1,xCalcSkew($A82,W82-BK82,b)/100,0)</f>
        <v>#DIV/0!</v>
      </c>
      <c r="W82" s="66" t="n">
        <f aca="false">IF($F$19=4,$BK82,$F$18)</f>
        <v>2.55</v>
      </c>
      <c r="X82" s="64"/>
      <c r="Y82" s="63" t="n">
        <f aca="false">IF(Y$28="nymex",0,VLOOKUP($A82,curvesettle,HLOOKUP(Y$28,curvesettle,2,FALSE())))</f>
        <v>0</v>
      </c>
      <c r="Z82" s="65" t="n">
        <f aca="false">IF(ISNUMBER(VLOOKUP($A82,VOLCURVES,HLOOKUP(Y$28,VOLCURVES,2,FALSE()),FALSE())),VLOOKUP($A82,VOLCURVES,HLOOKUP(Y$28,VOLCURVES,2,FALSE()),FALSE()),1)</f>
        <v>1</v>
      </c>
      <c r="AA82" s="64" t="n">
        <f aca="false">IF(Y$28="NYMEX",$AG82,$AF82)</f>
        <v>-7123</v>
      </c>
      <c r="AB82" s="4" t="e">
        <f aca="false">(($C82+AC82)*$Z82)+H$15</f>
        <v>#DIV/0!</v>
      </c>
      <c r="AC82" s="4" t="e">
        <f aca="false">IF(H$16=1,xCalcSkew($A82,AD82-BV82,b)/100,0)</f>
        <v>#DIV/0!</v>
      </c>
      <c r="AD82" s="66" t="n">
        <f aca="false">IF($H$19=4,$BV82,$H$18)</f>
        <v>2.9</v>
      </c>
      <c r="AF82" s="64" t="n">
        <f aca="false">VLOOKUP($A82,expiration,2,FALSE())-$B$2</f>
        <v>-7122</v>
      </c>
      <c r="AG82" s="64" t="n">
        <f aca="false">VLOOKUP($A82,expiration,3,FALSE())-$B$2</f>
        <v>-7123</v>
      </c>
      <c r="AH82" s="4" t="n">
        <f aca="false">VLOOKUP($A82,STRADDLE,14,FALSE())</f>
        <v>0.0487117260353274</v>
      </c>
      <c r="AI82" s="72" t="n">
        <f aca="false">A83-A82</f>
        <v>30</v>
      </c>
      <c r="AL82" s="64"/>
      <c r="AM82" s="73"/>
      <c r="AN82" s="73" t="n">
        <f aca="false">IF($A82&gt;=AO$25,IF($A82&lt;=AO$26,$AI82,0),0)</f>
        <v>0</v>
      </c>
      <c r="AO82" s="196" t="e">
        <f aca="false">AQ82/AN82</f>
        <v>#DIV/0!</v>
      </c>
      <c r="AP82" s="1" t="n">
        <f aca="false">AN82*($B82+B$13)</f>
        <v>0</v>
      </c>
      <c r="AQ82" s="47" t="n">
        <f aca="false">IF(ISNUMBER(((AP82/AN82)+B$14+$D82)*AN82),((AP82/AN82)+B$14+$D82)*AN82,0)</f>
        <v>0</v>
      </c>
      <c r="AR82" s="76" t="n">
        <f aca="false">IF(AN82=0,0,bsd(1,AS$27,AO82,$I82,$F82,$G82,$AH82,0.1))</f>
        <v>0</v>
      </c>
      <c r="AS82" s="76" t="n">
        <f aca="false">IF(AN82=0,0,bsd(2,AS$27,AO82,$I82,$F82,$G82,$AH82,0.1))</f>
        <v>0</v>
      </c>
      <c r="AT82" s="76" t="n">
        <f aca="false">IF(AN82=0,0,bsd(AS$28,AS$27,AO82,$I82,$F82,$G82,$AH82,0.1))</f>
        <v>0</v>
      </c>
      <c r="AU82" s="37" t="n">
        <f aca="false">AN82*AR82</f>
        <v>0</v>
      </c>
      <c r="AV82" s="37" t="n">
        <f aca="false">AN82*AS82</f>
        <v>0</v>
      </c>
      <c r="AW82" s="37" t="n">
        <f aca="false">AN82*AT82</f>
        <v>0</v>
      </c>
      <c r="AY82" s="73" t="n">
        <f aca="false">IF($A82&gt;=AZ$25,IF($A82&lt;=AZ$26,$AI82,0),0)</f>
        <v>0</v>
      </c>
      <c r="AZ82" s="196" t="e">
        <f aca="false">BB82/AY82</f>
        <v>#DIV/0!</v>
      </c>
      <c r="BA82" s="1" t="n">
        <f aca="false">AY82*($B82+D$13)</f>
        <v>0</v>
      </c>
      <c r="BB82" s="47" t="n">
        <f aca="false">IF(ISNUMBER(((BA82/AY82)+D$14+$K82)*AY82),((BA82/AY82)+D$14+$K82)*AY82,0)</f>
        <v>0</v>
      </c>
      <c r="BC82" s="76" t="n">
        <f aca="false">IF(AY82=0,0,bsd(1,BD$27,AZ82,$P82,$M82,$N82,$AH82,0.1))</f>
        <v>0</v>
      </c>
      <c r="BD82" s="76" t="n">
        <f aca="false">IF(AY82=0,0,bsd(2,BD$27,AZ82,$P82,$M82,$N82,$AH82,0.1))</f>
        <v>0</v>
      </c>
      <c r="BE82" s="76" t="n">
        <f aca="false">IF(AY82=0,0,bsd(BD$28,BD$27,AZ82,$P82,$M82,$N82,$AH82,0.1))</f>
        <v>0</v>
      </c>
      <c r="BF82" s="37" t="n">
        <f aca="false">AY82*BC82</f>
        <v>0</v>
      </c>
      <c r="BG82" s="37" t="n">
        <f aca="false">AY82*BD82</f>
        <v>0</v>
      </c>
      <c r="BH82" s="37" t="n">
        <f aca="false">AY82*BE82</f>
        <v>0</v>
      </c>
      <c r="BJ82" s="73" t="n">
        <f aca="false">IF($A82&gt;=BK$25,IF($A82&lt;=BK$26,$AI82,0),0)</f>
        <v>0</v>
      </c>
      <c r="BK82" s="196" t="e">
        <f aca="false">BM82/BJ82</f>
        <v>#DIV/0!</v>
      </c>
      <c r="BL82" s="1" t="n">
        <f aca="false">BJ82*($B82+F$13)</f>
        <v>0</v>
      </c>
      <c r="BM82" s="47" t="n">
        <f aca="false">IF(ISNUMBER(((BL82/BJ82)+F$14+$R82)*BJ82),((BL82/BJ82)+F$14+$R82)*BJ82,0)</f>
        <v>0</v>
      </c>
      <c r="BN82" s="76" t="n">
        <f aca="false">IF(BJ82=0,0,bsd(1,BO$27,BK82,$W82,$T82,$U82,$AH82,0.1))</f>
        <v>0</v>
      </c>
      <c r="BO82" s="76" t="n">
        <f aca="false">IF(BJ82=0,0,bsd(2,BO$27,BK82,$W82,$T82,$U82,$AH82,0.1))</f>
        <v>0</v>
      </c>
      <c r="BP82" s="76" t="n">
        <f aca="false">IF(BJ82=0,0,bsd(BO$28,BO$27,BK82,$W82,$T82,$U82,$AH82,0.1))</f>
        <v>0</v>
      </c>
      <c r="BQ82" s="37" t="n">
        <f aca="false">BJ82*BN82</f>
        <v>0</v>
      </c>
      <c r="BR82" s="37" t="n">
        <f aca="false">BJ82*BO82</f>
        <v>0</v>
      </c>
      <c r="BS82" s="37" t="n">
        <f aca="false">BJ82*BP82</f>
        <v>0</v>
      </c>
      <c r="BU82" s="73" t="n">
        <f aca="false">IF($A82&gt;=BV$25,IF($A82&lt;=BV$26,$AI82,0),0)</f>
        <v>0</v>
      </c>
      <c r="BV82" s="196" t="e">
        <f aca="false">BX82/BU82</f>
        <v>#DIV/0!</v>
      </c>
      <c r="BW82" s="1" t="n">
        <f aca="false">BU82*($B82+H$13)</f>
        <v>0</v>
      </c>
      <c r="BX82" s="47" t="n">
        <f aca="false">IF(ISNUMBER(((BW82/BU82)+H$14+$Y82)*BU82),((BW82/BU82)+H$14+$Y82)*BU82,0)</f>
        <v>0</v>
      </c>
      <c r="BY82" s="76" t="n">
        <f aca="false">IF(BU82=0,0,bsd(1,BZ$27,BV82,$AD82,$AA82,$AB82,$AH82,0.1))</f>
        <v>0</v>
      </c>
      <c r="BZ82" s="76" t="n">
        <f aca="false">IF(BU82=0,0,bsd(2,BZ$27,BV82,$AD82,$AA82,$AB82,$AH82,0.1))</f>
        <v>0</v>
      </c>
      <c r="CA82" s="76" t="n">
        <f aca="false">IF(BU82=0,0,bsd(BZ$28,BZ$27,BV82,$AD82,$AA82,$AB82,$AH82,0.1))</f>
        <v>0</v>
      </c>
      <c r="CB82" s="37" t="n">
        <f aca="false">BU82*BY82</f>
        <v>0</v>
      </c>
      <c r="CC82" s="37" t="n">
        <f aca="false">BU82*BZ82</f>
        <v>0</v>
      </c>
      <c r="CD82" s="37" t="n">
        <f aca="false">BU82*CA82</f>
        <v>0</v>
      </c>
    </row>
    <row r="83" customFormat="false" ht="12.75" hidden="false" customHeight="false" outlineLevel="0" collapsed="false">
      <c r="A83" s="62" t="n">
        <f aca="false">DATE(YEAR(A82),MONTH(A82)+1,1)</f>
        <v>38838</v>
      </c>
      <c r="B83" s="63" t="n">
        <f aca="false">VLOOKUP(A83,STRADDLE,5,FALSE())</f>
        <v>3.33</v>
      </c>
      <c r="C83" s="4" t="n">
        <f aca="false">VLOOKUP(A83,STRADDLE,8,FALSE())</f>
        <v>0.245</v>
      </c>
      <c r="D83" s="63" t="n">
        <f aca="false">IF(D$28="nymex",0,VLOOKUP($A83,curvesettle,HLOOKUP(D$28,curvesettle,2,FALSE())))</f>
        <v>-0.0725</v>
      </c>
      <c r="E83" s="65" t="n">
        <f aca="false">IF(ISNUMBER(VLOOKUP($A83,VOLCURVES,HLOOKUP(D$28,VOLCURVES,2,FALSE()),FALSE())),VLOOKUP($A83,VOLCURVES,HLOOKUP(D$28,VOLCURVES,2,FALSE()),FALSE()),1)</f>
        <v>1</v>
      </c>
      <c r="F83" s="64" t="n">
        <f aca="false">IF(D$28="NYMEX",$AG83,$AF83)</f>
        <v>-7094</v>
      </c>
      <c r="G83" s="4" t="e">
        <f aca="false">(($C83+H83)*$E83)+B$15</f>
        <v>#DIV/0!</v>
      </c>
      <c r="H83" s="4" t="e">
        <f aca="false">IF(B$16=1,xCalcSkew(A83,I83-AO83,b)/100,0)</f>
        <v>#DIV/0!</v>
      </c>
      <c r="I83" s="66" t="n">
        <f aca="false">IF($B$19=4,$AO83,$B$18)</f>
        <v>5</v>
      </c>
      <c r="K83" s="63" t="n">
        <f aca="false">IF(K$28="nymex",0,VLOOKUP($A83,curvesettle,HLOOKUP(K$28,curvesettle,2,FALSE())))</f>
        <v>-0.0725</v>
      </c>
      <c r="L83" s="65" t="n">
        <f aca="false">IF(ISNUMBER(VLOOKUP($A83,VOLCURVES,HLOOKUP(K$28,VOLCURVES,2,FALSE()),FALSE())),VLOOKUP($A83,VOLCURVES,HLOOKUP(K$28,VOLCURVES,2,FALSE()),FALSE()),1)</f>
        <v>1</v>
      </c>
      <c r="M83" s="64" t="n">
        <f aca="false">IF(K$28="NYMEX",$AG83,$AF83)</f>
        <v>-7094</v>
      </c>
      <c r="N83" s="184" t="e">
        <f aca="false">(($C83+O83)*$L83)+D$15</f>
        <v>#DIV/0!</v>
      </c>
      <c r="O83" s="4" t="e">
        <f aca="false">IF(D$16=1,xCalcSkew($A83,P83-AZ83,b)/100,0)</f>
        <v>#DIV/0!</v>
      </c>
      <c r="P83" s="66" t="n">
        <f aca="false">IF($D$19=4,$AZ83,$D$18)</f>
        <v>3</v>
      </c>
      <c r="R83" s="63" t="n">
        <f aca="false">IF(R$28="nymex",0,VLOOKUP($A83,curvesettle,HLOOKUP(R$28,curvesettle,2,FALSE())))</f>
        <v>-0.39</v>
      </c>
      <c r="S83" s="65" t="n">
        <f aca="false">IF(ISNUMBER(VLOOKUP($A83,VOLCURVES,HLOOKUP(R$28,VOLCURVES,2,FALSE()),FALSE())),VLOOKUP($A83,VOLCURVES,HLOOKUP(R$28,VOLCURVES,2,FALSE()),FALSE()),1)</f>
        <v>1</v>
      </c>
      <c r="T83" s="64" t="n">
        <f aca="false">IF(R$28="NYMEX",$AG83,$AF83)</f>
        <v>-7094</v>
      </c>
      <c r="U83" s="184" t="e">
        <f aca="false">(($C83+V83)*$S83)+F$15</f>
        <v>#DIV/0!</v>
      </c>
      <c r="V83" s="4" t="e">
        <f aca="false">IF(F$16=1,xCalcSkew($A83,W83-BK83,b)/100,0)</f>
        <v>#DIV/0!</v>
      </c>
      <c r="W83" s="66" t="n">
        <f aca="false">IF($F$19=4,$BK83,$F$18)</f>
        <v>2.55</v>
      </c>
      <c r="X83" s="64"/>
      <c r="Y83" s="63" t="n">
        <f aca="false">IF(Y$28="nymex",0,VLOOKUP($A83,curvesettle,HLOOKUP(Y$28,curvesettle,2,FALSE())))</f>
        <v>0</v>
      </c>
      <c r="Z83" s="65" t="n">
        <f aca="false">IF(ISNUMBER(VLOOKUP($A83,VOLCURVES,HLOOKUP(Y$28,VOLCURVES,2,FALSE()),FALSE())),VLOOKUP($A83,VOLCURVES,HLOOKUP(Y$28,VOLCURVES,2,FALSE()),FALSE()),1)</f>
        <v>1</v>
      </c>
      <c r="AA83" s="64" t="n">
        <f aca="false">IF(Y$28="NYMEX",$AG83,$AF83)</f>
        <v>-7095</v>
      </c>
      <c r="AB83" s="4" t="e">
        <f aca="false">(($C83+AC83)*$Z83)+H$15</f>
        <v>#DIV/0!</v>
      </c>
      <c r="AC83" s="4" t="e">
        <f aca="false">IF(H$16=1,xCalcSkew($A83,AD83-BV83,b)/100,0)</f>
        <v>#DIV/0!</v>
      </c>
      <c r="AD83" s="66" t="n">
        <f aca="false">IF($H$19=4,$BV83,$H$18)</f>
        <v>2.9</v>
      </c>
      <c r="AF83" s="64" t="n">
        <f aca="false">VLOOKUP($A83,expiration,2,FALSE())-$B$2</f>
        <v>-7094</v>
      </c>
      <c r="AG83" s="64" t="n">
        <f aca="false">VLOOKUP($A83,expiration,3,FALSE())-$B$2</f>
        <v>-7095</v>
      </c>
      <c r="AH83" s="4" t="n">
        <f aca="false">VLOOKUP($A83,STRADDLE,14,FALSE())</f>
        <v>0.0490122788324676</v>
      </c>
      <c r="AI83" s="72" t="n">
        <f aca="false">A84-A83</f>
        <v>31</v>
      </c>
      <c r="AL83" s="64"/>
      <c r="AM83" s="73"/>
      <c r="AN83" s="73" t="n">
        <f aca="false">IF($A83&gt;=AO$25,IF($A83&lt;=AO$26,$AI83,0),0)</f>
        <v>0</v>
      </c>
      <c r="AO83" s="196" t="e">
        <f aca="false">AQ83/AN83</f>
        <v>#DIV/0!</v>
      </c>
      <c r="AP83" s="1" t="n">
        <f aca="false">AN83*($B83+B$13)</f>
        <v>0</v>
      </c>
      <c r="AQ83" s="47" t="n">
        <f aca="false">IF(ISNUMBER(((AP83/AN83)+B$14+$D83)*AN83),((AP83/AN83)+B$14+$D83)*AN83,0)</f>
        <v>0</v>
      </c>
      <c r="AR83" s="76" t="n">
        <f aca="false">IF(AN83=0,0,bsd(1,AS$27,AO83,$I83,$F83,$G83,$AH83,0.1))</f>
        <v>0</v>
      </c>
      <c r="AS83" s="76" t="n">
        <f aca="false">IF(AN83=0,0,bsd(2,AS$27,AO83,$I83,$F83,$G83,$AH83,0.1))</f>
        <v>0</v>
      </c>
      <c r="AT83" s="76" t="n">
        <f aca="false">IF(AN83=0,0,bsd(AS$28,AS$27,AO83,$I83,$F83,$G83,$AH83,0.1))</f>
        <v>0</v>
      </c>
      <c r="AU83" s="37" t="n">
        <f aca="false">AN83*AR83</f>
        <v>0</v>
      </c>
      <c r="AV83" s="37" t="n">
        <f aca="false">AN83*AS83</f>
        <v>0</v>
      </c>
      <c r="AW83" s="37" t="n">
        <f aca="false">AN83*AT83</f>
        <v>0</v>
      </c>
      <c r="AY83" s="73" t="n">
        <f aca="false">IF($A83&gt;=AZ$25,IF($A83&lt;=AZ$26,$AI83,0),0)</f>
        <v>0</v>
      </c>
      <c r="AZ83" s="196" t="e">
        <f aca="false">BB83/AY83</f>
        <v>#DIV/0!</v>
      </c>
      <c r="BA83" s="1" t="n">
        <f aca="false">AY83*($B83+D$13)</f>
        <v>0</v>
      </c>
      <c r="BB83" s="47" t="n">
        <f aca="false">IF(ISNUMBER(((BA83/AY83)+D$14+$K83)*AY83),((BA83/AY83)+D$14+$K83)*AY83,0)</f>
        <v>0</v>
      </c>
      <c r="BC83" s="76" t="n">
        <f aca="false">IF(AY83=0,0,bsd(1,BD$27,AZ83,$P83,$M83,$N83,$AH83,0.1))</f>
        <v>0</v>
      </c>
      <c r="BD83" s="76" t="n">
        <f aca="false">IF(AY83=0,0,bsd(2,BD$27,AZ83,$P83,$M83,$N83,$AH83,0.1))</f>
        <v>0</v>
      </c>
      <c r="BE83" s="76" t="n">
        <f aca="false">IF(AY83=0,0,bsd(BD$28,BD$27,AZ83,$P83,$M83,$N83,$AH83,0.1))</f>
        <v>0</v>
      </c>
      <c r="BF83" s="37" t="n">
        <f aca="false">AY83*BC83</f>
        <v>0</v>
      </c>
      <c r="BG83" s="37" t="n">
        <f aca="false">AY83*BD83</f>
        <v>0</v>
      </c>
      <c r="BH83" s="37" t="n">
        <f aca="false">AY83*BE83</f>
        <v>0</v>
      </c>
      <c r="BJ83" s="73" t="n">
        <f aca="false">IF($A83&gt;=BK$25,IF($A83&lt;=BK$26,$AI83,0),0)</f>
        <v>0</v>
      </c>
      <c r="BK83" s="196" t="e">
        <f aca="false">BM83/BJ83</f>
        <v>#DIV/0!</v>
      </c>
      <c r="BL83" s="1" t="n">
        <f aca="false">BJ83*($B83+F$13)</f>
        <v>0</v>
      </c>
      <c r="BM83" s="47" t="n">
        <f aca="false">IF(ISNUMBER(((BL83/BJ83)+F$14+$R83)*BJ83),((BL83/BJ83)+F$14+$R83)*BJ83,0)</f>
        <v>0</v>
      </c>
      <c r="BN83" s="76" t="n">
        <f aca="false">IF(BJ83=0,0,bsd(1,BO$27,BK83,$W83,$T83,$U83,$AH83,0.1))</f>
        <v>0</v>
      </c>
      <c r="BO83" s="76" t="n">
        <f aca="false">IF(BJ83=0,0,bsd(2,BO$27,BK83,$W83,$T83,$U83,$AH83,0.1))</f>
        <v>0</v>
      </c>
      <c r="BP83" s="76" t="n">
        <f aca="false">IF(BJ83=0,0,bsd(BO$28,BO$27,BK83,$W83,$T83,$U83,$AH83,0.1))</f>
        <v>0</v>
      </c>
      <c r="BQ83" s="37" t="n">
        <f aca="false">BJ83*BN83</f>
        <v>0</v>
      </c>
      <c r="BR83" s="37" t="n">
        <f aca="false">BJ83*BO83</f>
        <v>0</v>
      </c>
      <c r="BS83" s="37" t="n">
        <f aca="false">BJ83*BP83</f>
        <v>0</v>
      </c>
      <c r="BU83" s="73" t="n">
        <f aca="false">IF($A83&gt;=BV$25,IF($A83&lt;=BV$26,$AI83,0),0)</f>
        <v>0</v>
      </c>
      <c r="BV83" s="196" t="e">
        <f aca="false">BX83/BU83</f>
        <v>#DIV/0!</v>
      </c>
      <c r="BW83" s="1" t="n">
        <f aca="false">BU83*($B83+H$13)</f>
        <v>0</v>
      </c>
      <c r="BX83" s="47" t="n">
        <f aca="false">IF(ISNUMBER(((BW83/BU83)+H$14+$Y83)*BU83),((BW83/BU83)+H$14+$Y83)*BU83,0)</f>
        <v>0</v>
      </c>
      <c r="BY83" s="76" t="n">
        <f aca="false">IF(BU83=0,0,bsd(1,BZ$27,BV83,$AD83,$AA83,$AB83,$AH83,0.1))</f>
        <v>0</v>
      </c>
      <c r="BZ83" s="76" t="n">
        <f aca="false">IF(BU83=0,0,bsd(2,BZ$27,BV83,$AD83,$AA83,$AB83,$AH83,0.1))</f>
        <v>0</v>
      </c>
      <c r="CA83" s="76" t="n">
        <f aca="false">IF(BU83=0,0,bsd(BZ$28,BZ$27,BV83,$AD83,$AA83,$AB83,$AH83,0.1))</f>
        <v>0</v>
      </c>
      <c r="CB83" s="37" t="n">
        <f aca="false">BU83*BY83</f>
        <v>0</v>
      </c>
      <c r="CC83" s="37" t="n">
        <f aca="false">BU83*BZ83</f>
        <v>0</v>
      </c>
      <c r="CD83" s="37" t="n">
        <f aca="false">BU83*CA83</f>
        <v>0</v>
      </c>
    </row>
    <row r="84" customFormat="false" ht="12.75" hidden="false" customHeight="false" outlineLevel="0" collapsed="false">
      <c r="A84" s="62" t="n">
        <f aca="false">DATE(YEAR(A83),MONTH(A83)+1,1)</f>
        <v>38869</v>
      </c>
      <c r="B84" s="63" t="n">
        <f aca="false">VLOOKUP(A84,STRADDLE,5,FALSE())</f>
        <v>3.365</v>
      </c>
      <c r="C84" s="4" t="n">
        <f aca="false">VLOOKUP(A84,STRADDLE,8,FALSE())</f>
        <v>0.2475</v>
      </c>
      <c r="D84" s="63" t="n">
        <f aca="false">IF(D$28="nymex",0,VLOOKUP($A84,curvesettle,HLOOKUP(D$28,curvesettle,2,FALSE())))</f>
        <v>-0.0725</v>
      </c>
      <c r="E84" s="65" t="n">
        <f aca="false">IF(ISNUMBER(VLOOKUP($A84,VOLCURVES,HLOOKUP(D$28,VOLCURVES,2,FALSE()),FALSE())),VLOOKUP($A84,VOLCURVES,HLOOKUP(D$28,VOLCURVES,2,FALSE()),FALSE()),1)</f>
        <v>1</v>
      </c>
      <c r="F84" s="64" t="n">
        <f aca="false">IF(D$28="NYMEX",$AG84,$AF84)</f>
        <v>-7064</v>
      </c>
      <c r="G84" s="4" t="e">
        <f aca="false">(($C84+H84)*$E84)+B$15</f>
        <v>#DIV/0!</v>
      </c>
      <c r="H84" s="4" t="e">
        <f aca="false">IF(B$16=1,xCalcSkew(A84,I84-AO84,b)/100,0)</f>
        <v>#DIV/0!</v>
      </c>
      <c r="I84" s="66" t="n">
        <f aca="false">IF($B$19=4,$AO84,$B$18)</f>
        <v>5</v>
      </c>
      <c r="K84" s="63" t="n">
        <f aca="false">IF(K$28="nymex",0,VLOOKUP($A84,curvesettle,HLOOKUP(K$28,curvesettle,2,FALSE())))</f>
        <v>-0.0725</v>
      </c>
      <c r="L84" s="65" t="n">
        <f aca="false">IF(ISNUMBER(VLOOKUP($A84,VOLCURVES,HLOOKUP(K$28,VOLCURVES,2,FALSE()),FALSE())),VLOOKUP($A84,VOLCURVES,HLOOKUP(K$28,VOLCURVES,2,FALSE()),FALSE()),1)</f>
        <v>1</v>
      </c>
      <c r="M84" s="64" t="n">
        <f aca="false">IF(K$28="NYMEX",$AG84,$AF84)</f>
        <v>-7064</v>
      </c>
      <c r="N84" s="184" t="e">
        <f aca="false">(($C84+O84)*$L84)+D$15</f>
        <v>#DIV/0!</v>
      </c>
      <c r="O84" s="4" t="e">
        <f aca="false">IF(D$16=1,xCalcSkew($A84,P84-AZ84,b)/100,0)</f>
        <v>#DIV/0!</v>
      </c>
      <c r="P84" s="66" t="n">
        <f aca="false">IF($D$19=4,$AZ84,$D$18)</f>
        <v>3</v>
      </c>
      <c r="R84" s="63" t="n">
        <f aca="false">IF(R$28="nymex",0,VLOOKUP($A84,curvesettle,HLOOKUP(R$28,curvesettle,2,FALSE())))</f>
        <v>-0.39</v>
      </c>
      <c r="S84" s="65" t="n">
        <f aca="false">IF(ISNUMBER(VLOOKUP($A84,VOLCURVES,HLOOKUP(R$28,VOLCURVES,2,FALSE()),FALSE())),VLOOKUP($A84,VOLCURVES,HLOOKUP(R$28,VOLCURVES,2,FALSE()),FALSE()),1)</f>
        <v>1</v>
      </c>
      <c r="T84" s="64" t="n">
        <f aca="false">IF(R$28="NYMEX",$AG84,$AF84)</f>
        <v>-7064</v>
      </c>
      <c r="U84" s="184" t="e">
        <f aca="false">(($C84+V84)*$S84)+F$15</f>
        <v>#DIV/0!</v>
      </c>
      <c r="V84" s="4" t="e">
        <f aca="false">IF(F$16=1,xCalcSkew($A84,W84-BK84,b)/100,0)</f>
        <v>#DIV/0!</v>
      </c>
      <c r="W84" s="66" t="n">
        <f aca="false">IF($F$19=4,$BK84,$F$18)</f>
        <v>2.55</v>
      </c>
      <c r="X84" s="64"/>
      <c r="Y84" s="63" t="n">
        <f aca="false">IF(Y$28="nymex",0,VLOOKUP($A84,curvesettle,HLOOKUP(Y$28,curvesettle,2,FALSE())))</f>
        <v>0</v>
      </c>
      <c r="Z84" s="65" t="n">
        <f aca="false">IF(ISNUMBER(VLOOKUP($A84,VOLCURVES,HLOOKUP(Y$28,VOLCURVES,2,FALSE()),FALSE())),VLOOKUP($A84,VOLCURVES,HLOOKUP(Y$28,VOLCURVES,2,FALSE()),FALSE()),1)</f>
        <v>1</v>
      </c>
      <c r="AA84" s="64" t="n">
        <f aca="false">IF(Y$28="NYMEX",$AG84,$AF84)</f>
        <v>-7065</v>
      </c>
      <c r="AB84" s="4" t="e">
        <f aca="false">(($C84+AC84)*$Z84)+H$15</f>
        <v>#DIV/0!</v>
      </c>
      <c r="AC84" s="4" t="e">
        <f aca="false">IF(H$16=1,xCalcSkew($A84,AD84-BV84,b)/100,0)</f>
        <v>#DIV/0!</v>
      </c>
      <c r="AD84" s="66" t="n">
        <f aca="false">IF($H$19=4,$BV84,$H$18)</f>
        <v>2.9</v>
      </c>
      <c r="AF84" s="64" t="n">
        <f aca="false">VLOOKUP($A84,expiration,2,FALSE())-$B$2</f>
        <v>-7064</v>
      </c>
      <c r="AG84" s="64" t="n">
        <f aca="false">VLOOKUP($A84,expiration,3,FALSE())-$B$2</f>
        <v>-7065</v>
      </c>
      <c r="AH84" s="4" t="n">
        <f aca="false">VLOOKUP($A84,STRADDLE,14,FALSE())</f>
        <v>0.0493228500878793</v>
      </c>
      <c r="AI84" s="72" t="n">
        <f aca="false">A85-A84</f>
        <v>30</v>
      </c>
      <c r="AL84" s="64"/>
      <c r="AM84" s="73"/>
      <c r="AN84" s="73" t="n">
        <f aca="false">IF($A84&gt;=AO$25,IF($A84&lt;=AO$26,$AI84,0),0)</f>
        <v>0</v>
      </c>
      <c r="AO84" s="196" t="e">
        <f aca="false">AQ84/AN84</f>
        <v>#DIV/0!</v>
      </c>
      <c r="AP84" s="1" t="n">
        <f aca="false">AN84*($B84+B$13)</f>
        <v>0</v>
      </c>
      <c r="AQ84" s="47" t="n">
        <f aca="false">IF(ISNUMBER(((AP84/AN84)+B$14+$D84)*AN84),((AP84/AN84)+B$14+$D84)*AN84,0)</f>
        <v>0</v>
      </c>
      <c r="AR84" s="76" t="n">
        <f aca="false">IF(AN84=0,0,bsd(1,AS$27,AO84,$I84,$F84,$G84,$AH84,0.1))</f>
        <v>0</v>
      </c>
      <c r="AS84" s="76" t="n">
        <f aca="false">IF(AN84=0,0,bsd(2,AS$27,AO84,$I84,$F84,$G84,$AH84,0.1))</f>
        <v>0</v>
      </c>
      <c r="AT84" s="76" t="n">
        <f aca="false">IF(AN84=0,0,bsd(AS$28,AS$27,AO84,$I84,$F84,$G84,$AH84,0.1))</f>
        <v>0</v>
      </c>
      <c r="AU84" s="37" t="n">
        <f aca="false">AN84*AR84</f>
        <v>0</v>
      </c>
      <c r="AV84" s="37" t="n">
        <f aca="false">AN84*AS84</f>
        <v>0</v>
      </c>
      <c r="AW84" s="37" t="n">
        <f aca="false">AN84*AT84</f>
        <v>0</v>
      </c>
      <c r="AY84" s="73" t="n">
        <f aca="false">IF($A84&gt;=AZ$25,IF($A84&lt;=AZ$26,$AI84,0),0)</f>
        <v>0</v>
      </c>
      <c r="AZ84" s="196" t="e">
        <f aca="false">BB84/AY84</f>
        <v>#DIV/0!</v>
      </c>
      <c r="BA84" s="1" t="n">
        <f aca="false">AY84*($B84+D$13)</f>
        <v>0</v>
      </c>
      <c r="BB84" s="47" t="n">
        <f aca="false">IF(ISNUMBER(((BA84/AY84)+D$14+$K84)*AY84),((BA84/AY84)+D$14+$K84)*AY84,0)</f>
        <v>0</v>
      </c>
      <c r="BC84" s="76" t="n">
        <f aca="false">IF(AY84=0,0,bsd(1,BD$27,AZ84,$P84,$M84,$N84,$AH84,0.1))</f>
        <v>0</v>
      </c>
      <c r="BD84" s="76" t="n">
        <f aca="false">IF(AY84=0,0,bsd(2,BD$27,AZ84,$P84,$M84,$N84,$AH84,0.1))</f>
        <v>0</v>
      </c>
      <c r="BE84" s="76" t="n">
        <f aca="false">IF(AY84=0,0,bsd(BD$28,BD$27,AZ84,$P84,$M84,$N84,$AH84,0.1))</f>
        <v>0</v>
      </c>
      <c r="BF84" s="37" t="n">
        <f aca="false">AY84*BC84</f>
        <v>0</v>
      </c>
      <c r="BG84" s="37" t="n">
        <f aca="false">AY84*BD84</f>
        <v>0</v>
      </c>
      <c r="BH84" s="37" t="n">
        <f aca="false">AY84*BE84</f>
        <v>0</v>
      </c>
      <c r="BJ84" s="73" t="n">
        <f aca="false">IF($A84&gt;=BK$25,IF($A84&lt;=BK$26,$AI84,0),0)</f>
        <v>0</v>
      </c>
      <c r="BK84" s="196" t="e">
        <f aca="false">BM84/BJ84</f>
        <v>#DIV/0!</v>
      </c>
      <c r="BL84" s="1" t="n">
        <f aca="false">BJ84*($B84+F$13)</f>
        <v>0</v>
      </c>
      <c r="BM84" s="47" t="n">
        <f aca="false">IF(ISNUMBER(((BL84/BJ84)+F$14+$R84)*BJ84),((BL84/BJ84)+F$14+$R84)*BJ84,0)</f>
        <v>0</v>
      </c>
      <c r="BN84" s="76" t="n">
        <f aca="false">IF(BJ84=0,0,bsd(1,BO$27,BK84,$W84,$T84,$U84,$AH84,0.1))</f>
        <v>0</v>
      </c>
      <c r="BO84" s="76" t="n">
        <f aca="false">IF(BJ84=0,0,bsd(2,BO$27,BK84,$W84,$T84,$U84,$AH84,0.1))</f>
        <v>0</v>
      </c>
      <c r="BP84" s="76" t="n">
        <f aca="false">IF(BJ84=0,0,bsd(BO$28,BO$27,BK84,$W84,$T84,$U84,$AH84,0.1))</f>
        <v>0</v>
      </c>
      <c r="BQ84" s="37" t="n">
        <f aca="false">BJ84*BN84</f>
        <v>0</v>
      </c>
      <c r="BR84" s="37" t="n">
        <f aca="false">BJ84*BO84</f>
        <v>0</v>
      </c>
      <c r="BS84" s="37" t="n">
        <f aca="false">BJ84*BP84</f>
        <v>0</v>
      </c>
      <c r="BU84" s="73" t="n">
        <f aca="false">IF($A84&gt;=BV$25,IF($A84&lt;=BV$26,$AI84,0),0)</f>
        <v>0</v>
      </c>
      <c r="BV84" s="196" t="e">
        <f aca="false">BX84/BU84</f>
        <v>#DIV/0!</v>
      </c>
      <c r="BW84" s="1" t="n">
        <f aca="false">BU84*($B84+H$13)</f>
        <v>0</v>
      </c>
      <c r="BX84" s="47" t="n">
        <f aca="false">IF(ISNUMBER(((BW84/BU84)+H$14+$Y84)*BU84),((BW84/BU84)+H$14+$Y84)*BU84,0)</f>
        <v>0</v>
      </c>
      <c r="BY84" s="76" t="n">
        <f aca="false">IF(BU84=0,0,bsd(1,BZ$27,BV84,$AD84,$AA84,$AB84,$AH84,0.1))</f>
        <v>0</v>
      </c>
      <c r="BZ84" s="76" t="n">
        <f aca="false">IF(BU84=0,0,bsd(2,BZ$27,BV84,$AD84,$AA84,$AB84,$AH84,0.1))</f>
        <v>0</v>
      </c>
      <c r="CA84" s="76" t="n">
        <f aca="false">IF(BU84=0,0,bsd(BZ$28,BZ$27,BV84,$AD84,$AA84,$AB84,$AH84,0.1))</f>
        <v>0</v>
      </c>
      <c r="CB84" s="37" t="n">
        <f aca="false">BU84*BY84</f>
        <v>0</v>
      </c>
      <c r="CC84" s="37" t="n">
        <f aca="false">BU84*BZ84</f>
        <v>0</v>
      </c>
      <c r="CD84" s="37" t="n">
        <f aca="false">BU84*CA84</f>
        <v>0</v>
      </c>
    </row>
    <row r="85" customFormat="false" ht="12.75" hidden="false" customHeight="false" outlineLevel="0" collapsed="false">
      <c r="A85" s="62" t="n">
        <f aca="false">DATE(YEAR(A84),MONTH(A84)+1,1)</f>
        <v>38899</v>
      </c>
      <c r="B85" s="63" t="n">
        <f aca="false">VLOOKUP(A85,STRADDLE,5,FALSE())</f>
        <v>3.405</v>
      </c>
      <c r="C85" s="4" t="n">
        <f aca="false">VLOOKUP(A85,STRADDLE,8,FALSE())</f>
        <v>0.2475</v>
      </c>
      <c r="D85" s="63" t="n">
        <f aca="false">IF(D$28="nymex",0,VLOOKUP($A85,curvesettle,HLOOKUP(D$28,curvesettle,2,FALSE())))</f>
        <v>-0.0725</v>
      </c>
      <c r="E85" s="65" t="n">
        <f aca="false">IF(ISNUMBER(VLOOKUP($A85,VOLCURVES,HLOOKUP(D$28,VOLCURVES,2,FALSE()),FALSE())),VLOOKUP($A85,VOLCURVES,HLOOKUP(D$28,VOLCURVES,2,FALSE()),FALSE()),1)</f>
        <v>1</v>
      </c>
      <c r="F85" s="64" t="n">
        <f aca="false">IF(D$28="NYMEX",$AG85,$AF85)</f>
        <v>-7031</v>
      </c>
      <c r="G85" s="4" t="e">
        <f aca="false">(($C85+H85)*$E85)+B$15</f>
        <v>#DIV/0!</v>
      </c>
      <c r="H85" s="4" t="e">
        <f aca="false">IF(B$16=1,xCalcSkew(A85,I85-AO85,b)/100,0)</f>
        <v>#DIV/0!</v>
      </c>
      <c r="I85" s="66" t="n">
        <f aca="false">IF($B$19=4,$AO85,$B$18)</f>
        <v>5</v>
      </c>
      <c r="K85" s="63" t="n">
        <f aca="false">IF(K$28="nymex",0,VLOOKUP($A85,curvesettle,HLOOKUP(K$28,curvesettle,2,FALSE())))</f>
        <v>-0.0725</v>
      </c>
      <c r="L85" s="65" t="n">
        <f aca="false">IF(ISNUMBER(VLOOKUP($A85,VOLCURVES,HLOOKUP(K$28,VOLCURVES,2,FALSE()),FALSE())),VLOOKUP($A85,VOLCURVES,HLOOKUP(K$28,VOLCURVES,2,FALSE()),FALSE()),1)</f>
        <v>1</v>
      </c>
      <c r="M85" s="64" t="n">
        <f aca="false">IF(K$28="NYMEX",$AG85,$AF85)</f>
        <v>-7031</v>
      </c>
      <c r="N85" s="184" t="e">
        <f aca="false">(($C85+O85)*$L85)+D$15</f>
        <v>#DIV/0!</v>
      </c>
      <c r="O85" s="4" t="e">
        <f aca="false">IF(D$16=1,xCalcSkew($A85,P85-AZ85,b)/100,0)</f>
        <v>#DIV/0!</v>
      </c>
      <c r="P85" s="66" t="n">
        <f aca="false">IF($D$19=4,$AZ85,$D$18)</f>
        <v>3</v>
      </c>
      <c r="R85" s="63" t="n">
        <f aca="false">IF(R$28="nymex",0,VLOOKUP($A85,curvesettle,HLOOKUP(R$28,curvesettle,2,FALSE())))</f>
        <v>-0.39</v>
      </c>
      <c r="S85" s="65" t="n">
        <f aca="false">IF(ISNUMBER(VLOOKUP($A85,VOLCURVES,HLOOKUP(R$28,VOLCURVES,2,FALSE()),FALSE())),VLOOKUP($A85,VOLCURVES,HLOOKUP(R$28,VOLCURVES,2,FALSE()),FALSE()),1)</f>
        <v>1</v>
      </c>
      <c r="T85" s="64" t="n">
        <f aca="false">IF(R$28="NYMEX",$AG85,$AF85)</f>
        <v>-7031</v>
      </c>
      <c r="U85" s="184" t="e">
        <f aca="false">(($C85+V85)*$S85)+F$15</f>
        <v>#DIV/0!</v>
      </c>
      <c r="V85" s="4" t="e">
        <f aca="false">IF(F$16=1,xCalcSkew($A85,W85-BK85,b)/100,0)</f>
        <v>#DIV/0!</v>
      </c>
      <c r="W85" s="66" t="n">
        <f aca="false">IF($F$19=4,$BK85,$F$18)</f>
        <v>2.55</v>
      </c>
      <c r="X85" s="64"/>
      <c r="Y85" s="63" t="n">
        <f aca="false">IF(Y$28="nymex",0,VLOOKUP($A85,curvesettle,HLOOKUP(Y$28,curvesettle,2,FALSE())))</f>
        <v>0</v>
      </c>
      <c r="Z85" s="65" t="n">
        <f aca="false">IF(ISNUMBER(VLOOKUP($A85,VOLCURVES,HLOOKUP(Y$28,VOLCURVES,2,FALSE()),FALSE())),VLOOKUP($A85,VOLCURVES,HLOOKUP(Y$28,VOLCURVES,2,FALSE()),FALSE()),1)</f>
        <v>1</v>
      </c>
      <c r="AA85" s="64" t="n">
        <f aca="false">IF(Y$28="NYMEX",$AG85,$AF85)</f>
        <v>-7032</v>
      </c>
      <c r="AB85" s="4" t="e">
        <f aca="false">(($C85+AC85)*$Z85)+H$15</f>
        <v>#DIV/0!</v>
      </c>
      <c r="AC85" s="4" t="e">
        <f aca="false">IF(H$16=1,xCalcSkew($A85,AD85-BV85,b)/100,0)</f>
        <v>#DIV/0!</v>
      </c>
      <c r="AD85" s="66" t="n">
        <f aca="false">IF($H$19=4,$BV85,$H$18)</f>
        <v>2.9</v>
      </c>
      <c r="AF85" s="64" t="n">
        <f aca="false">VLOOKUP($A85,expiration,2,FALSE())-$B$2</f>
        <v>-7031</v>
      </c>
      <c r="AG85" s="64" t="n">
        <f aca="false">VLOOKUP($A85,expiration,3,FALSE())-$B$2</f>
        <v>-7032</v>
      </c>
      <c r="AH85" s="4" t="n">
        <f aca="false">VLOOKUP($A85,STRADDLE,14,FALSE())</f>
        <v>0.04962340294637</v>
      </c>
      <c r="AI85" s="72" t="n">
        <f aca="false">A86-A85</f>
        <v>31</v>
      </c>
      <c r="AL85" s="64"/>
      <c r="AM85" s="73"/>
      <c r="AN85" s="73" t="n">
        <f aca="false">IF($A85&gt;=AO$25,IF($A85&lt;=AO$26,$AI85,0),0)</f>
        <v>0</v>
      </c>
      <c r="AO85" s="196" t="e">
        <f aca="false">AQ85/AN85</f>
        <v>#DIV/0!</v>
      </c>
      <c r="AP85" s="1" t="n">
        <f aca="false">AN85*($B85+B$13)</f>
        <v>0</v>
      </c>
      <c r="AQ85" s="47" t="n">
        <f aca="false">IF(ISNUMBER(((AP85/AN85)+B$14+$D85)*AN85),((AP85/AN85)+B$14+$D85)*AN85,0)</f>
        <v>0</v>
      </c>
      <c r="AR85" s="76" t="n">
        <f aca="false">IF(AN85=0,0,bsd(1,AS$27,AO85,$I85,$F85,$G85,$AH85,0.1))</f>
        <v>0</v>
      </c>
      <c r="AS85" s="76" t="n">
        <f aca="false">IF(AN85=0,0,bsd(2,AS$27,AO85,$I85,$F85,$G85,$AH85,0.1))</f>
        <v>0</v>
      </c>
      <c r="AT85" s="76" t="n">
        <f aca="false">IF(AN85=0,0,bsd(AS$28,AS$27,AO85,$I85,$F85,$G85,$AH85,0.1))</f>
        <v>0</v>
      </c>
      <c r="AU85" s="37" t="n">
        <f aca="false">AN85*AR85</f>
        <v>0</v>
      </c>
      <c r="AV85" s="37" t="n">
        <f aca="false">AN85*AS85</f>
        <v>0</v>
      </c>
      <c r="AW85" s="37" t="n">
        <f aca="false">AN85*AT85</f>
        <v>0</v>
      </c>
      <c r="AY85" s="73" t="n">
        <f aca="false">IF($A85&gt;=AZ$25,IF($A85&lt;=AZ$26,$AI85,0),0)</f>
        <v>0</v>
      </c>
      <c r="AZ85" s="196" t="e">
        <f aca="false">BB85/AY85</f>
        <v>#DIV/0!</v>
      </c>
      <c r="BA85" s="1" t="n">
        <f aca="false">AY85*($B85+D$13)</f>
        <v>0</v>
      </c>
      <c r="BB85" s="47" t="n">
        <f aca="false">IF(ISNUMBER(((BA85/AY85)+D$14+$K85)*AY85),((BA85/AY85)+D$14+$K85)*AY85,0)</f>
        <v>0</v>
      </c>
      <c r="BC85" s="76" t="n">
        <f aca="false">IF(AY85=0,0,bsd(1,BD$27,AZ85,$P85,$M85,$N85,$AH85,0.1))</f>
        <v>0</v>
      </c>
      <c r="BD85" s="76" t="n">
        <f aca="false">IF(AY85=0,0,bsd(2,BD$27,AZ85,$P85,$M85,$N85,$AH85,0.1))</f>
        <v>0</v>
      </c>
      <c r="BE85" s="76" t="n">
        <f aca="false">IF(AY85=0,0,bsd(BD$28,BD$27,AZ85,$P85,$M85,$N85,$AH85,0.1))</f>
        <v>0</v>
      </c>
      <c r="BF85" s="37" t="n">
        <f aca="false">AY85*BC85</f>
        <v>0</v>
      </c>
      <c r="BG85" s="37" t="n">
        <f aca="false">AY85*BD85</f>
        <v>0</v>
      </c>
      <c r="BH85" s="37" t="n">
        <f aca="false">AY85*BE85</f>
        <v>0</v>
      </c>
      <c r="BJ85" s="73" t="n">
        <f aca="false">IF($A85&gt;=BK$25,IF($A85&lt;=BK$26,$AI85,0),0)</f>
        <v>0</v>
      </c>
      <c r="BK85" s="196" t="e">
        <f aca="false">BM85/BJ85</f>
        <v>#DIV/0!</v>
      </c>
      <c r="BL85" s="1" t="n">
        <f aca="false">BJ85*($B85+F$13)</f>
        <v>0</v>
      </c>
      <c r="BM85" s="47" t="n">
        <f aca="false">IF(ISNUMBER(((BL85/BJ85)+F$14+$R85)*BJ85),((BL85/BJ85)+F$14+$R85)*BJ85,0)</f>
        <v>0</v>
      </c>
      <c r="BN85" s="76" t="n">
        <f aca="false">IF(BJ85=0,0,bsd(1,BO$27,BK85,$W85,$T85,$U85,$AH85,0.1))</f>
        <v>0</v>
      </c>
      <c r="BO85" s="76" t="n">
        <f aca="false">IF(BJ85=0,0,bsd(2,BO$27,BK85,$W85,$T85,$U85,$AH85,0.1))</f>
        <v>0</v>
      </c>
      <c r="BP85" s="76" t="n">
        <f aca="false">IF(BJ85=0,0,bsd(BO$28,BO$27,BK85,$W85,$T85,$U85,$AH85,0.1))</f>
        <v>0</v>
      </c>
      <c r="BQ85" s="37" t="n">
        <f aca="false">BJ85*BN85</f>
        <v>0</v>
      </c>
      <c r="BR85" s="37" t="n">
        <f aca="false">BJ85*BO85</f>
        <v>0</v>
      </c>
      <c r="BS85" s="37" t="n">
        <f aca="false">BJ85*BP85</f>
        <v>0</v>
      </c>
      <c r="BU85" s="73" t="n">
        <f aca="false">IF($A85&gt;=BV$25,IF($A85&lt;=BV$26,$AI85,0),0)</f>
        <v>0</v>
      </c>
      <c r="BV85" s="196" t="e">
        <f aca="false">BX85/BU85</f>
        <v>#DIV/0!</v>
      </c>
      <c r="BW85" s="1" t="n">
        <f aca="false">BU85*($B85+H$13)</f>
        <v>0</v>
      </c>
      <c r="BX85" s="47" t="n">
        <f aca="false">IF(ISNUMBER(((BW85/BU85)+H$14+$Y85)*BU85),((BW85/BU85)+H$14+$Y85)*BU85,0)</f>
        <v>0</v>
      </c>
      <c r="BY85" s="76" t="n">
        <f aca="false">IF(BU85=0,0,bsd(1,BZ$27,BV85,$AD85,$AA85,$AB85,$AH85,0.1))</f>
        <v>0</v>
      </c>
      <c r="BZ85" s="76" t="n">
        <f aca="false">IF(BU85=0,0,bsd(2,BZ$27,BV85,$AD85,$AA85,$AB85,$AH85,0.1))</f>
        <v>0</v>
      </c>
      <c r="CA85" s="76" t="n">
        <f aca="false">IF(BU85=0,0,bsd(BZ$28,BZ$27,BV85,$AD85,$AA85,$AB85,$AH85,0.1))</f>
        <v>0</v>
      </c>
      <c r="CB85" s="37" t="n">
        <f aca="false">BU85*BY85</f>
        <v>0</v>
      </c>
      <c r="CC85" s="37" t="n">
        <f aca="false">BU85*BZ85</f>
        <v>0</v>
      </c>
      <c r="CD85" s="37" t="n">
        <f aca="false">BU85*CA85</f>
        <v>0</v>
      </c>
    </row>
    <row r="86" customFormat="false" ht="12.75" hidden="false" customHeight="false" outlineLevel="0" collapsed="false">
      <c r="A86" s="62" t="n">
        <f aca="false">DATE(YEAR(A85),MONTH(A85)+1,1)</f>
        <v>38930</v>
      </c>
      <c r="B86" s="63" t="n">
        <f aca="false">VLOOKUP(A86,STRADDLE,5,FALSE())</f>
        <v>3.445</v>
      </c>
      <c r="C86" s="4" t="n">
        <f aca="false">VLOOKUP(A86,STRADDLE,8,FALSE())</f>
        <v>0.2475</v>
      </c>
      <c r="D86" s="63" t="n">
        <f aca="false">IF(D$28="nymex",0,VLOOKUP($A86,curvesettle,HLOOKUP(D$28,curvesettle,2,FALSE())))</f>
        <v>-0.0725</v>
      </c>
      <c r="E86" s="65" t="n">
        <f aca="false">IF(ISNUMBER(VLOOKUP($A86,VOLCURVES,HLOOKUP(D$28,VOLCURVES,2,FALSE()),FALSE())),VLOOKUP($A86,VOLCURVES,HLOOKUP(D$28,VOLCURVES,2,FALSE()),FALSE()),1)</f>
        <v>1</v>
      </c>
      <c r="F86" s="64" t="n">
        <f aca="false">IF(D$28="NYMEX",$AG86,$AF86)</f>
        <v>-7002</v>
      </c>
      <c r="G86" s="4" t="e">
        <f aca="false">(($C86+H86)*$E86)+B$15</f>
        <v>#DIV/0!</v>
      </c>
      <c r="H86" s="4" t="e">
        <f aca="false">IF(B$16=1,xCalcSkew(A86,I86-AO86,b)/100,0)</f>
        <v>#DIV/0!</v>
      </c>
      <c r="I86" s="66" t="n">
        <f aca="false">IF($B$19=4,$AO86,$B$18)</f>
        <v>5</v>
      </c>
      <c r="K86" s="63" t="n">
        <f aca="false">IF(K$28="nymex",0,VLOOKUP($A86,curvesettle,HLOOKUP(K$28,curvesettle,2,FALSE())))</f>
        <v>-0.0725</v>
      </c>
      <c r="L86" s="65" t="n">
        <f aca="false">IF(ISNUMBER(VLOOKUP($A86,VOLCURVES,HLOOKUP(K$28,VOLCURVES,2,FALSE()),FALSE())),VLOOKUP($A86,VOLCURVES,HLOOKUP(K$28,VOLCURVES,2,FALSE()),FALSE()),1)</f>
        <v>1</v>
      </c>
      <c r="M86" s="64" t="n">
        <f aca="false">IF(K$28="NYMEX",$AG86,$AF86)</f>
        <v>-7002</v>
      </c>
      <c r="N86" s="184" t="e">
        <f aca="false">(($C86+O86)*$L86)+D$15</f>
        <v>#DIV/0!</v>
      </c>
      <c r="O86" s="4" t="e">
        <f aca="false">IF(D$16=1,xCalcSkew($A86,P86-AZ86,b)/100,0)</f>
        <v>#DIV/0!</v>
      </c>
      <c r="P86" s="66" t="n">
        <f aca="false">IF($D$19=4,$AZ86,$D$18)</f>
        <v>3</v>
      </c>
      <c r="R86" s="63" t="n">
        <f aca="false">IF(R$28="nymex",0,VLOOKUP($A86,curvesettle,HLOOKUP(R$28,curvesettle,2,FALSE())))</f>
        <v>-0.39</v>
      </c>
      <c r="S86" s="65" t="n">
        <f aca="false">IF(ISNUMBER(VLOOKUP($A86,VOLCURVES,HLOOKUP(R$28,VOLCURVES,2,FALSE()),FALSE())),VLOOKUP($A86,VOLCURVES,HLOOKUP(R$28,VOLCURVES,2,FALSE()),FALSE()),1)</f>
        <v>1</v>
      </c>
      <c r="T86" s="64" t="n">
        <f aca="false">IF(R$28="NYMEX",$AG86,$AF86)</f>
        <v>-7002</v>
      </c>
      <c r="U86" s="184" t="e">
        <f aca="false">(($C86+V86)*$S86)+F$15</f>
        <v>#DIV/0!</v>
      </c>
      <c r="V86" s="4" t="e">
        <f aca="false">IF(F$16=1,xCalcSkew($A86,W86-BK86,b)/100,0)</f>
        <v>#DIV/0!</v>
      </c>
      <c r="W86" s="66" t="n">
        <f aca="false">IF($F$19=4,$BK86,$F$18)</f>
        <v>2.55</v>
      </c>
      <c r="X86" s="64"/>
      <c r="Y86" s="63" t="n">
        <f aca="false">IF(Y$28="nymex",0,VLOOKUP($A86,curvesettle,HLOOKUP(Y$28,curvesettle,2,FALSE())))</f>
        <v>0</v>
      </c>
      <c r="Z86" s="65" t="n">
        <f aca="false">IF(ISNUMBER(VLOOKUP($A86,VOLCURVES,HLOOKUP(Y$28,VOLCURVES,2,FALSE()),FALSE())),VLOOKUP($A86,VOLCURVES,HLOOKUP(Y$28,VOLCURVES,2,FALSE()),FALSE()),1)</f>
        <v>1</v>
      </c>
      <c r="AA86" s="64" t="n">
        <f aca="false">IF(Y$28="NYMEX",$AG86,$AF86)</f>
        <v>-7003</v>
      </c>
      <c r="AB86" s="4" t="e">
        <f aca="false">(($C86+AC86)*$Z86)+H$15</f>
        <v>#DIV/0!</v>
      </c>
      <c r="AC86" s="4" t="e">
        <f aca="false">IF(H$16=1,xCalcSkew($A86,AD86-BV86,b)/100,0)</f>
        <v>#DIV/0!</v>
      </c>
      <c r="AD86" s="66" t="n">
        <f aca="false">IF($H$19=4,$BV86,$H$18)</f>
        <v>2.9</v>
      </c>
      <c r="AF86" s="64" t="n">
        <f aca="false">VLOOKUP($A86,expiration,2,FALSE())-$B$2</f>
        <v>-7002</v>
      </c>
      <c r="AG86" s="64" t="n">
        <f aca="false">VLOOKUP($A86,expiration,3,FALSE())-$B$2</f>
        <v>-7003</v>
      </c>
      <c r="AH86" s="4" t="n">
        <f aca="false">VLOOKUP($A86,STRADDLE,14,FALSE())</f>
        <v>0.0499339742651683</v>
      </c>
      <c r="AI86" s="72" t="n">
        <f aca="false">A87-A86</f>
        <v>31</v>
      </c>
      <c r="AL86" s="64"/>
      <c r="AM86" s="73"/>
      <c r="AN86" s="73" t="n">
        <f aca="false">IF($A86&gt;=AO$25,IF($A86&lt;=AO$26,$AI86,0),0)</f>
        <v>0</v>
      </c>
      <c r="AO86" s="196" t="e">
        <f aca="false">AQ86/AN86</f>
        <v>#DIV/0!</v>
      </c>
      <c r="AP86" s="1" t="n">
        <f aca="false">AN86*($B86+B$13)</f>
        <v>0</v>
      </c>
      <c r="AQ86" s="47" t="n">
        <f aca="false">IF(ISNUMBER(((AP86/AN86)+B$14+$D86)*AN86),((AP86/AN86)+B$14+$D86)*AN86,0)</f>
        <v>0</v>
      </c>
      <c r="AR86" s="76" t="n">
        <f aca="false">IF(AN86=0,0,bsd(1,AS$27,AO86,$I86,$F86,$G86,$AH86,0.1))</f>
        <v>0</v>
      </c>
      <c r="AS86" s="76" t="n">
        <f aca="false">IF(AN86=0,0,bsd(2,AS$27,AO86,$I86,$F86,$G86,$AH86,0.1))</f>
        <v>0</v>
      </c>
      <c r="AT86" s="76" t="n">
        <f aca="false">IF(AN86=0,0,bsd(AS$28,AS$27,AO86,$I86,$F86,$G86,$AH86,0.1))</f>
        <v>0</v>
      </c>
      <c r="AU86" s="37" t="n">
        <f aca="false">AN86*AR86</f>
        <v>0</v>
      </c>
      <c r="AV86" s="37" t="n">
        <f aca="false">AN86*AS86</f>
        <v>0</v>
      </c>
      <c r="AW86" s="37" t="n">
        <f aca="false">AN86*AT86</f>
        <v>0</v>
      </c>
      <c r="AY86" s="73" t="n">
        <f aca="false">IF($A86&gt;=AZ$25,IF($A86&lt;=AZ$26,$AI86,0),0)</f>
        <v>0</v>
      </c>
      <c r="AZ86" s="196" t="e">
        <f aca="false">BB86/AY86</f>
        <v>#DIV/0!</v>
      </c>
      <c r="BA86" s="1" t="n">
        <f aca="false">AY86*($B86+D$13)</f>
        <v>0</v>
      </c>
      <c r="BB86" s="47" t="n">
        <f aca="false">IF(ISNUMBER(((BA86/AY86)+D$14+$K86)*AY86),((BA86/AY86)+D$14+$K86)*AY86,0)</f>
        <v>0</v>
      </c>
      <c r="BC86" s="76" t="n">
        <f aca="false">IF(AY86=0,0,bsd(1,BD$27,AZ86,$P86,$M86,$N86,$AH86,0.1))</f>
        <v>0</v>
      </c>
      <c r="BD86" s="76" t="n">
        <f aca="false">IF(AY86=0,0,bsd(2,BD$27,AZ86,$P86,$M86,$N86,$AH86,0.1))</f>
        <v>0</v>
      </c>
      <c r="BE86" s="76" t="n">
        <f aca="false">IF(AY86=0,0,bsd(BD$28,BD$27,AZ86,$P86,$M86,$N86,$AH86,0.1))</f>
        <v>0</v>
      </c>
      <c r="BF86" s="37" t="n">
        <f aca="false">AY86*BC86</f>
        <v>0</v>
      </c>
      <c r="BG86" s="37" t="n">
        <f aca="false">AY86*BD86</f>
        <v>0</v>
      </c>
      <c r="BH86" s="37" t="n">
        <f aca="false">AY86*BE86</f>
        <v>0</v>
      </c>
      <c r="BJ86" s="73" t="n">
        <f aca="false">IF($A86&gt;=BK$25,IF($A86&lt;=BK$26,$AI86,0),0)</f>
        <v>0</v>
      </c>
      <c r="BK86" s="196" t="e">
        <f aca="false">BM86/BJ86</f>
        <v>#DIV/0!</v>
      </c>
      <c r="BL86" s="1" t="n">
        <f aca="false">BJ86*($B86+F$13)</f>
        <v>0</v>
      </c>
      <c r="BM86" s="47" t="n">
        <f aca="false">IF(ISNUMBER(((BL86/BJ86)+F$14+$R86)*BJ86),((BL86/BJ86)+F$14+$R86)*BJ86,0)</f>
        <v>0</v>
      </c>
      <c r="BN86" s="76" t="n">
        <f aca="false">IF(BJ86=0,0,bsd(1,BO$27,BK86,$W86,$T86,$U86,$AH86,0.1))</f>
        <v>0</v>
      </c>
      <c r="BO86" s="76" t="n">
        <f aca="false">IF(BJ86=0,0,bsd(2,BO$27,BK86,$W86,$T86,$U86,$AH86,0.1))</f>
        <v>0</v>
      </c>
      <c r="BP86" s="76" t="n">
        <f aca="false">IF(BJ86=0,0,bsd(BO$28,BO$27,BK86,$W86,$T86,$U86,$AH86,0.1))</f>
        <v>0</v>
      </c>
      <c r="BQ86" s="37" t="n">
        <f aca="false">BJ86*BN86</f>
        <v>0</v>
      </c>
      <c r="BR86" s="37" t="n">
        <f aca="false">BJ86*BO86</f>
        <v>0</v>
      </c>
      <c r="BS86" s="37" t="n">
        <f aca="false">BJ86*BP86</f>
        <v>0</v>
      </c>
      <c r="BU86" s="73" t="n">
        <f aca="false">IF($A86&gt;=BV$25,IF($A86&lt;=BV$26,$AI86,0),0)</f>
        <v>0</v>
      </c>
      <c r="BV86" s="196" t="e">
        <f aca="false">BX86/BU86</f>
        <v>#DIV/0!</v>
      </c>
      <c r="BW86" s="1" t="n">
        <f aca="false">BU86*($B86+H$13)</f>
        <v>0</v>
      </c>
      <c r="BX86" s="47" t="n">
        <f aca="false">IF(ISNUMBER(((BW86/BU86)+H$14+$Y86)*BU86),((BW86/BU86)+H$14+$Y86)*BU86,0)</f>
        <v>0</v>
      </c>
      <c r="BY86" s="76" t="n">
        <f aca="false">IF(BU86=0,0,bsd(1,BZ$27,BV86,$AD86,$AA86,$AB86,$AH86,0.1))</f>
        <v>0</v>
      </c>
      <c r="BZ86" s="76" t="n">
        <f aca="false">IF(BU86=0,0,bsd(2,BZ$27,BV86,$AD86,$AA86,$AB86,$AH86,0.1))</f>
        <v>0</v>
      </c>
      <c r="CA86" s="76" t="n">
        <f aca="false">IF(BU86=0,0,bsd(BZ$28,BZ$27,BV86,$AD86,$AA86,$AB86,$AH86,0.1))</f>
        <v>0</v>
      </c>
      <c r="CB86" s="37" t="n">
        <f aca="false">BU86*BY86</f>
        <v>0</v>
      </c>
      <c r="CC86" s="37" t="n">
        <f aca="false">BU86*BZ86</f>
        <v>0</v>
      </c>
      <c r="CD86" s="37" t="n">
        <f aca="false">BU86*CA86</f>
        <v>0</v>
      </c>
    </row>
    <row r="87" customFormat="false" ht="12.75" hidden="false" customHeight="false" outlineLevel="0" collapsed="false">
      <c r="A87" s="62" t="n">
        <f aca="false">DATE(YEAR(A86),MONTH(A86)+1,1)</f>
        <v>38961</v>
      </c>
      <c r="B87" s="63" t="n">
        <f aca="false">VLOOKUP(A87,STRADDLE,5,FALSE())</f>
        <v>3.44</v>
      </c>
      <c r="C87" s="4" t="n">
        <f aca="false">VLOOKUP(A87,STRADDLE,8,FALSE())</f>
        <v>0.2475</v>
      </c>
      <c r="D87" s="63" t="n">
        <f aca="false">IF(D$28="nymex",0,VLOOKUP($A87,curvesettle,HLOOKUP(D$28,curvesettle,2,FALSE())))</f>
        <v>-0.0725</v>
      </c>
      <c r="E87" s="65" t="n">
        <f aca="false">IF(ISNUMBER(VLOOKUP($A87,VOLCURVES,HLOOKUP(D$28,VOLCURVES,2,FALSE()),FALSE())),VLOOKUP($A87,VOLCURVES,HLOOKUP(D$28,VOLCURVES,2,FALSE()),FALSE()),1)</f>
        <v>1</v>
      </c>
      <c r="F87" s="64" t="n">
        <f aca="false">IF(D$28="NYMEX",$AG87,$AF87)</f>
        <v>-6969</v>
      </c>
      <c r="G87" s="4" t="e">
        <f aca="false">(($C87+H87)*$E87)+B$15</f>
        <v>#DIV/0!</v>
      </c>
      <c r="H87" s="4" t="e">
        <f aca="false">IF(B$16=1,xCalcSkew(A87,I87-AO87,b)/100,0)</f>
        <v>#DIV/0!</v>
      </c>
      <c r="I87" s="66" t="n">
        <f aca="false">IF($B$19=4,$AO87,$B$18)</f>
        <v>5</v>
      </c>
      <c r="K87" s="63" t="n">
        <f aca="false">IF(K$28="nymex",0,VLOOKUP($A87,curvesettle,HLOOKUP(K$28,curvesettle,2,FALSE())))</f>
        <v>-0.0725</v>
      </c>
      <c r="L87" s="65" t="n">
        <f aca="false">IF(ISNUMBER(VLOOKUP($A87,VOLCURVES,HLOOKUP(K$28,VOLCURVES,2,FALSE()),FALSE())),VLOOKUP($A87,VOLCURVES,HLOOKUP(K$28,VOLCURVES,2,FALSE()),FALSE()),1)</f>
        <v>1</v>
      </c>
      <c r="M87" s="64" t="n">
        <f aca="false">IF(K$28="NYMEX",$AG87,$AF87)</f>
        <v>-6969</v>
      </c>
      <c r="N87" s="184" t="e">
        <f aca="false">(($C87+O87)*$L87)+D$15</f>
        <v>#DIV/0!</v>
      </c>
      <c r="O87" s="4" t="e">
        <f aca="false">IF(D$16=1,xCalcSkew($A87,P87-AZ87,b)/100,0)</f>
        <v>#DIV/0!</v>
      </c>
      <c r="P87" s="66" t="n">
        <f aca="false">IF($D$19=4,$AZ87,$D$18)</f>
        <v>3</v>
      </c>
      <c r="R87" s="63" t="n">
        <f aca="false">IF(R$28="nymex",0,VLOOKUP($A87,curvesettle,HLOOKUP(R$28,curvesettle,2,FALSE())))</f>
        <v>-0.39</v>
      </c>
      <c r="S87" s="65" t="n">
        <f aca="false">IF(ISNUMBER(VLOOKUP($A87,VOLCURVES,HLOOKUP(R$28,VOLCURVES,2,FALSE()),FALSE())),VLOOKUP($A87,VOLCURVES,HLOOKUP(R$28,VOLCURVES,2,FALSE()),FALSE()),1)</f>
        <v>1</v>
      </c>
      <c r="T87" s="64" t="n">
        <f aca="false">IF(R$28="NYMEX",$AG87,$AF87)</f>
        <v>-6969</v>
      </c>
      <c r="U87" s="184" t="e">
        <f aca="false">(($C87+V87)*$S87)+F$15</f>
        <v>#DIV/0!</v>
      </c>
      <c r="V87" s="4" t="e">
        <f aca="false">IF(F$16=1,xCalcSkew($A87,W87-BK87,b)/100,0)</f>
        <v>#DIV/0!</v>
      </c>
      <c r="W87" s="66" t="n">
        <f aca="false">IF($F$19=4,$BK87,$F$18)</f>
        <v>2.55</v>
      </c>
      <c r="X87" s="64"/>
      <c r="Y87" s="63" t="n">
        <f aca="false">IF(Y$28="nymex",0,VLOOKUP($A87,curvesettle,HLOOKUP(Y$28,curvesettle,2,FALSE())))</f>
        <v>0</v>
      </c>
      <c r="Z87" s="65" t="n">
        <f aca="false">IF(ISNUMBER(VLOOKUP($A87,VOLCURVES,HLOOKUP(Y$28,VOLCURVES,2,FALSE()),FALSE())),VLOOKUP($A87,VOLCURVES,HLOOKUP(Y$28,VOLCURVES,2,FALSE()),FALSE()),1)</f>
        <v>1</v>
      </c>
      <c r="AA87" s="64" t="n">
        <f aca="false">IF(Y$28="NYMEX",$AG87,$AF87)</f>
        <v>-6970</v>
      </c>
      <c r="AB87" s="4" t="e">
        <f aca="false">(($C87+AC87)*$Z87)+H$15</f>
        <v>#DIV/0!</v>
      </c>
      <c r="AC87" s="4" t="e">
        <f aca="false">IF(H$16=1,xCalcSkew($A87,AD87-BV87,b)/100,0)</f>
        <v>#DIV/0!</v>
      </c>
      <c r="AD87" s="66" t="n">
        <f aca="false">IF($H$19=4,$BV87,$H$18)</f>
        <v>2.9</v>
      </c>
      <c r="AF87" s="64" t="n">
        <f aca="false">VLOOKUP($A87,expiration,2,FALSE())-$B$2</f>
        <v>-6969</v>
      </c>
      <c r="AG87" s="64" t="n">
        <f aca="false">VLOOKUP($A87,expiration,3,FALSE())-$B$2</f>
        <v>-6970</v>
      </c>
      <c r="AH87" s="4" t="n">
        <f aca="false">VLOOKUP($A87,STRADDLE,14,FALSE())</f>
        <v>0.0502445456161724</v>
      </c>
      <c r="AI87" s="72" t="n">
        <f aca="false">A88-A87</f>
        <v>30</v>
      </c>
      <c r="AL87" s="64"/>
      <c r="AM87" s="73"/>
      <c r="AN87" s="73" t="n">
        <f aca="false">IF($A87&gt;=AO$25,IF($A87&lt;=AO$26,$AI87,0),0)</f>
        <v>0</v>
      </c>
      <c r="AO87" s="196" t="e">
        <f aca="false">AQ87/AN87</f>
        <v>#DIV/0!</v>
      </c>
      <c r="AP87" s="1" t="n">
        <f aca="false">AN87*($B87+B$13)</f>
        <v>0</v>
      </c>
      <c r="AQ87" s="47" t="n">
        <f aca="false">IF(ISNUMBER(((AP87/AN87)+B$14+$D87)*AN87),((AP87/AN87)+B$14+$D87)*AN87,0)</f>
        <v>0</v>
      </c>
      <c r="AR87" s="76" t="n">
        <f aca="false">IF(AN87=0,0,bsd(1,AS$27,AO87,$I87,$F87,$G87,$AH87,0.1))</f>
        <v>0</v>
      </c>
      <c r="AS87" s="76" t="n">
        <f aca="false">IF(AN87=0,0,bsd(2,AS$27,AO87,$I87,$F87,$G87,$AH87,0.1))</f>
        <v>0</v>
      </c>
      <c r="AT87" s="76" t="n">
        <f aca="false">IF(AN87=0,0,bsd(AS$28,AS$27,AO87,$I87,$F87,$G87,$AH87,0.1))</f>
        <v>0</v>
      </c>
      <c r="AU87" s="37" t="n">
        <f aca="false">AN87*AR87</f>
        <v>0</v>
      </c>
      <c r="AV87" s="37" t="n">
        <f aca="false">AN87*AS87</f>
        <v>0</v>
      </c>
      <c r="AW87" s="37" t="n">
        <f aca="false">AN87*AT87</f>
        <v>0</v>
      </c>
      <c r="AY87" s="73" t="n">
        <f aca="false">IF($A87&gt;=AZ$25,IF($A87&lt;=AZ$26,$AI87,0),0)</f>
        <v>0</v>
      </c>
      <c r="AZ87" s="196" t="e">
        <f aca="false">BB87/AY87</f>
        <v>#DIV/0!</v>
      </c>
      <c r="BA87" s="1" t="n">
        <f aca="false">AY87*($B87+D$13)</f>
        <v>0</v>
      </c>
      <c r="BB87" s="47" t="n">
        <f aca="false">IF(ISNUMBER(((BA87/AY87)+D$14+$K87)*AY87),((BA87/AY87)+D$14+$K87)*AY87,0)</f>
        <v>0</v>
      </c>
      <c r="BC87" s="76" t="n">
        <f aca="false">IF(AY87=0,0,bsd(1,BD$27,AZ87,$P87,$M87,$N87,$AH87,0.1))</f>
        <v>0</v>
      </c>
      <c r="BD87" s="76" t="n">
        <f aca="false">IF(AY87=0,0,bsd(2,BD$27,AZ87,$P87,$M87,$N87,$AH87,0.1))</f>
        <v>0</v>
      </c>
      <c r="BE87" s="76" t="n">
        <f aca="false">IF(AY87=0,0,bsd(BD$28,BD$27,AZ87,$P87,$M87,$N87,$AH87,0.1))</f>
        <v>0</v>
      </c>
      <c r="BF87" s="37" t="n">
        <f aca="false">AY87*BC87</f>
        <v>0</v>
      </c>
      <c r="BG87" s="37" t="n">
        <f aca="false">AY87*BD87</f>
        <v>0</v>
      </c>
      <c r="BH87" s="37" t="n">
        <f aca="false">AY87*BE87</f>
        <v>0</v>
      </c>
      <c r="BJ87" s="73" t="n">
        <f aca="false">IF($A87&gt;=BK$25,IF($A87&lt;=BK$26,$AI87,0),0)</f>
        <v>0</v>
      </c>
      <c r="BK87" s="196" t="e">
        <f aca="false">BM87/BJ87</f>
        <v>#DIV/0!</v>
      </c>
      <c r="BL87" s="1" t="n">
        <f aca="false">BJ87*($B87+F$13)</f>
        <v>0</v>
      </c>
      <c r="BM87" s="47" t="n">
        <f aca="false">IF(ISNUMBER(((BL87/BJ87)+F$14+$R87)*BJ87),((BL87/BJ87)+F$14+$R87)*BJ87,0)</f>
        <v>0</v>
      </c>
      <c r="BN87" s="76" t="n">
        <f aca="false">IF(BJ87=0,0,bsd(1,BO$27,BK87,$W87,$T87,$U87,$AH87,0.1))</f>
        <v>0</v>
      </c>
      <c r="BO87" s="76" t="n">
        <f aca="false">IF(BJ87=0,0,bsd(2,BO$27,BK87,$W87,$T87,$U87,$AH87,0.1))</f>
        <v>0</v>
      </c>
      <c r="BP87" s="76" t="n">
        <f aca="false">IF(BJ87=0,0,bsd(BO$28,BO$27,BK87,$W87,$T87,$U87,$AH87,0.1))</f>
        <v>0</v>
      </c>
      <c r="BQ87" s="37" t="n">
        <f aca="false">BJ87*BN87</f>
        <v>0</v>
      </c>
      <c r="BR87" s="37" t="n">
        <f aca="false">BJ87*BO87</f>
        <v>0</v>
      </c>
      <c r="BS87" s="37" t="n">
        <f aca="false">BJ87*BP87</f>
        <v>0</v>
      </c>
      <c r="BU87" s="73" t="n">
        <f aca="false">IF($A87&gt;=BV$25,IF($A87&lt;=BV$26,$AI87,0),0)</f>
        <v>0</v>
      </c>
      <c r="BV87" s="196" t="e">
        <f aca="false">BX87/BU87</f>
        <v>#DIV/0!</v>
      </c>
      <c r="BW87" s="1" t="n">
        <f aca="false">BU87*($B87+H$13)</f>
        <v>0</v>
      </c>
      <c r="BX87" s="47" t="n">
        <f aca="false">IF(ISNUMBER(((BW87/BU87)+H$14+$Y87)*BU87),((BW87/BU87)+H$14+$Y87)*BU87,0)</f>
        <v>0</v>
      </c>
      <c r="BY87" s="76" t="n">
        <f aca="false">IF(BU87=0,0,bsd(1,BZ$27,BV87,$AD87,$AA87,$AB87,$AH87,0.1))</f>
        <v>0</v>
      </c>
      <c r="BZ87" s="76" t="n">
        <f aca="false">IF(BU87=0,0,bsd(2,BZ$27,BV87,$AD87,$AA87,$AB87,$AH87,0.1))</f>
        <v>0</v>
      </c>
      <c r="CA87" s="76" t="n">
        <f aca="false">IF(BU87=0,0,bsd(BZ$28,BZ$27,BV87,$AD87,$AA87,$AB87,$AH87,0.1))</f>
        <v>0</v>
      </c>
      <c r="CB87" s="37" t="n">
        <f aca="false">BU87*BY87</f>
        <v>0</v>
      </c>
      <c r="CC87" s="37" t="n">
        <f aca="false">BU87*BZ87</f>
        <v>0</v>
      </c>
      <c r="CD87" s="37" t="n">
        <f aca="false">BU87*CA87</f>
        <v>0</v>
      </c>
    </row>
    <row r="88" customFormat="false" ht="12.75" hidden="false" customHeight="false" outlineLevel="0" collapsed="false">
      <c r="A88" s="62" t="n">
        <f aca="false">DATE(YEAR(A87),MONTH(A87)+1,1)</f>
        <v>38991</v>
      </c>
      <c r="B88" s="63" t="n">
        <f aca="false">VLOOKUP(A88,STRADDLE,5,FALSE())</f>
        <v>3.465</v>
      </c>
      <c r="C88" s="4" t="n">
        <f aca="false">VLOOKUP(A88,STRADDLE,8,FALSE())</f>
        <v>0.2475</v>
      </c>
      <c r="D88" s="63" t="n">
        <f aca="false">IF(D$28="nymex",0,VLOOKUP($A88,curvesettle,HLOOKUP(D$28,curvesettle,2,FALSE())))</f>
        <v>-0.0725</v>
      </c>
      <c r="E88" s="65" t="n">
        <f aca="false">IF(ISNUMBER(VLOOKUP($A88,VOLCURVES,HLOOKUP(D$28,VOLCURVES,2,FALSE()),FALSE())),VLOOKUP($A88,VOLCURVES,HLOOKUP(D$28,VOLCURVES,2,FALSE()),FALSE()),1)</f>
        <v>1</v>
      </c>
      <c r="F88" s="64" t="n">
        <f aca="false">IF(D$28="NYMEX",$AG88,$AF88)</f>
        <v>-6940</v>
      </c>
      <c r="G88" s="4" t="e">
        <f aca="false">(($C88+H88)*$E88)+B$15</f>
        <v>#DIV/0!</v>
      </c>
      <c r="H88" s="4" t="e">
        <f aca="false">IF(B$16=1,xCalcSkew(A88,I88-AO88,b)/100,0)</f>
        <v>#DIV/0!</v>
      </c>
      <c r="I88" s="66" t="n">
        <f aca="false">IF($B$19=4,$AO88,$B$18)</f>
        <v>5</v>
      </c>
      <c r="K88" s="63" t="n">
        <f aca="false">IF(K$28="nymex",0,VLOOKUP($A88,curvesettle,HLOOKUP(K$28,curvesettle,2,FALSE())))</f>
        <v>-0.0725</v>
      </c>
      <c r="L88" s="65" t="n">
        <f aca="false">IF(ISNUMBER(VLOOKUP($A88,VOLCURVES,HLOOKUP(K$28,VOLCURVES,2,FALSE()),FALSE())),VLOOKUP($A88,VOLCURVES,HLOOKUP(K$28,VOLCURVES,2,FALSE()),FALSE()),1)</f>
        <v>1</v>
      </c>
      <c r="M88" s="64" t="n">
        <f aca="false">IF(K$28="NYMEX",$AG88,$AF88)</f>
        <v>-6940</v>
      </c>
      <c r="N88" s="184" t="e">
        <f aca="false">(($C88+O88)*$L88)+D$15</f>
        <v>#DIV/0!</v>
      </c>
      <c r="O88" s="4" t="e">
        <f aca="false">IF(D$16=1,xCalcSkew($A88,P88-AZ88,b)/100,0)</f>
        <v>#DIV/0!</v>
      </c>
      <c r="P88" s="66" t="n">
        <f aca="false">IF($D$19=4,$AZ88,$D$18)</f>
        <v>3</v>
      </c>
      <c r="R88" s="63" t="n">
        <f aca="false">IF(R$28="nymex",0,VLOOKUP($A88,curvesettle,HLOOKUP(R$28,curvesettle,2,FALSE())))</f>
        <v>-0.39</v>
      </c>
      <c r="S88" s="65" t="n">
        <f aca="false">IF(ISNUMBER(VLOOKUP($A88,VOLCURVES,HLOOKUP(R$28,VOLCURVES,2,FALSE()),FALSE())),VLOOKUP($A88,VOLCURVES,HLOOKUP(R$28,VOLCURVES,2,FALSE()),FALSE()),1)</f>
        <v>1</v>
      </c>
      <c r="T88" s="64" t="n">
        <f aca="false">IF(R$28="NYMEX",$AG88,$AF88)</f>
        <v>-6940</v>
      </c>
      <c r="U88" s="184" t="e">
        <f aca="false">(($C88+V88)*$S88)+F$15</f>
        <v>#DIV/0!</v>
      </c>
      <c r="V88" s="4" t="e">
        <f aca="false">IF(F$16=1,xCalcSkew($A88,W88-BK88,b)/100,0)</f>
        <v>#DIV/0!</v>
      </c>
      <c r="W88" s="66" t="n">
        <f aca="false">IF($F$19=4,$BK88,$F$18)</f>
        <v>2.55</v>
      </c>
      <c r="X88" s="64"/>
      <c r="Y88" s="63" t="n">
        <f aca="false">IF(Y$28="nymex",0,VLOOKUP($A88,curvesettle,HLOOKUP(Y$28,curvesettle,2,FALSE())))</f>
        <v>0</v>
      </c>
      <c r="Z88" s="65" t="n">
        <f aca="false">IF(ISNUMBER(VLOOKUP($A88,VOLCURVES,HLOOKUP(Y$28,VOLCURVES,2,FALSE()),FALSE())),VLOOKUP($A88,VOLCURVES,HLOOKUP(Y$28,VOLCURVES,2,FALSE()),FALSE()),1)</f>
        <v>1</v>
      </c>
      <c r="AA88" s="64" t="n">
        <f aca="false">IF(Y$28="NYMEX",$AG88,$AF88)</f>
        <v>-6941</v>
      </c>
      <c r="AB88" s="4" t="e">
        <f aca="false">(($C88+AC88)*$Z88)+H$15</f>
        <v>#DIV/0!</v>
      </c>
      <c r="AC88" s="4" t="e">
        <f aca="false">IF(H$16=1,xCalcSkew($A88,AD88-BV88,b)/100,0)</f>
        <v>#DIV/0!</v>
      </c>
      <c r="AD88" s="66" t="n">
        <f aca="false">IF($H$19=4,$BV88,$H$18)</f>
        <v>2.9</v>
      </c>
      <c r="AF88" s="64" t="n">
        <f aca="false">VLOOKUP($A88,expiration,2,FALSE())-$B$2</f>
        <v>-6940</v>
      </c>
      <c r="AG88" s="64" t="n">
        <f aca="false">VLOOKUP($A88,expiration,3,FALSE())-$B$2</f>
        <v>-6941</v>
      </c>
      <c r="AH88" s="4" t="n">
        <f aca="false">VLOOKUP($A88,STRADDLE,14,FALSE())</f>
        <v>0.0505450985671585</v>
      </c>
      <c r="AI88" s="72" t="n">
        <f aca="false">A89-A88</f>
        <v>31</v>
      </c>
      <c r="AL88" s="64"/>
      <c r="AM88" s="73"/>
      <c r="AN88" s="73" t="n">
        <f aca="false">IF($A88&gt;=AO$25,IF($A88&lt;=AO$26,$AI88,0),0)</f>
        <v>0</v>
      </c>
      <c r="AO88" s="196" t="e">
        <f aca="false">AQ88/AN88</f>
        <v>#DIV/0!</v>
      </c>
      <c r="AP88" s="1" t="n">
        <f aca="false">AN88*($B88+B$13)</f>
        <v>0</v>
      </c>
      <c r="AQ88" s="47" t="n">
        <f aca="false">IF(ISNUMBER(((AP88/AN88)+B$14+$D88)*AN88),((AP88/AN88)+B$14+$D88)*AN88,0)</f>
        <v>0</v>
      </c>
      <c r="AR88" s="76" t="n">
        <f aca="false">IF(AN88=0,0,bsd(1,AS$27,AO88,$I88,$F88,$G88,$AH88,0.1))</f>
        <v>0</v>
      </c>
      <c r="AS88" s="76" t="n">
        <f aca="false">IF(AN88=0,0,bsd(2,AS$27,AO88,$I88,$F88,$G88,$AH88,0.1))</f>
        <v>0</v>
      </c>
      <c r="AT88" s="76" t="n">
        <f aca="false">IF(AN88=0,0,bsd(AS$28,AS$27,AO88,$I88,$F88,$G88,$AH88,0.1))</f>
        <v>0</v>
      </c>
      <c r="AU88" s="37" t="n">
        <f aca="false">AN88*AR88</f>
        <v>0</v>
      </c>
      <c r="AV88" s="37" t="n">
        <f aca="false">AN88*AS88</f>
        <v>0</v>
      </c>
      <c r="AW88" s="37" t="n">
        <f aca="false">AN88*AT88</f>
        <v>0</v>
      </c>
      <c r="AY88" s="73" t="n">
        <f aca="false">IF($A88&gt;=AZ$25,IF($A88&lt;=AZ$26,$AI88,0),0)</f>
        <v>0</v>
      </c>
      <c r="AZ88" s="196" t="e">
        <f aca="false">BB88/AY88</f>
        <v>#DIV/0!</v>
      </c>
      <c r="BA88" s="1" t="n">
        <f aca="false">AY88*($B88+D$13)</f>
        <v>0</v>
      </c>
      <c r="BB88" s="47" t="n">
        <f aca="false">IF(ISNUMBER(((BA88/AY88)+D$14+$K88)*AY88),((BA88/AY88)+D$14+$K88)*AY88,0)</f>
        <v>0</v>
      </c>
      <c r="BC88" s="76" t="n">
        <f aca="false">IF(AY88=0,0,bsd(1,BD$27,AZ88,$P88,$M88,$N88,$AH88,0.1))</f>
        <v>0</v>
      </c>
      <c r="BD88" s="76" t="n">
        <f aca="false">IF(AY88=0,0,bsd(2,BD$27,AZ88,$P88,$M88,$N88,$AH88,0.1))</f>
        <v>0</v>
      </c>
      <c r="BE88" s="76" t="n">
        <f aca="false">IF(AY88=0,0,bsd(BD$28,BD$27,AZ88,$P88,$M88,$N88,$AH88,0.1))</f>
        <v>0</v>
      </c>
      <c r="BF88" s="37" t="n">
        <f aca="false">AY88*BC88</f>
        <v>0</v>
      </c>
      <c r="BG88" s="37" t="n">
        <f aca="false">AY88*BD88</f>
        <v>0</v>
      </c>
      <c r="BH88" s="37" t="n">
        <f aca="false">AY88*BE88</f>
        <v>0</v>
      </c>
      <c r="BJ88" s="73" t="n">
        <f aca="false">IF($A88&gt;=BK$25,IF($A88&lt;=BK$26,$AI88,0),0)</f>
        <v>0</v>
      </c>
      <c r="BK88" s="196" t="e">
        <f aca="false">BM88/BJ88</f>
        <v>#DIV/0!</v>
      </c>
      <c r="BL88" s="1" t="n">
        <f aca="false">BJ88*($B88+F$13)</f>
        <v>0</v>
      </c>
      <c r="BM88" s="47" t="n">
        <f aca="false">IF(ISNUMBER(((BL88/BJ88)+F$14+$R88)*BJ88),((BL88/BJ88)+F$14+$R88)*BJ88,0)</f>
        <v>0</v>
      </c>
      <c r="BN88" s="76" t="n">
        <f aca="false">IF(BJ88=0,0,bsd(1,BO$27,BK88,$W88,$T88,$U88,$AH88,0.1))</f>
        <v>0</v>
      </c>
      <c r="BO88" s="76" t="n">
        <f aca="false">IF(BJ88=0,0,bsd(2,BO$27,BK88,$W88,$T88,$U88,$AH88,0.1))</f>
        <v>0</v>
      </c>
      <c r="BP88" s="76" t="n">
        <f aca="false">IF(BJ88=0,0,bsd(BO$28,BO$27,BK88,$W88,$T88,$U88,$AH88,0.1))</f>
        <v>0</v>
      </c>
      <c r="BQ88" s="37" t="n">
        <f aca="false">BJ88*BN88</f>
        <v>0</v>
      </c>
      <c r="BR88" s="37" t="n">
        <f aca="false">BJ88*BO88</f>
        <v>0</v>
      </c>
      <c r="BS88" s="37" t="n">
        <f aca="false">BJ88*BP88</f>
        <v>0</v>
      </c>
      <c r="BU88" s="73" t="n">
        <f aca="false">IF($A88&gt;=BV$25,IF($A88&lt;=BV$26,$AI88,0),0)</f>
        <v>0</v>
      </c>
      <c r="BV88" s="196" t="e">
        <f aca="false">BX88/BU88</f>
        <v>#DIV/0!</v>
      </c>
      <c r="BW88" s="1" t="n">
        <f aca="false">BU88*($B88+H$13)</f>
        <v>0</v>
      </c>
      <c r="BX88" s="47" t="n">
        <f aca="false">IF(ISNUMBER(((BW88/BU88)+H$14+$Y88)*BU88),((BW88/BU88)+H$14+$Y88)*BU88,0)</f>
        <v>0</v>
      </c>
      <c r="BY88" s="76" t="n">
        <f aca="false">IF(BU88=0,0,bsd(1,BZ$27,BV88,$AD88,$AA88,$AB88,$AH88,0.1))</f>
        <v>0</v>
      </c>
      <c r="BZ88" s="76" t="n">
        <f aca="false">IF(BU88=0,0,bsd(2,BZ$27,BV88,$AD88,$AA88,$AB88,$AH88,0.1))</f>
        <v>0</v>
      </c>
      <c r="CA88" s="76" t="n">
        <f aca="false">IF(BU88=0,0,bsd(BZ$28,BZ$27,BV88,$AD88,$AA88,$AB88,$AH88,0.1))</f>
        <v>0</v>
      </c>
      <c r="CB88" s="37" t="n">
        <f aca="false">BU88*BY88</f>
        <v>0</v>
      </c>
      <c r="CC88" s="37" t="n">
        <f aca="false">BU88*BZ88</f>
        <v>0</v>
      </c>
      <c r="CD88" s="37" t="n">
        <f aca="false">BU88*CA88</f>
        <v>0</v>
      </c>
    </row>
    <row r="89" customFormat="false" ht="12.75" hidden="false" customHeight="false" outlineLevel="0" collapsed="false">
      <c r="A89" s="62" t="n">
        <f aca="false">DATE(YEAR(A88),MONTH(A88)+1,1)</f>
        <v>39022</v>
      </c>
      <c r="B89" s="63" t="n">
        <f aca="false">VLOOKUP(A89,STRADDLE,5,FALSE())</f>
        <v>3.617</v>
      </c>
      <c r="C89" s="4" t="n">
        <f aca="false">VLOOKUP(A89,STRADDLE,8,FALSE())</f>
        <v>0.2475</v>
      </c>
      <c r="D89" s="63" t="n">
        <f aca="false">IF(D$28="nymex",0,VLOOKUP($A89,curvesettle,HLOOKUP(D$28,curvesettle,2,FALSE())))</f>
        <v>-0.075</v>
      </c>
      <c r="E89" s="65" t="n">
        <f aca="false">IF(ISNUMBER(VLOOKUP($A89,VOLCURVES,HLOOKUP(D$28,VOLCURVES,2,FALSE()),FALSE())),VLOOKUP($A89,VOLCURVES,HLOOKUP(D$28,VOLCURVES,2,FALSE()),FALSE()),1)</f>
        <v>1</v>
      </c>
      <c r="F89" s="64" t="n">
        <f aca="false">IF(D$28="NYMEX",$AG89,$AF89)</f>
        <v>-6910</v>
      </c>
      <c r="G89" s="4" t="e">
        <f aca="false">(($C89+H89)*$E89)+B$15</f>
        <v>#DIV/0!</v>
      </c>
      <c r="H89" s="4" t="e">
        <f aca="false">IF(B$16=1,xCalcSkew(A89,I89-AO89,b)/100,0)</f>
        <v>#DIV/0!</v>
      </c>
      <c r="I89" s="66" t="n">
        <f aca="false">IF($B$19=4,$AO89,$B$18)</f>
        <v>5</v>
      </c>
      <c r="K89" s="63" t="n">
        <f aca="false">IF(K$28="nymex",0,VLOOKUP($A89,curvesettle,HLOOKUP(K$28,curvesettle,2,FALSE())))</f>
        <v>-0.075</v>
      </c>
      <c r="L89" s="65" t="n">
        <f aca="false">IF(ISNUMBER(VLOOKUP($A89,VOLCURVES,HLOOKUP(K$28,VOLCURVES,2,FALSE()),FALSE())),VLOOKUP($A89,VOLCURVES,HLOOKUP(K$28,VOLCURVES,2,FALSE()),FALSE()),1)</f>
        <v>1</v>
      </c>
      <c r="M89" s="64" t="n">
        <f aca="false">IF(K$28="NYMEX",$AG89,$AF89)</f>
        <v>-6910</v>
      </c>
      <c r="N89" s="184" t="e">
        <f aca="false">(($C89+O89)*$L89)+D$15</f>
        <v>#DIV/0!</v>
      </c>
      <c r="O89" s="4" t="e">
        <f aca="false">IF(D$16=1,xCalcSkew($A89,P89-AZ89,b)/100,0)</f>
        <v>#DIV/0!</v>
      </c>
      <c r="P89" s="66" t="n">
        <f aca="false">IF($D$19=4,$AZ89,$D$18)</f>
        <v>3</v>
      </c>
      <c r="R89" s="63" t="n">
        <f aca="false">IF(R$28="nymex",0,VLOOKUP($A89,curvesettle,HLOOKUP(R$28,curvesettle,2,FALSE())))</f>
        <v>-0.26</v>
      </c>
      <c r="S89" s="65" t="n">
        <f aca="false">IF(ISNUMBER(VLOOKUP($A89,VOLCURVES,HLOOKUP(R$28,VOLCURVES,2,FALSE()),FALSE())),VLOOKUP($A89,VOLCURVES,HLOOKUP(R$28,VOLCURVES,2,FALSE()),FALSE()),1)</f>
        <v>1</v>
      </c>
      <c r="T89" s="64" t="n">
        <f aca="false">IF(R$28="NYMEX",$AG89,$AF89)</f>
        <v>-6910</v>
      </c>
      <c r="U89" s="184" t="e">
        <f aca="false">(($C89+V89)*$S89)+F$15</f>
        <v>#DIV/0!</v>
      </c>
      <c r="V89" s="4" t="e">
        <f aca="false">IF(F$16=1,xCalcSkew($A89,W89-BK89,b)/100,0)</f>
        <v>#DIV/0!</v>
      </c>
      <c r="W89" s="66" t="n">
        <f aca="false">IF($F$19=4,$BK89,$F$18)</f>
        <v>2.55</v>
      </c>
      <c r="X89" s="64"/>
      <c r="Y89" s="63" t="n">
        <f aca="false">IF(Y$28="nymex",0,VLOOKUP($A89,curvesettle,HLOOKUP(Y$28,curvesettle,2,FALSE())))</f>
        <v>0</v>
      </c>
      <c r="Z89" s="65" t="n">
        <f aca="false">IF(ISNUMBER(VLOOKUP($A89,VOLCURVES,HLOOKUP(Y$28,VOLCURVES,2,FALSE()),FALSE())),VLOOKUP($A89,VOLCURVES,HLOOKUP(Y$28,VOLCURVES,2,FALSE()),FALSE()),1)</f>
        <v>1</v>
      </c>
      <c r="AA89" s="64" t="n">
        <f aca="false">IF(Y$28="NYMEX",$AG89,$AF89)</f>
        <v>-6911</v>
      </c>
      <c r="AB89" s="4" t="e">
        <f aca="false">(($C89+AC89)*$Z89)+H$15</f>
        <v>#DIV/0!</v>
      </c>
      <c r="AC89" s="4" t="e">
        <f aca="false">IF(H$16=1,xCalcSkew($A89,AD89-BV89,b)/100,0)</f>
        <v>#DIV/0!</v>
      </c>
      <c r="AD89" s="66" t="n">
        <f aca="false">IF($H$19=4,$BV89,$H$18)</f>
        <v>2.9</v>
      </c>
      <c r="AF89" s="64" t="n">
        <f aca="false">VLOOKUP($A89,expiration,2,FALSE())-$B$2</f>
        <v>-6910</v>
      </c>
      <c r="AG89" s="64" t="n">
        <f aca="false">VLOOKUP($A89,expiration,3,FALSE())-$B$2</f>
        <v>-6911</v>
      </c>
      <c r="AH89" s="4" t="n">
        <f aca="false">VLOOKUP($A89,STRADDLE,14,FALSE())</f>
        <v>0.0508556699815208</v>
      </c>
      <c r="AI89" s="72" t="n">
        <f aca="false">A90-A89</f>
        <v>30</v>
      </c>
      <c r="AL89" s="64"/>
      <c r="AM89" s="73"/>
      <c r="AN89" s="73" t="n">
        <f aca="false">IF($A89&gt;=AO$25,IF($A89&lt;=AO$26,$AI89,0),0)</f>
        <v>0</v>
      </c>
      <c r="AO89" s="196" t="e">
        <f aca="false">AQ89/AN89</f>
        <v>#DIV/0!</v>
      </c>
      <c r="AP89" s="1" t="n">
        <f aca="false">AN89*($B89+B$13)</f>
        <v>0</v>
      </c>
      <c r="AQ89" s="47" t="n">
        <f aca="false">IF(ISNUMBER(((AP89/AN89)+B$14+$D89)*AN89),((AP89/AN89)+B$14+$D89)*AN89,0)</f>
        <v>0</v>
      </c>
      <c r="AR89" s="76" t="n">
        <f aca="false">IF(AN89=0,0,bsd(1,AS$27,AO89,$I89,$F89,$G89,$AH89,0.1))</f>
        <v>0</v>
      </c>
      <c r="AS89" s="76" t="n">
        <f aca="false">IF(AN89=0,0,bsd(2,AS$27,AO89,$I89,$F89,$G89,$AH89,0.1))</f>
        <v>0</v>
      </c>
      <c r="AT89" s="76" t="n">
        <f aca="false">IF(AN89=0,0,bsd(AS$28,AS$27,AO89,$I89,$F89,$G89,$AH89,0.1))</f>
        <v>0</v>
      </c>
      <c r="AU89" s="37" t="n">
        <f aca="false">AN89*AR89</f>
        <v>0</v>
      </c>
      <c r="AV89" s="37" t="n">
        <f aca="false">AN89*AS89</f>
        <v>0</v>
      </c>
      <c r="AW89" s="37" t="n">
        <f aca="false">AN89*AT89</f>
        <v>0</v>
      </c>
      <c r="AY89" s="73" t="n">
        <f aca="false">IF($A89&gt;=AZ$25,IF($A89&lt;=AZ$26,$AI89,0),0)</f>
        <v>0</v>
      </c>
      <c r="AZ89" s="196" t="e">
        <f aca="false">BB89/AY89</f>
        <v>#DIV/0!</v>
      </c>
      <c r="BA89" s="1" t="n">
        <f aca="false">AY89*($B89+D$13)</f>
        <v>0</v>
      </c>
      <c r="BB89" s="47" t="n">
        <f aca="false">IF(ISNUMBER(((BA89/AY89)+D$14+$K89)*AY89),((BA89/AY89)+D$14+$K89)*AY89,0)</f>
        <v>0</v>
      </c>
      <c r="BC89" s="76" t="n">
        <f aca="false">IF(AY89=0,0,bsd(1,BD$27,AZ89,$P89,$M89,$N89,$AH89,0.1))</f>
        <v>0</v>
      </c>
      <c r="BD89" s="76" t="n">
        <f aca="false">IF(AY89=0,0,bsd(2,BD$27,AZ89,$P89,$M89,$N89,$AH89,0.1))</f>
        <v>0</v>
      </c>
      <c r="BE89" s="76" t="n">
        <f aca="false">IF(AY89=0,0,bsd(BD$28,BD$27,AZ89,$P89,$M89,$N89,$AH89,0.1))</f>
        <v>0</v>
      </c>
      <c r="BF89" s="37" t="n">
        <f aca="false">AY89*BC89</f>
        <v>0</v>
      </c>
      <c r="BG89" s="37" t="n">
        <f aca="false">AY89*BD89</f>
        <v>0</v>
      </c>
      <c r="BH89" s="37" t="n">
        <f aca="false">AY89*BE89</f>
        <v>0</v>
      </c>
      <c r="BJ89" s="73" t="n">
        <f aca="false">IF($A89&gt;=BK$25,IF($A89&lt;=BK$26,$AI89,0),0)</f>
        <v>0</v>
      </c>
      <c r="BK89" s="196" t="e">
        <f aca="false">BM89/BJ89</f>
        <v>#DIV/0!</v>
      </c>
      <c r="BL89" s="1" t="n">
        <f aca="false">BJ89*($B89+F$13)</f>
        <v>0</v>
      </c>
      <c r="BM89" s="47" t="n">
        <f aca="false">IF(ISNUMBER(((BL89/BJ89)+F$14+$R89)*BJ89),((BL89/BJ89)+F$14+$R89)*BJ89,0)</f>
        <v>0</v>
      </c>
      <c r="BN89" s="76" t="n">
        <f aca="false">IF(BJ89=0,0,bsd(1,BO$27,BK89,$W89,$T89,$U89,$AH89,0.1))</f>
        <v>0</v>
      </c>
      <c r="BO89" s="76" t="n">
        <f aca="false">IF(BJ89=0,0,bsd(2,BO$27,BK89,$W89,$T89,$U89,$AH89,0.1))</f>
        <v>0</v>
      </c>
      <c r="BP89" s="76" t="n">
        <f aca="false">IF(BJ89=0,0,bsd(BO$28,BO$27,BK89,$W89,$T89,$U89,$AH89,0.1))</f>
        <v>0</v>
      </c>
      <c r="BQ89" s="37" t="n">
        <f aca="false">BJ89*BN89</f>
        <v>0</v>
      </c>
      <c r="BR89" s="37" t="n">
        <f aca="false">BJ89*BO89</f>
        <v>0</v>
      </c>
      <c r="BS89" s="37" t="n">
        <f aca="false">BJ89*BP89</f>
        <v>0</v>
      </c>
      <c r="BU89" s="73" t="n">
        <f aca="false">IF($A89&gt;=BV$25,IF($A89&lt;=BV$26,$AI89,0),0)</f>
        <v>0</v>
      </c>
      <c r="BV89" s="196" t="e">
        <f aca="false">BX89/BU89</f>
        <v>#DIV/0!</v>
      </c>
      <c r="BW89" s="1" t="n">
        <f aca="false">BU89*($B89+H$13)</f>
        <v>0</v>
      </c>
      <c r="BX89" s="47" t="n">
        <f aca="false">IF(ISNUMBER(((BW89/BU89)+H$14+$Y89)*BU89),((BW89/BU89)+H$14+$Y89)*BU89,0)</f>
        <v>0</v>
      </c>
      <c r="BY89" s="76" t="n">
        <f aca="false">IF(BU89=0,0,bsd(1,BZ$27,BV89,$AD89,$AA89,$AB89,$AH89,0.1))</f>
        <v>0</v>
      </c>
      <c r="BZ89" s="76" t="n">
        <f aca="false">IF(BU89=0,0,bsd(2,BZ$27,BV89,$AD89,$AA89,$AB89,$AH89,0.1))</f>
        <v>0</v>
      </c>
      <c r="CA89" s="76" t="n">
        <f aca="false">IF(BU89=0,0,bsd(BZ$28,BZ$27,BV89,$AD89,$AA89,$AB89,$AH89,0.1))</f>
        <v>0</v>
      </c>
      <c r="CB89" s="37" t="n">
        <f aca="false">BU89*BY89</f>
        <v>0</v>
      </c>
      <c r="CC89" s="37" t="n">
        <f aca="false">BU89*BZ89</f>
        <v>0</v>
      </c>
      <c r="CD89" s="37" t="n">
        <f aca="false">BU89*CA89</f>
        <v>0</v>
      </c>
    </row>
    <row r="90" customFormat="false" ht="12.75" hidden="false" customHeight="false" outlineLevel="0" collapsed="false">
      <c r="A90" s="62" t="n">
        <f aca="false">DATE(YEAR(A89),MONTH(A89)+1,1)</f>
        <v>39052</v>
      </c>
      <c r="B90" s="63" t="n">
        <f aca="false">VLOOKUP(A90,STRADDLE,5,FALSE())</f>
        <v>3.76</v>
      </c>
      <c r="C90" s="4" t="n">
        <f aca="false">VLOOKUP(A90,STRADDLE,8,FALSE())</f>
        <v>0.2475</v>
      </c>
      <c r="D90" s="63" t="n">
        <f aca="false">IF(D$28="nymex",0,VLOOKUP($A90,curvesettle,HLOOKUP(D$28,curvesettle,2,FALSE())))</f>
        <v>-0.075</v>
      </c>
      <c r="E90" s="65" t="n">
        <f aca="false">IF(ISNUMBER(VLOOKUP($A90,VOLCURVES,HLOOKUP(D$28,VOLCURVES,2,FALSE()),FALSE())),VLOOKUP($A90,VOLCURVES,HLOOKUP(D$28,VOLCURVES,2,FALSE()),FALSE()),1)</f>
        <v>1</v>
      </c>
      <c r="F90" s="64" t="n">
        <f aca="false">IF(D$28="NYMEX",$AG90,$AF90)</f>
        <v>-6878</v>
      </c>
      <c r="G90" s="4" t="e">
        <f aca="false">(($C90+H90)*$E90)+B$15</f>
        <v>#DIV/0!</v>
      </c>
      <c r="H90" s="4" t="e">
        <f aca="false">IF(B$16=1,xCalcSkew(A90,I90-AO90,b)/100,0)</f>
        <v>#DIV/0!</v>
      </c>
      <c r="I90" s="66" t="n">
        <f aca="false">IF($B$19=4,$AO90,$B$18)</f>
        <v>5</v>
      </c>
      <c r="K90" s="63" t="n">
        <f aca="false">IF(K$28="nymex",0,VLOOKUP($A90,curvesettle,HLOOKUP(K$28,curvesettle,2,FALSE())))</f>
        <v>-0.075</v>
      </c>
      <c r="L90" s="65" t="n">
        <f aca="false">IF(ISNUMBER(VLOOKUP($A90,VOLCURVES,HLOOKUP(K$28,VOLCURVES,2,FALSE()),FALSE())),VLOOKUP($A90,VOLCURVES,HLOOKUP(K$28,VOLCURVES,2,FALSE()),FALSE()),1)</f>
        <v>1</v>
      </c>
      <c r="M90" s="64" t="n">
        <f aca="false">IF(K$28="NYMEX",$AG90,$AF90)</f>
        <v>-6878</v>
      </c>
      <c r="N90" s="184" t="e">
        <f aca="false">(($C90+O90)*$L90)+D$15</f>
        <v>#DIV/0!</v>
      </c>
      <c r="O90" s="4" t="e">
        <f aca="false">IF(D$16=1,xCalcSkew($A90,P90-AZ90,b)/100,0)</f>
        <v>#DIV/0!</v>
      </c>
      <c r="P90" s="66" t="n">
        <f aca="false">IF($D$19=4,$AZ90,$D$18)</f>
        <v>3</v>
      </c>
      <c r="R90" s="63" t="n">
        <f aca="false">IF(R$28="nymex",0,VLOOKUP($A90,curvesettle,HLOOKUP(R$28,curvesettle,2,FALSE())))</f>
        <v>-0.26</v>
      </c>
      <c r="S90" s="65" t="n">
        <f aca="false">IF(ISNUMBER(VLOOKUP($A90,VOLCURVES,HLOOKUP(R$28,VOLCURVES,2,FALSE()),FALSE())),VLOOKUP($A90,VOLCURVES,HLOOKUP(R$28,VOLCURVES,2,FALSE()),FALSE()),1)</f>
        <v>1</v>
      </c>
      <c r="T90" s="64" t="n">
        <f aca="false">IF(R$28="NYMEX",$AG90,$AF90)</f>
        <v>-6878</v>
      </c>
      <c r="U90" s="184" t="e">
        <f aca="false">(($C90+V90)*$S90)+F$15</f>
        <v>#DIV/0!</v>
      </c>
      <c r="V90" s="4" t="e">
        <f aca="false">IF(F$16=1,xCalcSkew($A90,W90-BK90,b)/100,0)</f>
        <v>#DIV/0!</v>
      </c>
      <c r="W90" s="66" t="n">
        <f aca="false">IF($F$19=4,$BK90,$F$18)</f>
        <v>2.55</v>
      </c>
      <c r="X90" s="64"/>
      <c r="Y90" s="63" t="n">
        <f aca="false">IF(Y$28="nymex",0,VLOOKUP($A90,curvesettle,HLOOKUP(Y$28,curvesettle,2,FALSE())))</f>
        <v>0</v>
      </c>
      <c r="Z90" s="65" t="n">
        <f aca="false">IF(ISNUMBER(VLOOKUP($A90,VOLCURVES,HLOOKUP(Y$28,VOLCURVES,2,FALSE()),FALSE())),VLOOKUP($A90,VOLCURVES,HLOOKUP(Y$28,VOLCURVES,2,FALSE()),FALSE()),1)</f>
        <v>1</v>
      </c>
      <c r="AA90" s="64" t="n">
        <f aca="false">IF(Y$28="NYMEX",$AG90,$AF90)</f>
        <v>-6879</v>
      </c>
      <c r="AB90" s="4" t="e">
        <f aca="false">(($C90+AC90)*$Z90)+H$15</f>
        <v>#DIV/0!</v>
      </c>
      <c r="AC90" s="4" t="e">
        <f aca="false">IF(H$16=1,xCalcSkew($A90,AD90-BV90,b)/100,0)</f>
        <v>#DIV/0!</v>
      </c>
      <c r="AD90" s="66" t="n">
        <f aca="false">IF($H$19=4,$BV90,$H$18)</f>
        <v>2.9</v>
      </c>
      <c r="AF90" s="64" t="n">
        <f aca="false">VLOOKUP($A90,expiration,2,FALSE())-$B$2</f>
        <v>-6878</v>
      </c>
      <c r="AG90" s="64" t="n">
        <f aca="false">VLOOKUP($A90,expiration,3,FALSE())-$B$2</f>
        <v>-6879</v>
      </c>
      <c r="AH90" s="4" t="n">
        <f aca="false">VLOOKUP($A90,STRADDLE,14,FALSE())</f>
        <v>0.0511562229938121</v>
      </c>
      <c r="AI90" s="72" t="n">
        <f aca="false">A91-A90</f>
        <v>31</v>
      </c>
      <c r="AL90" s="64"/>
      <c r="AM90" s="73"/>
      <c r="AN90" s="73" t="n">
        <f aca="false">IF($A90&gt;=AO$25,IF($A90&lt;=AO$26,$AI90,0),0)</f>
        <v>0</v>
      </c>
      <c r="AO90" s="196" t="e">
        <f aca="false">AQ90/AN90</f>
        <v>#DIV/0!</v>
      </c>
      <c r="AP90" s="1" t="n">
        <f aca="false">AN90*($B90+B$13)</f>
        <v>0</v>
      </c>
      <c r="AQ90" s="47" t="n">
        <f aca="false">IF(ISNUMBER(((AP90/AN90)+B$14+$D90)*AN90),((AP90/AN90)+B$14+$D90)*AN90,0)</f>
        <v>0</v>
      </c>
      <c r="AR90" s="76" t="n">
        <f aca="false">IF(AN90=0,0,bsd(1,AS$27,AO90,$I90,$F90,$G90,$AH90,0.1))</f>
        <v>0</v>
      </c>
      <c r="AS90" s="76" t="n">
        <f aca="false">IF(AN90=0,0,bsd(2,AS$27,AO90,$I90,$F90,$G90,$AH90,0.1))</f>
        <v>0</v>
      </c>
      <c r="AT90" s="76" t="n">
        <f aca="false">IF(AN90=0,0,bsd(AS$28,AS$27,AO90,$I90,$F90,$G90,$AH90,0.1))</f>
        <v>0</v>
      </c>
      <c r="AU90" s="37" t="n">
        <f aca="false">AN90*AR90</f>
        <v>0</v>
      </c>
      <c r="AV90" s="37" t="n">
        <f aca="false">AN90*AS90</f>
        <v>0</v>
      </c>
      <c r="AW90" s="37" t="n">
        <f aca="false">AN90*AT90</f>
        <v>0</v>
      </c>
      <c r="AY90" s="73" t="n">
        <f aca="false">IF($A90&gt;=AZ$25,IF($A90&lt;=AZ$26,$AI90,0),0)</f>
        <v>0</v>
      </c>
      <c r="AZ90" s="196" t="e">
        <f aca="false">BB90/AY90</f>
        <v>#DIV/0!</v>
      </c>
      <c r="BA90" s="1" t="n">
        <f aca="false">AY90*($B90+D$13)</f>
        <v>0</v>
      </c>
      <c r="BB90" s="47" t="n">
        <f aca="false">IF(ISNUMBER(((BA90/AY90)+D$14+$K90)*AY90),((BA90/AY90)+D$14+$K90)*AY90,0)</f>
        <v>0</v>
      </c>
      <c r="BC90" s="76" t="n">
        <f aca="false">IF(AY90=0,0,bsd(1,BD$27,AZ90,$P90,$M90,$N90,$AH90,0.1))</f>
        <v>0</v>
      </c>
      <c r="BD90" s="76" t="n">
        <f aca="false">IF(AY90=0,0,bsd(2,BD$27,AZ90,$P90,$M90,$N90,$AH90,0.1))</f>
        <v>0</v>
      </c>
      <c r="BE90" s="76" t="n">
        <f aca="false">IF(AY90=0,0,bsd(BD$28,BD$27,AZ90,$P90,$M90,$N90,$AH90,0.1))</f>
        <v>0</v>
      </c>
      <c r="BF90" s="37" t="n">
        <f aca="false">AY90*BC90</f>
        <v>0</v>
      </c>
      <c r="BG90" s="37" t="n">
        <f aca="false">AY90*BD90</f>
        <v>0</v>
      </c>
      <c r="BH90" s="37" t="n">
        <f aca="false">AY90*BE90</f>
        <v>0</v>
      </c>
      <c r="BJ90" s="73" t="n">
        <f aca="false">IF($A90&gt;=BK$25,IF($A90&lt;=BK$26,$AI90,0),0)</f>
        <v>0</v>
      </c>
      <c r="BK90" s="196" t="e">
        <f aca="false">BM90/BJ90</f>
        <v>#DIV/0!</v>
      </c>
      <c r="BL90" s="1" t="n">
        <f aca="false">BJ90*($B90+F$13)</f>
        <v>0</v>
      </c>
      <c r="BM90" s="47" t="n">
        <f aca="false">IF(ISNUMBER(((BL90/BJ90)+F$14+$R90)*BJ90),((BL90/BJ90)+F$14+$R90)*BJ90,0)</f>
        <v>0</v>
      </c>
      <c r="BN90" s="76" t="n">
        <f aca="false">IF(BJ90=0,0,bsd(1,BO$27,BK90,$W90,$T90,$U90,$AH90,0.1))</f>
        <v>0</v>
      </c>
      <c r="BO90" s="76" t="n">
        <f aca="false">IF(BJ90=0,0,bsd(2,BO$27,BK90,$W90,$T90,$U90,$AH90,0.1))</f>
        <v>0</v>
      </c>
      <c r="BP90" s="76" t="n">
        <f aca="false">IF(BJ90=0,0,bsd(BO$28,BO$27,BK90,$W90,$T90,$U90,$AH90,0.1))</f>
        <v>0</v>
      </c>
      <c r="BQ90" s="37" t="n">
        <f aca="false">BJ90*BN90</f>
        <v>0</v>
      </c>
      <c r="BR90" s="37" t="n">
        <f aca="false">BJ90*BO90</f>
        <v>0</v>
      </c>
      <c r="BS90" s="37" t="n">
        <f aca="false">BJ90*BP90</f>
        <v>0</v>
      </c>
      <c r="BU90" s="73" t="n">
        <f aca="false">IF($A90&gt;=BV$25,IF($A90&lt;=BV$26,$AI90,0),0)</f>
        <v>0</v>
      </c>
      <c r="BV90" s="196" t="e">
        <f aca="false">BX90/BU90</f>
        <v>#DIV/0!</v>
      </c>
      <c r="BW90" s="1" t="n">
        <f aca="false">BU90*($B90+H$13)</f>
        <v>0</v>
      </c>
      <c r="BX90" s="47" t="n">
        <f aca="false">IF(ISNUMBER(((BW90/BU90)+H$14+$Y90)*BU90),((BW90/BU90)+H$14+$Y90)*BU90,0)</f>
        <v>0</v>
      </c>
      <c r="BY90" s="76" t="n">
        <f aca="false">IF(BU90=0,0,bsd(1,BZ$27,BV90,$AD90,$AA90,$AB90,$AH90,0.1))</f>
        <v>0</v>
      </c>
      <c r="BZ90" s="76" t="n">
        <f aca="false">IF(BU90=0,0,bsd(2,BZ$27,BV90,$AD90,$AA90,$AB90,$AH90,0.1))</f>
        <v>0</v>
      </c>
      <c r="CA90" s="76" t="n">
        <f aca="false">IF(BU90=0,0,bsd(BZ$28,BZ$27,BV90,$AD90,$AA90,$AB90,$AH90,0.1))</f>
        <v>0</v>
      </c>
      <c r="CB90" s="37" t="n">
        <f aca="false">BU90*BY90</f>
        <v>0</v>
      </c>
      <c r="CC90" s="37" t="n">
        <f aca="false">BU90*BZ90</f>
        <v>0</v>
      </c>
      <c r="CD90" s="37" t="n">
        <f aca="false">BU90*CA90</f>
        <v>0</v>
      </c>
    </row>
    <row r="91" customFormat="false" ht="12.75" hidden="false" customHeight="false" outlineLevel="0" collapsed="false">
      <c r="A91" s="62" t="n">
        <f aca="false">DATE(YEAR(A90),MONTH(A90)+1,1)</f>
        <v>39083</v>
      </c>
      <c r="B91" s="63" t="n">
        <f aca="false">VLOOKUP(A91,STRADDLE,5,FALSE())</f>
        <v>3.8125</v>
      </c>
      <c r="C91" s="4" t="n">
        <f aca="false">VLOOKUP(A91,STRADDLE,8,FALSE())</f>
        <v>0.2475</v>
      </c>
      <c r="D91" s="63" t="n">
        <f aca="false">IF(D$28="nymex",0,VLOOKUP($A91,curvesettle,HLOOKUP(D$28,curvesettle,2,FALSE())))</f>
        <v>-0.075</v>
      </c>
      <c r="E91" s="65" t="n">
        <f aca="false">IF(ISNUMBER(VLOOKUP($A91,VOLCURVES,HLOOKUP(D$28,VOLCURVES,2,FALSE()),FALSE())),VLOOKUP($A91,VOLCURVES,HLOOKUP(D$28,VOLCURVES,2,FALSE()),FALSE()),1)</f>
        <v>1</v>
      </c>
      <c r="F91" s="64" t="n">
        <f aca="false">IF(D$28="NYMEX",$AG91,$AF91)</f>
        <v>-6849</v>
      </c>
      <c r="G91" s="4" t="e">
        <f aca="false">(($C91+H91)*$E91)+B$15</f>
        <v>#DIV/0!</v>
      </c>
      <c r="H91" s="4" t="e">
        <f aca="false">IF(B$16=1,xCalcSkew(A91,I91-AO91,b)/100,0)</f>
        <v>#DIV/0!</v>
      </c>
      <c r="I91" s="66" t="n">
        <f aca="false">IF($B$19=4,$AO91,$B$18)</f>
        <v>5</v>
      </c>
      <c r="K91" s="63" t="n">
        <f aca="false">IF(K$28="nymex",0,VLOOKUP($A91,curvesettle,HLOOKUP(K$28,curvesettle,2,FALSE())))</f>
        <v>-0.075</v>
      </c>
      <c r="L91" s="65" t="n">
        <f aca="false">IF(ISNUMBER(VLOOKUP($A91,VOLCURVES,HLOOKUP(K$28,VOLCURVES,2,FALSE()),FALSE())),VLOOKUP($A91,VOLCURVES,HLOOKUP(K$28,VOLCURVES,2,FALSE()),FALSE()),1)</f>
        <v>1</v>
      </c>
      <c r="M91" s="64" t="n">
        <f aca="false">IF(K$28="NYMEX",$AG91,$AF91)</f>
        <v>-6849</v>
      </c>
      <c r="N91" s="184" t="e">
        <f aca="false">(($C91+O91)*$L91)+D$15</f>
        <v>#DIV/0!</v>
      </c>
      <c r="O91" s="4" t="e">
        <f aca="false">IF(D$16=1,xCalcSkew($A91,P91-AZ91,b)/100,0)</f>
        <v>#DIV/0!</v>
      </c>
      <c r="P91" s="66" t="n">
        <f aca="false">IF($D$19=4,$AZ91,$D$18)</f>
        <v>3</v>
      </c>
      <c r="R91" s="63" t="n">
        <f aca="false">IF(R$28="nymex",0,VLOOKUP($A91,curvesettle,HLOOKUP(R$28,curvesettle,2,FALSE())))</f>
        <v>-0.26</v>
      </c>
      <c r="S91" s="65" t="n">
        <f aca="false">IF(ISNUMBER(VLOOKUP($A91,VOLCURVES,HLOOKUP(R$28,VOLCURVES,2,FALSE()),FALSE())),VLOOKUP($A91,VOLCURVES,HLOOKUP(R$28,VOLCURVES,2,FALSE()),FALSE()),1)</f>
        <v>1</v>
      </c>
      <c r="T91" s="64" t="n">
        <f aca="false">IF(R$28="NYMEX",$AG91,$AF91)</f>
        <v>-6849</v>
      </c>
      <c r="U91" s="184" t="e">
        <f aca="false">(($C91+V91)*$S91)+F$15</f>
        <v>#DIV/0!</v>
      </c>
      <c r="V91" s="4" t="e">
        <f aca="false">IF(F$16=1,xCalcSkew($A91,W91-BK91,b)/100,0)</f>
        <v>#DIV/0!</v>
      </c>
      <c r="W91" s="66" t="n">
        <f aca="false">IF($F$19=4,$BK91,$F$18)</f>
        <v>2.55</v>
      </c>
      <c r="X91" s="64"/>
      <c r="Y91" s="63" t="n">
        <f aca="false">IF(Y$28="nymex",0,VLOOKUP($A91,curvesettle,HLOOKUP(Y$28,curvesettle,2,FALSE())))</f>
        <v>0</v>
      </c>
      <c r="Z91" s="65" t="n">
        <f aca="false">IF(ISNUMBER(VLOOKUP($A91,VOLCURVES,HLOOKUP(Y$28,VOLCURVES,2,FALSE()),FALSE())),VLOOKUP($A91,VOLCURVES,HLOOKUP(Y$28,VOLCURVES,2,FALSE()),FALSE()),1)</f>
        <v>1</v>
      </c>
      <c r="AA91" s="64" t="n">
        <f aca="false">IF(Y$28="NYMEX",$AG91,$AF91)</f>
        <v>-6850</v>
      </c>
      <c r="AB91" s="4" t="e">
        <f aca="false">(($C91+AC91)*$Z91)+H$15</f>
        <v>#DIV/0!</v>
      </c>
      <c r="AC91" s="4" t="e">
        <f aca="false">IF(H$16=1,xCalcSkew($A91,AD91-BV91,b)/100,0)</f>
        <v>#DIV/0!</v>
      </c>
      <c r="AD91" s="66" t="n">
        <f aca="false">IF($H$19=4,$BV91,$H$18)</f>
        <v>2.9</v>
      </c>
      <c r="AF91" s="64" t="n">
        <f aca="false">VLOOKUP($A91,expiration,2,FALSE())-$B$2</f>
        <v>-6849</v>
      </c>
      <c r="AG91" s="64" t="n">
        <f aca="false">VLOOKUP($A91,expiration,3,FALSE())-$B$2</f>
        <v>-6850</v>
      </c>
      <c r="AH91" s="4" t="n">
        <f aca="false">VLOOKUP($A91,STRADDLE,14,FALSE())</f>
        <v>0.051391857633718</v>
      </c>
      <c r="AI91" s="72" t="n">
        <f aca="false">A92-A91</f>
        <v>31</v>
      </c>
      <c r="AL91" s="64"/>
      <c r="AM91" s="73"/>
      <c r="AN91" s="73" t="n">
        <f aca="false">IF($A91&gt;=AO$25,IF($A91&lt;=AO$26,$AI91,0),0)</f>
        <v>0</v>
      </c>
      <c r="AO91" s="196" t="e">
        <f aca="false">AQ91/AN91</f>
        <v>#DIV/0!</v>
      </c>
      <c r="AP91" s="1" t="n">
        <f aca="false">AN91*($B91+B$13)</f>
        <v>0</v>
      </c>
      <c r="AQ91" s="47" t="n">
        <f aca="false">IF(ISNUMBER(((AP91/AN91)+B$14+$D91)*AN91),((AP91/AN91)+B$14+$D91)*AN91,0)</f>
        <v>0</v>
      </c>
      <c r="AR91" s="76" t="n">
        <f aca="false">IF(AN91=0,0,bsd(1,AS$27,AO91,$I91,$F91,$G91,$AH91,0.1))</f>
        <v>0</v>
      </c>
      <c r="AS91" s="76" t="n">
        <f aca="false">IF(AN91=0,0,bsd(2,AS$27,AO91,$I91,$F91,$G91,$AH91,0.1))</f>
        <v>0</v>
      </c>
      <c r="AT91" s="76" t="n">
        <f aca="false">IF(AN91=0,0,bsd(AS$28,AS$27,AO91,$I91,$F91,$G91,$AH91,0.1))</f>
        <v>0</v>
      </c>
      <c r="AU91" s="37" t="n">
        <f aca="false">AN91*AR91</f>
        <v>0</v>
      </c>
      <c r="AV91" s="37" t="n">
        <f aca="false">AN91*AS91</f>
        <v>0</v>
      </c>
      <c r="AW91" s="37" t="n">
        <f aca="false">AN91*AT91</f>
        <v>0</v>
      </c>
      <c r="AY91" s="73" t="n">
        <f aca="false">IF($A91&gt;=AZ$25,IF($A91&lt;=AZ$26,$AI91,0),0)</f>
        <v>0</v>
      </c>
      <c r="AZ91" s="196" t="e">
        <f aca="false">BB91/AY91</f>
        <v>#DIV/0!</v>
      </c>
      <c r="BA91" s="1" t="n">
        <f aca="false">AY91*($B91+D$13)</f>
        <v>0</v>
      </c>
      <c r="BB91" s="47" t="n">
        <f aca="false">IF(ISNUMBER(((BA91/AY91)+D$14+$K91)*AY91),((BA91/AY91)+D$14+$K91)*AY91,0)</f>
        <v>0</v>
      </c>
      <c r="BC91" s="76" t="n">
        <f aca="false">IF(AY91=0,0,bsd(1,BD$27,AZ91,$P91,$M91,$N91,$AH91,0.1))</f>
        <v>0</v>
      </c>
      <c r="BD91" s="76" t="n">
        <f aca="false">IF(AY91=0,0,bsd(2,BD$27,AZ91,$P91,$M91,$N91,$AH91,0.1))</f>
        <v>0</v>
      </c>
      <c r="BE91" s="76" t="n">
        <f aca="false">IF(AY91=0,0,bsd(BD$28,BD$27,AZ91,$P91,$M91,$N91,$AH91,0.1))</f>
        <v>0</v>
      </c>
      <c r="BF91" s="37" t="n">
        <f aca="false">AY91*BC91</f>
        <v>0</v>
      </c>
      <c r="BG91" s="37" t="n">
        <f aca="false">AY91*BD91</f>
        <v>0</v>
      </c>
      <c r="BH91" s="37" t="n">
        <f aca="false">AY91*BE91</f>
        <v>0</v>
      </c>
      <c r="BJ91" s="73" t="n">
        <f aca="false">IF($A91&gt;=BK$25,IF($A91&lt;=BK$26,$AI91,0),0)</f>
        <v>0</v>
      </c>
      <c r="BK91" s="196" t="e">
        <f aca="false">BM91/BJ91</f>
        <v>#DIV/0!</v>
      </c>
      <c r="BL91" s="1" t="n">
        <f aca="false">BJ91*($B91+F$13)</f>
        <v>0</v>
      </c>
      <c r="BM91" s="47" t="n">
        <f aca="false">IF(ISNUMBER(((BL91/BJ91)+F$14+$R91)*BJ91),((BL91/BJ91)+F$14+$R91)*BJ91,0)</f>
        <v>0</v>
      </c>
      <c r="BN91" s="76" t="n">
        <f aca="false">IF(BJ91=0,0,bsd(1,BO$27,BK91,$W91,$T91,$U91,$AH91,0.1))</f>
        <v>0</v>
      </c>
      <c r="BO91" s="76" t="n">
        <f aca="false">IF(BJ91=0,0,bsd(2,BO$27,BK91,$W91,$T91,$U91,$AH91,0.1))</f>
        <v>0</v>
      </c>
      <c r="BP91" s="76" t="n">
        <f aca="false">IF(BJ91=0,0,bsd(BO$28,BO$27,BK91,$W91,$T91,$U91,$AH91,0.1))</f>
        <v>0</v>
      </c>
      <c r="BQ91" s="37" t="n">
        <f aca="false">BJ91*BN91</f>
        <v>0</v>
      </c>
      <c r="BR91" s="37" t="n">
        <f aca="false">BJ91*BO91</f>
        <v>0</v>
      </c>
      <c r="BS91" s="37" t="n">
        <f aca="false">BJ91*BP91</f>
        <v>0</v>
      </c>
      <c r="BU91" s="73" t="n">
        <f aca="false">IF($A91&gt;=BV$25,IF($A91&lt;=BV$26,$AI91,0),0)</f>
        <v>0</v>
      </c>
      <c r="BV91" s="196" t="e">
        <f aca="false">BX91/BU91</f>
        <v>#DIV/0!</v>
      </c>
      <c r="BW91" s="1" t="n">
        <f aca="false">BU91*($B91+H$13)</f>
        <v>0</v>
      </c>
      <c r="BX91" s="47" t="n">
        <f aca="false">IF(ISNUMBER(((BW91/BU91)+H$14+$Y91)*BU91),((BW91/BU91)+H$14+$Y91)*BU91,0)</f>
        <v>0</v>
      </c>
      <c r="BY91" s="76" t="n">
        <f aca="false">IF(BU91=0,0,bsd(1,BZ$27,BV91,$AD91,$AA91,$AB91,$AH91,0.1))</f>
        <v>0</v>
      </c>
      <c r="BZ91" s="76" t="n">
        <f aca="false">IF(BU91=0,0,bsd(2,BZ$27,BV91,$AD91,$AA91,$AB91,$AH91,0.1))</f>
        <v>0</v>
      </c>
      <c r="CA91" s="76" t="n">
        <f aca="false">IF(BU91=0,0,bsd(BZ$28,BZ$27,BV91,$AD91,$AA91,$AB91,$AH91,0.1))</f>
        <v>0</v>
      </c>
      <c r="CB91" s="37" t="n">
        <f aca="false">BU91*BY91</f>
        <v>0</v>
      </c>
      <c r="CC91" s="37" t="n">
        <f aca="false">BU91*BZ91</f>
        <v>0</v>
      </c>
      <c r="CD91" s="37" t="n">
        <f aca="false">BU91*CA91</f>
        <v>0</v>
      </c>
    </row>
    <row r="92" customFormat="false" ht="12.75" hidden="false" customHeight="false" outlineLevel="0" collapsed="false">
      <c r="A92" s="62" t="n">
        <f aca="false">DATE(YEAR(A91),MONTH(A91)+1,1)</f>
        <v>39114</v>
      </c>
      <c r="B92" s="63" t="n">
        <f aca="false">VLOOKUP(A92,STRADDLE,5,FALSE())</f>
        <v>3.7275</v>
      </c>
      <c r="C92" s="4" t="n">
        <f aca="false">VLOOKUP(A92,STRADDLE,8,FALSE())</f>
        <v>0.2425</v>
      </c>
      <c r="D92" s="63" t="n">
        <f aca="false">IF(D$28="nymex",0,VLOOKUP($A92,curvesettle,HLOOKUP(D$28,curvesettle,2,FALSE())))</f>
        <v>-0.075</v>
      </c>
      <c r="E92" s="65" t="n">
        <f aca="false">IF(ISNUMBER(VLOOKUP($A92,VOLCURVES,HLOOKUP(D$28,VOLCURVES,2,FALSE()),FALSE())),VLOOKUP($A92,VOLCURVES,HLOOKUP(D$28,VOLCURVES,2,FALSE()),FALSE()),1)</f>
        <v>1</v>
      </c>
      <c r="F92" s="64" t="n">
        <f aca="false">IF(D$28="NYMEX",$AG92,$AF92)</f>
        <v>-6816</v>
      </c>
      <c r="G92" s="4" t="e">
        <f aca="false">(($C92+H92)*$E92)+B$15</f>
        <v>#DIV/0!</v>
      </c>
      <c r="H92" s="4" t="e">
        <f aca="false">IF(B$16=1,xCalcSkew(A92,I92-AO92,b)/100,0)</f>
        <v>#DIV/0!</v>
      </c>
      <c r="I92" s="66" t="n">
        <f aca="false">IF($B$19=4,$AO92,$B$18)</f>
        <v>5</v>
      </c>
      <c r="K92" s="63" t="n">
        <f aca="false">IF(K$28="nymex",0,VLOOKUP($A92,curvesettle,HLOOKUP(K$28,curvesettle,2,FALSE())))</f>
        <v>-0.075</v>
      </c>
      <c r="L92" s="65" t="n">
        <f aca="false">IF(ISNUMBER(VLOOKUP($A92,VOLCURVES,HLOOKUP(K$28,VOLCURVES,2,FALSE()),FALSE())),VLOOKUP($A92,VOLCURVES,HLOOKUP(K$28,VOLCURVES,2,FALSE()),FALSE()),1)</f>
        <v>1</v>
      </c>
      <c r="M92" s="64" t="n">
        <f aca="false">IF(K$28="NYMEX",$AG92,$AF92)</f>
        <v>-6816</v>
      </c>
      <c r="N92" s="184" t="e">
        <f aca="false">(($C92+O92)*$L92)+D$15</f>
        <v>#DIV/0!</v>
      </c>
      <c r="O92" s="4" t="e">
        <f aca="false">IF(D$16=1,xCalcSkew($A92,P92-AZ92,b)/100,0)</f>
        <v>#DIV/0!</v>
      </c>
      <c r="P92" s="66" t="n">
        <f aca="false">IF($D$19=4,$AZ92,$D$18)</f>
        <v>3</v>
      </c>
      <c r="R92" s="63" t="n">
        <f aca="false">IF(R$28="nymex",0,VLOOKUP($A92,curvesettle,HLOOKUP(R$28,curvesettle,2,FALSE())))</f>
        <v>-0.26</v>
      </c>
      <c r="S92" s="65" t="n">
        <f aca="false">IF(ISNUMBER(VLOOKUP($A92,VOLCURVES,HLOOKUP(R$28,VOLCURVES,2,FALSE()),FALSE())),VLOOKUP($A92,VOLCURVES,HLOOKUP(R$28,VOLCURVES,2,FALSE()),FALSE()),1)</f>
        <v>1</v>
      </c>
      <c r="T92" s="64" t="n">
        <f aca="false">IF(R$28="NYMEX",$AG92,$AF92)</f>
        <v>-6816</v>
      </c>
      <c r="U92" s="184" t="e">
        <f aca="false">(($C92+V92)*$S92)+F$15</f>
        <v>#DIV/0!</v>
      </c>
      <c r="V92" s="4" t="e">
        <f aca="false">IF(F$16=1,xCalcSkew($A92,W92-BK92,b)/100,0)</f>
        <v>#DIV/0!</v>
      </c>
      <c r="W92" s="66" t="n">
        <f aca="false">IF($F$19=4,$BK92,$F$18)</f>
        <v>2.55</v>
      </c>
      <c r="X92" s="64"/>
      <c r="Y92" s="63" t="n">
        <f aca="false">IF(Y$28="nymex",0,VLOOKUP($A92,curvesettle,HLOOKUP(Y$28,curvesettle,2,FALSE())))</f>
        <v>0</v>
      </c>
      <c r="Z92" s="65" t="n">
        <f aca="false">IF(ISNUMBER(VLOOKUP($A92,VOLCURVES,HLOOKUP(Y$28,VOLCURVES,2,FALSE()),FALSE())),VLOOKUP($A92,VOLCURVES,HLOOKUP(Y$28,VOLCURVES,2,FALSE()),FALSE()),1)</f>
        <v>1</v>
      </c>
      <c r="AA92" s="64" t="n">
        <f aca="false">IF(Y$28="NYMEX",$AG92,$AF92)</f>
        <v>-6819</v>
      </c>
      <c r="AB92" s="4" t="e">
        <f aca="false">(($C92+AC92)*$Z92)+H$15</f>
        <v>#DIV/0!</v>
      </c>
      <c r="AC92" s="4" t="e">
        <f aca="false">IF(H$16=1,xCalcSkew($A92,AD92-BV92,b)/100,0)</f>
        <v>#DIV/0!</v>
      </c>
      <c r="AD92" s="66" t="n">
        <f aca="false">IF($H$19=4,$BV92,$H$18)</f>
        <v>2.9</v>
      </c>
      <c r="AF92" s="64" t="n">
        <f aca="false">VLOOKUP($A92,expiration,2,FALSE())-$B$2</f>
        <v>-6816</v>
      </c>
      <c r="AG92" s="64" t="n">
        <f aca="false">VLOOKUP($A92,expiration,3,FALSE())-$B$2</f>
        <v>-6819</v>
      </c>
      <c r="AH92" s="4" t="n">
        <f aca="false">VLOOKUP($A92,STRADDLE,14,FALSE())</f>
        <v>0.0515733712395421</v>
      </c>
      <c r="AI92" s="72" t="n">
        <f aca="false">A93-A92</f>
        <v>28</v>
      </c>
      <c r="AL92" s="64"/>
      <c r="AM92" s="73"/>
      <c r="AN92" s="73" t="n">
        <f aca="false">IF($A92&gt;=AO$25,IF($A92&lt;=AO$26,$AI92,0),0)</f>
        <v>0</v>
      </c>
      <c r="AO92" s="196" t="e">
        <f aca="false">AQ92/AN92</f>
        <v>#DIV/0!</v>
      </c>
      <c r="AP92" s="1" t="n">
        <f aca="false">AN92*($B92+B$13)</f>
        <v>0</v>
      </c>
      <c r="AQ92" s="47" t="n">
        <f aca="false">IF(ISNUMBER(((AP92/AN92)+B$14+$D92)*AN92),((AP92/AN92)+B$14+$D92)*AN92,0)</f>
        <v>0</v>
      </c>
      <c r="AR92" s="76" t="n">
        <f aca="false">IF(AN92=0,0,bsd(1,AS$27,AO92,$I92,$F92,$G92,$AH92,0.1))</f>
        <v>0</v>
      </c>
      <c r="AS92" s="76" t="n">
        <f aca="false">IF(AN92=0,0,bsd(2,AS$27,AO92,$I92,$F92,$G92,$AH92,0.1))</f>
        <v>0</v>
      </c>
      <c r="AT92" s="76" t="n">
        <f aca="false">IF(AN92=0,0,bsd(AS$28,AS$27,AO92,$I92,$F92,$G92,$AH92,0.1))</f>
        <v>0</v>
      </c>
      <c r="AU92" s="37" t="n">
        <f aca="false">AN92*AR92</f>
        <v>0</v>
      </c>
      <c r="AV92" s="37" t="n">
        <f aca="false">AN92*AS92</f>
        <v>0</v>
      </c>
      <c r="AW92" s="37" t="n">
        <f aca="false">AN92*AT92</f>
        <v>0</v>
      </c>
      <c r="AY92" s="73" t="n">
        <f aca="false">IF($A92&gt;=AZ$25,IF($A92&lt;=AZ$26,$AI92,0),0)</f>
        <v>0</v>
      </c>
      <c r="AZ92" s="196" t="e">
        <f aca="false">BB92/AY92</f>
        <v>#DIV/0!</v>
      </c>
      <c r="BA92" s="1" t="n">
        <f aca="false">AY92*($B92+D$13)</f>
        <v>0</v>
      </c>
      <c r="BB92" s="47" t="n">
        <f aca="false">IF(ISNUMBER(((BA92/AY92)+D$14+$K92)*AY92),((BA92/AY92)+D$14+$K92)*AY92,0)</f>
        <v>0</v>
      </c>
      <c r="BC92" s="76" t="n">
        <f aca="false">IF(AY92=0,0,bsd(1,BD$27,AZ92,$P92,$M92,$N92,$AH92,0.1))</f>
        <v>0</v>
      </c>
      <c r="BD92" s="76" t="n">
        <f aca="false">IF(AY92=0,0,bsd(2,BD$27,AZ92,$P92,$M92,$N92,$AH92,0.1))</f>
        <v>0</v>
      </c>
      <c r="BE92" s="76" t="n">
        <f aca="false">IF(AY92=0,0,bsd(BD$28,BD$27,AZ92,$P92,$M92,$N92,$AH92,0.1))</f>
        <v>0</v>
      </c>
      <c r="BF92" s="37" t="n">
        <f aca="false">AY92*BC92</f>
        <v>0</v>
      </c>
      <c r="BG92" s="37" t="n">
        <f aca="false">AY92*BD92</f>
        <v>0</v>
      </c>
      <c r="BH92" s="37" t="n">
        <f aca="false">AY92*BE92</f>
        <v>0</v>
      </c>
      <c r="BJ92" s="73" t="n">
        <f aca="false">IF($A92&gt;=BK$25,IF($A92&lt;=BK$26,$AI92,0),0)</f>
        <v>0</v>
      </c>
      <c r="BK92" s="196" t="e">
        <f aca="false">BM92/BJ92</f>
        <v>#DIV/0!</v>
      </c>
      <c r="BL92" s="1" t="n">
        <f aca="false">BJ92*($B92+F$13)</f>
        <v>0</v>
      </c>
      <c r="BM92" s="47" t="n">
        <f aca="false">IF(ISNUMBER(((BL92/BJ92)+F$14+$R92)*BJ92),((BL92/BJ92)+F$14+$R92)*BJ92,0)</f>
        <v>0</v>
      </c>
      <c r="BN92" s="76" t="n">
        <f aca="false">IF(BJ92=0,0,bsd(1,BO$27,BK92,$W92,$T92,$U92,$AH92,0.1))</f>
        <v>0</v>
      </c>
      <c r="BO92" s="76" t="n">
        <f aca="false">IF(BJ92=0,0,bsd(2,BO$27,BK92,$W92,$T92,$U92,$AH92,0.1))</f>
        <v>0</v>
      </c>
      <c r="BP92" s="76" t="n">
        <f aca="false">IF(BJ92=0,0,bsd(BO$28,BO$27,BK92,$W92,$T92,$U92,$AH92,0.1))</f>
        <v>0</v>
      </c>
      <c r="BQ92" s="37" t="n">
        <f aca="false">BJ92*BN92</f>
        <v>0</v>
      </c>
      <c r="BR92" s="37" t="n">
        <f aca="false">BJ92*BO92</f>
        <v>0</v>
      </c>
      <c r="BS92" s="37" t="n">
        <f aca="false">BJ92*BP92</f>
        <v>0</v>
      </c>
      <c r="BU92" s="73" t="n">
        <f aca="false">IF($A92&gt;=BV$25,IF($A92&lt;=BV$26,$AI92,0),0)</f>
        <v>0</v>
      </c>
      <c r="BV92" s="196" t="e">
        <f aca="false">BX92/BU92</f>
        <v>#DIV/0!</v>
      </c>
      <c r="BW92" s="1" t="n">
        <f aca="false">BU92*($B92+H$13)</f>
        <v>0</v>
      </c>
      <c r="BX92" s="47" t="n">
        <f aca="false">IF(ISNUMBER(((BW92/BU92)+H$14+$Y92)*BU92),((BW92/BU92)+H$14+$Y92)*BU92,0)</f>
        <v>0</v>
      </c>
      <c r="BY92" s="76" t="n">
        <f aca="false">IF(BU92=0,0,bsd(1,BZ$27,BV92,$AD92,$AA92,$AB92,$AH92,0.1))</f>
        <v>0</v>
      </c>
      <c r="BZ92" s="76" t="n">
        <f aca="false">IF(BU92=0,0,bsd(2,BZ$27,BV92,$AD92,$AA92,$AB92,$AH92,0.1))</f>
        <v>0</v>
      </c>
      <c r="CA92" s="76" t="n">
        <f aca="false">IF(BU92=0,0,bsd(BZ$28,BZ$27,BV92,$AD92,$AA92,$AB92,$AH92,0.1))</f>
        <v>0</v>
      </c>
      <c r="CB92" s="37" t="n">
        <f aca="false">BU92*BY92</f>
        <v>0</v>
      </c>
      <c r="CC92" s="37" t="n">
        <f aca="false">BU92*BZ92</f>
        <v>0</v>
      </c>
      <c r="CD92" s="37" t="n">
        <f aca="false">BU92*CA92</f>
        <v>0</v>
      </c>
    </row>
    <row r="93" customFormat="false" ht="12.75" hidden="false" customHeight="false" outlineLevel="0" collapsed="false">
      <c r="A93" s="62" t="n">
        <f aca="false">DATE(YEAR(A92),MONTH(A92)+1,1)</f>
        <v>39142</v>
      </c>
      <c r="B93" s="63" t="n">
        <f aca="false">VLOOKUP(A93,STRADDLE,5,FALSE())</f>
        <v>3.5975</v>
      </c>
      <c r="C93" s="4" t="n">
        <f aca="false">VLOOKUP(A93,STRADDLE,8,FALSE())</f>
        <v>0.24</v>
      </c>
      <c r="D93" s="63" t="n">
        <f aca="false">IF(D$28="nymex",0,VLOOKUP($A93,curvesettle,HLOOKUP(D$28,curvesettle,2,FALSE())))</f>
        <v>-0.075</v>
      </c>
      <c r="E93" s="65" t="n">
        <f aca="false">IF(ISNUMBER(VLOOKUP($A93,VOLCURVES,HLOOKUP(D$28,VOLCURVES,2,FALSE()),FALSE())),VLOOKUP($A93,VOLCURVES,HLOOKUP(D$28,VOLCURVES,2,FALSE()),FALSE()),1)</f>
        <v>1</v>
      </c>
      <c r="F93" s="64" t="n">
        <f aca="false">IF(D$28="NYMEX",$AG93,$AF93)</f>
        <v>-6788</v>
      </c>
      <c r="G93" s="4" t="e">
        <f aca="false">(($C93+H93)*$E93)+B$15</f>
        <v>#DIV/0!</v>
      </c>
      <c r="H93" s="4" t="e">
        <f aca="false">IF(B$16=1,xCalcSkew(A93,I93-AO93,b)/100,0)</f>
        <v>#DIV/0!</v>
      </c>
      <c r="I93" s="66" t="n">
        <f aca="false">IF($B$19=4,$AO93,$B$18)</f>
        <v>5</v>
      </c>
      <c r="K93" s="63" t="n">
        <f aca="false">IF(K$28="nymex",0,VLOOKUP($A93,curvesettle,HLOOKUP(K$28,curvesettle,2,FALSE())))</f>
        <v>-0.075</v>
      </c>
      <c r="L93" s="65" t="n">
        <f aca="false">IF(ISNUMBER(VLOOKUP($A93,VOLCURVES,HLOOKUP(K$28,VOLCURVES,2,FALSE()),FALSE())),VLOOKUP($A93,VOLCURVES,HLOOKUP(K$28,VOLCURVES,2,FALSE()),FALSE()),1)</f>
        <v>1</v>
      </c>
      <c r="M93" s="64" t="n">
        <f aca="false">IF(K$28="NYMEX",$AG93,$AF93)</f>
        <v>-6788</v>
      </c>
      <c r="N93" s="184" t="e">
        <f aca="false">(($C93+O93)*$L93)+D$15</f>
        <v>#DIV/0!</v>
      </c>
      <c r="O93" s="4" t="e">
        <f aca="false">IF(D$16=1,xCalcSkew($A93,P93-AZ93,b)/100,0)</f>
        <v>#DIV/0!</v>
      </c>
      <c r="P93" s="66" t="n">
        <f aca="false">IF($D$19=4,$AZ93,$D$18)</f>
        <v>3</v>
      </c>
      <c r="R93" s="63" t="n">
        <f aca="false">IF(R$28="nymex",0,VLOOKUP($A93,curvesettle,HLOOKUP(R$28,curvesettle,2,FALSE())))</f>
        <v>-0.26</v>
      </c>
      <c r="S93" s="65" t="n">
        <f aca="false">IF(ISNUMBER(VLOOKUP($A93,VOLCURVES,HLOOKUP(R$28,VOLCURVES,2,FALSE()),FALSE())),VLOOKUP($A93,VOLCURVES,HLOOKUP(R$28,VOLCURVES,2,FALSE()),FALSE()),1)</f>
        <v>1</v>
      </c>
      <c r="T93" s="64" t="n">
        <f aca="false">IF(R$28="NYMEX",$AG93,$AF93)</f>
        <v>-6788</v>
      </c>
      <c r="U93" s="184" t="e">
        <f aca="false">(($C93+V93)*$S93)+F$15</f>
        <v>#DIV/0!</v>
      </c>
      <c r="V93" s="4" t="e">
        <f aca="false">IF(F$16=1,xCalcSkew($A93,W93-BK93,b)/100,0)</f>
        <v>#DIV/0!</v>
      </c>
      <c r="W93" s="66" t="n">
        <f aca="false">IF($F$19=4,$BK93,$F$18)</f>
        <v>2.55</v>
      </c>
      <c r="X93" s="64"/>
      <c r="Y93" s="63" t="n">
        <f aca="false">IF(Y$28="nymex",0,VLOOKUP($A93,curvesettle,HLOOKUP(Y$28,curvesettle,2,FALSE())))</f>
        <v>0</v>
      </c>
      <c r="Z93" s="65" t="n">
        <f aca="false">IF(ISNUMBER(VLOOKUP($A93,VOLCURVES,HLOOKUP(Y$28,VOLCURVES,2,FALSE()),FALSE())),VLOOKUP($A93,VOLCURVES,HLOOKUP(Y$28,VOLCURVES,2,FALSE()),FALSE()),1)</f>
        <v>1</v>
      </c>
      <c r="AA93" s="64" t="n">
        <f aca="false">IF(Y$28="NYMEX",$AG93,$AF93)</f>
        <v>-6791</v>
      </c>
      <c r="AB93" s="4" t="e">
        <f aca="false">(($C93+AC93)*$Z93)+H$15</f>
        <v>#DIV/0!</v>
      </c>
      <c r="AC93" s="4" t="e">
        <f aca="false">IF(H$16=1,xCalcSkew($A93,AD93-BV93,b)/100,0)</f>
        <v>#DIV/0!</v>
      </c>
      <c r="AD93" s="66" t="n">
        <f aca="false">IF($H$19=4,$BV93,$H$18)</f>
        <v>2.9</v>
      </c>
      <c r="AF93" s="64" t="n">
        <f aca="false">VLOOKUP($A93,expiration,2,FALSE())-$B$2</f>
        <v>-6788</v>
      </c>
      <c r="AG93" s="64" t="n">
        <f aca="false">VLOOKUP($A93,expiration,3,FALSE())-$B$2</f>
        <v>-6791</v>
      </c>
      <c r="AH93" s="4" t="n">
        <f aca="false">VLOOKUP($A93,STRADDLE,14,FALSE())</f>
        <v>0.0517373190219916</v>
      </c>
      <c r="AI93" s="72" t="n">
        <f aca="false">A94-A93</f>
        <v>31</v>
      </c>
      <c r="AL93" s="64"/>
      <c r="AM93" s="73"/>
      <c r="AN93" s="73" t="n">
        <f aca="false">IF($A93&gt;=AO$25,IF($A93&lt;=AO$26,$AI93,0),0)</f>
        <v>0</v>
      </c>
      <c r="AO93" s="196" t="e">
        <f aca="false">AQ93/AN93</f>
        <v>#DIV/0!</v>
      </c>
      <c r="AP93" s="1" t="n">
        <f aca="false">AN93*($B93+B$13)</f>
        <v>0</v>
      </c>
      <c r="AQ93" s="47" t="n">
        <f aca="false">IF(ISNUMBER(((AP93/AN93)+B$14+$D93)*AN93),((AP93/AN93)+B$14+$D93)*AN93,0)</f>
        <v>0</v>
      </c>
      <c r="AR93" s="76" t="n">
        <f aca="false">IF(AN93=0,0,bsd(1,AS$27,AO93,$I93,$F93,$G93,$AH93,0.1))</f>
        <v>0</v>
      </c>
      <c r="AS93" s="76" t="n">
        <f aca="false">IF(AN93=0,0,bsd(2,AS$27,AO93,$I93,$F93,$G93,$AH93,0.1))</f>
        <v>0</v>
      </c>
      <c r="AT93" s="76" t="n">
        <f aca="false">IF(AN93=0,0,bsd(AS$28,AS$27,AO93,$I93,$F93,$G93,$AH93,0.1))</f>
        <v>0</v>
      </c>
      <c r="AU93" s="37" t="n">
        <f aca="false">AN93*AR93</f>
        <v>0</v>
      </c>
      <c r="AV93" s="37" t="n">
        <f aca="false">AN93*AS93</f>
        <v>0</v>
      </c>
      <c r="AW93" s="37" t="n">
        <f aca="false">AN93*AT93</f>
        <v>0</v>
      </c>
      <c r="AY93" s="73" t="n">
        <f aca="false">IF($A93&gt;=AZ$25,IF($A93&lt;=AZ$26,$AI93,0),0)</f>
        <v>0</v>
      </c>
      <c r="AZ93" s="196" t="e">
        <f aca="false">BB93/AY93</f>
        <v>#DIV/0!</v>
      </c>
      <c r="BA93" s="1" t="n">
        <f aca="false">AY93*($B93+D$13)</f>
        <v>0</v>
      </c>
      <c r="BB93" s="47" t="n">
        <f aca="false">IF(ISNUMBER(((BA93/AY93)+D$14+$K93)*AY93),((BA93/AY93)+D$14+$K93)*AY93,0)</f>
        <v>0</v>
      </c>
      <c r="BC93" s="76" t="n">
        <f aca="false">IF(AY93=0,0,bsd(1,BD$27,AZ93,$P93,$M93,$N93,$AH93,0.1))</f>
        <v>0</v>
      </c>
      <c r="BD93" s="76" t="n">
        <f aca="false">IF(AY93=0,0,bsd(2,BD$27,AZ93,$P93,$M93,$N93,$AH93,0.1))</f>
        <v>0</v>
      </c>
      <c r="BE93" s="76" t="n">
        <f aca="false">IF(AY93=0,0,bsd(BD$28,BD$27,AZ93,$P93,$M93,$N93,$AH93,0.1))</f>
        <v>0</v>
      </c>
      <c r="BF93" s="37" t="n">
        <f aca="false">AY93*BC93</f>
        <v>0</v>
      </c>
      <c r="BG93" s="37" t="n">
        <f aca="false">AY93*BD93</f>
        <v>0</v>
      </c>
      <c r="BH93" s="37" t="n">
        <f aca="false">AY93*BE93</f>
        <v>0</v>
      </c>
      <c r="BJ93" s="73" t="n">
        <f aca="false">IF($A93&gt;=BK$25,IF($A93&lt;=BK$26,$AI93,0),0)</f>
        <v>0</v>
      </c>
      <c r="BK93" s="196" t="e">
        <f aca="false">BM93/BJ93</f>
        <v>#DIV/0!</v>
      </c>
      <c r="BL93" s="1" t="n">
        <f aca="false">BJ93*($B93+F$13)</f>
        <v>0</v>
      </c>
      <c r="BM93" s="47" t="n">
        <f aca="false">IF(ISNUMBER(((BL93/BJ93)+F$14+$R93)*BJ93),((BL93/BJ93)+F$14+$R93)*BJ93,0)</f>
        <v>0</v>
      </c>
      <c r="BN93" s="76" t="n">
        <f aca="false">IF(BJ93=0,0,bsd(1,BO$27,BK93,$W93,$T93,$U93,$AH93,0.1))</f>
        <v>0</v>
      </c>
      <c r="BO93" s="76" t="n">
        <f aca="false">IF(BJ93=0,0,bsd(2,BO$27,BK93,$W93,$T93,$U93,$AH93,0.1))</f>
        <v>0</v>
      </c>
      <c r="BP93" s="76" t="n">
        <f aca="false">IF(BJ93=0,0,bsd(BO$28,BO$27,BK93,$W93,$T93,$U93,$AH93,0.1))</f>
        <v>0</v>
      </c>
      <c r="BQ93" s="37" t="n">
        <f aca="false">BJ93*BN93</f>
        <v>0</v>
      </c>
      <c r="BR93" s="37" t="n">
        <f aca="false">BJ93*BO93</f>
        <v>0</v>
      </c>
      <c r="BS93" s="37" t="n">
        <f aca="false">BJ93*BP93</f>
        <v>0</v>
      </c>
      <c r="BU93" s="73" t="n">
        <f aca="false">IF($A93&gt;=BV$25,IF($A93&lt;=BV$26,$AI93,0),0)</f>
        <v>0</v>
      </c>
      <c r="BV93" s="196" t="e">
        <f aca="false">BX93/BU93</f>
        <v>#DIV/0!</v>
      </c>
      <c r="BW93" s="1" t="n">
        <f aca="false">BU93*($B93+H$13)</f>
        <v>0</v>
      </c>
      <c r="BX93" s="47" t="n">
        <f aca="false">IF(ISNUMBER(((BW93/BU93)+H$14+$Y93)*BU93),((BW93/BU93)+H$14+$Y93)*BU93,0)</f>
        <v>0</v>
      </c>
      <c r="BY93" s="76" t="n">
        <f aca="false">IF(BU93=0,0,bsd(1,BZ$27,BV93,$AD93,$AA93,$AB93,$AH93,0.1))</f>
        <v>0</v>
      </c>
      <c r="BZ93" s="76" t="n">
        <f aca="false">IF(BU93=0,0,bsd(2,BZ$27,BV93,$AD93,$AA93,$AB93,$AH93,0.1))</f>
        <v>0</v>
      </c>
      <c r="CA93" s="76" t="n">
        <f aca="false">IF(BU93=0,0,bsd(BZ$28,BZ$27,BV93,$AD93,$AA93,$AB93,$AH93,0.1))</f>
        <v>0</v>
      </c>
      <c r="CB93" s="37" t="n">
        <f aca="false">BU93*BY93</f>
        <v>0</v>
      </c>
      <c r="CC93" s="37" t="n">
        <f aca="false">BU93*BZ93</f>
        <v>0</v>
      </c>
      <c r="CD93" s="37" t="n">
        <f aca="false">BU93*CA93</f>
        <v>0</v>
      </c>
    </row>
    <row r="94" customFormat="false" ht="12.75" hidden="false" customHeight="false" outlineLevel="0" collapsed="false">
      <c r="A94" s="62" t="n">
        <f aca="false">DATE(YEAR(A93),MONTH(A93)+1,1)</f>
        <v>39173</v>
      </c>
      <c r="B94" s="63" t="n">
        <f aca="false">VLOOKUP(A94,STRADDLE,5,FALSE())</f>
        <v>3.4125</v>
      </c>
      <c r="C94" s="4" t="n">
        <f aca="false">VLOOKUP(A94,STRADDLE,8,FALSE())</f>
        <v>0.24</v>
      </c>
      <c r="D94" s="63" t="n">
        <f aca="false">IF(D$28="nymex",0,VLOOKUP($A94,curvesettle,HLOOKUP(D$28,curvesettle,2,FALSE())))</f>
        <v>-0.0725</v>
      </c>
      <c r="E94" s="65" t="n">
        <f aca="false">IF(ISNUMBER(VLOOKUP($A94,VOLCURVES,HLOOKUP(D$28,VOLCURVES,2,FALSE()),FALSE())),VLOOKUP($A94,VOLCURVES,HLOOKUP(D$28,VOLCURVES,2,FALSE()),FALSE()),1)</f>
        <v>1</v>
      </c>
      <c r="F94" s="64" t="n">
        <f aca="false">IF(D$28="NYMEX",$AG94,$AF94)</f>
        <v>-6758</v>
      </c>
      <c r="G94" s="4" t="e">
        <f aca="false">(($C94+H94)*$E94)+B$15</f>
        <v>#DIV/0!</v>
      </c>
      <c r="H94" s="4" t="e">
        <f aca="false">IF(B$16=1,xCalcSkew(A94,I94-AO94,b)/100,0)</f>
        <v>#DIV/0!</v>
      </c>
      <c r="I94" s="66" t="n">
        <f aca="false">IF($B$19=4,$AO94,$B$18)</f>
        <v>5</v>
      </c>
      <c r="K94" s="63" t="n">
        <f aca="false">IF(K$28="nymex",0,VLOOKUP($A94,curvesettle,HLOOKUP(K$28,curvesettle,2,FALSE())))</f>
        <v>-0.0725</v>
      </c>
      <c r="L94" s="65" t="n">
        <f aca="false">IF(ISNUMBER(VLOOKUP($A94,VOLCURVES,HLOOKUP(K$28,VOLCURVES,2,FALSE()),FALSE())),VLOOKUP($A94,VOLCURVES,HLOOKUP(K$28,VOLCURVES,2,FALSE()),FALSE()),1)</f>
        <v>1</v>
      </c>
      <c r="M94" s="64" t="n">
        <f aca="false">IF(K$28="NYMEX",$AG94,$AF94)</f>
        <v>-6758</v>
      </c>
      <c r="N94" s="184" t="e">
        <f aca="false">(($C94+O94)*$L94)+D$15</f>
        <v>#DIV/0!</v>
      </c>
      <c r="O94" s="4" t="e">
        <f aca="false">IF(D$16=1,xCalcSkew($A94,P94-AZ94,b)/100,0)</f>
        <v>#DIV/0!</v>
      </c>
      <c r="P94" s="66" t="n">
        <f aca="false">IF($D$19=4,$AZ94,$D$18)</f>
        <v>3</v>
      </c>
      <c r="R94" s="63" t="n">
        <f aca="false">IF(R$28="nymex",0,VLOOKUP($A94,curvesettle,HLOOKUP(R$28,curvesettle,2,FALSE())))</f>
        <v>-0.39</v>
      </c>
      <c r="S94" s="65" t="n">
        <f aca="false">IF(ISNUMBER(VLOOKUP($A94,VOLCURVES,HLOOKUP(R$28,VOLCURVES,2,FALSE()),FALSE())),VLOOKUP($A94,VOLCURVES,HLOOKUP(R$28,VOLCURVES,2,FALSE()),FALSE()),1)</f>
        <v>1</v>
      </c>
      <c r="T94" s="64" t="n">
        <f aca="false">IF(R$28="NYMEX",$AG94,$AF94)</f>
        <v>-6758</v>
      </c>
      <c r="U94" s="184" t="e">
        <f aca="false">(($C94+V94)*$S94)+F$15</f>
        <v>#DIV/0!</v>
      </c>
      <c r="V94" s="4" t="e">
        <f aca="false">IF(F$16=1,xCalcSkew($A94,W94-BK94,b)/100,0)</f>
        <v>#DIV/0!</v>
      </c>
      <c r="W94" s="66" t="n">
        <f aca="false">IF($F$19=4,$BK94,$F$18)</f>
        <v>2.55</v>
      </c>
      <c r="X94" s="64"/>
      <c r="Y94" s="63" t="n">
        <f aca="false">IF(Y$28="nymex",0,VLOOKUP($A94,curvesettle,HLOOKUP(Y$28,curvesettle,2,FALSE())))</f>
        <v>0</v>
      </c>
      <c r="Z94" s="65" t="n">
        <f aca="false">IF(ISNUMBER(VLOOKUP($A94,VOLCURVES,HLOOKUP(Y$28,VOLCURVES,2,FALSE()),FALSE())),VLOOKUP($A94,VOLCURVES,HLOOKUP(Y$28,VOLCURVES,2,FALSE()),FALSE()),1)</f>
        <v>1</v>
      </c>
      <c r="AA94" s="64" t="n">
        <f aca="false">IF(Y$28="NYMEX",$AG94,$AF94)</f>
        <v>-6759</v>
      </c>
      <c r="AB94" s="4" t="e">
        <f aca="false">(($C94+AC94)*$Z94)+H$15</f>
        <v>#DIV/0!</v>
      </c>
      <c r="AC94" s="4" t="e">
        <f aca="false">IF(H$16=1,xCalcSkew($A94,AD94-BV94,b)/100,0)</f>
        <v>#DIV/0!</v>
      </c>
      <c r="AD94" s="66" t="n">
        <f aca="false">IF($H$19=4,$BV94,$H$18)</f>
        <v>2.9</v>
      </c>
      <c r="AF94" s="64" t="n">
        <f aca="false">VLOOKUP($A94,expiration,2,FALSE())-$B$2</f>
        <v>-6758</v>
      </c>
      <c r="AG94" s="64" t="n">
        <f aca="false">VLOOKUP($A94,expiration,3,FALSE())-$B$2</f>
        <v>-6759</v>
      </c>
      <c r="AH94" s="4" t="n">
        <f aca="false">VLOOKUP($A94,STRADDLE,14,FALSE())</f>
        <v>0.0519188326487345</v>
      </c>
      <c r="AI94" s="72" t="n">
        <f aca="false">A95-A94</f>
        <v>30</v>
      </c>
      <c r="AL94" s="64"/>
      <c r="AM94" s="73"/>
      <c r="AN94" s="73" t="n">
        <f aca="false">IF($A94&gt;=AO$25,IF($A94&lt;=AO$26,$AI94,0),0)</f>
        <v>0</v>
      </c>
      <c r="AO94" s="196" t="e">
        <f aca="false">AQ94/AN94</f>
        <v>#DIV/0!</v>
      </c>
      <c r="AP94" s="1" t="n">
        <f aca="false">AN94*($B94+B$13)</f>
        <v>0</v>
      </c>
      <c r="AQ94" s="47" t="n">
        <f aca="false">IF(ISNUMBER(((AP94/AN94)+B$14+$D94)*AN94),((AP94/AN94)+B$14+$D94)*AN94,0)</f>
        <v>0</v>
      </c>
      <c r="AR94" s="76" t="n">
        <f aca="false">IF(AN94=0,0,bsd(1,AS$27,AO94,$I94,$F94,$G94,$AH94,0.1))</f>
        <v>0</v>
      </c>
      <c r="AS94" s="76" t="n">
        <f aca="false">IF(AN94=0,0,bsd(2,AS$27,AO94,$I94,$F94,$G94,$AH94,0.1))</f>
        <v>0</v>
      </c>
      <c r="AT94" s="76" t="n">
        <f aca="false">IF(AN94=0,0,bsd(AS$28,AS$27,AO94,$I94,$F94,$G94,$AH94,0.1))</f>
        <v>0</v>
      </c>
      <c r="AU94" s="37" t="n">
        <f aca="false">AN94*AR94</f>
        <v>0</v>
      </c>
      <c r="AV94" s="37" t="n">
        <f aca="false">AN94*AS94</f>
        <v>0</v>
      </c>
      <c r="AW94" s="37" t="n">
        <f aca="false">AN94*AT94</f>
        <v>0</v>
      </c>
      <c r="AY94" s="73" t="n">
        <f aca="false">IF($A94&gt;=AZ$25,IF($A94&lt;=AZ$26,$AI94,0),0)</f>
        <v>0</v>
      </c>
      <c r="AZ94" s="196" t="e">
        <f aca="false">BB94/AY94</f>
        <v>#DIV/0!</v>
      </c>
      <c r="BA94" s="1" t="n">
        <f aca="false">AY94*($B94+D$13)</f>
        <v>0</v>
      </c>
      <c r="BB94" s="47" t="n">
        <f aca="false">IF(ISNUMBER(((BA94/AY94)+D$14+$K94)*AY94),((BA94/AY94)+D$14+$K94)*AY94,0)</f>
        <v>0</v>
      </c>
      <c r="BC94" s="76" t="n">
        <f aca="false">IF(AY94=0,0,bsd(1,BD$27,AZ94,$P94,$M94,$N94,$AH94,0.1))</f>
        <v>0</v>
      </c>
      <c r="BD94" s="76" t="n">
        <f aca="false">IF(AY94=0,0,bsd(2,BD$27,AZ94,$P94,$M94,$N94,$AH94,0.1))</f>
        <v>0</v>
      </c>
      <c r="BE94" s="76" t="n">
        <f aca="false">IF(AY94=0,0,bsd(BD$28,BD$27,AZ94,$P94,$M94,$N94,$AH94,0.1))</f>
        <v>0</v>
      </c>
      <c r="BF94" s="37" t="n">
        <f aca="false">AY94*BC94</f>
        <v>0</v>
      </c>
      <c r="BG94" s="37" t="n">
        <f aca="false">AY94*BD94</f>
        <v>0</v>
      </c>
      <c r="BH94" s="37" t="n">
        <f aca="false">AY94*BE94</f>
        <v>0</v>
      </c>
      <c r="BJ94" s="73" t="n">
        <f aca="false">IF($A94&gt;=BK$25,IF($A94&lt;=BK$26,$AI94,0),0)</f>
        <v>0</v>
      </c>
      <c r="BK94" s="196" t="e">
        <f aca="false">BM94/BJ94</f>
        <v>#DIV/0!</v>
      </c>
      <c r="BL94" s="1" t="n">
        <f aca="false">BJ94*($B94+F$13)</f>
        <v>0</v>
      </c>
      <c r="BM94" s="47" t="n">
        <f aca="false">IF(ISNUMBER(((BL94/BJ94)+F$14+$R94)*BJ94),((BL94/BJ94)+F$14+$R94)*BJ94,0)</f>
        <v>0</v>
      </c>
      <c r="BN94" s="76" t="n">
        <f aca="false">IF(BJ94=0,0,bsd(1,BO$27,BK94,$W94,$T94,$U94,$AH94,0.1))</f>
        <v>0</v>
      </c>
      <c r="BO94" s="76" t="n">
        <f aca="false">IF(BJ94=0,0,bsd(2,BO$27,BK94,$W94,$T94,$U94,$AH94,0.1))</f>
        <v>0</v>
      </c>
      <c r="BP94" s="76" t="n">
        <f aca="false">IF(BJ94=0,0,bsd(BO$28,BO$27,BK94,$W94,$T94,$U94,$AH94,0.1))</f>
        <v>0</v>
      </c>
      <c r="BQ94" s="37" t="n">
        <f aca="false">BJ94*BN94</f>
        <v>0</v>
      </c>
      <c r="BR94" s="37" t="n">
        <f aca="false">BJ94*BO94</f>
        <v>0</v>
      </c>
      <c r="BS94" s="37" t="n">
        <f aca="false">BJ94*BP94</f>
        <v>0</v>
      </c>
      <c r="BU94" s="73" t="n">
        <f aca="false">IF($A94&gt;=BV$25,IF($A94&lt;=BV$26,$AI94,0),0)</f>
        <v>0</v>
      </c>
      <c r="BV94" s="196" t="e">
        <f aca="false">BX94/BU94</f>
        <v>#DIV/0!</v>
      </c>
      <c r="BW94" s="1" t="n">
        <f aca="false">BU94*($B94+H$13)</f>
        <v>0</v>
      </c>
      <c r="BX94" s="47" t="n">
        <f aca="false">IF(ISNUMBER(((BW94/BU94)+H$14+$Y94)*BU94),((BW94/BU94)+H$14+$Y94)*BU94,0)</f>
        <v>0</v>
      </c>
      <c r="BY94" s="76" t="n">
        <f aca="false">IF(BU94=0,0,bsd(1,BZ$27,BV94,$AD94,$AA94,$AB94,$AH94,0.1))</f>
        <v>0</v>
      </c>
      <c r="BZ94" s="76" t="n">
        <f aca="false">IF(BU94=0,0,bsd(2,BZ$27,BV94,$AD94,$AA94,$AB94,$AH94,0.1))</f>
        <v>0</v>
      </c>
      <c r="CA94" s="76" t="n">
        <f aca="false">IF(BU94=0,0,bsd(BZ$28,BZ$27,BV94,$AD94,$AA94,$AB94,$AH94,0.1))</f>
        <v>0</v>
      </c>
      <c r="CB94" s="37" t="n">
        <f aca="false">BU94*BY94</f>
        <v>0</v>
      </c>
      <c r="CC94" s="37" t="n">
        <f aca="false">BU94*BZ94</f>
        <v>0</v>
      </c>
      <c r="CD94" s="37" t="n">
        <f aca="false">BU94*CA94</f>
        <v>0</v>
      </c>
    </row>
    <row r="95" customFormat="false" ht="12.75" hidden="false" customHeight="false" outlineLevel="0" collapsed="false">
      <c r="A95" s="62" t="n">
        <f aca="false">DATE(YEAR(A94),MONTH(A94)+1,1)</f>
        <v>39203</v>
      </c>
      <c r="B95" s="63" t="n">
        <f aca="false">VLOOKUP(A95,STRADDLE,5,FALSE())</f>
        <v>3.4075</v>
      </c>
      <c r="C95" s="4" t="n">
        <f aca="false">VLOOKUP(A95,STRADDLE,8,FALSE())</f>
        <v>0.24</v>
      </c>
      <c r="D95" s="63" t="n">
        <f aca="false">IF(D$28="nymex",0,VLOOKUP($A95,curvesettle,HLOOKUP(D$28,curvesettle,2,FALSE())))</f>
        <v>-0.0725</v>
      </c>
      <c r="E95" s="65" t="n">
        <f aca="false">IF(ISNUMBER(VLOOKUP($A95,VOLCURVES,HLOOKUP(D$28,VOLCURVES,2,FALSE()),FALSE())),VLOOKUP($A95,VOLCURVES,HLOOKUP(D$28,VOLCURVES,2,FALSE()),FALSE()),1)</f>
        <v>1</v>
      </c>
      <c r="F95" s="64" t="n">
        <f aca="false">IF(D$28="NYMEX",$AG95,$AF95)</f>
        <v>-6729</v>
      </c>
      <c r="G95" s="4" t="e">
        <f aca="false">(($C95+H95)*$E95)+B$15</f>
        <v>#DIV/0!</v>
      </c>
      <c r="H95" s="4" t="e">
        <f aca="false">IF(B$16=1,xCalcSkew(A95,I95-AO95,b)/100,0)</f>
        <v>#DIV/0!</v>
      </c>
      <c r="I95" s="66" t="n">
        <f aca="false">IF($B$19=4,$AO95,$B$18)</f>
        <v>5</v>
      </c>
      <c r="K95" s="63" t="n">
        <f aca="false">IF(K$28="nymex",0,VLOOKUP($A95,curvesettle,HLOOKUP(K$28,curvesettle,2,FALSE())))</f>
        <v>-0.0725</v>
      </c>
      <c r="L95" s="65" t="n">
        <f aca="false">IF(ISNUMBER(VLOOKUP($A95,VOLCURVES,HLOOKUP(K$28,VOLCURVES,2,FALSE()),FALSE())),VLOOKUP($A95,VOLCURVES,HLOOKUP(K$28,VOLCURVES,2,FALSE()),FALSE()),1)</f>
        <v>1</v>
      </c>
      <c r="M95" s="64" t="n">
        <f aca="false">IF(K$28="NYMEX",$AG95,$AF95)</f>
        <v>-6729</v>
      </c>
      <c r="N95" s="184" t="e">
        <f aca="false">(($C95+O95)*$L95)+D$15</f>
        <v>#DIV/0!</v>
      </c>
      <c r="O95" s="4" t="e">
        <f aca="false">IF(D$16=1,xCalcSkew($A95,P95-AZ95,b)/100,0)</f>
        <v>#DIV/0!</v>
      </c>
      <c r="P95" s="66" t="n">
        <f aca="false">IF($D$19=4,$AZ95,$D$18)</f>
        <v>3</v>
      </c>
      <c r="R95" s="63" t="n">
        <f aca="false">IF(R$28="nymex",0,VLOOKUP($A95,curvesettle,HLOOKUP(R$28,curvesettle,2,FALSE())))</f>
        <v>-0.39</v>
      </c>
      <c r="S95" s="65" t="n">
        <f aca="false">IF(ISNUMBER(VLOOKUP($A95,VOLCURVES,HLOOKUP(R$28,VOLCURVES,2,FALSE()),FALSE())),VLOOKUP($A95,VOLCURVES,HLOOKUP(R$28,VOLCURVES,2,FALSE()),FALSE()),1)</f>
        <v>1</v>
      </c>
      <c r="T95" s="64" t="n">
        <f aca="false">IF(R$28="NYMEX",$AG95,$AF95)</f>
        <v>-6729</v>
      </c>
      <c r="U95" s="184" t="e">
        <f aca="false">(($C95+V95)*$S95)+F$15</f>
        <v>#DIV/0!</v>
      </c>
      <c r="V95" s="4" t="e">
        <f aca="false">IF(F$16=1,xCalcSkew($A95,W95-BK95,b)/100,0)</f>
        <v>#DIV/0!</v>
      </c>
      <c r="W95" s="66" t="n">
        <f aca="false">IF($F$19=4,$BK95,$F$18)</f>
        <v>2.55</v>
      </c>
      <c r="X95" s="64"/>
      <c r="Y95" s="63" t="n">
        <f aca="false">IF(Y$28="nymex",0,VLOOKUP($A95,curvesettle,HLOOKUP(Y$28,curvesettle,2,FALSE())))</f>
        <v>0</v>
      </c>
      <c r="Z95" s="65" t="n">
        <f aca="false">IF(ISNUMBER(VLOOKUP($A95,VOLCURVES,HLOOKUP(Y$28,VOLCURVES,2,FALSE()),FALSE())),VLOOKUP($A95,VOLCURVES,HLOOKUP(Y$28,VOLCURVES,2,FALSE()),FALSE()),1)</f>
        <v>1</v>
      </c>
      <c r="AA95" s="64" t="n">
        <f aca="false">IF(Y$28="NYMEX",$AG95,$AF95)</f>
        <v>-6730</v>
      </c>
      <c r="AB95" s="4" t="e">
        <f aca="false">(($C95+AC95)*$Z95)+H$15</f>
        <v>#DIV/0!</v>
      </c>
      <c r="AC95" s="4" t="e">
        <f aca="false">IF(H$16=1,xCalcSkew($A95,AD95-BV95,b)/100,0)</f>
        <v>#DIV/0!</v>
      </c>
      <c r="AD95" s="66" t="n">
        <f aca="false">IF($H$19=4,$BV95,$H$18)</f>
        <v>2.9</v>
      </c>
      <c r="AF95" s="64" t="n">
        <f aca="false">VLOOKUP($A95,expiration,2,FALSE())-$B$2</f>
        <v>-6729</v>
      </c>
      <c r="AG95" s="64" t="n">
        <f aca="false">VLOOKUP($A95,expiration,3,FALSE())-$B$2</f>
        <v>-6730</v>
      </c>
      <c r="AH95" s="4" t="n">
        <f aca="false">VLOOKUP($A95,STRADDLE,14,FALSE())</f>
        <v>0.0520944910076597</v>
      </c>
      <c r="AI95" s="72" t="n">
        <f aca="false">A96-A95</f>
        <v>31</v>
      </c>
      <c r="AL95" s="64"/>
      <c r="AM95" s="73"/>
      <c r="AN95" s="73" t="n">
        <f aca="false">IF($A95&gt;=AO$25,IF($A95&lt;=AO$26,$AI95,0),0)</f>
        <v>0</v>
      </c>
      <c r="AO95" s="196" t="e">
        <f aca="false">AQ95/AN95</f>
        <v>#DIV/0!</v>
      </c>
      <c r="AP95" s="1" t="n">
        <f aca="false">AN95*($B95+B$13)</f>
        <v>0</v>
      </c>
      <c r="AQ95" s="47" t="n">
        <f aca="false">IF(ISNUMBER(((AP95/AN95)+B$14+$D95)*AN95),((AP95/AN95)+B$14+$D95)*AN95,0)</f>
        <v>0</v>
      </c>
      <c r="AR95" s="76" t="n">
        <f aca="false">IF(AN95=0,0,bsd(1,AS$27,AO95,$I95,$F95,$G95,$AH95,0.1))</f>
        <v>0</v>
      </c>
      <c r="AS95" s="76" t="n">
        <f aca="false">IF(AN95=0,0,bsd(2,AS$27,AO95,$I95,$F95,$G95,$AH95,0.1))</f>
        <v>0</v>
      </c>
      <c r="AT95" s="76" t="n">
        <f aca="false">IF(AN95=0,0,bsd(AS$28,AS$27,AO95,$I95,$F95,$G95,$AH95,0.1))</f>
        <v>0</v>
      </c>
      <c r="AU95" s="37" t="n">
        <f aca="false">AN95*AR95</f>
        <v>0</v>
      </c>
      <c r="AV95" s="37" t="n">
        <f aca="false">AN95*AS95</f>
        <v>0</v>
      </c>
      <c r="AW95" s="37" t="n">
        <f aca="false">AN95*AT95</f>
        <v>0</v>
      </c>
      <c r="AY95" s="73" t="n">
        <f aca="false">IF($A95&gt;=AZ$25,IF($A95&lt;=AZ$26,$AI95,0),0)</f>
        <v>0</v>
      </c>
      <c r="AZ95" s="196" t="e">
        <f aca="false">BB95/AY95</f>
        <v>#DIV/0!</v>
      </c>
      <c r="BA95" s="1" t="n">
        <f aca="false">AY95*($B95+D$13)</f>
        <v>0</v>
      </c>
      <c r="BB95" s="47" t="n">
        <f aca="false">IF(ISNUMBER(((BA95/AY95)+D$14+$K95)*AY95),((BA95/AY95)+D$14+$K95)*AY95,0)</f>
        <v>0</v>
      </c>
      <c r="BC95" s="76" t="n">
        <f aca="false">IF(AY95=0,0,bsd(1,BD$27,AZ95,$P95,$M95,$N95,$AH95,0.1))</f>
        <v>0</v>
      </c>
      <c r="BD95" s="76" t="n">
        <f aca="false">IF(AY95=0,0,bsd(2,BD$27,AZ95,$P95,$M95,$N95,$AH95,0.1))</f>
        <v>0</v>
      </c>
      <c r="BE95" s="76" t="n">
        <f aca="false">IF(AY95=0,0,bsd(BD$28,BD$27,AZ95,$P95,$M95,$N95,$AH95,0.1))</f>
        <v>0</v>
      </c>
      <c r="BF95" s="37" t="n">
        <f aca="false">AY95*BC95</f>
        <v>0</v>
      </c>
      <c r="BG95" s="37" t="n">
        <f aca="false">AY95*BD95</f>
        <v>0</v>
      </c>
      <c r="BH95" s="37" t="n">
        <f aca="false">AY95*BE95</f>
        <v>0</v>
      </c>
      <c r="BJ95" s="73" t="n">
        <f aca="false">IF($A95&gt;=BK$25,IF($A95&lt;=BK$26,$AI95,0),0)</f>
        <v>0</v>
      </c>
      <c r="BK95" s="196" t="e">
        <f aca="false">BM95/BJ95</f>
        <v>#DIV/0!</v>
      </c>
      <c r="BL95" s="1" t="n">
        <f aca="false">BJ95*($B95+F$13)</f>
        <v>0</v>
      </c>
      <c r="BM95" s="47" t="n">
        <f aca="false">IF(ISNUMBER(((BL95/BJ95)+F$14+$R95)*BJ95),((BL95/BJ95)+F$14+$R95)*BJ95,0)</f>
        <v>0</v>
      </c>
      <c r="BN95" s="76" t="n">
        <f aca="false">IF(BJ95=0,0,bsd(1,BO$27,BK95,$W95,$T95,$U95,$AH95,0.1))</f>
        <v>0</v>
      </c>
      <c r="BO95" s="76" t="n">
        <f aca="false">IF(BJ95=0,0,bsd(2,BO$27,BK95,$W95,$T95,$U95,$AH95,0.1))</f>
        <v>0</v>
      </c>
      <c r="BP95" s="76" t="n">
        <f aca="false">IF(BJ95=0,0,bsd(BO$28,BO$27,BK95,$W95,$T95,$U95,$AH95,0.1))</f>
        <v>0</v>
      </c>
      <c r="BQ95" s="37" t="n">
        <f aca="false">BJ95*BN95</f>
        <v>0</v>
      </c>
      <c r="BR95" s="37" t="n">
        <f aca="false">BJ95*BO95</f>
        <v>0</v>
      </c>
      <c r="BS95" s="37" t="n">
        <f aca="false">BJ95*BP95</f>
        <v>0</v>
      </c>
      <c r="BU95" s="73" t="n">
        <f aca="false">IF($A95&gt;=BV$25,IF($A95&lt;=BV$26,$AI95,0),0)</f>
        <v>0</v>
      </c>
      <c r="BV95" s="196" t="e">
        <f aca="false">BX95/BU95</f>
        <v>#DIV/0!</v>
      </c>
      <c r="BW95" s="1" t="n">
        <f aca="false">BU95*($B95+H$13)</f>
        <v>0</v>
      </c>
      <c r="BX95" s="47" t="n">
        <f aca="false">IF(ISNUMBER(((BW95/BU95)+H$14+$Y95)*BU95),((BW95/BU95)+H$14+$Y95)*BU95,0)</f>
        <v>0</v>
      </c>
      <c r="BY95" s="76" t="n">
        <f aca="false">IF(BU95=0,0,bsd(1,BZ$27,BV95,$AD95,$AA95,$AB95,$AH95,0.1))</f>
        <v>0</v>
      </c>
      <c r="BZ95" s="76" t="n">
        <f aca="false">IF(BU95=0,0,bsd(2,BZ$27,BV95,$AD95,$AA95,$AB95,$AH95,0.1))</f>
        <v>0</v>
      </c>
      <c r="CA95" s="76" t="n">
        <f aca="false">IF(BU95=0,0,bsd(BZ$28,BZ$27,BV95,$AD95,$AA95,$AB95,$AH95,0.1))</f>
        <v>0</v>
      </c>
      <c r="CB95" s="37" t="n">
        <f aca="false">BU95*BY95</f>
        <v>0</v>
      </c>
      <c r="CC95" s="37" t="n">
        <f aca="false">BU95*BZ95</f>
        <v>0</v>
      </c>
      <c r="CD95" s="37" t="n">
        <f aca="false">BU95*CA95</f>
        <v>0</v>
      </c>
    </row>
    <row r="96" customFormat="false" ht="12.75" hidden="false" customHeight="false" outlineLevel="0" collapsed="false">
      <c r="A96" s="62" t="n">
        <f aca="false">DATE(YEAR(A95),MONTH(A95)+1,1)</f>
        <v>39234</v>
      </c>
      <c r="B96" s="63" t="n">
        <f aca="false">VLOOKUP(A96,STRADDLE,5,FALSE())</f>
        <v>3.4425</v>
      </c>
      <c r="C96" s="4" t="n">
        <f aca="false">VLOOKUP(A96,STRADDLE,8,FALSE())</f>
        <v>0.24</v>
      </c>
      <c r="D96" s="63" t="n">
        <f aca="false">IF(D$28="nymex",0,VLOOKUP($A96,curvesettle,HLOOKUP(D$28,curvesettle,2,FALSE())))</f>
        <v>-0.0725</v>
      </c>
      <c r="E96" s="65" t="n">
        <f aca="false">IF(ISNUMBER(VLOOKUP($A96,VOLCURVES,HLOOKUP(D$28,VOLCURVES,2,FALSE()),FALSE())),VLOOKUP($A96,VOLCURVES,HLOOKUP(D$28,VOLCURVES,2,FALSE()),FALSE()),1)</f>
        <v>1</v>
      </c>
      <c r="F96" s="64" t="n">
        <f aca="false">IF(D$28="NYMEX",$AG96,$AF96)</f>
        <v>-6696</v>
      </c>
      <c r="G96" s="4" t="e">
        <f aca="false">(($C96+H96)*$E96)+B$15</f>
        <v>#DIV/0!</v>
      </c>
      <c r="H96" s="4" t="e">
        <f aca="false">IF(B$16=1,xCalcSkew(A96,I96-AO96,b)/100,0)</f>
        <v>#DIV/0!</v>
      </c>
      <c r="I96" s="66" t="n">
        <f aca="false">IF($B$19=4,$AO96,$B$18)</f>
        <v>5</v>
      </c>
      <c r="K96" s="63" t="n">
        <f aca="false">IF(K$28="nymex",0,VLOOKUP($A96,curvesettle,HLOOKUP(K$28,curvesettle,2,FALSE())))</f>
        <v>-0.0725</v>
      </c>
      <c r="L96" s="65" t="n">
        <f aca="false">IF(ISNUMBER(VLOOKUP($A96,VOLCURVES,HLOOKUP(K$28,VOLCURVES,2,FALSE()),FALSE())),VLOOKUP($A96,VOLCURVES,HLOOKUP(K$28,VOLCURVES,2,FALSE()),FALSE()),1)</f>
        <v>1</v>
      </c>
      <c r="M96" s="64" t="n">
        <f aca="false">IF(K$28="NYMEX",$AG96,$AF96)</f>
        <v>-6696</v>
      </c>
      <c r="N96" s="184" t="e">
        <f aca="false">(($C96+O96)*$L96)+D$15</f>
        <v>#DIV/0!</v>
      </c>
      <c r="O96" s="4" t="e">
        <f aca="false">IF(D$16=1,xCalcSkew($A96,P96-AZ96,b)/100,0)</f>
        <v>#DIV/0!</v>
      </c>
      <c r="P96" s="66" t="n">
        <f aca="false">IF($D$19=4,$AZ96,$D$18)</f>
        <v>3</v>
      </c>
      <c r="R96" s="63" t="n">
        <f aca="false">IF(R$28="nymex",0,VLOOKUP($A96,curvesettle,HLOOKUP(R$28,curvesettle,2,FALSE())))</f>
        <v>-0.39</v>
      </c>
      <c r="S96" s="65" t="n">
        <f aca="false">IF(ISNUMBER(VLOOKUP($A96,VOLCURVES,HLOOKUP(R$28,VOLCURVES,2,FALSE()),FALSE())),VLOOKUP($A96,VOLCURVES,HLOOKUP(R$28,VOLCURVES,2,FALSE()),FALSE()),1)</f>
        <v>1</v>
      </c>
      <c r="T96" s="64" t="n">
        <f aca="false">IF(R$28="NYMEX",$AG96,$AF96)</f>
        <v>-6696</v>
      </c>
      <c r="U96" s="184" t="e">
        <f aca="false">(($C96+V96)*$S96)+F$15</f>
        <v>#DIV/0!</v>
      </c>
      <c r="V96" s="4" t="e">
        <f aca="false">IF(F$16=1,xCalcSkew($A96,W96-BK96,b)/100,0)</f>
        <v>#DIV/0!</v>
      </c>
      <c r="W96" s="66" t="n">
        <f aca="false">IF($F$19=4,$BK96,$F$18)</f>
        <v>2.55</v>
      </c>
      <c r="X96" s="64"/>
      <c r="Y96" s="63" t="n">
        <f aca="false">IF(Y$28="nymex",0,VLOOKUP($A96,curvesettle,HLOOKUP(Y$28,curvesettle,2,FALSE())))</f>
        <v>0</v>
      </c>
      <c r="Z96" s="65" t="n">
        <f aca="false">IF(ISNUMBER(VLOOKUP($A96,VOLCURVES,HLOOKUP(Y$28,VOLCURVES,2,FALSE()),FALSE())),VLOOKUP($A96,VOLCURVES,HLOOKUP(Y$28,VOLCURVES,2,FALSE()),FALSE()),1)</f>
        <v>1</v>
      </c>
      <c r="AA96" s="64" t="n">
        <f aca="false">IF(Y$28="NYMEX",$AG96,$AF96)</f>
        <v>-6700</v>
      </c>
      <c r="AB96" s="4" t="e">
        <f aca="false">(($C96+AC96)*$Z96)+H$15</f>
        <v>#DIV/0!</v>
      </c>
      <c r="AC96" s="4" t="e">
        <f aca="false">IF(H$16=1,xCalcSkew($A96,AD96-BV96,b)/100,0)</f>
        <v>#DIV/0!</v>
      </c>
      <c r="AD96" s="66" t="n">
        <f aca="false">IF($H$19=4,$BV96,$H$18)</f>
        <v>2.9</v>
      </c>
      <c r="AF96" s="64" t="n">
        <f aca="false">VLOOKUP($A96,expiration,2,FALSE())-$B$2</f>
        <v>-6696</v>
      </c>
      <c r="AG96" s="64" t="n">
        <f aca="false">VLOOKUP($A96,expiration,3,FALSE())-$B$2</f>
        <v>-6700</v>
      </c>
      <c r="AH96" s="4" t="n">
        <f aca="false">VLOOKUP($A96,STRADDLE,14,FALSE())</f>
        <v>0.0522760046560284</v>
      </c>
      <c r="AI96" s="72" t="n">
        <f aca="false">A97-A96</f>
        <v>30</v>
      </c>
      <c r="AL96" s="64"/>
      <c r="AM96" s="73"/>
      <c r="AN96" s="73" t="n">
        <f aca="false">IF($A96&gt;=AO$25,IF($A96&lt;=AO$26,$AI96,0),0)</f>
        <v>0</v>
      </c>
      <c r="AO96" s="196" t="e">
        <f aca="false">AQ96/AN96</f>
        <v>#DIV/0!</v>
      </c>
      <c r="AP96" s="1" t="n">
        <f aca="false">AN96*($B96+B$13)</f>
        <v>0</v>
      </c>
      <c r="AQ96" s="47" t="n">
        <f aca="false">IF(ISNUMBER(((AP96/AN96)+B$14+$D96)*AN96),((AP96/AN96)+B$14+$D96)*AN96,0)</f>
        <v>0</v>
      </c>
      <c r="AR96" s="76" t="n">
        <f aca="false">IF(AN96=0,0,bsd(1,AS$27,AO96,$I96,$F96,$G96,$AH96,0.1))</f>
        <v>0</v>
      </c>
      <c r="AS96" s="76" t="n">
        <f aca="false">IF(AN96=0,0,bsd(2,AS$27,AO96,$I96,$F96,$G96,$AH96,0.1))</f>
        <v>0</v>
      </c>
      <c r="AT96" s="76" t="n">
        <f aca="false">IF(AN96=0,0,bsd(AS$28,AS$27,AO96,$I96,$F96,$G96,$AH96,0.1))</f>
        <v>0</v>
      </c>
      <c r="AU96" s="37" t="n">
        <f aca="false">AN96*AR96</f>
        <v>0</v>
      </c>
      <c r="AV96" s="37" t="n">
        <f aca="false">AN96*AS96</f>
        <v>0</v>
      </c>
      <c r="AW96" s="37" t="n">
        <f aca="false">AN96*AT96</f>
        <v>0</v>
      </c>
      <c r="AY96" s="73" t="n">
        <f aca="false">IF($A96&gt;=AZ$25,IF($A96&lt;=AZ$26,$AI96,0),0)</f>
        <v>0</v>
      </c>
      <c r="AZ96" s="196" t="e">
        <f aca="false">BB96/AY96</f>
        <v>#DIV/0!</v>
      </c>
      <c r="BA96" s="1" t="n">
        <f aca="false">AY96*($B96+D$13)</f>
        <v>0</v>
      </c>
      <c r="BB96" s="47" t="n">
        <f aca="false">IF(ISNUMBER(((BA96/AY96)+D$14+$K96)*AY96),((BA96/AY96)+D$14+$K96)*AY96,0)</f>
        <v>0</v>
      </c>
      <c r="BC96" s="76" t="n">
        <f aca="false">IF(AY96=0,0,bsd(1,BD$27,AZ96,$P96,$M96,$N96,$AH96,0.1))</f>
        <v>0</v>
      </c>
      <c r="BD96" s="76" t="n">
        <f aca="false">IF(AY96=0,0,bsd(2,BD$27,AZ96,$P96,$M96,$N96,$AH96,0.1))</f>
        <v>0</v>
      </c>
      <c r="BE96" s="76" t="n">
        <f aca="false">IF(AY96=0,0,bsd(BD$28,BD$27,AZ96,$P96,$M96,$N96,$AH96,0.1))</f>
        <v>0</v>
      </c>
      <c r="BF96" s="37" t="n">
        <f aca="false">AY96*BC96</f>
        <v>0</v>
      </c>
      <c r="BG96" s="37" t="n">
        <f aca="false">AY96*BD96</f>
        <v>0</v>
      </c>
      <c r="BH96" s="37" t="n">
        <f aca="false">AY96*BE96</f>
        <v>0</v>
      </c>
      <c r="BJ96" s="73" t="n">
        <f aca="false">IF($A96&gt;=BK$25,IF($A96&lt;=BK$26,$AI96,0),0)</f>
        <v>0</v>
      </c>
      <c r="BK96" s="196" t="e">
        <f aca="false">BM96/BJ96</f>
        <v>#DIV/0!</v>
      </c>
      <c r="BL96" s="1" t="n">
        <f aca="false">BJ96*($B96+F$13)</f>
        <v>0</v>
      </c>
      <c r="BM96" s="47" t="n">
        <f aca="false">IF(ISNUMBER(((BL96/BJ96)+F$14+$R96)*BJ96),((BL96/BJ96)+F$14+$R96)*BJ96,0)</f>
        <v>0</v>
      </c>
      <c r="BN96" s="76" t="n">
        <f aca="false">IF(BJ96=0,0,bsd(1,BO$27,BK96,$W96,$T96,$U96,$AH96,0.1))</f>
        <v>0</v>
      </c>
      <c r="BO96" s="76" t="n">
        <f aca="false">IF(BJ96=0,0,bsd(2,BO$27,BK96,$W96,$T96,$U96,$AH96,0.1))</f>
        <v>0</v>
      </c>
      <c r="BP96" s="76" t="n">
        <f aca="false">IF(BJ96=0,0,bsd(BO$28,BO$27,BK96,$W96,$T96,$U96,$AH96,0.1))</f>
        <v>0</v>
      </c>
      <c r="BQ96" s="37" t="n">
        <f aca="false">BJ96*BN96</f>
        <v>0</v>
      </c>
      <c r="BR96" s="37" t="n">
        <f aca="false">BJ96*BO96</f>
        <v>0</v>
      </c>
      <c r="BS96" s="37" t="n">
        <f aca="false">BJ96*BP96</f>
        <v>0</v>
      </c>
      <c r="BU96" s="73" t="n">
        <f aca="false">IF($A96&gt;=BV$25,IF($A96&lt;=BV$26,$AI96,0),0)</f>
        <v>0</v>
      </c>
      <c r="BV96" s="196" t="e">
        <f aca="false">BX96/BU96</f>
        <v>#DIV/0!</v>
      </c>
      <c r="BW96" s="1" t="n">
        <f aca="false">BU96*($B96+H$13)</f>
        <v>0</v>
      </c>
      <c r="BX96" s="47" t="n">
        <f aca="false">IF(ISNUMBER(((BW96/BU96)+H$14+$Y96)*BU96),((BW96/BU96)+H$14+$Y96)*BU96,0)</f>
        <v>0</v>
      </c>
      <c r="BY96" s="76" t="n">
        <f aca="false">IF(BU96=0,0,bsd(1,BZ$27,BV96,$AD96,$AA96,$AB96,$AH96,0.1))</f>
        <v>0</v>
      </c>
      <c r="BZ96" s="76" t="n">
        <f aca="false">IF(BU96=0,0,bsd(2,BZ$27,BV96,$AD96,$AA96,$AB96,$AH96,0.1))</f>
        <v>0</v>
      </c>
      <c r="CA96" s="76" t="n">
        <f aca="false">IF(BU96=0,0,bsd(BZ$28,BZ$27,BV96,$AD96,$AA96,$AB96,$AH96,0.1))</f>
        <v>0</v>
      </c>
      <c r="CB96" s="37" t="n">
        <f aca="false">BU96*BY96</f>
        <v>0</v>
      </c>
      <c r="CC96" s="37" t="n">
        <f aca="false">BU96*BZ96</f>
        <v>0</v>
      </c>
      <c r="CD96" s="37" t="n">
        <f aca="false">BU96*CA96</f>
        <v>0</v>
      </c>
    </row>
    <row r="97" customFormat="false" ht="12.75" hidden="false" customHeight="false" outlineLevel="0" collapsed="false">
      <c r="A97" s="62" t="n">
        <f aca="false">DATE(YEAR(A96),MONTH(A96)+1,1)</f>
        <v>39264</v>
      </c>
      <c r="B97" s="63" t="n">
        <f aca="false">VLOOKUP(A97,STRADDLE,5,FALSE())</f>
        <v>3.4825</v>
      </c>
      <c r="C97" s="4" t="n">
        <f aca="false">VLOOKUP(A97,STRADDLE,8,FALSE())</f>
        <v>0.24</v>
      </c>
      <c r="D97" s="63" t="n">
        <f aca="false">IF(D$28="nymex",0,VLOOKUP($A97,curvesettle,HLOOKUP(D$28,curvesettle,2,FALSE())))</f>
        <v>-0.0725</v>
      </c>
      <c r="E97" s="65" t="n">
        <f aca="false">IF(ISNUMBER(VLOOKUP($A97,VOLCURVES,HLOOKUP(D$28,VOLCURVES,2,FALSE()),FALSE())),VLOOKUP($A97,VOLCURVES,HLOOKUP(D$28,VOLCURVES,2,FALSE()),FALSE()),1)</f>
        <v>1</v>
      </c>
      <c r="F97" s="64" t="n">
        <f aca="false">IF(D$28="NYMEX",$AG97,$AF97)</f>
        <v>-6667</v>
      </c>
      <c r="G97" s="4" t="e">
        <f aca="false">(($C97+H97)*$E97)+B$15</f>
        <v>#DIV/0!</v>
      </c>
      <c r="H97" s="4" t="e">
        <f aca="false">IF(B$16=1,xCalcSkew(A97,I97-AO97,b)/100,0)</f>
        <v>#DIV/0!</v>
      </c>
      <c r="I97" s="66" t="n">
        <f aca="false">IF($B$19=4,$AO97,$B$18)</f>
        <v>5</v>
      </c>
      <c r="K97" s="63" t="n">
        <f aca="false">IF(K$28="nymex",0,VLOOKUP($A97,curvesettle,HLOOKUP(K$28,curvesettle,2,FALSE())))</f>
        <v>-0.0725</v>
      </c>
      <c r="L97" s="65" t="n">
        <f aca="false">IF(ISNUMBER(VLOOKUP($A97,VOLCURVES,HLOOKUP(K$28,VOLCURVES,2,FALSE()),FALSE())),VLOOKUP($A97,VOLCURVES,HLOOKUP(K$28,VOLCURVES,2,FALSE()),FALSE()),1)</f>
        <v>1</v>
      </c>
      <c r="M97" s="64" t="n">
        <f aca="false">IF(K$28="NYMEX",$AG97,$AF97)</f>
        <v>-6667</v>
      </c>
      <c r="N97" s="184" t="e">
        <f aca="false">(($C97+O97)*$L97)+D$15</f>
        <v>#DIV/0!</v>
      </c>
      <c r="O97" s="4" t="e">
        <f aca="false">IF(D$16=1,xCalcSkew($A97,P97-AZ97,b)/100,0)</f>
        <v>#DIV/0!</v>
      </c>
      <c r="P97" s="66" t="n">
        <f aca="false">IF($D$19=4,$AZ97,$D$18)</f>
        <v>3</v>
      </c>
      <c r="R97" s="63" t="n">
        <f aca="false">IF(R$28="nymex",0,VLOOKUP($A97,curvesettle,HLOOKUP(R$28,curvesettle,2,FALSE())))</f>
        <v>-0.39</v>
      </c>
      <c r="S97" s="65" t="n">
        <f aca="false">IF(ISNUMBER(VLOOKUP($A97,VOLCURVES,HLOOKUP(R$28,VOLCURVES,2,FALSE()),FALSE())),VLOOKUP($A97,VOLCURVES,HLOOKUP(R$28,VOLCURVES,2,FALSE()),FALSE()),1)</f>
        <v>1</v>
      </c>
      <c r="T97" s="64" t="n">
        <f aca="false">IF(R$28="NYMEX",$AG97,$AF97)</f>
        <v>-6667</v>
      </c>
      <c r="U97" s="184" t="e">
        <f aca="false">(($C97+V97)*$S97)+F$15</f>
        <v>#DIV/0!</v>
      </c>
      <c r="V97" s="4" t="e">
        <f aca="false">IF(F$16=1,xCalcSkew($A97,W97-BK97,b)/100,0)</f>
        <v>#DIV/0!</v>
      </c>
      <c r="W97" s="66" t="n">
        <f aca="false">IF($F$19=4,$BK97,$F$18)</f>
        <v>2.55</v>
      </c>
      <c r="X97" s="64"/>
      <c r="Y97" s="63" t="n">
        <f aca="false">IF(Y$28="nymex",0,VLOOKUP($A97,curvesettle,HLOOKUP(Y$28,curvesettle,2,FALSE())))</f>
        <v>0</v>
      </c>
      <c r="Z97" s="65" t="n">
        <f aca="false">IF(ISNUMBER(VLOOKUP($A97,VOLCURVES,HLOOKUP(Y$28,VOLCURVES,2,FALSE()),FALSE())),VLOOKUP($A97,VOLCURVES,HLOOKUP(Y$28,VOLCURVES,2,FALSE()),FALSE()),1)</f>
        <v>1</v>
      </c>
      <c r="AA97" s="64" t="n">
        <f aca="false">IF(Y$28="NYMEX",$AG97,$AF97)</f>
        <v>-6668</v>
      </c>
      <c r="AB97" s="4" t="e">
        <f aca="false">(($C97+AC97)*$Z97)+H$15</f>
        <v>#DIV/0!</v>
      </c>
      <c r="AC97" s="4" t="e">
        <f aca="false">IF(H$16=1,xCalcSkew($A97,AD97-BV97,b)/100,0)</f>
        <v>#DIV/0!</v>
      </c>
      <c r="AD97" s="66" t="n">
        <f aca="false">IF($H$19=4,$BV97,$H$18)</f>
        <v>2.9</v>
      </c>
      <c r="AF97" s="64" t="n">
        <f aca="false">VLOOKUP($A97,expiration,2,FALSE())-$B$2</f>
        <v>-6667</v>
      </c>
      <c r="AG97" s="64" t="n">
        <f aca="false">VLOOKUP($A97,expiration,3,FALSE())-$B$2</f>
        <v>-6668</v>
      </c>
      <c r="AH97" s="4" t="n">
        <f aca="false">VLOOKUP($A97,STRADDLE,14,FALSE())</f>
        <v>0.0524516630358791</v>
      </c>
      <c r="AI97" s="72" t="n">
        <f aca="false">A98-A97</f>
        <v>31</v>
      </c>
      <c r="AL97" s="64"/>
      <c r="AM97" s="73"/>
      <c r="AN97" s="73" t="n">
        <f aca="false">IF($A97&gt;=AO$25,IF($A97&lt;=AO$26,$AI97,0),0)</f>
        <v>0</v>
      </c>
      <c r="AO97" s="196" t="e">
        <f aca="false">AQ97/AN97</f>
        <v>#DIV/0!</v>
      </c>
      <c r="AP97" s="1" t="n">
        <f aca="false">AN97*($B97+B$13)</f>
        <v>0</v>
      </c>
      <c r="AQ97" s="47" t="n">
        <f aca="false">IF(ISNUMBER(((AP97/AN97)+B$14+$D97)*AN97),((AP97/AN97)+B$14+$D97)*AN97,0)</f>
        <v>0</v>
      </c>
      <c r="AR97" s="76" t="n">
        <f aca="false">IF(AN97=0,0,bsd(1,AS$27,AO97,$I97,$F97,$G97,$AH97,0.1))</f>
        <v>0</v>
      </c>
      <c r="AS97" s="76" t="n">
        <f aca="false">IF(AN97=0,0,bsd(2,AS$27,AO97,$I97,$F97,$G97,$AH97,0.1))</f>
        <v>0</v>
      </c>
      <c r="AT97" s="76" t="n">
        <f aca="false">IF(AN97=0,0,bsd(AS$28,AS$27,AO97,$I97,$F97,$G97,$AH97,0.1))</f>
        <v>0</v>
      </c>
      <c r="AU97" s="37" t="n">
        <f aca="false">AN97*AR97</f>
        <v>0</v>
      </c>
      <c r="AV97" s="37" t="n">
        <f aca="false">AN97*AS97</f>
        <v>0</v>
      </c>
      <c r="AW97" s="37" t="n">
        <f aca="false">AN97*AT97</f>
        <v>0</v>
      </c>
      <c r="AY97" s="73" t="n">
        <f aca="false">IF($A97&gt;=AZ$25,IF($A97&lt;=AZ$26,$AI97,0),0)</f>
        <v>0</v>
      </c>
      <c r="AZ97" s="196" t="e">
        <f aca="false">BB97/AY97</f>
        <v>#DIV/0!</v>
      </c>
      <c r="BA97" s="1" t="n">
        <f aca="false">AY97*($B97+D$13)</f>
        <v>0</v>
      </c>
      <c r="BB97" s="47" t="n">
        <f aca="false">IF(ISNUMBER(((BA97/AY97)+D$14+$K97)*AY97),((BA97/AY97)+D$14+$K97)*AY97,0)</f>
        <v>0</v>
      </c>
      <c r="BC97" s="76" t="n">
        <f aca="false">IF(AY97=0,0,bsd(1,BD$27,AZ97,$P97,$M97,$N97,$AH97,0.1))</f>
        <v>0</v>
      </c>
      <c r="BD97" s="76" t="n">
        <f aca="false">IF(AY97=0,0,bsd(2,BD$27,AZ97,$P97,$M97,$N97,$AH97,0.1))</f>
        <v>0</v>
      </c>
      <c r="BE97" s="76" t="n">
        <f aca="false">IF(AY97=0,0,bsd(BD$28,BD$27,AZ97,$P97,$M97,$N97,$AH97,0.1))</f>
        <v>0</v>
      </c>
      <c r="BF97" s="37" t="n">
        <f aca="false">AY97*BC97</f>
        <v>0</v>
      </c>
      <c r="BG97" s="37" t="n">
        <f aca="false">AY97*BD97</f>
        <v>0</v>
      </c>
      <c r="BH97" s="37" t="n">
        <f aca="false">AY97*BE97</f>
        <v>0</v>
      </c>
      <c r="BJ97" s="73" t="n">
        <f aca="false">IF($A97&gt;=BK$25,IF($A97&lt;=BK$26,$AI97,0),0)</f>
        <v>0</v>
      </c>
      <c r="BK97" s="196" t="e">
        <f aca="false">BM97/BJ97</f>
        <v>#DIV/0!</v>
      </c>
      <c r="BL97" s="1" t="n">
        <f aca="false">BJ97*($B97+F$13)</f>
        <v>0</v>
      </c>
      <c r="BM97" s="47" t="n">
        <f aca="false">IF(ISNUMBER(((BL97/BJ97)+F$14+$R97)*BJ97),((BL97/BJ97)+F$14+$R97)*BJ97,0)</f>
        <v>0</v>
      </c>
      <c r="BN97" s="76" t="n">
        <f aca="false">IF(BJ97=0,0,bsd(1,BO$27,BK97,$W97,$T97,$U97,$AH97,0.1))</f>
        <v>0</v>
      </c>
      <c r="BO97" s="76" t="n">
        <f aca="false">IF(BJ97=0,0,bsd(2,BO$27,BK97,$W97,$T97,$U97,$AH97,0.1))</f>
        <v>0</v>
      </c>
      <c r="BP97" s="76" t="n">
        <f aca="false">IF(BJ97=0,0,bsd(BO$28,BO$27,BK97,$W97,$T97,$U97,$AH97,0.1))</f>
        <v>0</v>
      </c>
      <c r="BQ97" s="37" t="n">
        <f aca="false">BJ97*BN97</f>
        <v>0</v>
      </c>
      <c r="BR97" s="37" t="n">
        <f aca="false">BJ97*BO97</f>
        <v>0</v>
      </c>
      <c r="BS97" s="37" t="n">
        <f aca="false">BJ97*BP97</f>
        <v>0</v>
      </c>
      <c r="BU97" s="73" t="n">
        <f aca="false">IF($A97&gt;=BV$25,IF($A97&lt;=BV$26,$AI97,0),0)</f>
        <v>0</v>
      </c>
      <c r="BV97" s="196" t="e">
        <f aca="false">BX97/BU97</f>
        <v>#DIV/0!</v>
      </c>
      <c r="BW97" s="1" t="n">
        <f aca="false">BU97*($B97+H$13)</f>
        <v>0</v>
      </c>
      <c r="BX97" s="47" t="n">
        <f aca="false">IF(ISNUMBER(((BW97/BU97)+H$14+$Y97)*BU97),((BW97/BU97)+H$14+$Y97)*BU97,0)</f>
        <v>0</v>
      </c>
      <c r="BY97" s="76" t="n">
        <f aca="false">IF(BU97=0,0,bsd(1,BZ$27,BV97,$AD97,$AA97,$AB97,$AH97,0.1))</f>
        <v>0</v>
      </c>
      <c r="BZ97" s="76" t="n">
        <f aca="false">IF(BU97=0,0,bsd(2,BZ$27,BV97,$AD97,$AA97,$AB97,$AH97,0.1))</f>
        <v>0</v>
      </c>
      <c r="CA97" s="76" t="n">
        <f aca="false">IF(BU97=0,0,bsd(BZ$28,BZ$27,BV97,$AD97,$AA97,$AB97,$AH97,0.1))</f>
        <v>0</v>
      </c>
      <c r="CB97" s="37" t="n">
        <f aca="false">BU97*BY97</f>
        <v>0</v>
      </c>
      <c r="CC97" s="37" t="n">
        <f aca="false">BU97*BZ97</f>
        <v>0</v>
      </c>
      <c r="CD97" s="37" t="n">
        <f aca="false">BU97*CA97</f>
        <v>0</v>
      </c>
    </row>
    <row r="98" customFormat="false" ht="12.75" hidden="false" customHeight="false" outlineLevel="0" collapsed="false">
      <c r="A98" s="62" t="n">
        <f aca="false">DATE(YEAR(A97),MONTH(A97)+1,1)</f>
        <v>39295</v>
      </c>
      <c r="B98" s="63" t="n">
        <f aca="false">VLOOKUP(A98,STRADDLE,5,FALSE())</f>
        <v>3.5225</v>
      </c>
      <c r="C98" s="4" t="n">
        <f aca="false">VLOOKUP(A98,STRADDLE,8,FALSE())</f>
        <v>0.24</v>
      </c>
      <c r="D98" s="63" t="n">
        <f aca="false">IF(D$28="nymex",0,VLOOKUP($A98,curvesettle,HLOOKUP(D$28,curvesettle,2,FALSE())))</f>
        <v>-0.0725</v>
      </c>
      <c r="E98" s="65" t="n">
        <f aca="false">IF(ISNUMBER(VLOOKUP($A98,VOLCURVES,HLOOKUP(D$28,VOLCURVES,2,FALSE()),FALSE())),VLOOKUP($A98,VOLCURVES,HLOOKUP(D$28,VOLCURVES,2,FALSE()),FALSE()),1)</f>
        <v>1</v>
      </c>
      <c r="F98" s="64" t="n">
        <f aca="false">IF(D$28="NYMEX",$AG98,$AF98)</f>
        <v>-6637</v>
      </c>
      <c r="G98" s="4" t="e">
        <f aca="false">(($C98+H98)*$E98)+B$15</f>
        <v>#DIV/0!</v>
      </c>
      <c r="H98" s="4" t="e">
        <f aca="false">IF(B$16=1,xCalcSkew(A98,I98-AO98,b)/100,0)</f>
        <v>#DIV/0!</v>
      </c>
      <c r="I98" s="66" t="n">
        <f aca="false">IF($B$19=4,$AO98,$B$18)</f>
        <v>5</v>
      </c>
      <c r="K98" s="63" t="n">
        <f aca="false">IF(K$28="nymex",0,VLOOKUP($A98,curvesettle,HLOOKUP(K$28,curvesettle,2,FALSE())))</f>
        <v>-0.0725</v>
      </c>
      <c r="L98" s="65" t="n">
        <f aca="false">IF(ISNUMBER(VLOOKUP($A98,VOLCURVES,HLOOKUP(K$28,VOLCURVES,2,FALSE()),FALSE())),VLOOKUP($A98,VOLCURVES,HLOOKUP(K$28,VOLCURVES,2,FALSE()),FALSE()),1)</f>
        <v>1</v>
      </c>
      <c r="M98" s="64" t="n">
        <f aca="false">IF(K$28="NYMEX",$AG98,$AF98)</f>
        <v>-6637</v>
      </c>
      <c r="N98" s="184" t="e">
        <f aca="false">(($C98+O98)*$L98)+D$15</f>
        <v>#DIV/0!</v>
      </c>
      <c r="O98" s="4" t="e">
        <f aca="false">IF(D$16=1,xCalcSkew($A98,P98-AZ98,b)/100,0)</f>
        <v>#DIV/0!</v>
      </c>
      <c r="P98" s="66" t="n">
        <f aca="false">IF($D$19=4,$AZ98,$D$18)</f>
        <v>3</v>
      </c>
      <c r="R98" s="63" t="n">
        <f aca="false">IF(R$28="nymex",0,VLOOKUP($A98,curvesettle,HLOOKUP(R$28,curvesettle,2,FALSE())))</f>
        <v>-0.39</v>
      </c>
      <c r="S98" s="65" t="n">
        <f aca="false">IF(ISNUMBER(VLOOKUP($A98,VOLCURVES,HLOOKUP(R$28,VOLCURVES,2,FALSE()),FALSE())),VLOOKUP($A98,VOLCURVES,HLOOKUP(R$28,VOLCURVES,2,FALSE()),FALSE()),1)</f>
        <v>1</v>
      </c>
      <c r="T98" s="64" t="n">
        <f aca="false">IF(R$28="NYMEX",$AG98,$AF98)</f>
        <v>-6637</v>
      </c>
      <c r="U98" s="184" t="e">
        <f aca="false">(($C98+V98)*$S98)+F$15</f>
        <v>#DIV/0!</v>
      </c>
      <c r="V98" s="4" t="e">
        <f aca="false">IF(F$16=1,xCalcSkew($A98,W98-BK98,b)/100,0)</f>
        <v>#DIV/0!</v>
      </c>
      <c r="W98" s="66" t="n">
        <f aca="false">IF($F$19=4,$BK98,$F$18)</f>
        <v>2.55</v>
      </c>
      <c r="X98" s="64"/>
      <c r="Y98" s="63" t="n">
        <f aca="false">IF(Y$28="nymex",0,VLOOKUP($A98,curvesettle,HLOOKUP(Y$28,curvesettle,2,FALSE())))</f>
        <v>0</v>
      </c>
      <c r="Z98" s="65" t="n">
        <f aca="false">IF(ISNUMBER(VLOOKUP($A98,VOLCURVES,HLOOKUP(Y$28,VOLCURVES,2,FALSE()),FALSE())),VLOOKUP($A98,VOLCURVES,HLOOKUP(Y$28,VOLCURVES,2,FALSE()),FALSE()),1)</f>
        <v>1</v>
      </c>
      <c r="AA98" s="64" t="n">
        <f aca="false">IF(Y$28="NYMEX",$AG98,$AF98)</f>
        <v>-6638</v>
      </c>
      <c r="AB98" s="4" t="e">
        <f aca="false">(($C98+AC98)*$Z98)+H$15</f>
        <v>#DIV/0!</v>
      </c>
      <c r="AC98" s="4" t="e">
        <f aca="false">IF(H$16=1,xCalcSkew($A98,AD98-BV98,b)/100,0)</f>
        <v>#DIV/0!</v>
      </c>
      <c r="AD98" s="66" t="n">
        <f aca="false">IF($H$19=4,$BV98,$H$18)</f>
        <v>2.9</v>
      </c>
      <c r="AF98" s="64" t="n">
        <f aca="false">VLOOKUP($A98,expiration,2,FALSE())-$B$2</f>
        <v>-6637</v>
      </c>
      <c r="AG98" s="64" t="n">
        <f aca="false">VLOOKUP($A98,expiration,3,FALSE())-$B$2</f>
        <v>-6638</v>
      </c>
      <c r="AH98" s="4" t="n">
        <f aca="false">VLOOKUP($A98,STRADDLE,14,FALSE())</f>
        <v>0.0526331767058688</v>
      </c>
      <c r="AI98" s="72" t="n">
        <f aca="false">A99-A98</f>
        <v>31</v>
      </c>
      <c r="AL98" s="64"/>
      <c r="AM98" s="73"/>
      <c r="AN98" s="73" t="n">
        <f aca="false">IF($A98&gt;=AO$25,IF($A98&lt;=AO$26,$AI98,0),0)</f>
        <v>0</v>
      </c>
      <c r="AO98" s="196" t="e">
        <f aca="false">AQ98/AN98</f>
        <v>#DIV/0!</v>
      </c>
      <c r="AP98" s="1" t="n">
        <f aca="false">AN98*($B98+B$13)</f>
        <v>0</v>
      </c>
      <c r="AQ98" s="47" t="n">
        <f aca="false">IF(ISNUMBER(((AP98/AN98)+B$14+$D98)*AN98),((AP98/AN98)+B$14+$D98)*AN98,0)</f>
        <v>0</v>
      </c>
      <c r="AR98" s="76" t="n">
        <f aca="false">IF(AN98=0,0,bsd(1,AS$27,AO98,$I98,$F98,$G98,$AH98,0.1))</f>
        <v>0</v>
      </c>
      <c r="AS98" s="76" t="n">
        <f aca="false">IF(AN98=0,0,bsd(2,AS$27,AO98,$I98,$F98,$G98,$AH98,0.1))</f>
        <v>0</v>
      </c>
      <c r="AT98" s="76" t="n">
        <f aca="false">IF(AN98=0,0,bsd(AS$28,AS$27,AO98,$I98,$F98,$G98,$AH98,0.1))</f>
        <v>0</v>
      </c>
      <c r="AU98" s="37" t="n">
        <f aca="false">AN98*AR98</f>
        <v>0</v>
      </c>
      <c r="AV98" s="37" t="n">
        <f aca="false">AN98*AS98</f>
        <v>0</v>
      </c>
      <c r="AW98" s="37" t="n">
        <f aca="false">AN98*AT98</f>
        <v>0</v>
      </c>
      <c r="AY98" s="73" t="n">
        <f aca="false">IF($A98&gt;=AZ$25,IF($A98&lt;=AZ$26,$AI98,0),0)</f>
        <v>0</v>
      </c>
      <c r="AZ98" s="196" t="e">
        <f aca="false">BB98/AY98</f>
        <v>#DIV/0!</v>
      </c>
      <c r="BA98" s="1" t="n">
        <f aca="false">AY98*($B98+D$13)</f>
        <v>0</v>
      </c>
      <c r="BB98" s="47" t="n">
        <f aca="false">IF(ISNUMBER(((BA98/AY98)+D$14+$K98)*AY98),((BA98/AY98)+D$14+$K98)*AY98,0)</f>
        <v>0</v>
      </c>
      <c r="BC98" s="76" t="n">
        <f aca="false">IF(AY98=0,0,bsd(1,BD$27,AZ98,$P98,$M98,$N98,$AH98,0.1))</f>
        <v>0</v>
      </c>
      <c r="BD98" s="76" t="n">
        <f aca="false">IF(AY98=0,0,bsd(2,BD$27,AZ98,$P98,$M98,$N98,$AH98,0.1))</f>
        <v>0</v>
      </c>
      <c r="BE98" s="76" t="n">
        <f aca="false">IF(AY98=0,0,bsd(BD$28,BD$27,AZ98,$P98,$M98,$N98,$AH98,0.1))</f>
        <v>0</v>
      </c>
      <c r="BF98" s="37" t="n">
        <f aca="false">AY98*BC98</f>
        <v>0</v>
      </c>
      <c r="BG98" s="37" t="n">
        <f aca="false">AY98*BD98</f>
        <v>0</v>
      </c>
      <c r="BH98" s="37" t="n">
        <f aca="false">AY98*BE98</f>
        <v>0</v>
      </c>
      <c r="BJ98" s="73" t="n">
        <f aca="false">IF($A98&gt;=BK$25,IF($A98&lt;=BK$26,$AI98,0),0)</f>
        <v>0</v>
      </c>
      <c r="BK98" s="196" t="e">
        <f aca="false">BM98/BJ98</f>
        <v>#DIV/0!</v>
      </c>
      <c r="BL98" s="1" t="n">
        <f aca="false">BJ98*($B98+F$13)</f>
        <v>0</v>
      </c>
      <c r="BM98" s="47" t="n">
        <f aca="false">IF(ISNUMBER(((BL98/BJ98)+F$14+$R98)*BJ98),((BL98/BJ98)+F$14+$R98)*BJ98,0)</f>
        <v>0</v>
      </c>
      <c r="BN98" s="76" t="n">
        <f aca="false">IF(BJ98=0,0,bsd(1,BO$27,BK98,$W98,$T98,$U98,$AH98,0.1))</f>
        <v>0</v>
      </c>
      <c r="BO98" s="76" t="n">
        <f aca="false">IF(BJ98=0,0,bsd(2,BO$27,BK98,$W98,$T98,$U98,$AH98,0.1))</f>
        <v>0</v>
      </c>
      <c r="BP98" s="76" t="n">
        <f aca="false">IF(BJ98=0,0,bsd(BO$28,BO$27,BK98,$W98,$T98,$U98,$AH98,0.1))</f>
        <v>0</v>
      </c>
      <c r="BQ98" s="37" t="n">
        <f aca="false">BJ98*BN98</f>
        <v>0</v>
      </c>
      <c r="BR98" s="37" t="n">
        <f aca="false">BJ98*BO98</f>
        <v>0</v>
      </c>
      <c r="BS98" s="37" t="n">
        <f aca="false">BJ98*BP98</f>
        <v>0</v>
      </c>
      <c r="BU98" s="73" t="n">
        <f aca="false">IF($A98&gt;=BV$25,IF($A98&lt;=BV$26,$AI98,0),0)</f>
        <v>0</v>
      </c>
      <c r="BV98" s="196" t="e">
        <f aca="false">BX98/BU98</f>
        <v>#DIV/0!</v>
      </c>
      <c r="BW98" s="1" t="n">
        <f aca="false">BU98*($B98+H$13)</f>
        <v>0</v>
      </c>
      <c r="BX98" s="47" t="n">
        <f aca="false">IF(ISNUMBER(((BW98/BU98)+H$14+$Y98)*BU98),((BW98/BU98)+H$14+$Y98)*BU98,0)</f>
        <v>0</v>
      </c>
      <c r="BY98" s="76" t="n">
        <f aca="false">IF(BU98=0,0,bsd(1,BZ$27,BV98,$AD98,$AA98,$AB98,$AH98,0.1))</f>
        <v>0</v>
      </c>
      <c r="BZ98" s="76" t="n">
        <f aca="false">IF(BU98=0,0,bsd(2,BZ$27,BV98,$AD98,$AA98,$AB98,$AH98,0.1))</f>
        <v>0</v>
      </c>
      <c r="CA98" s="76" t="n">
        <f aca="false">IF(BU98=0,0,bsd(BZ$28,BZ$27,BV98,$AD98,$AA98,$AB98,$AH98,0.1))</f>
        <v>0</v>
      </c>
      <c r="CB98" s="37" t="n">
        <f aca="false">BU98*BY98</f>
        <v>0</v>
      </c>
      <c r="CC98" s="37" t="n">
        <f aca="false">BU98*BZ98</f>
        <v>0</v>
      </c>
      <c r="CD98" s="37" t="n">
        <f aca="false">BU98*CA98</f>
        <v>0</v>
      </c>
    </row>
    <row r="99" customFormat="false" ht="12.75" hidden="false" customHeight="false" outlineLevel="0" collapsed="false">
      <c r="A99" s="62" t="n">
        <f aca="false">DATE(YEAR(A98),MONTH(A98)+1,1)</f>
        <v>39326</v>
      </c>
      <c r="B99" s="63" t="n">
        <f aca="false">VLOOKUP(A99,STRADDLE,5,FALSE())</f>
        <v>3.5175</v>
      </c>
      <c r="C99" s="4" t="n">
        <f aca="false">VLOOKUP(A99,STRADDLE,8,FALSE())</f>
        <v>0.24</v>
      </c>
      <c r="D99" s="63" t="n">
        <f aca="false">IF(D$28="nymex",0,VLOOKUP($A99,curvesettle,HLOOKUP(D$28,curvesettle,2,FALSE())))</f>
        <v>-0.0725</v>
      </c>
      <c r="E99" s="65" t="n">
        <f aca="false">IF(ISNUMBER(VLOOKUP($A99,VOLCURVES,HLOOKUP(D$28,VOLCURVES,2,FALSE()),FALSE())),VLOOKUP($A99,VOLCURVES,HLOOKUP(D$28,VOLCURVES,2,FALSE()),FALSE()),1)</f>
        <v>1</v>
      </c>
      <c r="F99" s="64" t="n">
        <f aca="false">IF(D$28="NYMEX",$AG99,$AF99)</f>
        <v>-6604</v>
      </c>
      <c r="G99" s="4" t="e">
        <f aca="false">(($C99+H99)*$E99)+B$15</f>
        <v>#DIV/0!</v>
      </c>
      <c r="H99" s="4" t="e">
        <f aca="false">IF(B$16=1,xCalcSkew(A99,I99-AO99,b)/100,0)</f>
        <v>#DIV/0!</v>
      </c>
      <c r="I99" s="66" t="n">
        <f aca="false">IF($B$19=4,$AO99,$B$18)</f>
        <v>5</v>
      </c>
      <c r="K99" s="63" t="n">
        <f aca="false">IF(K$28="nymex",0,VLOOKUP($A99,curvesettle,HLOOKUP(K$28,curvesettle,2,FALSE())))</f>
        <v>-0.0725</v>
      </c>
      <c r="L99" s="65" t="n">
        <f aca="false">IF(ISNUMBER(VLOOKUP($A99,VOLCURVES,HLOOKUP(K$28,VOLCURVES,2,FALSE()),FALSE())),VLOOKUP($A99,VOLCURVES,HLOOKUP(K$28,VOLCURVES,2,FALSE()),FALSE()),1)</f>
        <v>1</v>
      </c>
      <c r="M99" s="64" t="n">
        <f aca="false">IF(K$28="NYMEX",$AG99,$AF99)</f>
        <v>-6604</v>
      </c>
      <c r="N99" s="184" t="e">
        <f aca="false">(($C99+O99)*$L99)+D$15</f>
        <v>#DIV/0!</v>
      </c>
      <c r="O99" s="4" t="e">
        <f aca="false">IF(D$16=1,xCalcSkew($A99,P99-AZ99,b)/100,0)</f>
        <v>#DIV/0!</v>
      </c>
      <c r="P99" s="66" t="n">
        <f aca="false">IF($D$19=4,$AZ99,$D$18)</f>
        <v>3</v>
      </c>
      <c r="R99" s="63" t="n">
        <f aca="false">IF(R$28="nymex",0,VLOOKUP($A99,curvesettle,HLOOKUP(R$28,curvesettle,2,FALSE())))</f>
        <v>-0.39</v>
      </c>
      <c r="S99" s="65" t="n">
        <f aca="false">IF(ISNUMBER(VLOOKUP($A99,VOLCURVES,HLOOKUP(R$28,VOLCURVES,2,FALSE()),FALSE())),VLOOKUP($A99,VOLCURVES,HLOOKUP(R$28,VOLCURVES,2,FALSE()),FALSE()),1)</f>
        <v>1</v>
      </c>
      <c r="T99" s="64" t="n">
        <f aca="false">IF(R$28="NYMEX",$AG99,$AF99)</f>
        <v>-6604</v>
      </c>
      <c r="U99" s="184" t="e">
        <f aca="false">(($C99+V99)*$S99)+F$15</f>
        <v>#DIV/0!</v>
      </c>
      <c r="V99" s="4" t="e">
        <f aca="false">IF(F$16=1,xCalcSkew($A99,W99-BK99,b)/100,0)</f>
        <v>#DIV/0!</v>
      </c>
      <c r="W99" s="66" t="n">
        <f aca="false">IF($F$19=4,$BK99,$F$18)</f>
        <v>2.55</v>
      </c>
      <c r="X99" s="64"/>
      <c r="Y99" s="63" t="n">
        <f aca="false">IF(Y$28="nymex",0,VLOOKUP($A99,curvesettle,HLOOKUP(Y$28,curvesettle,2,FALSE())))</f>
        <v>0</v>
      </c>
      <c r="Z99" s="65" t="n">
        <f aca="false">IF(ISNUMBER(VLOOKUP($A99,VOLCURVES,HLOOKUP(Y$28,VOLCURVES,2,FALSE()),FALSE())),VLOOKUP($A99,VOLCURVES,HLOOKUP(Y$28,VOLCURVES,2,FALSE()),FALSE()),1)</f>
        <v>1</v>
      </c>
      <c r="AA99" s="64" t="n">
        <f aca="false">IF(Y$28="NYMEX",$AG99,$AF99)</f>
        <v>-6605</v>
      </c>
      <c r="AB99" s="4" t="e">
        <f aca="false">(($C99+AC99)*$Z99)+H$15</f>
        <v>#DIV/0!</v>
      </c>
      <c r="AC99" s="4" t="e">
        <f aca="false">IF(H$16=1,xCalcSkew($A99,AD99-BV99,b)/100,0)</f>
        <v>#DIV/0!</v>
      </c>
      <c r="AD99" s="66" t="n">
        <f aca="false">IF($H$19=4,$BV99,$H$18)</f>
        <v>2.9</v>
      </c>
      <c r="AF99" s="64" t="n">
        <f aca="false">VLOOKUP($A99,expiration,2,FALSE())-$B$2</f>
        <v>-6604</v>
      </c>
      <c r="AG99" s="64" t="n">
        <f aca="false">VLOOKUP($A99,expiration,3,FALSE())-$B$2</f>
        <v>-6605</v>
      </c>
      <c r="AH99" s="4" t="n">
        <f aca="false">VLOOKUP($A99,STRADDLE,14,FALSE())</f>
        <v>0.0528146903868447</v>
      </c>
      <c r="AI99" s="72" t="n">
        <f aca="false">A100-A99</f>
        <v>30</v>
      </c>
      <c r="AL99" s="64"/>
      <c r="AM99" s="73"/>
      <c r="AN99" s="73" t="n">
        <f aca="false">IF($A99&gt;=AO$25,IF($A99&lt;=AO$26,$AI99,0),0)</f>
        <v>0</v>
      </c>
      <c r="AO99" s="196" t="e">
        <f aca="false">AQ99/AN99</f>
        <v>#DIV/0!</v>
      </c>
      <c r="AP99" s="1" t="n">
        <f aca="false">AN99*($B99+B$13)</f>
        <v>0</v>
      </c>
      <c r="AQ99" s="47" t="n">
        <f aca="false">IF(ISNUMBER(((AP99/AN99)+B$14+$D99)*AN99),((AP99/AN99)+B$14+$D99)*AN99,0)</f>
        <v>0</v>
      </c>
      <c r="AR99" s="76" t="n">
        <f aca="false">IF(AN99=0,0,bsd(1,AS$27,AO99,$I99,$F99,$G99,$AH99,0.1))</f>
        <v>0</v>
      </c>
      <c r="AS99" s="76" t="n">
        <f aca="false">IF(AN99=0,0,bsd(2,AS$27,AO99,$I99,$F99,$G99,$AH99,0.1))</f>
        <v>0</v>
      </c>
      <c r="AT99" s="76" t="n">
        <f aca="false">IF(AN99=0,0,bsd(AS$28,AS$27,AO99,$I99,$F99,$G99,$AH99,0.1))</f>
        <v>0</v>
      </c>
      <c r="AU99" s="37" t="n">
        <f aca="false">AN99*AR99</f>
        <v>0</v>
      </c>
      <c r="AV99" s="37" t="n">
        <f aca="false">AN99*AS99</f>
        <v>0</v>
      </c>
      <c r="AW99" s="37" t="n">
        <f aca="false">AN99*AT99</f>
        <v>0</v>
      </c>
      <c r="AY99" s="73" t="n">
        <f aca="false">IF($A99&gt;=AZ$25,IF($A99&lt;=AZ$26,$AI99,0),0)</f>
        <v>0</v>
      </c>
      <c r="AZ99" s="196" t="e">
        <f aca="false">BB99/AY99</f>
        <v>#DIV/0!</v>
      </c>
      <c r="BA99" s="1" t="n">
        <f aca="false">AY99*($B99+D$13)</f>
        <v>0</v>
      </c>
      <c r="BB99" s="47" t="n">
        <f aca="false">IF(ISNUMBER(((BA99/AY99)+D$14+$K99)*AY99),((BA99/AY99)+D$14+$K99)*AY99,0)</f>
        <v>0</v>
      </c>
      <c r="BC99" s="76" t="n">
        <f aca="false">IF(AY99=0,0,bsd(1,BD$27,AZ99,$P99,$M99,$N99,$AH99,0.1))</f>
        <v>0</v>
      </c>
      <c r="BD99" s="76" t="n">
        <f aca="false">IF(AY99=0,0,bsd(2,BD$27,AZ99,$P99,$M99,$N99,$AH99,0.1))</f>
        <v>0</v>
      </c>
      <c r="BE99" s="76" t="n">
        <f aca="false">IF(AY99=0,0,bsd(BD$28,BD$27,AZ99,$P99,$M99,$N99,$AH99,0.1))</f>
        <v>0</v>
      </c>
      <c r="BF99" s="37" t="n">
        <f aca="false">AY99*BC99</f>
        <v>0</v>
      </c>
      <c r="BG99" s="37" t="n">
        <f aca="false">AY99*BD99</f>
        <v>0</v>
      </c>
      <c r="BH99" s="37" t="n">
        <f aca="false">AY99*BE99</f>
        <v>0</v>
      </c>
      <c r="BJ99" s="73" t="n">
        <f aca="false">IF($A99&gt;=BK$25,IF($A99&lt;=BK$26,$AI99,0),0)</f>
        <v>0</v>
      </c>
      <c r="BK99" s="196" t="e">
        <f aca="false">BM99/BJ99</f>
        <v>#DIV/0!</v>
      </c>
      <c r="BL99" s="1" t="n">
        <f aca="false">BJ99*($B99+F$13)</f>
        <v>0</v>
      </c>
      <c r="BM99" s="47" t="n">
        <f aca="false">IF(ISNUMBER(((BL99/BJ99)+F$14+$R99)*BJ99),((BL99/BJ99)+F$14+$R99)*BJ99,0)</f>
        <v>0</v>
      </c>
      <c r="BN99" s="76" t="n">
        <f aca="false">IF(BJ99=0,0,bsd(1,BO$27,BK99,$W99,$T99,$U99,$AH99,0.1))</f>
        <v>0</v>
      </c>
      <c r="BO99" s="76" t="n">
        <f aca="false">IF(BJ99=0,0,bsd(2,BO$27,BK99,$W99,$T99,$U99,$AH99,0.1))</f>
        <v>0</v>
      </c>
      <c r="BP99" s="76" t="n">
        <f aca="false">IF(BJ99=0,0,bsd(BO$28,BO$27,BK99,$W99,$T99,$U99,$AH99,0.1))</f>
        <v>0</v>
      </c>
      <c r="BQ99" s="37" t="n">
        <f aca="false">BJ99*BN99</f>
        <v>0</v>
      </c>
      <c r="BR99" s="37" t="n">
        <f aca="false">BJ99*BO99</f>
        <v>0</v>
      </c>
      <c r="BS99" s="37" t="n">
        <f aca="false">BJ99*BP99</f>
        <v>0</v>
      </c>
      <c r="BU99" s="73" t="n">
        <f aca="false">IF($A99&gt;=BV$25,IF($A99&lt;=BV$26,$AI99,0),0)</f>
        <v>0</v>
      </c>
      <c r="BV99" s="196" t="e">
        <f aca="false">BX99/BU99</f>
        <v>#DIV/0!</v>
      </c>
      <c r="BW99" s="1" t="n">
        <f aca="false">BU99*($B99+H$13)</f>
        <v>0</v>
      </c>
      <c r="BX99" s="47" t="n">
        <f aca="false">IF(ISNUMBER(((BW99/BU99)+H$14+$Y99)*BU99),((BW99/BU99)+H$14+$Y99)*BU99,0)</f>
        <v>0</v>
      </c>
      <c r="BY99" s="76" t="n">
        <f aca="false">IF(BU99=0,0,bsd(1,BZ$27,BV99,$AD99,$AA99,$AB99,$AH99,0.1))</f>
        <v>0</v>
      </c>
      <c r="BZ99" s="76" t="n">
        <f aca="false">IF(BU99=0,0,bsd(2,BZ$27,BV99,$AD99,$AA99,$AB99,$AH99,0.1))</f>
        <v>0</v>
      </c>
      <c r="CA99" s="76" t="n">
        <f aca="false">IF(BU99=0,0,bsd(BZ$28,BZ$27,BV99,$AD99,$AA99,$AB99,$AH99,0.1))</f>
        <v>0</v>
      </c>
      <c r="CB99" s="37" t="n">
        <f aca="false">BU99*BY99</f>
        <v>0</v>
      </c>
      <c r="CC99" s="37" t="n">
        <f aca="false">BU99*BZ99</f>
        <v>0</v>
      </c>
      <c r="CD99" s="37" t="n">
        <f aca="false">BU99*CA99</f>
        <v>0</v>
      </c>
    </row>
    <row r="100" customFormat="false" ht="12.75" hidden="false" customHeight="false" outlineLevel="0" collapsed="false">
      <c r="A100" s="62" t="n">
        <f aca="false">DATE(YEAR(A99),MONTH(A99)+1,1)</f>
        <v>39356</v>
      </c>
      <c r="B100" s="63" t="n">
        <f aca="false">VLOOKUP(A100,STRADDLE,5,FALSE())</f>
        <v>3.5425</v>
      </c>
      <c r="C100" s="4" t="n">
        <f aca="false">VLOOKUP(A100,STRADDLE,8,FALSE())</f>
        <v>0.24</v>
      </c>
      <c r="D100" s="63" t="n">
        <f aca="false">IF(D$28="nymex",0,VLOOKUP($A100,curvesettle,HLOOKUP(D$28,curvesettle,2,FALSE())))</f>
        <v>-0.0725</v>
      </c>
      <c r="E100" s="65" t="n">
        <f aca="false">IF(ISNUMBER(VLOOKUP($A100,VOLCURVES,HLOOKUP(D$28,VOLCURVES,2,FALSE()),FALSE())),VLOOKUP($A100,VOLCURVES,HLOOKUP(D$28,VOLCURVES,2,FALSE()),FALSE()),1)</f>
        <v>1</v>
      </c>
      <c r="F100" s="64" t="n">
        <f aca="false">IF(D$28="NYMEX",$AG100,$AF100)</f>
        <v>-6576</v>
      </c>
      <c r="G100" s="4" t="e">
        <f aca="false">(($C100+H100)*$E100)+B$15</f>
        <v>#DIV/0!</v>
      </c>
      <c r="H100" s="4" t="e">
        <f aca="false">IF(B$16=1,xCalcSkew(A100,I100-AO100,b)/100,0)</f>
        <v>#DIV/0!</v>
      </c>
      <c r="I100" s="66" t="n">
        <f aca="false">IF($B$19=4,$AO100,$B$18)</f>
        <v>5</v>
      </c>
      <c r="K100" s="63" t="n">
        <f aca="false">IF(K$28="nymex",0,VLOOKUP($A100,curvesettle,HLOOKUP(K$28,curvesettle,2,FALSE())))</f>
        <v>-0.0725</v>
      </c>
      <c r="L100" s="65" t="n">
        <f aca="false">IF(ISNUMBER(VLOOKUP($A100,VOLCURVES,HLOOKUP(K$28,VOLCURVES,2,FALSE()),FALSE())),VLOOKUP($A100,VOLCURVES,HLOOKUP(K$28,VOLCURVES,2,FALSE()),FALSE()),1)</f>
        <v>1</v>
      </c>
      <c r="M100" s="64" t="n">
        <f aca="false">IF(K$28="NYMEX",$AG100,$AF100)</f>
        <v>-6576</v>
      </c>
      <c r="N100" s="184" t="e">
        <f aca="false">(($C100+O100)*$L100)+D$15</f>
        <v>#DIV/0!</v>
      </c>
      <c r="O100" s="4" t="e">
        <f aca="false">IF(D$16=1,xCalcSkew($A100,P100-AZ100,b)/100,0)</f>
        <v>#DIV/0!</v>
      </c>
      <c r="P100" s="66" t="n">
        <f aca="false">IF($D$19=4,$AZ100,$D$18)</f>
        <v>3</v>
      </c>
      <c r="R100" s="63" t="n">
        <f aca="false">IF(R$28="nymex",0,VLOOKUP($A100,curvesettle,HLOOKUP(R$28,curvesettle,2,FALSE())))</f>
        <v>-0.39</v>
      </c>
      <c r="S100" s="65" t="n">
        <f aca="false">IF(ISNUMBER(VLOOKUP($A100,VOLCURVES,HLOOKUP(R$28,VOLCURVES,2,FALSE()),FALSE())),VLOOKUP($A100,VOLCURVES,HLOOKUP(R$28,VOLCURVES,2,FALSE()),FALSE()),1)</f>
        <v>1</v>
      </c>
      <c r="T100" s="64" t="n">
        <f aca="false">IF(R$28="NYMEX",$AG100,$AF100)</f>
        <v>-6576</v>
      </c>
      <c r="U100" s="184" t="e">
        <f aca="false">(($C100+V100)*$S100)+F$15</f>
        <v>#DIV/0!</v>
      </c>
      <c r="V100" s="4" t="e">
        <f aca="false">IF(F$16=1,xCalcSkew($A100,W100-BK100,b)/100,0)</f>
        <v>#DIV/0!</v>
      </c>
      <c r="W100" s="66" t="n">
        <f aca="false">IF($F$19=4,$BK100,$F$18)</f>
        <v>2.55</v>
      </c>
      <c r="X100" s="64"/>
      <c r="Y100" s="63" t="n">
        <f aca="false">IF(Y$28="nymex",0,VLOOKUP($A100,curvesettle,HLOOKUP(Y$28,curvesettle,2,FALSE())))</f>
        <v>0</v>
      </c>
      <c r="Z100" s="65" t="n">
        <f aca="false">IF(ISNUMBER(VLOOKUP($A100,VOLCURVES,HLOOKUP(Y$28,VOLCURVES,2,FALSE()),FALSE())),VLOOKUP($A100,VOLCURVES,HLOOKUP(Y$28,VOLCURVES,2,FALSE()),FALSE()),1)</f>
        <v>1</v>
      </c>
      <c r="AA100" s="64" t="n">
        <f aca="false">IF(Y$28="NYMEX",$AG100,$AF100)</f>
        <v>-6577</v>
      </c>
      <c r="AB100" s="4" t="e">
        <f aca="false">(($C100+AC100)*$Z100)+H$15</f>
        <v>#DIV/0!</v>
      </c>
      <c r="AC100" s="4" t="e">
        <f aca="false">IF(H$16=1,xCalcSkew($A100,AD100-BV100,b)/100,0)</f>
        <v>#DIV/0!</v>
      </c>
      <c r="AD100" s="66" t="n">
        <f aca="false">IF($H$19=4,$BV100,$H$18)</f>
        <v>2.9</v>
      </c>
      <c r="AF100" s="64" t="n">
        <f aca="false">VLOOKUP($A100,expiration,2,FALSE())-$B$2</f>
        <v>-6576</v>
      </c>
      <c r="AG100" s="64" t="n">
        <f aca="false">VLOOKUP($A100,expiration,3,FALSE())-$B$2</f>
        <v>-6577</v>
      </c>
      <c r="AH100" s="4" t="n">
        <f aca="false">VLOOKUP($A100,STRADDLE,14,FALSE())</f>
        <v>0.0529903487982488</v>
      </c>
      <c r="AI100" s="72" t="n">
        <f aca="false">A101-A100</f>
        <v>31</v>
      </c>
      <c r="AL100" s="64"/>
      <c r="AM100" s="73"/>
      <c r="AN100" s="73" t="n">
        <f aca="false">IF($A100&gt;=AO$25,IF($A100&lt;=AO$26,$AI100,0),0)</f>
        <v>0</v>
      </c>
      <c r="AO100" s="196" t="e">
        <f aca="false">AQ100/AN100</f>
        <v>#DIV/0!</v>
      </c>
      <c r="AP100" s="1" t="n">
        <f aca="false">AN100*($B100+B$13)</f>
        <v>0</v>
      </c>
      <c r="AQ100" s="47" t="n">
        <f aca="false">IF(ISNUMBER(((AP100/AN100)+B$14+$D100)*AN100),((AP100/AN100)+B$14+$D100)*AN100,0)</f>
        <v>0</v>
      </c>
      <c r="AR100" s="76" t="n">
        <f aca="false">IF(AN100=0,0,bsd(1,AS$27,AO100,$I100,$F100,$G100,$AH100,0.1))</f>
        <v>0</v>
      </c>
      <c r="AS100" s="76" t="n">
        <f aca="false">IF(AN100=0,0,bsd(2,AS$27,AO100,$I100,$F100,$G100,$AH100,0.1))</f>
        <v>0</v>
      </c>
      <c r="AT100" s="76" t="n">
        <f aca="false">IF(AN100=0,0,bsd(AS$28,AS$27,AO100,$I100,$F100,$G100,$AH100,0.1))</f>
        <v>0</v>
      </c>
      <c r="AU100" s="37" t="n">
        <f aca="false">AN100*AR100</f>
        <v>0</v>
      </c>
      <c r="AV100" s="37" t="n">
        <f aca="false">AN100*AS100</f>
        <v>0</v>
      </c>
      <c r="AW100" s="37" t="n">
        <f aca="false">AN100*AT100</f>
        <v>0</v>
      </c>
      <c r="AY100" s="73" t="n">
        <f aca="false">IF($A100&gt;=AZ$25,IF($A100&lt;=AZ$26,$AI100,0),0)</f>
        <v>0</v>
      </c>
      <c r="AZ100" s="196" t="e">
        <f aca="false">BB100/AY100</f>
        <v>#DIV/0!</v>
      </c>
      <c r="BA100" s="1" t="n">
        <f aca="false">AY100*($B100+D$13)</f>
        <v>0</v>
      </c>
      <c r="BB100" s="47" t="n">
        <f aca="false">IF(ISNUMBER(((BA100/AY100)+D$14+$K100)*AY100),((BA100/AY100)+D$14+$K100)*AY100,0)</f>
        <v>0</v>
      </c>
      <c r="BC100" s="76" t="n">
        <f aca="false">IF(AY100=0,0,bsd(1,BD$27,AZ100,$P100,$M100,$N100,$AH100,0.1))</f>
        <v>0</v>
      </c>
      <c r="BD100" s="76" t="n">
        <f aca="false">IF(AY100=0,0,bsd(2,BD$27,AZ100,$P100,$M100,$N100,$AH100,0.1))</f>
        <v>0</v>
      </c>
      <c r="BE100" s="76" t="n">
        <f aca="false">IF(AY100=0,0,bsd(BD$28,BD$27,AZ100,$P100,$M100,$N100,$AH100,0.1))</f>
        <v>0</v>
      </c>
      <c r="BF100" s="37" t="n">
        <f aca="false">AY100*BC100</f>
        <v>0</v>
      </c>
      <c r="BG100" s="37" t="n">
        <f aca="false">AY100*BD100</f>
        <v>0</v>
      </c>
      <c r="BH100" s="37" t="n">
        <f aca="false">AY100*BE100</f>
        <v>0</v>
      </c>
      <c r="BJ100" s="73" t="n">
        <f aca="false">IF($A100&gt;=BK$25,IF($A100&lt;=BK$26,$AI100,0),0)</f>
        <v>0</v>
      </c>
      <c r="BK100" s="196" t="e">
        <f aca="false">BM100/BJ100</f>
        <v>#DIV/0!</v>
      </c>
      <c r="BL100" s="1" t="n">
        <f aca="false">BJ100*($B100+F$13)</f>
        <v>0</v>
      </c>
      <c r="BM100" s="47" t="n">
        <f aca="false">IF(ISNUMBER(((BL100/BJ100)+F$14+$R100)*BJ100),((BL100/BJ100)+F$14+$R100)*BJ100,0)</f>
        <v>0</v>
      </c>
      <c r="BN100" s="76" t="n">
        <f aca="false">IF(BJ100=0,0,bsd(1,BO$27,BK100,$W100,$T100,$U100,$AH100,0.1))</f>
        <v>0</v>
      </c>
      <c r="BO100" s="76" t="n">
        <f aca="false">IF(BJ100=0,0,bsd(2,BO$27,BK100,$W100,$T100,$U100,$AH100,0.1))</f>
        <v>0</v>
      </c>
      <c r="BP100" s="76" t="n">
        <f aca="false">IF(BJ100=0,0,bsd(BO$28,BO$27,BK100,$W100,$T100,$U100,$AH100,0.1))</f>
        <v>0</v>
      </c>
      <c r="BQ100" s="37" t="n">
        <f aca="false">BJ100*BN100</f>
        <v>0</v>
      </c>
      <c r="BR100" s="37" t="n">
        <f aca="false">BJ100*BO100</f>
        <v>0</v>
      </c>
      <c r="BS100" s="37" t="n">
        <f aca="false">BJ100*BP100</f>
        <v>0</v>
      </c>
      <c r="BU100" s="73" t="n">
        <f aca="false">IF($A100&gt;=BV$25,IF($A100&lt;=BV$26,$AI100,0),0)</f>
        <v>0</v>
      </c>
      <c r="BV100" s="196" t="e">
        <f aca="false">BX100/BU100</f>
        <v>#DIV/0!</v>
      </c>
      <c r="BW100" s="1" t="n">
        <f aca="false">BU100*($B100+H$13)</f>
        <v>0</v>
      </c>
      <c r="BX100" s="47" t="n">
        <f aca="false">IF(ISNUMBER(((BW100/BU100)+H$14+$Y100)*BU100),((BW100/BU100)+H$14+$Y100)*BU100,0)</f>
        <v>0</v>
      </c>
      <c r="BY100" s="76" t="n">
        <f aca="false">IF(BU100=0,0,bsd(1,BZ$27,BV100,$AD100,$AA100,$AB100,$AH100,0.1))</f>
        <v>0</v>
      </c>
      <c r="BZ100" s="76" t="n">
        <f aca="false">IF(BU100=0,0,bsd(2,BZ$27,BV100,$AD100,$AA100,$AB100,$AH100,0.1))</f>
        <v>0</v>
      </c>
      <c r="CA100" s="76" t="n">
        <f aca="false">IF(BU100=0,0,bsd(BZ$28,BZ$27,BV100,$AD100,$AA100,$AB100,$AH100,0.1))</f>
        <v>0</v>
      </c>
      <c r="CB100" s="37" t="n">
        <f aca="false">BU100*BY100</f>
        <v>0</v>
      </c>
      <c r="CC100" s="37" t="n">
        <f aca="false">BU100*BZ100</f>
        <v>0</v>
      </c>
      <c r="CD100" s="37" t="n">
        <f aca="false">BU100*CA100</f>
        <v>0</v>
      </c>
    </row>
    <row r="101" customFormat="false" ht="12.75" hidden="false" customHeight="false" outlineLevel="0" collapsed="false">
      <c r="A101" s="62" t="n">
        <f aca="false">DATE(YEAR(A100),MONTH(A100)+1,1)</f>
        <v>39387</v>
      </c>
      <c r="B101" s="63" t="n">
        <f aca="false">VLOOKUP(A101,STRADDLE,5,FALSE())</f>
        <v>3.6945</v>
      </c>
      <c r="C101" s="4" t="n">
        <f aca="false">VLOOKUP(A101,STRADDLE,8,FALSE())</f>
        <v>0.24</v>
      </c>
      <c r="D101" s="63" t="n">
        <f aca="false">IF(D$28="nymex",0,VLOOKUP($A101,curvesettle,HLOOKUP(D$28,curvesettle,2,FALSE())))</f>
        <v>-0.075</v>
      </c>
      <c r="E101" s="65" t="n">
        <f aca="false">IF(ISNUMBER(VLOOKUP($A101,VOLCURVES,HLOOKUP(D$28,VOLCURVES,2,FALSE()),FALSE())),VLOOKUP($A101,VOLCURVES,HLOOKUP(D$28,VOLCURVES,2,FALSE()),FALSE()),1)</f>
        <v>1</v>
      </c>
      <c r="F101" s="64" t="n">
        <f aca="false">IF(D$28="NYMEX",$AG101,$AF101)</f>
        <v>-6543</v>
      </c>
      <c r="G101" s="4" t="e">
        <f aca="false">(($C101+H101)*$E101)+B$15</f>
        <v>#DIV/0!</v>
      </c>
      <c r="H101" s="4" t="e">
        <f aca="false">IF(B$16=1,xCalcSkew(A101,I101-AO101,b)/100,0)</f>
        <v>#DIV/0!</v>
      </c>
      <c r="I101" s="66" t="n">
        <f aca="false">IF($B$19=4,$AO101,$B$18)</f>
        <v>5</v>
      </c>
      <c r="K101" s="63" t="n">
        <f aca="false">IF(K$28="nymex",0,VLOOKUP($A101,curvesettle,HLOOKUP(K$28,curvesettle,2,FALSE())))</f>
        <v>-0.075</v>
      </c>
      <c r="L101" s="65" t="n">
        <f aca="false">IF(ISNUMBER(VLOOKUP($A101,VOLCURVES,HLOOKUP(K$28,VOLCURVES,2,FALSE()),FALSE())),VLOOKUP($A101,VOLCURVES,HLOOKUP(K$28,VOLCURVES,2,FALSE()),FALSE()),1)</f>
        <v>1</v>
      </c>
      <c r="M101" s="64" t="n">
        <f aca="false">IF(K$28="NYMEX",$AG101,$AF101)</f>
        <v>-6543</v>
      </c>
      <c r="N101" s="184" t="e">
        <f aca="false">(($C101+O101)*$L101)+D$15</f>
        <v>#DIV/0!</v>
      </c>
      <c r="O101" s="4" t="e">
        <f aca="false">IF(D$16=1,xCalcSkew($A101,P101-AZ101,b)/100,0)</f>
        <v>#DIV/0!</v>
      </c>
      <c r="P101" s="66" t="n">
        <f aca="false">IF($D$19=4,$AZ101,$D$18)</f>
        <v>3</v>
      </c>
      <c r="R101" s="63" t="n">
        <f aca="false">IF(R$28="nymex",0,VLOOKUP($A101,curvesettle,HLOOKUP(R$28,curvesettle,2,FALSE())))</f>
        <v>-0.26</v>
      </c>
      <c r="S101" s="65" t="n">
        <f aca="false">IF(ISNUMBER(VLOOKUP($A101,VOLCURVES,HLOOKUP(R$28,VOLCURVES,2,FALSE()),FALSE())),VLOOKUP($A101,VOLCURVES,HLOOKUP(R$28,VOLCURVES,2,FALSE()),FALSE()),1)</f>
        <v>1</v>
      </c>
      <c r="T101" s="64" t="n">
        <f aca="false">IF(R$28="NYMEX",$AG101,$AF101)</f>
        <v>-6543</v>
      </c>
      <c r="U101" s="184" t="e">
        <f aca="false">(($C101+V101)*$S101)+F$15</f>
        <v>#DIV/0!</v>
      </c>
      <c r="V101" s="4" t="e">
        <f aca="false">IF(F$16=1,xCalcSkew($A101,W101-BK101,b)/100,0)</f>
        <v>#DIV/0!</v>
      </c>
      <c r="W101" s="66" t="n">
        <f aca="false">IF($F$19=4,$BK101,$F$18)</f>
        <v>2.55</v>
      </c>
      <c r="X101" s="64"/>
      <c r="Y101" s="63" t="n">
        <f aca="false">IF(Y$28="nymex",0,VLOOKUP($A101,curvesettle,HLOOKUP(Y$28,curvesettle,2,FALSE())))</f>
        <v>0</v>
      </c>
      <c r="Z101" s="65" t="n">
        <f aca="false">IF(ISNUMBER(VLOOKUP($A101,VOLCURVES,HLOOKUP(Y$28,VOLCURVES,2,FALSE()),FALSE())),VLOOKUP($A101,VOLCURVES,HLOOKUP(Y$28,VOLCURVES,2,FALSE()),FALSE()),1)</f>
        <v>1</v>
      </c>
      <c r="AA101" s="64" t="n">
        <f aca="false">IF(Y$28="NYMEX",$AG101,$AF101)</f>
        <v>-6546</v>
      </c>
      <c r="AB101" s="4" t="e">
        <f aca="false">(($C101+AC101)*$Z101)+H$15</f>
        <v>#DIV/0!</v>
      </c>
      <c r="AC101" s="4" t="e">
        <f aca="false">IF(H$16=1,xCalcSkew($A101,AD101-BV101,b)/100,0)</f>
        <v>#DIV/0!</v>
      </c>
      <c r="AD101" s="66" t="n">
        <f aca="false">IF($H$19=4,$BV101,$H$18)</f>
        <v>2.9</v>
      </c>
      <c r="AF101" s="64" t="n">
        <f aca="false">VLOOKUP($A101,expiration,2,FALSE())-$B$2</f>
        <v>-6543</v>
      </c>
      <c r="AG101" s="64" t="n">
        <f aca="false">VLOOKUP($A101,expiration,3,FALSE())-$B$2</f>
        <v>-6546</v>
      </c>
      <c r="AH101" s="4" t="n">
        <f aca="false">VLOOKUP($A101,STRADDLE,14,FALSE())</f>
        <v>0.0531718625008408</v>
      </c>
      <c r="AI101" s="72" t="n">
        <f aca="false">A102-A101</f>
        <v>30</v>
      </c>
      <c r="AL101" s="64"/>
      <c r="AM101" s="73"/>
      <c r="AN101" s="73" t="n">
        <f aca="false">IF($A101&gt;=AO$25,IF($A101&lt;=AO$26,$AI101,0),0)</f>
        <v>0</v>
      </c>
      <c r="AO101" s="196" t="e">
        <f aca="false">AQ101/AN101</f>
        <v>#DIV/0!</v>
      </c>
      <c r="AP101" s="1" t="n">
        <f aca="false">AN101*($B101+B$13)</f>
        <v>0</v>
      </c>
      <c r="AQ101" s="47" t="n">
        <f aca="false">IF(ISNUMBER(((AP101/AN101)+B$14+$D101)*AN101),((AP101/AN101)+B$14+$D101)*AN101,0)</f>
        <v>0</v>
      </c>
      <c r="AR101" s="76" t="n">
        <f aca="false">IF(AN101=0,0,bsd(1,AS$27,AO101,$I101,$F101,$G101,$AH101,0.1))</f>
        <v>0</v>
      </c>
      <c r="AS101" s="76" t="n">
        <f aca="false">IF(AN101=0,0,bsd(2,AS$27,AO101,$I101,$F101,$G101,$AH101,0.1))</f>
        <v>0</v>
      </c>
      <c r="AT101" s="76" t="n">
        <f aca="false">IF(AN101=0,0,bsd(AS$28,AS$27,AO101,$I101,$F101,$G101,$AH101,0.1))</f>
        <v>0</v>
      </c>
      <c r="AU101" s="37" t="n">
        <f aca="false">AN101*AR101</f>
        <v>0</v>
      </c>
      <c r="AV101" s="37" t="n">
        <f aca="false">AN101*AS101</f>
        <v>0</v>
      </c>
      <c r="AW101" s="37" t="n">
        <f aca="false">AN101*AT101</f>
        <v>0</v>
      </c>
      <c r="AY101" s="73" t="n">
        <f aca="false">IF($A101&gt;=AZ$25,IF($A101&lt;=AZ$26,$AI101,0),0)</f>
        <v>0</v>
      </c>
      <c r="AZ101" s="196" t="e">
        <f aca="false">BB101/AY101</f>
        <v>#DIV/0!</v>
      </c>
      <c r="BA101" s="1" t="n">
        <f aca="false">AY101*($B101+D$13)</f>
        <v>0</v>
      </c>
      <c r="BB101" s="47" t="n">
        <f aca="false">IF(ISNUMBER(((BA101/AY101)+D$14+$K101)*AY101),((BA101/AY101)+D$14+$K101)*AY101,0)</f>
        <v>0</v>
      </c>
      <c r="BC101" s="76" t="n">
        <f aca="false">IF(AY101=0,0,bsd(1,BD$27,AZ101,$P101,$M101,$N101,$AH101,0.1))</f>
        <v>0</v>
      </c>
      <c r="BD101" s="76" t="n">
        <f aca="false">IF(AY101=0,0,bsd(2,BD$27,AZ101,$P101,$M101,$N101,$AH101,0.1))</f>
        <v>0</v>
      </c>
      <c r="BE101" s="76" t="n">
        <f aca="false">IF(AY101=0,0,bsd(BD$28,BD$27,AZ101,$P101,$M101,$N101,$AH101,0.1))</f>
        <v>0</v>
      </c>
      <c r="BF101" s="37" t="n">
        <f aca="false">AY101*BC101</f>
        <v>0</v>
      </c>
      <c r="BG101" s="37" t="n">
        <f aca="false">AY101*BD101</f>
        <v>0</v>
      </c>
      <c r="BH101" s="37" t="n">
        <f aca="false">AY101*BE101</f>
        <v>0</v>
      </c>
      <c r="BJ101" s="73" t="n">
        <f aca="false">IF($A101&gt;=BK$25,IF($A101&lt;=BK$26,$AI101,0),0)</f>
        <v>0</v>
      </c>
      <c r="BK101" s="196" t="e">
        <f aca="false">BM101/BJ101</f>
        <v>#DIV/0!</v>
      </c>
      <c r="BL101" s="1" t="n">
        <f aca="false">BJ101*($B101+F$13)</f>
        <v>0</v>
      </c>
      <c r="BM101" s="47" t="n">
        <f aca="false">IF(ISNUMBER(((BL101/BJ101)+F$14+$R101)*BJ101),((BL101/BJ101)+F$14+$R101)*BJ101,0)</f>
        <v>0</v>
      </c>
      <c r="BN101" s="76" t="n">
        <f aca="false">IF(BJ101=0,0,bsd(1,BO$27,BK101,$W101,$T101,$U101,$AH101,0.1))</f>
        <v>0</v>
      </c>
      <c r="BO101" s="76" t="n">
        <f aca="false">IF(BJ101=0,0,bsd(2,BO$27,BK101,$W101,$T101,$U101,$AH101,0.1))</f>
        <v>0</v>
      </c>
      <c r="BP101" s="76" t="n">
        <f aca="false">IF(BJ101=0,0,bsd(BO$28,BO$27,BK101,$W101,$T101,$U101,$AH101,0.1))</f>
        <v>0</v>
      </c>
      <c r="BQ101" s="37" t="n">
        <f aca="false">BJ101*BN101</f>
        <v>0</v>
      </c>
      <c r="BR101" s="37" t="n">
        <f aca="false">BJ101*BO101</f>
        <v>0</v>
      </c>
      <c r="BS101" s="37" t="n">
        <f aca="false">BJ101*BP101</f>
        <v>0</v>
      </c>
      <c r="BU101" s="73" t="n">
        <f aca="false">IF($A101&gt;=BV$25,IF($A101&lt;=BV$26,$AI101,0),0)</f>
        <v>0</v>
      </c>
      <c r="BV101" s="196" t="e">
        <f aca="false">BX101/BU101</f>
        <v>#DIV/0!</v>
      </c>
      <c r="BW101" s="1" t="n">
        <f aca="false">BU101*($B101+H$13)</f>
        <v>0</v>
      </c>
      <c r="BX101" s="47" t="n">
        <f aca="false">IF(ISNUMBER(((BW101/BU101)+H$14+$Y101)*BU101),((BW101/BU101)+H$14+$Y101)*BU101,0)</f>
        <v>0</v>
      </c>
      <c r="BY101" s="76" t="n">
        <f aca="false">IF(BU101=0,0,bsd(1,BZ$27,BV101,$AD101,$AA101,$AB101,$AH101,0.1))</f>
        <v>0</v>
      </c>
      <c r="BZ101" s="76" t="n">
        <f aca="false">IF(BU101=0,0,bsd(2,BZ$27,BV101,$AD101,$AA101,$AB101,$AH101,0.1))</f>
        <v>0</v>
      </c>
      <c r="CA101" s="76" t="n">
        <f aca="false">IF(BU101=0,0,bsd(BZ$28,BZ$27,BV101,$AD101,$AA101,$AB101,$AH101,0.1))</f>
        <v>0</v>
      </c>
      <c r="CB101" s="37" t="n">
        <f aca="false">BU101*BY101</f>
        <v>0</v>
      </c>
      <c r="CC101" s="37" t="n">
        <f aca="false">BU101*BZ101</f>
        <v>0</v>
      </c>
      <c r="CD101" s="37" t="n">
        <f aca="false">BU101*CA101</f>
        <v>0</v>
      </c>
    </row>
    <row r="102" customFormat="false" ht="12.75" hidden="false" customHeight="false" outlineLevel="0" collapsed="false">
      <c r="A102" s="62" t="n">
        <f aca="false">DATE(YEAR(A101),MONTH(A101)+1,1)</f>
        <v>39417</v>
      </c>
      <c r="B102" s="63" t="n">
        <f aca="false">VLOOKUP(A102,STRADDLE,5,FALSE())</f>
        <v>3.8375</v>
      </c>
      <c r="C102" s="4" t="n">
        <f aca="false">VLOOKUP(A102,STRADDLE,8,FALSE())</f>
        <v>0.24</v>
      </c>
      <c r="D102" s="63" t="n">
        <f aca="false">IF(D$28="nymex",0,VLOOKUP($A102,curvesettle,HLOOKUP(D$28,curvesettle,2,FALSE())))</f>
        <v>-0.075</v>
      </c>
      <c r="E102" s="65" t="n">
        <f aca="false">IF(ISNUMBER(VLOOKUP($A102,VOLCURVES,HLOOKUP(D$28,VOLCURVES,2,FALSE()),FALSE())),VLOOKUP($A102,VOLCURVES,HLOOKUP(D$28,VOLCURVES,2,FALSE()),FALSE()),1)</f>
        <v>1</v>
      </c>
      <c r="F102" s="64" t="n">
        <f aca="false">IF(D$28="NYMEX",$AG102,$AF102)</f>
        <v>-6513</v>
      </c>
      <c r="G102" s="4" t="e">
        <f aca="false">(($C102+H102)*$E102)+B$15</f>
        <v>#DIV/0!</v>
      </c>
      <c r="H102" s="4" t="e">
        <f aca="false">IF(B$16=1,xCalcSkew(A102,I102-AO102,b)/100,0)</f>
        <v>#DIV/0!</v>
      </c>
      <c r="I102" s="66" t="n">
        <f aca="false">IF($B$19=4,$AO102,$B$18)</f>
        <v>5</v>
      </c>
      <c r="K102" s="63" t="n">
        <f aca="false">IF(K$28="nymex",0,VLOOKUP($A102,curvesettle,HLOOKUP(K$28,curvesettle,2,FALSE())))</f>
        <v>-0.075</v>
      </c>
      <c r="L102" s="65" t="n">
        <f aca="false">IF(ISNUMBER(VLOOKUP($A102,VOLCURVES,HLOOKUP(K$28,VOLCURVES,2,FALSE()),FALSE())),VLOOKUP($A102,VOLCURVES,HLOOKUP(K$28,VOLCURVES,2,FALSE()),FALSE()),1)</f>
        <v>1</v>
      </c>
      <c r="M102" s="64" t="n">
        <f aca="false">IF(K$28="NYMEX",$AG102,$AF102)</f>
        <v>-6513</v>
      </c>
      <c r="N102" s="184" t="e">
        <f aca="false">(($C102+O102)*$L102)+D$15</f>
        <v>#DIV/0!</v>
      </c>
      <c r="O102" s="4" t="e">
        <f aca="false">IF(D$16=1,xCalcSkew($A102,P102-AZ102,b)/100,0)</f>
        <v>#DIV/0!</v>
      </c>
      <c r="P102" s="66" t="n">
        <f aca="false">IF($D$19=4,$AZ102,$D$18)</f>
        <v>3</v>
      </c>
      <c r="R102" s="63" t="n">
        <f aca="false">IF(R$28="nymex",0,VLOOKUP($A102,curvesettle,HLOOKUP(R$28,curvesettle,2,FALSE())))</f>
        <v>-0.26</v>
      </c>
      <c r="S102" s="65" t="n">
        <f aca="false">IF(ISNUMBER(VLOOKUP($A102,VOLCURVES,HLOOKUP(R$28,VOLCURVES,2,FALSE()),FALSE())),VLOOKUP($A102,VOLCURVES,HLOOKUP(R$28,VOLCURVES,2,FALSE()),FALSE()),1)</f>
        <v>1</v>
      </c>
      <c r="T102" s="64" t="n">
        <f aca="false">IF(R$28="NYMEX",$AG102,$AF102)</f>
        <v>-6513</v>
      </c>
      <c r="U102" s="184" t="e">
        <f aca="false">(($C102+V102)*$S102)+F$15</f>
        <v>#DIV/0!</v>
      </c>
      <c r="V102" s="4" t="e">
        <f aca="false">IF(F$16=1,xCalcSkew($A102,W102-BK102,b)/100,0)</f>
        <v>#DIV/0!</v>
      </c>
      <c r="W102" s="66" t="n">
        <f aca="false">IF($F$19=4,$BK102,$F$18)</f>
        <v>2.55</v>
      </c>
      <c r="X102" s="64"/>
      <c r="Y102" s="63" t="n">
        <f aca="false">IF(Y$28="nymex",0,VLOOKUP($A102,curvesettle,HLOOKUP(Y$28,curvesettle,2,FALSE())))</f>
        <v>0</v>
      </c>
      <c r="Z102" s="65" t="n">
        <f aca="false">IF(ISNUMBER(VLOOKUP($A102,VOLCURVES,HLOOKUP(Y$28,VOLCURVES,2,FALSE()),FALSE())),VLOOKUP($A102,VOLCURVES,HLOOKUP(Y$28,VOLCURVES,2,FALSE()),FALSE()),1)</f>
        <v>1</v>
      </c>
      <c r="AA102" s="64" t="n">
        <f aca="false">IF(Y$28="NYMEX",$AG102,$AF102)</f>
        <v>-6514</v>
      </c>
      <c r="AB102" s="4" t="e">
        <f aca="false">(($C102+AC102)*$Z102)+H$15</f>
        <v>#DIV/0!</v>
      </c>
      <c r="AC102" s="4" t="e">
        <f aca="false">IF(H$16=1,xCalcSkew($A102,AD102-BV102,b)/100,0)</f>
        <v>#DIV/0!</v>
      </c>
      <c r="AD102" s="66" t="n">
        <f aca="false">IF($H$19=4,$BV102,$H$18)</f>
        <v>2.9</v>
      </c>
      <c r="AF102" s="64" t="n">
        <f aca="false">VLOOKUP($A102,expiration,2,FALSE())-$B$2</f>
        <v>-6513</v>
      </c>
      <c r="AG102" s="64" t="n">
        <f aca="false">VLOOKUP($A102,expiration,3,FALSE())-$B$2</f>
        <v>-6514</v>
      </c>
      <c r="AH102" s="4" t="n">
        <f aca="false">VLOOKUP($A102,STRADDLE,14,FALSE())</f>
        <v>0.0533475209331611</v>
      </c>
      <c r="AI102" s="72" t="n">
        <f aca="false">A103-A102</f>
        <v>31</v>
      </c>
      <c r="AL102" s="64"/>
      <c r="AM102" s="73"/>
      <c r="AN102" s="73" t="n">
        <f aca="false">IF($A102&gt;=AO$25,IF($A102&lt;=AO$26,$AI102,0),0)</f>
        <v>0</v>
      </c>
      <c r="AO102" s="196" t="e">
        <f aca="false">AQ102/AN102</f>
        <v>#DIV/0!</v>
      </c>
      <c r="AP102" s="1" t="n">
        <f aca="false">AN102*($B102+B$13)</f>
        <v>0</v>
      </c>
      <c r="AQ102" s="47" t="n">
        <f aca="false">IF(ISNUMBER(((AP102/AN102)+B$14+$D102)*AN102),((AP102/AN102)+B$14+$D102)*AN102,0)</f>
        <v>0</v>
      </c>
      <c r="AR102" s="76" t="n">
        <f aca="false">IF(AN102=0,0,bsd(1,AS$27,AO102,$I102,$F102,$G102,$AH102,0.1))</f>
        <v>0</v>
      </c>
      <c r="AS102" s="76" t="n">
        <f aca="false">IF(AN102=0,0,bsd(2,AS$27,AO102,$I102,$F102,$G102,$AH102,0.1))</f>
        <v>0</v>
      </c>
      <c r="AT102" s="76" t="n">
        <f aca="false">IF(AN102=0,0,bsd(AS$28,AS$27,AO102,$I102,$F102,$G102,$AH102,0.1))</f>
        <v>0</v>
      </c>
      <c r="AU102" s="37" t="n">
        <f aca="false">AN102*AR102</f>
        <v>0</v>
      </c>
      <c r="AV102" s="37" t="n">
        <f aca="false">AN102*AS102</f>
        <v>0</v>
      </c>
      <c r="AW102" s="37" t="n">
        <f aca="false">AN102*AT102</f>
        <v>0</v>
      </c>
      <c r="AY102" s="73" t="n">
        <f aca="false">IF($A102&gt;=AZ$25,IF($A102&lt;=AZ$26,$AI102,0),0)</f>
        <v>0</v>
      </c>
      <c r="AZ102" s="196" t="e">
        <f aca="false">BB102/AY102</f>
        <v>#DIV/0!</v>
      </c>
      <c r="BA102" s="1" t="n">
        <f aca="false">AY102*($B102+D$13)</f>
        <v>0</v>
      </c>
      <c r="BB102" s="47" t="n">
        <f aca="false">IF(ISNUMBER(((BA102/AY102)+D$14+$K102)*AY102),((BA102/AY102)+D$14+$K102)*AY102,0)</f>
        <v>0</v>
      </c>
      <c r="BC102" s="76" t="n">
        <f aca="false">IF(AY102=0,0,bsd(1,BD$27,AZ102,$P102,$M102,$N102,$AH102,0.1))</f>
        <v>0</v>
      </c>
      <c r="BD102" s="76" t="n">
        <f aca="false">IF(AY102=0,0,bsd(2,BD$27,AZ102,$P102,$M102,$N102,$AH102,0.1))</f>
        <v>0</v>
      </c>
      <c r="BE102" s="76" t="n">
        <f aca="false">IF(AY102=0,0,bsd(BD$28,BD$27,AZ102,$P102,$M102,$N102,$AH102,0.1))</f>
        <v>0</v>
      </c>
      <c r="BF102" s="37" t="n">
        <f aca="false">AY102*BC102</f>
        <v>0</v>
      </c>
      <c r="BG102" s="37" t="n">
        <f aca="false">AY102*BD102</f>
        <v>0</v>
      </c>
      <c r="BH102" s="37" t="n">
        <f aca="false">AY102*BE102</f>
        <v>0</v>
      </c>
      <c r="BJ102" s="73" t="n">
        <f aca="false">IF($A102&gt;=BK$25,IF($A102&lt;=BK$26,$AI102,0),0)</f>
        <v>0</v>
      </c>
      <c r="BK102" s="196" t="e">
        <f aca="false">BM102/BJ102</f>
        <v>#DIV/0!</v>
      </c>
      <c r="BL102" s="1" t="n">
        <f aca="false">BJ102*($B102+F$13)</f>
        <v>0</v>
      </c>
      <c r="BM102" s="47" t="n">
        <f aca="false">IF(ISNUMBER(((BL102/BJ102)+F$14+$R102)*BJ102),((BL102/BJ102)+F$14+$R102)*BJ102,0)</f>
        <v>0</v>
      </c>
      <c r="BN102" s="76" t="n">
        <f aca="false">IF(BJ102=0,0,bsd(1,BO$27,BK102,$W102,$T102,$U102,$AH102,0.1))</f>
        <v>0</v>
      </c>
      <c r="BO102" s="76" t="n">
        <f aca="false">IF(BJ102=0,0,bsd(2,BO$27,BK102,$W102,$T102,$U102,$AH102,0.1))</f>
        <v>0</v>
      </c>
      <c r="BP102" s="76" t="n">
        <f aca="false">IF(BJ102=0,0,bsd(BO$28,BO$27,BK102,$W102,$T102,$U102,$AH102,0.1))</f>
        <v>0</v>
      </c>
      <c r="BQ102" s="37" t="n">
        <f aca="false">BJ102*BN102</f>
        <v>0</v>
      </c>
      <c r="BR102" s="37" t="n">
        <f aca="false">BJ102*BO102</f>
        <v>0</v>
      </c>
      <c r="BS102" s="37" t="n">
        <f aca="false">BJ102*BP102</f>
        <v>0</v>
      </c>
      <c r="BU102" s="73" t="n">
        <f aca="false">IF($A102&gt;=BV$25,IF($A102&lt;=BV$26,$AI102,0),0)</f>
        <v>0</v>
      </c>
      <c r="BV102" s="196" t="e">
        <f aca="false">BX102/BU102</f>
        <v>#DIV/0!</v>
      </c>
      <c r="BW102" s="1" t="n">
        <f aca="false">BU102*($B102+H$13)</f>
        <v>0</v>
      </c>
      <c r="BX102" s="47" t="n">
        <f aca="false">IF(ISNUMBER(((BW102/BU102)+H$14+$Y102)*BU102),((BW102/BU102)+H$14+$Y102)*BU102,0)</f>
        <v>0</v>
      </c>
      <c r="BY102" s="76" t="n">
        <f aca="false">IF(BU102=0,0,bsd(1,BZ$27,BV102,$AD102,$AA102,$AB102,$AH102,0.1))</f>
        <v>0</v>
      </c>
      <c r="BZ102" s="76" t="n">
        <f aca="false">IF(BU102=0,0,bsd(2,BZ$27,BV102,$AD102,$AA102,$AB102,$AH102,0.1))</f>
        <v>0</v>
      </c>
      <c r="CA102" s="76" t="n">
        <f aca="false">IF(BU102=0,0,bsd(BZ$28,BZ$27,BV102,$AD102,$AA102,$AB102,$AH102,0.1))</f>
        <v>0</v>
      </c>
      <c r="CB102" s="37" t="n">
        <f aca="false">BU102*BY102</f>
        <v>0</v>
      </c>
      <c r="CC102" s="37" t="n">
        <f aca="false">BU102*BZ102</f>
        <v>0</v>
      </c>
      <c r="CD102" s="37" t="n">
        <f aca="false">BU102*CA102</f>
        <v>0</v>
      </c>
    </row>
    <row r="103" customFormat="false" ht="12.75" hidden="false" customHeight="false" outlineLevel="0" collapsed="false">
      <c r="A103" s="62" t="n">
        <f aca="false">DATE(YEAR(A102),MONTH(A102)+1,1)</f>
        <v>39448</v>
      </c>
      <c r="B103" s="63" t="n">
        <f aca="false">VLOOKUP(A103,STRADDLE,5,FALSE())</f>
        <v>3.8875</v>
      </c>
      <c r="C103" s="4" t="n">
        <f aca="false">VLOOKUP(A103,STRADDLE,8,FALSE())</f>
        <v>0.24</v>
      </c>
      <c r="D103" s="63" t="n">
        <f aca="false">IF(D$28="nymex",0,VLOOKUP($A103,curvesettle,HLOOKUP(D$28,curvesettle,2,FALSE())))</f>
        <v>-0.075</v>
      </c>
      <c r="E103" s="65" t="n">
        <f aca="false">IF(ISNUMBER(VLOOKUP($A103,VOLCURVES,HLOOKUP(D$28,VOLCURVES,2,FALSE()),FALSE())),VLOOKUP($A103,VOLCURVES,HLOOKUP(D$28,VOLCURVES,2,FALSE()),FALSE()),1)</f>
        <v>1</v>
      </c>
      <c r="F103" s="64" t="n">
        <f aca="false">IF(D$28="NYMEX",$AG103,$AF103)</f>
        <v>-6484</v>
      </c>
      <c r="G103" s="4" t="e">
        <f aca="false">(($C103+H103)*$E103)+B$15</f>
        <v>#DIV/0!</v>
      </c>
      <c r="H103" s="4" t="e">
        <f aca="false">IF(B$16=1,xCalcSkew(A103,I103-AO103,b)/100,0)</f>
        <v>#DIV/0!</v>
      </c>
      <c r="I103" s="66" t="n">
        <f aca="false">IF($B$19=4,$AO103,$B$18)</f>
        <v>5</v>
      </c>
      <c r="K103" s="63" t="n">
        <f aca="false">IF(K$28="nymex",0,VLOOKUP($A103,curvesettle,HLOOKUP(K$28,curvesettle,2,FALSE())))</f>
        <v>-0.075</v>
      </c>
      <c r="L103" s="65" t="n">
        <f aca="false">IF(ISNUMBER(VLOOKUP($A103,VOLCURVES,HLOOKUP(K$28,VOLCURVES,2,FALSE()),FALSE())),VLOOKUP($A103,VOLCURVES,HLOOKUP(K$28,VOLCURVES,2,FALSE()),FALSE()),1)</f>
        <v>1</v>
      </c>
      <c r="M103" s="64" t="n">
        <f aca="false">IF(K$28="NYMEX",$AG103,$AF103)</f>
        <v>-6484</v>
      </c>
      <c r="N103" s="184" t="e">
        <f aca="false">(($C103+O103)*$L103)+D$15</f>
        <v>#DIV/0!</v>
      </c>
      <c r="O103" s="4" t="e">
        <f aca="false">IF(D$16=1,xCalcSkew($A103,P103-AZ103,b)/100,0)</f>
        <v>#DIV/0!</v>
      </c>
      <c r="P103" s="66" t="n">
        <f aca="false">IF($D$19=4,$AZ103,$D$18)</f>
        <v>3</v>
      </c>
      <c r="R103" s="63" t="n">
        <f aca="false">IF(R$28="nymex",0,VLOOKUP($A103,curvesettle,HLOOKUP(R$28,curvesettle,2,FALSE())))</f>
        <v>-0.26</v>
      </c>
      <c r="S103" s="65" t="n">
        <f aca="false">IF(ISNUMBER(VLOOKUP($A103,VOLCURVES,HLOOKUP(R$28,VOLCURVES,2,FALSE()),FALSE())),VLOOKUP($A103,VOLCURVES,HLOOKUP(R$28,VOLCURVES,2,FALSE()),FALSE()),1)</f>
        <v>1</v>
      </c>
      <c r="T103" s="64" t="n">
        <f aca="false">IF(R$28="NYMEX",$AG103,$AF103)</f>
        <v>-6484</v>
      </c>
      <c r="U103" s="184" t="e">
        <f aca="false">(($C103+V103)*$S103)+F$15</f>
        <v>#DIV/0!</v>
      </c>
      <c r="V103" s="4" t="e">
        <f aca="false">IF(F$16=1,xCalcSkew($A103,W103-BK103,b)/100,0)</f>
        <v>#DIV/0!</v>
      </c>
      <c r="W103" s="66" t="n">
        <f aca="false">IF($F$19=4,$BK103,$F$18)</f>
        <v>2.55</v>
      </c>
      <c r="X103" s="64"/>
      <c r="Y103" s="63" t="n">
        <f aca="false">IF(Y$28="nymex",0,VLOOKUP($A103,curvesettle,HLOOKUP(Y$28,curvesettle,2,FALSE())))</f>
        <v>0</v>
      </c>
      <c r="Z103" s="65" t="n">
        <f aca="false">IF(ISNUMBER(VLOOKUP($A103,VOLCURVES,HLOOKUP(Y$28,VOLCURVES,2,FALSE()),FALSE())),VLOOKUP($A103,VOLCURVES,HLOOKUP(Y$28,VOLCURVES,2,FALSE()),FALSE()),1)</f>
        <v>1</v>
      </c>
      <c r="AA103" s="64" t="n">
        <f aca="false">IF(Y$28="NYMEX",$AG103,$AF103)</f>
        <v>-6485</v>
      </c>
      <c r="AB103" s="4" t="e">
        <f aca="false">(($C103+AC103)*$Z103)+H$15</f>
        <v>#DIV/0!</v>
      </c>
      <c r="AC103" s="4" t="e">
        <f aca="false">IF(H$16=1,xCalcSkew($A103,AD103-BV103,b)/100,0)</f>
        <v>#DIV/0!</v>
      </c>
      <c r="AD103" s="66" t="n">
        <f aca="false">IF($H$19=4,$BV103,$H$18)</f>
        <v>2.9</v>
      </c>
      <c r="AF103" s="64" t="n">
        <f aca="false">VLOOKUP($A103,expiration,2,FALSE())-$B$2</f>
        <v>-6484</v>
      </c>
      <c r="AG103" s="64" t="n">
        <f aca="false">VLOOKUP($A103,expiration,3,FALSE())-$B$2</f>
        <v>-6485</v>
      </c>
      <c r="AH103" s="4" t="n">
        <f aca="false">VLOOKUP($A103,STRADDLE,14,FALSE())</f>
        <v>0.0535290346573647</v>
      </c>
      <c r="AI103" s="72" t="n">
        <f aca="false">A104-A103</f>
        <v>31</v>
      </c>
      <c r="AL103" s="64"/>
      <c r="AM103" s="73"/>
      <c r="AN103" s="73" t="n">
        <f aca="false">IF($A103&gt;=AO$25,IF($A103&lt;=AO$26,$AI103,0),0)</f>
        <v>0</v>
      </c>
      <c r="AO103" s="196" t="e">
        <f aca="false">AQ103/AN103</f>
        <v>#DIV/0!</v>
      </c>
      <c r="AP103" s="1" t="n">
        <f aca="false">AN103*($B103+B$13)</f>
        <v>0</v>
      </c>
      <c r="AQ103" s="47" t="n">
        <f aca="false">IF(ISNUMBER(((AP103/AN103)+B$14+$D103)*AN103),((AP103/AN103)+B$14+$D103)*AN103,0)</f>
        <v>0</v>
      </c>
      <c r="AR103" s="76" t="n">
        <f aca="false">IF(AN103=0,0,bsd(1,AS$27,AO103,$I103,$F103,$G103,$AH103,0.1))</f>
        <v>0</v>
      </c>
      <c r="AS103" s="76" t="n">
        <f aca="false">IF(AN103=0,0,bsd(2,AS$27,AO103,$I103,$F103,$G103,$AH103,0.1))</f>
        <v>0</v>
      </c>
      <c r="AT103" s="76" t="n">
        <f aca="false">IF(AN103=0,0,bsd(AS$28,AS$27,AO103,$I103,$F103,$G103,$AH103,0.1))</f>
        <v>0</v>
      </c>
      <c r="AU103" s="37" t="n">
        <f aca="false">AN103*AR103</f>
        <v>0</v>
      </c>
      <c r="AV103" s="37" t="n">
        <f aca="false">AN103*AS103</f>
        <v>0</v>
      </c>
      <c r="AW103" s="37" t="n">
        <f aca="false">AN103*AT103</f>
        <v>0</v>
      </c>
      <c r="AY103" s="73" t="n">
        <f aca="false">IF($A103&gt;=AZ$25,IF($A103&lt;=AZ$26,$AI103,0),0)</f>
        <v>0</v>
      </c>
      <c r="AZ103" s="196" t="e">
        <f aca="false">BB103/AY103</f>
        <v>#DIV/0!</v>
      </c>
      <c r="BA103" s="1" t="n">
        <f aca="false">AY103*($B103+D$13)</f>
        <v>0</v>
      </c>
      <c r="BB103" s="47" t="n">
        <f aca="false">IF(ISNUMBER(((BA103/AY103)+D$14+$K103)*AY103),((BA103/AY103)+D$14+$K103)*AY103,0)</f>
        <v>0</v>
      </c>
      <c r="BC103" s="76" t="n">
        <f aca="false">IF(AY103=0,0,bsd(1,BD$27,AZ103,$P103,$M103,$N103,$AH103,0.1))</f>
        <v>0</v>
      </c>
      <c r="BD103" s="76" t="n">
        <f aca="false">IF(AY103=0,0,bsd(2,BD$27,AZ103,$P103,$M103,$N103,$AH103,0.1))</f>
        <v>0</v>
      </c>
      <c r="BE103" s="76" t="n">
        <f aca="false">IF(AY103=0,0,bsd(BD$28,BD$27,AZ103,$P103,$M103,$N103,$AH103,0.1))</f>
        <v>0</v>
      </c>
      <c r="BF103" s="37" t="n">
        <f aca="false">AY103*BC103</f>
        <v>0</v>
      </c>
      <c r="BG103" s="37" t="n">
        <f aca="false">AY103*BD103</f>
        <v>0</v>
      </c>
      <c r="BH103" s="37" t="n">
        <f aca="false">AY103*BE103</f>
        <v>0</v>
      </c>
      <c r="BJ103" s="73" t="n">
        <f aca="false">IF($A103&gt;=BK$25,IF($A103&lt;=BK$26,$AI103,0),0)</f>
        <v>0</v>
      </c>
      <c r="BK103" s="196" t="e">
        <f aca="false">BM103/BJ103</f>
        <v>#DIV/0!</v>
      </c>
      <c r="BL103" s="1" t="n">
        <f aca="false">BJ103*($B103+F$13)</f>
        <v>0</v>
      </c>
      <c r="BM103" s="47" t="n">
        <f aca="false">IF(ISNUMBER(((BL103/BJ103)+F$14+$R103)*BJ103),((BL103/BJ103)+F$14+$R103)*BJ103,0)</f>
        <v>0</v>
      </c>
      <c r="BN103" s="76" t="n">
        <f aca="false">IF(BJ103=0,0,bsd(1,BO$27,BK103,$W103,$T103,$U103,$AH103,0.1))</f>
        <v>0</v>
      </c>
      <c r="BO103" s="76" t="n">
        <f aca="false">IF(BJ103=0,0,bsd(2,BO$27,BK103,$W103,$T103,$U103,$AH103,0.1))</f>
        <v>0</v>
      </c>
      <c r="BP103" s="76" t="n">
        <f aca="false">IF(BJ103=0,0,bsd(BO$28,BO$27,BK103,$W103,$T103,$U103,$AH103,0.1))</f>
        <v>0</v>
      </c>
      <c r="BQ103" s="37" t="n">
        <f aca="false">BJ103*BN103</f>
        <v>0</v>
      </c>
      <c r="BR103" s="37" t="n">
        <f aca="false">BJ103*BO103</f>
        <v>0</v>
      </c>
      <c r="BS103" s="37" t="n">
        <f aca="false">BJ103*BP103</f>
        <v>0</v>
      </c>
      <c r="BU103" s="73" t="n">
        <f aca="false">IF($A103&gt;=BV$25,IF($A103&lt;=BV$26,$AI103,0),0)</f>
        <v>0</v>
      </c>
      <c r="BV103" s="196" t="e">
        <f aca="false">BX103/BU103</f>
        <v>#DIV/0!</v>
      </c>
      <c r="BW103" s="1" t="n">
        <f aca="false">BU103*($B103+H$13)</f>
        <v>0</v>
      </c>
      <c r="BX103" s="47" t="n">
        <f aca="false">IF(ISNUMBER(((BW103/BU103)+H$14+$Y103)*BU103),((BW103/BU103)+H$14+$Y103)*BU103,0)</f>
        <v>0</v>
      </c>
      <c r="BY103" s="76" t="n">
        <f aca="false">IF(BU103=0,0,bsd(1,BZ$27,BV103,$AD103,$AA103,$AB103,$AH103,0.1))</f>
        <v>0</v>
      </c>
      <c r="BZ103" s="76" t="n">
        <f aca="false">IF(BU103=0,0,bsd(2,BZ$27,BV103,$AD103,$AA103,$AB103,$AH103,0.1))</f>
        <v>0</v>
      </c>
      <c r="CA103" s="76" t="n">
        <f aca="false">IF(BU103=0,0,bsd(BZ$28,BZ$27,BV103,$AD103,$AA103,$AB103,$AH103,0.1))</f>
        <v>0</v>
      </c>
      <c r="CB103" s="37" t="n">
        <f aca="false">BU103*BY103</f>
        <v>0</v>
      </c>
      <c r="CC103" s="37" t="n">
        <f aca="false">BU103*BZ103</f>
        <v>0</v>
      </c>
      <c r="CD103" s="37" t="n">
        <f aca="false">BU103*CA103</f>
        <v>0</v>
      </c>
    </row>
    <row r="104" customFormat="false" ht="12.75" hidden="false" customHeight="false" outlineLevel="0" collapsed="false">
      <c r="A104" s="62" t="n">
        <f aca="false">DATE(YEAR(A103),MONTH(A103)+1,1)</f>
        <v>39479</v>
      </c>
      <c r="B104" s="63" t="n">
        <f aca="false">VLOOKUP(A104,STRADDLE,5,FALSE())</f>
        <v>3.8025</v>
      </c>
      <c r="C104" s="4" t="n">
        <f aca="false">VLOOKUP(A104,STRADDLE,8,FALSE())</f>
        <v>0.24</v>
      </c>
      <c r="D104" s="63" t="n">
        <f aca="false">IF(D$28="nymex",0,VLOOKUP($A104,curvesettle,HLOOKUP(D$28,curvesettle,2,FALSE())))</f>
        <v>-0.075</v>
      </c>
      <c r="E104" s="65" t="n">
        <f aca="false">IF(ISNUMBER(VLOOKUP($A104,VOLCURVES,HLOOKUP(D$28,VOLCURVES,2,FALSE()),FALSE())),VLOOKUP($A104,VOLCURVES,HLOOKUP(D$28,VOLCURVES,2,FALSE()),FALSE()),1)</f>
        <v>1</v>
      </c>
      <c r="F104" s="64" t="n">
        <f aca="false">IF(D$28="NYMEX",$AG104,$AF104)</f>
        <v>-6451</v>
      </c>
      <c r="G104" s="4" t="e">
        <f aca="false">(($C104+H104)*$E104)+B$15</f>
        <v>#DIV/0!</v>
      </c>
      <c r="H104" s="4" t="e">
        <f aca="false">IF(B$16=1,xCalcSkew(A104,I104-AO104,b)/100,0)</f>
        <v>#DIV/0!</v>
      </c>
      <c r="I104" s="66" t="n">
        <f aca="false">IF($B$19=4,$AO104,$B$18)</f>
        <v>5</v>
      </c>
      <c r="K104" s="63" t="n">
        <f aca="false">IF(K$28="nymex",0,VLOOKUP($A104,curvesettle,HLOOKUP(K$28,curvesettle,2,FALSE())))</f>
        <v>-0.075</v>
      </c>
      <c r="L104" s="65" t="n">
        <f aca="false">IF(ISNUMBER(VLOOKUP($A104,VOLCURVES,HLOOKUP(K$28,VOLCURVES,2,FALSE()),FALSE())),VLOOKUP($A104,VOLCURVES,HLOOKUP(K$28,VOLCURVES,2,FALSE()),FALSE()),1)</f>
        <v>1</v>
      </c>
      <c r="M104" s="64" t="n">
        <f aca="false">IF(K$28="NYMEX",$AG104,$AF104)</f>
        <v>-6451</v>
      </c>
      <c r="N104" s="184" t="e">
        <f aca="false">(($C104+O104)*$L104)+D$15</f>
        <v>#DIV/0!</v>
      </c>
      <c r="O104" s="4" t="e">
        <f aca="false">IF(D$16=1,xCalcSkew($A104,P104-AZ104,b)/100,0)</f>
        <v>#DIV/0!</v>
      </c>
      <c r="P104" s="66" t="n">
        <f aca="false">IF($D$19=4,$AZ104,$D$18)</f>
        <v>3</v>
      </c>
      <c r="R104" s="63" t="n">
        <f aca="false">IF(R$28="nymex",0,VLOOKUP($A104,curvesettle,HLOOKUP(R$28,curvesettle,2,FALSE())))</f>
        <v>-0.26</v>
      </c>
      <c r="S104" s="65" t="n">
        <f aca="false">IF(ISNUMBER(VLOOKUP($A104,VOLCURVES,HLOOKUP(R$28,VOLCURVES,2,FALSE()),FALSE())),VLOOKUP($A104,VOLCURVES,HLOOKUP(R$28,VOLCURVES,2,FALSE()),FALSE()),1)</f>
        <v>1</v>
      </c>
      <c r="T104" s="64" t="n">
        <f aca="false">IF(R$28="NYMEX",$AG104,$AF104)</f>
        <v>-6451</v>
      </c>
      <c r="U104" s="184" t="e">
        <f aca="false">(($C104+V104)*$S104)+F$15</f>
        <v>#DIV/0!</v>
      </c>
      <c r="V104" s="4" t="e">
        <f aca="false">IF(F$16=1,xCalcSkew($A104,W104-BK104,b)/100,0)</f>
        <v>#DIV/0!</v>
      </c>
      <c r="W104" s="66" t="n">
        <f aca="false">IF($F$19=4,$BK104,$F$18)</f>
        <v>2.55</v>
      </c>
      <c r="X104" s="64"/>
      <c r="Y104" s="63" t="n">
        <f aca="false">IF(Y$28="nymex",0,VLOOKUP($A104,curvesettle,HLOOKUP(Y$28,curvesettle,2,FALSE())))</f>
        <v>0</v>
      </c>
      <c r="Z104" s="65" t="n">
        <f aca="false">IF(ISNUMBER(VLOOKUP($A104,VOLCURVES,HLOOKUP(Y$28,VOLCURVES,2,FALSE()),FALSE())),VLOOKUP($A104,VOLCURVES,HLOOKUP(Y$28,VOLCURVES,2,FALSE()),FALSE()),1)</f>
        <v>1</v>
      </c>
      <c r="AA104" s="64" t="n">
        <f aca="false">IF(Y$28="NYMEX",$AG104,$AF104)</f>
        <v>-6452</v>
      </c>
      <c r="AB104" s="4" t="e">
        <f aca="false">(($C104+AC104)*$Z104)+H$15</f>
        <v>#DIV/0!</v>
      </c>
      <c r="AC104" s="4" t="e">
        <f aca="false">IF(H$16=1,xCalcSkew($A104,AD104-BV104,b)/100,0)</f>
        <v>#DIV/0!</v>
      </c>
      <c r="AD104" s="66" t="n">
        <f aca="false">IF($H$19=4,$BV104,$H$18)</f>
        <v>2.9</v>
      </c>
      <c r="AF104" s="64" t="n">
        <f aca="false">VLOOKUP($A104,expiration,2,FALSE())-$B$2</f>
        <v>-6451</v>
      </c>
      <c r="AG104" s="64" t="n">
        <f aca="false">VLOOKUP($A104,expiration,3,FALSE())-$B$2</f>
        <v>-6452</v>
      </c>
      <c r="AH104" s="4" t="n">
        <f aca="false">VLOOKUP($A104,STRADDLE,14,FALSE())</f>
        <v>0.0537105483925497</v>
      </c>
      <c r="AI104" s="72" t="n">
        <f aca="false">A105-A104</f>
        <v>29</v>
      </c>
      <c r="AL104" s="64"/>
      <c r="AM104" s="73"/>
      <c r="AN104" s="73" t="n">
        <f aca="false">IF($A104&gt;=AO$25,IF($A104&lt;=AO$26,$AI104,0),0)</f>
        <v>0</v>
      </c>
      <c r="AO104" s="196" t="e">
        <f aca="false">AQ104/AN104</f>
        <v>#DIV/0!</v>
      </c>
      <c r="AP104" s="1" t="n">
        <f aca="false">AN104*($B104+B$13)</f>
        <v>0</v>
      </c>
      <c r="AQ104" s="47" t="n">
        <f aca="false">IF(ISNUMBER(((AP104/AN104)+B$14+$D104)*AN104),((AP104/AN104)+B$14+$D104)*AN104,0)</f>
        <v>0</v>
      </c>
      <c r="AR104" s="76" t="n">
        <f aca="false">IF(AN104=0,0,bsd(1,AS$27,AO104,$I104,$F104,$G104,$AH104,0.1))</f>
        <v>0</v>
      </c>
      <c r="AS104" s="76" t="n">
        <f aca="false">IF(AN104=0,0,bsd(2,AS$27,AO104,$I104,$F104,$G104,$AH104,0.1))</f>
        <v>0</v>
      </c>
      <c r="AT104" s="76" t="n">
        <f aca="false">IF(AN104=0,0,bsd(AS$28,AS$27,AO104,$I104,$F104,$G104,$AH104,0.1))</f>
        <v>0</v>
      </c>
      <c r="AU104" s="37" t="n">
        <f aca="false">AN104*AR104</f>
        <v>0</v>
      </c>
      <c r="AV104" s="37" t="n">
        <f aca="false">AN104*AS104</f>
        <v>0</v>
      </c>
      <c r="AW104" s="37" t="n">
        <f aca="false">AN104*AT104</f>
        <v>0</v>
      </c>
      <c r="AY104" s="73" t="n">
        <f aca="false">IF($A104&gt;=AZ$25,IF($A104&lt;=AZ$26,$AI104,0),0)</f>
        <v>0</v>
      </c>
      <c r="AZ104" s="196" t="e">
        <f aca="false">BB104/AY104</f>
        <v>#DIV/0!</v>
      </c>
      <c r="BA104" s="1" t="n">
        <f aca="false">AY104*($B104+D$13)</f>
        <v>0</v>
      </c>
      <c r="BB104" s="47" t="n">
        <f aca="false">IF(ISNUMBER(((BA104/AY104)+D$14+$K104)*AY104),((BA104/AY104)+D$14+$K104)*AY104,0)</f>
        <v>0</v>
      </c>
      <c r="BC104" s="76" t="n">
        <f aca="false">IF(AY104=0,0,bsd(1,BD$27,AZ104,$P104,$M104,$N104,$AH104,0.1))</f>
        <v>0</v>
      </c>
      <c r="BD104" s="76" t="n">
        <f aca="false">IF(AY104=0,0,bsd(2,BD$27,AZ104,$P104,$M104,$N104,$AH104,0.1))</f>
        <v>0</v>
      </c>
      <c r="BE104" s="76" t="n">
        <f aca="false">IF(AY104=0,0,bsd(BD$28,BD$27,AZ104,$P104,$M104,$N104,$AH104,0.1))</f>
        <v>0</v>
      </c>
      <c r="BF104" s="37" t="n">
        <f aca="false">AY104*BC104</f>
        <v>0</v>
      </c>
      <c r="BG104" s="37" t="n">
        <f aca="false">AY104*BD104</f>
        <v>0</v>
      </c>
      <c r="BH104" s="37" t="n">
        <f aca="false">AY104*BE104</f>
        <v>0</v>
      </c>
      <c r="BJ104" s="73" t="n">
        <f aca="false">IF($A104&gt;=BK$25,IF($A104&lt;=BK$26,$AI104,0),0)</f>
        <v>0</v>
      </c>
      <c r="BK104" s="196" t="e">
        <f aca="false">BM104/BJ104</f>
        <v>#DIV/0!</v>
      </c>
      <c r="BL104" s="1" t="n">
        <f aca="false">BJ104*($B104+F$13)</f>
        <v>0</v>
      </c>
      <c r="BM104" s="47" t="n">
        <f aca="false">IF(ISNUMBER(((BL104/BJ104)+F$14+$R104)*BJ104),((BL104/BJ104)+F$14+$R104)*BJ104,0)</f>
        <v>0</v>
      </c>
      <c r="BN104" s="76" t="n">
        <f aca="false">IF(BJ104=0,0,bsd(1,BO$27,BK104,$W104,$T104,$U104,$AH104,0.1))</f>
        <v>0</v>
      </c>
      <c r="BO104" s="76" t="n">
        <f aca="false">IF(BJ104=0,0,bsd(2,BO$27,BK104,$W104,$T104,$U104,$AH104,0.1))</f>
        <v>0</v>
      </c>
      <c r="BP104" s="76" t="n">
        <f aca="false">IF(BJ104=0,0,bsd(BO$28,BO$27,BK104,$W104,$T104,$U104,$AH104,0.1))</f>
        <v>0</v>
      </c>
      <c r="BQ104" s="37" t="n">
        <f aca="false">BJ104*BN104</f>
        <v>0</v>
      </c>
      <c r="BR104" s="37" t="n">
        <f aca="false">BJ104*BO104</f>
        <v>0</v>
      </c>
      <c r="BS104" s="37" t="n">
        <f aca="false">BJ104*BP104</f>
        <v>0</v>
      </c>
      <c r="BU104" s="73" t="n">
        <f aca="false">IF($A104&gt;=BV$25,IF($A104&lt;=BV$26,$AI104,0),0)</f>
        <v>0</v>
      </c>
      <c r="BV104" s="196" t="e">
        <f aca="false">BX104/BU104</f>
        <v>#DIV/0!</v>
      </c>
      <c r="BW104" s="1" t="n">
        <f aca="false">BU104*($B104+H$13)</f>
        <v>0</v>
      </c>
      <c r="BX104" s="47" t="n">
        <f aca="false">IF(ISNUMBER(((BW104/BU104)+H$14+$Y104)*BU104),((BW104/BU104)+H$14+$Y104)*BU104,0)</f>
        <v>0</v>
      </c>
      <c r="BY104" s="76" t="n">
        <f aca="false">IF(BU104=0,0,bsd(1,BZ$27,BV104,$AD104,$AA104,$AB104,$AH104,0.1))</f>
        <v>0</v>
      </c>
      <c r="BZ104" s="76" t="n">
        <f aca="false">IF(BU104=0,0,bsd(2,BZ$27,BV104,$AD104,$AA104,$AB104,$AH104,0.1))</f>
        <v>0</v>
      </c>
      <c r="CA104" s="76" t="n">
        <f aca="false">IF(BU104=0,0,bsd(BZ$28,BZ$27,BV104,$AD104,$AA104,$AB104,$AH104,0.1))</f>
        <v>0</v>
      </c>
      <c r="CB104" s="37" t="n">
        <f aca="false">BU104*BY104</f>
        <v>0</v>
      </c>
      <c r="CC104" s="37" t="n">
        <f aca="false">BU104*BZ104</f>
        <v>0</v>
      </c>
      <c r="CD104" s="37" t="n">
        <f aca="false">BU104*CA104</f>
        <v>0</v>
      </c>
    </row>
    <row r="105" customFormat="false" ht="12.75" hidden="false" customHeight="false" outlineLevel="0" collapsed="false">
      <c r="A105" s="62" t="n">
        <f aca="false">DATE(YEAR(A104),MONTH(A104)+1,1)</f>
        <v>39508</v>
      </c>
      <c r="B105" s="63" t="n">
        <f aca="false">VLOOKUP(A105,STRADDLE,5,FALSE())</f>
        <v>3.6725</v>
      </c>
      <c r="C105" s="4" t="n">
        <f aca="false">VLOOKUP(A105,STRADDLE,8,FALSE())</f>
        <v>0.235</v>
      </c>
      <c r="D105" s="63" t="n">
        <f aca="false">IF(D$28="nymex",0,VLOOKUP($A105,curvesettle,HLOOKUP(D$28,curvesettle,2,FALSE())))</f>
        <v>-0.075</v>
      </c>
      <c r="E105" s="65" t="n">
        <f aca="false">IF(ISNUMBER(VLOOKUP($A105,VOLCURVES,HLOOKUP(D$28,VOLCURVES,2,FALSE()),FALSE())),VLOOKUP($A105,VOLCURVES,HLOOKUP(D$28,VOLCURVES,2,FALSE()),FALSE()),1)</f>
        <v>1</v>
      </c>
      <c r="F105" s="64" t="n">
        <f aca="false">IF(D$28="NYMEX",$AG105,$AF105)</f>
        <v>-6422</v>
      </c>
      <c r="G105" s="4" t="e">
        <f aca="false">(($C105+H105)*$E105)+B$15</f>
        <v>#DIV/0!</v>
      </c>
      <c r="H105" s="4" t="e">
        <f aca="false">IF(B$16=1,xCalcSkew(A105,I105-AO105,b)/100,0)</f>
        <v>#DIV/0!</v>
      </c>
      <c r="I105" s="66" t="n">
        <f aca="false">IF($B$19=4,$AO105,$B$18)</f>
        <v>5</v>
      </c>
      <c r="K105" s="63" t="n">
        <f aca="false">IF(K$28="nymex",0,VLOOKUP($A105,curvesettle,HLOOKUP(K$28,curvesettle,2,FALSE())))</f>
        <v>-0.075</v>
      </c>
      <c r="L105" s="65" t="n">
        <f aca="false">IF(ISNUMBER(VLOOKUP($A105,VOLCURVES,HLOOKUP(K$28,VOLCURVES,2,FALSE()),FALSE())),VLOOKUP($A105,VOLCURVES,HLOOKUP(K$28,VOLCURVES,2,FALSE()),FALSE()),1)</f>
        <v>1</v>
      </c>
      <c r="M105" s="64" t="n">
        <f aca="false">IF(K$28="NYMEX",$AG105,$AF105)</f>
        <v>-6422</v>
      </c>
      <c r="N105" s="184" t="e">
        <f aca="false">(($C105+O105)*$L105)+D$15</f>
        <v>#DIV/0!</v>
      </c>
      <c r="O105" s="4" t="e">
        <f aca="false">IF(D$16=1,xCalcSkew($A105,P105-AZ105,b)/100,0)</f>
        <v>#DIV/0!</v>
      </c>
      <c r="P105" s="66" t="n">
        <f aca="false">IF($D$19=4,$AZ105,$D$18)</f>
        <v>3</v>
      </c>
      <c r="R105" s="63" t="n">
        <f aca="false">IF(R$28="nymex",0,VLOOKUP($A105,curvesettle,HLOOKUP(R$28,curvesettle,2,FALSE())))</f>
        <v>-0.26</v>
      </c>
      <c r="S105" s="65" t="n">
        <f aca="false">IF(ISNUMBER(VLOOKUP($A105,VOLCURVES,HLOOKUP(R$28,VOLCURVES,2,FALSE()),FALSE())),VLOOKUP($A105,VOLCURVES,HLOOKUP(R$28,VOLCURVES,2,FALSE()),FALSE()),1)</f>
        <v>1</v>
      </c>
      <c r="T105" s="64" t="n">
        <f aca="false">IF(R$28="NYMEX",$AG105,$AF105)</f>
        <v>-6422</v>
      </c>
      <c r="U105" s="184" t="e">
        <f aca="false">(($C105+V105)*$S105)+F$15</f>
        <v>#DIV/0!</v>
      </c>
      <c r="V105" s="4" t="e">
        <f aca="false">IF(F$16=1,xCalcSkew($A105,W105-BK105,b)/100,0)</f>
        <v>#DIV/0!</v>
      </c>
      <c r="W105" s="66" t="n">
        <f aca="false">IF($F$19=4,$BK105,$F$18)</f>
        <v>2.55</v>
      </c>
      <c r="X105" s="64"/>
      <c r="Y105" s="63" t="n">
        <f aca="false">IF(Y$28="nymex",0,VLOOKUP($A105,curvesettle,HLOOKUP(Y$28,curvesettle,2,FALSE())))</f>
        <v>0</v>
      </c>
      <c r="Z105" s="65" t="n">
        <f aca="false">IF(ISNUMBER(VLOOKUP($A105,VOLCURVES,HLOOKUP(Y$28,VOLCURVES,2,FALSE()),FALSE())),VLOOKUP($A105,VOLCURVES,HLOOKUP(Y$28,VOLCURVES,2,FALSE()),FALSE()),1)</f>
        <v>1</v>
      </c>
      <c r="AA105" s="64" t="n">
        <f aca="false">IF(Y$28="NYMEX",$AG105,$AF105)</f>
        <v>-6423</v>
      </c>
      <c r="AB105" s="4" t="e">
        <f aca="false">(($C105+AC105)*$Z105)+H$15</f>
        <v>#DIV/0!</v>
      </c>
      <c r="AC105" s="4" t="e">
        <f aca="false">IF(H$16=1,xCalcSkew($A105,AD105-BV105,b)/100,0)</f>
        <v>#DIV/0!</v>
      </c>
      <c r="AD105" s="66" t="n">
        <f aca="false">IF($H$19=4,$BV105,$H$18)</f>
        <v>2.9</v>
      </c>
      <c r="AF105" s="64" t="n">
        <f aca="false">VLOOKUP($A105,expiration,2,FALSE())-$B$2</f>
        <v>-6422</v>
      </c>
      <c r="AG105" s="64" t="n">
        <f aca="false">VLOOKUP($A105,expiration,3,FALSE())-$B$2</f>
        <v>-6423</v>
      </c>
      <c r="AH105" s="4" t="n">
        <f aca="false">VLOOKUP($A105,STRADDLE,14,FALSE())</f>
        <v>0.0538803515741155</v>
      </c>
      <c r="AI105" s="72" t="n">
        <f aca="false">A106-A105</f>
        <v>31</v>
      </c>
      <c r="AL105" s="64"/>
      <c r="AM105" s="73"/>
      <c r="AN105" s="73" t="n">
        <f aca="false">IF($A105&gt;=AO$25,IF($A105&lt;=AO$26,$AI105,0),0)</f>
        <v>0</v>
      </c>
      <c r="AO105" s="196" t="e">
        <f aca="false">AQ105/AN105</f>
        <v>#DIV/0!</v>
      </c>
      <c r="AP105" s="1" t="n">
        <f aca="false">AN105*($B105+B$13)</f>
        <v>0</v>
      </c>
      <c r="AQ105" s="47" t="n">
        <f aca="false">IF(ISNUMBER(((AP105/AN105)+B$14+$D105)*AN105),((AP105/AN105)+B$14+$D105)*AN105,0)</f>
        <v>0</v>
      </c>
      <c r="AR105" s="76" t="n">
        <f aca="false">IF(AN105=0,0,bsd(1,AS$27,AO105,$I105,$F105,$G105,$AH105,0.1))</f>
        <v>0</v>
      </c>
      <c r="AS105" s="76" t="n">
        <f aca="false">IF(AN105=0,0,bsd(2,AS$27,AO105,$I105,$F105,$G105,$AH105,0.1))</f>
        <v>0</v>
      </c>
      <c r="AT105" s="76" t="n">
        <f aca="false">IF(AN105=0,0,bsd(AS$28,AS$27,AO105,$I105,$F105,$G105,$AH105,0.1))</f>
        <v>0</v>
      </c>
      <c r="AU105" s="37" t="n">
        <f aca="false">AN105*AR105</f>
        <v>0</v>
      </c>
      <c r="AV105" s="37" t="n">
        <f aca="false">AN105*AS105</f>
        <v>0</v>
      </c>
      <c r="AW105" s="37" t="n">
        <f aca="false">AN105*AT105</f>
        <v>0</v>
      </c>
      <c r="AY105" s="73" t="n">
        <f aca="false">IF($A105&gt;=AZ$25,IF($A105&lt;=AZ$26,$AI105,0),0)</f>
        <v>0</v>
      </c>
      <c r="AZ105" s="196" t="e">
        <f aca="false">BB105/AY105</f>
        <v>#DIV/0!</v>
      </c>
      <c r="BA105" s="1" t="n">
        <f aca="false">AY105*($B105+D$13)</f>
        <v>0</v>
      </c>
      <c r="BB105" s="47" t="n">
        <f aca="false">IF(ISNUMBER(((BA105/AY105)+D$14+$K105)*AY105),((BA105/AY105)+D$14+$K105)*AY105,0)</f>
        <v>0</v>
      </c>
      <c r="BC105" s="76" t="n">
        <f aca="false">IF(AY105=0,0,bsd(1,BD$27,AZ105,$P105,$M105,$N105,$AH105,0.1))</f>
        <v>0</v>
      </c>
      <c r="BD105" s="76" t="n">
        <f aca="false">IF(AY105=0,0,bsd(2,BD$27,AZ105,$P105,$M105,$N105,$AH105,0.1))</f>
        <v>0</v>
      </c>
      <c r="BE105" s="76" t="n">
        <f aca="false">IF(AY105=0,0,bsd(BD$28,BD$27,AZ105,$P105,$M105,$N105,$AH105,0.1))</f>
        <v>0</v>
      </c>
      <c r="BF105" s="37" t="n">
        <f aca="false">AY105*BC105</f>
        <v>0</v>
      </c>
      <c r="BG105" s="37" t="n">
        <f aca="false">AY105*BD105</f>
        <v>0</v>
      </c>
      <c r="BH105" s="37" t="n">
        <f aca="false">AY105*BE105</f>
        <v>0</v>
      </c>
      <c r="BJ105" s="73" t="n">
        <f aca="false">IF($A105&gt;=BK$25,IF($A105&lt;=BK$26,$AI105,0),0)</f>
        <v>0</v>
      </c>
      <c r="BK105" s="196" t="e">
        <f aca="false">BM105/BJ105</f>
        <v>#DIV/0!</v>
      </c>
      <c r="BL105" s="1" t="n">
        <f aca="false">BJ105*($B105+F$13)</f>
        <v>0</v>
      </c>
      <c r="BM105" s="47" t="n">
        <f aca="false">IF(ISNUMBER(((BL105/BJ105)+F$14+$R105)*BJ105),((BL105/BJ105)+F$14+$R105)*BJ105,0)</f>
        <v>0</v>
      </c>
      <c r="BN105" s="76" t="n">
        <f aca="false">IF(BJ105=0,0,bsd(1,BO$27,BK105,$W105,$T105,$U105,$AH105,0.1))</f>
        <v>0</v>
      </c>
      <c r="BO105" s="76" t="n">
        <f aca="false">IF(BJ105=0,0,bsd(2,BO$27,BK105,$W105,$T105,$U105,$AH105,0.1))</f>
        <v>0</v>
      </c>
      <c r="BP105" s="76" t="n">
        <f aca="false">IF(BJ105=0,0,bsd(BO$28,BO$27,BK105,$W105,$T105,$U105,$AH105,0.1))</f>
        <v>0</v>
      </c>
      <c r="BQ105" s="37" t="n">
        <f aca="false">BJ105*BN105</f>
        <v>0</v>
      </c>
      <c r="BR105" s="37" t="n">
        <f aca="false">BJ105*BO105</f>
        <v>0</v>
      </c>
      <c r="BS105" s="37" t="n">
        <f aca="false">BJ105*BP105</f>
        <v>0</v>
      </c>
      <c r="BU105" s="73" t="n">
        <f aca="false">IF($A105&gt;=BV$25,IF($A105&lt;=BV$26,$AI105,0),0)</f>
        <v>0</v>
      </c>
      <c r="BV105" s="196" t="e">
        <f aca="false">BX105/BU105</f>
        <v>#DIV/0!</v>
      </c>
      <c r="BW105" s="1" t="n">
        <f aca="false">BU105*($B105+H$13)</f>
        <v>0</v>
      </c>
      <c r="BX105" s="47" t="n">
        <f aca="false">IF(ISNUMBER(((BW105/BU105)+H$14+$Y105)*BU105),((BW105/BU105)+H$14+$Y105)*BU105,0)</f>
        <v>0</v>
      </c>
      <c r="BY105" s="76" t="n">
        <f aca="false">IF(BU105=0,0,bsd(1,BZ$27,BV105,$AD105,$AA105,$AB105,$AH105,0.1))</f>
        <v>0</v>
      </c>
      <c r="BZ105" s="76" t="n">
        <f aca="false">IF(BU105=0,0,bsd(2,BZ$27,BV105,$AD105,$AA105,$AB105,$AH105,0.1))</f>
        <v>0</v>
      </c>
      <c r="CA105" s="76" t="n">
        <f aca="false">IF(BU105=0,0,bsd(BZ$28,BZ$27,BV105,$AD105,$AA105,$AB105,$AH105,0.1))</f>
        <v>0</v>
      </c>
      <c r="CB105" s="37" t="n">
        <f aca="false">BU105*BY105</f>
        <v>0</v>
      </c>
      <c r="CC105" s="37" t="n">
        <f aca="false">BU105*BZ105</f>
        <v>0</v>
      </c>
      <c r="CD105" s="37" t="n">
        <f aca="false">BU105*CA105</f>
        <v>0</v>
      </c>
    </row>
    <row r="106" customFormat="false" ht="12.75" hidden="false" customHeight="false" outlineLevel="0" collapsed="false">
      <c r="A106" s="62" t="n">
        <f aca="false">DATE(YEAR(A105),MONTH(A105)+1,1)</f>
        <v>39539</v>
      </c>
      <c r="B106" s="63" t="n">
        <f aca="false">VLOOKUP(A106,STRADDLE,5,FALSE())</f>
        <v>3.4875</v>
      </c>
      <c r="C106" s="4" t="n">
        <f aca="false">VLOOKUP(A106,STRADDLE,8,FALSE())</f>
        <v>0.23</v>
      </c>
      <c r="D106" s="63" t="n">
        <f aca="false">IF(D$28="nymex",0,VLOOKUP($A106,curvesettle,HLOOKUP(D$28,curvesettle,2,FALSE())))</f>
        <v>-0.0725</v>
      </c>
      <c r="E106" s="65" t="n">
        <f aca="false">IF(ISNUMBER(VLOOKUP($A106,VOLCURVES,HLOOKUP(D$28,VOLCURVES,2,FALSE()),FALSE())),VLOOKUP($A106,VOLCURVES,HLOOKUP(D$28,VOLCURVES,2,FALSE()),FALSE()),1)</f>
        <v>1</v>
      </c>
      <c r="F106" s="64" t="n">
        <f aca="false">IF(D$28="NYMEX",$AG106,$AF106)</f>
        <v>-6393</v>
      </c>
      <c r="G106" s="4" t="e">
        <f aca="false">(($C106+H106)*$E106)+B$15</f>
        <v>#DIV/0!</v>
      </c>
      <c r="H106" s="4" t="e">
        <f aca="false">IF(B$16=1,xCalcSkew(A106,I106-AO106,b)/100,0)</f>
        <v>#DIV/0!</v>
      </c>
      <c r="I106" s="66" t="n">
        <f aca="false">IF($B$19=4,$AO106,$B$18)</f>
        <v>5</v>
      </c>
      <c r="K106" s="63" t="n">
        <f aca="false">IF(K$28="nymex",0,VLOOKUP($A106,curvesettle,HLOOKUP(K$28,curvesettle,2,FALSE())))</f>
        <v>-0.0725</v>
      </c>
      <c r="L106" s="65" t="n">
        <f aca="false">IF(ISNUMBER(VLOOKUP($A106,VOLCURVES,HLOOKUP(K$28,VOLCURVES,2,FALSE()),FALSE())),VLOOKUP($A106,VOLCURVES,HLOOKUP(K$28,VOLCURVES,2,FALSE()),FALSE()),1)</f>
        <v>1</v>
      </c>
      <c r="M106" s="64" t="n">
        <f aca="false">IF(K$28="NYMEX",$AG106,$AF106)</f>
        <v>-6393</v>
      </c>
      <c r="N106" s="184" t="e">
        <f aca="false">(($C106+O106)*$L106)+D$15</f>
        <v>#DIV/0!</v>
      </c>
      <c r="O106" s="4" t="e">
        <f aca="false">IF(D$16=1,xCalcSkew($A106,P106-AZ106,b)/100,0)</f>
        <v>#DIV/0!</v>
      </c>
      <c r="P106" s="66" t="n">
        <f aca="false">IF($D$19=4,$AZ106,$D$18)</f>
        <v>3</v>
      </c>
      <c r="R106" s="63" t="n">
        <f aca="false">IF(R$28="nymex",0,VLOOKUP($A106,curvesettle,HLOOKUP(R$28,curvesettle,2,FALSE())))</f>
        <v>-0.39</v>
      </c>
      <c r="S106" s="65" t="n">
        <f aca="false">IF(ISNUMBER(VLOOKUP($A106,VOLCURVES,HLOOKUP(R$28,VOLCURVES,2,FALSE()),FALSE())),VLOOKUP($A106,VOLCURVES,HLOOKUP(R$28,VOLCURVES,2,FALSE()),FALSE()),1)</f>
        <v>1</v>
      </c>
      <c r="T106" s="64" t="n">
        <f aca="false">IF(R$28="NYMEX",$AG106,$AF106)</f>
        <v>-6393</v>
      </c>
      <c r="U106" s="184" t="e">
        <f aca="false">(($C106+V106)*$S106)+F$15</f>
        <v>#DIV/0!</v>
      </c>
      <c r="V106" s="4" t="e">
        <f aca="false">IF(F$16=1,xCalcSkew($A106,W106-BK106,b)/100,0)</f>
        <v>#DIV/0!</v>
      </c>
      <c r="W106" s="66" t="n">
        <f aca="false">IF($F$19=4,$BK106,$F$18)</f>
        <v>2.55</v>
      </c>
      <c r="X106" s="64"/>
      <c r="Y106" s="63" t="n">
        <f aca="false">IF(Y$28="nymex",0,VLOOKUP($A106,curvesettle,HLOOKUP(Y$28,curvesettle,2,FALSE())))</f>
        <v>0</v>
      </c>
      <c r="Z106" s="65" t="n">
        <f aca="false">IF(ISNUMBER(VLOOKUP($A106,VOLCURVES,HLOOKUP(Y$28,VOLCURVES,2,FALSE()),FALSE())),VLOOKUP($A106,VOLCURVES,HLOOKUP(Y$28,VOLCURVES,2,FALSE()),FALSE()),1)</f>
        <v>1</v>
      </c>
      <c r="AA106" s="64" t="n">
        <f aca="false">IF(Y$28="NYMEX",$AG106,$AF106)</f>
        <v>-6394</v>
      </c>
      <c r="AB106" s="4" t="e">
        <f aca="false">(($C106+AC106)*$Z106)+H$15</f>
        <v>#DIV/0!</v>
      </c>
      <c r="AC106" s="4" t="e">
        <f aca="false">IF(H$16=1,xCalcSkew($A106,AD106-BV106,b)/100,0)</f>
        <v>#DIV/0!</v>
      </c>
      <c r="AD106" s="66" t="n">
        <f aca="false">IF($H$19=4,$BV106,$H$18)</f>
        <v>2.9</v>
      </c>
      <c r="AF106" s="64" t="n">
        <f aca="false">VLOOKUP($A106,expiration,2,FALSE())-$B$2</f>
        <v>-6393</v>
      </c>
      <c r="AG106" s="64" t="n">
        <f aca="false">VLOOKUP($A106,expiration,3,FALSE())-$B$2</f>
        <v>-6394</v>
      </c>
      <c r="AH106" s="4" t="n">
        <f aca="false">VLOOKUP($A106,STRADDLE,14,FALSE())</f>
        <v>0.0540618653305529</v>
      </c>
      <c r="AI106" s="72" t="n">
        <f aca="false">A107-A106</f>
        <v>30</v>
      </c>
      <c r="AL106" s="64"/>
      <c r="AM106" s="73"/>
      <c r="AN106" s="73" t="n">
        <f aca="false">IF($A106&gt;=AO$25,IF($A106&lt;=AO$26,$AI106,0),0)</f>
        <v>0</v>
      </c>
      <c r="AO106" s="196" t="e">
        <f aca="false">AQ106/AN106</f>
        <v>#DIV/0!</v>
      </c>
      <c r="AP106" s="1" t="n">
        <f aca="false">AN106*($B106+B$13)</f>
        <v>0</v>
      </c>
      <c r="AQ106" s="47" t="n">
        <f aca="false">IF(ISNUMBER(((AP106/AN106)+B$14+$D106)*AN106),((AP106/AN106)+B$14+$D106)*AN106,0)</f>
        <v>0</v>
      </c>
      <c r="AR106" s="76" t="n">
        <f aca="false">IF(AN106=0,0,bsd(1,AS$27,AO106,$I106,$F106,$G106,$AH106,0.1))</f>
        <v>0</v>
      </c>
      <c r="AS106" s="76" t="n">
        <f aca="false">IF(AN106=0,0,bsd(2,AS$27,AO106,$I106,$F106,$G106,$AH106,0.1))</f>
        <v>0</v>
      </c>
      <c r="AT106" s="76" t="n">
        <f aca="false">IF(AN106=0,0,bsd(AS$28,AS$27,AO106,$I106,$F106,$G106,$AH106,0.1))</f>
        <v>0</v>
      </c>
      <c r="AU106" s="37" t="n">
        <f aca="false">AN106*AR106</f>
        <v>0</v>
      </c>
      <c r="AV106" s="37" t="n">
        <f aca="false">AN106*AS106</f>
        <v>0</v>
      </c>
      <c r="AW106" s="37" t="n">
        <f aca="false">AN106*AT106</f>
        <v>0</v>
      </c>
      <c r="AY106" s="73" t="n">
        <f aca="false">IF($A106&gt;=AZ$25,IF($A106&lt;=AZ$26,$AI106,0),0)</f>
        <v>0</v>
      </c>
      <c r="AZ106" s="196" t="e">
        <f aca="false">BB106/AY106</f>
        <v>#DIV/0!</v>
      </c>
      <c r="BA106" s="1" t="n">
        <f aca="false">AY106*($B106+D$13)</f>
        <v>0</v>
      </c>
      <c r="BB106" s="47" t="n">
        <f aca="false">IF(ISNUMBER(((BA106/AY106)+D$14+$K106)*AY106),((BA106/AY106)+D$14+$K106)*AY106,0)</f>
        <v>0</v>
      </c>
      <c r="BC106" s="76" t="n">
        <f aca="false">IF(AY106=0,0,bsd(1,BD$27,AZ106,$P106,$M106,$N106,$AH106,0.1))</f>
        <v>0</v>
      </c>
      <c r="BD106" s="76" t="n">
        <f aca="false">IF(AY106=0,0,bsd(2,BD$27,AZ106,$P106,$M106,$N106,$AH106,0.1))</f>
        <v>0</v>
      </c>
      <c r="BE106" s="76" t="n">
        <f aca="false">IF(AY106=0,0,bsd(BD$28,BD$27,AZ106,$P106,$M106,$N106,$AH106,0.1))</f>
        <v>0</v>
      </c>
      <c r="BF106" s="37" t="n">
        <f aca="false">AY106*BC106</f>
        <v>0</v>
      </c>
      <c r="BG106" s="37" t="n">
        <f aca="false">AY106*BD106</f>
        <v>0</v>
      </c>
      <c r="BH106" s="37" t="n">
        <f aca="false">AY106*BE106</f>
        <v>0</v>
      </c>
      <c r="BJ106" s="73" t="n">
        <f aca="false">IF($A106&gt;=BK$25,IF($A106&lt;=BK$26,$AI106,0),0)</f>
        <v>0</v>
      </c>
      <c r="BK106" s="196" t="e">
        <f aca="false">BM106/BJ106</f>
        <v>#DIV/0!</v>
      </c>
      <c r="BL106" s="1" t="n">
        <f aca="false">BJ106*($B106+F$13)</f>
        <v>0</v>
      </c>
      <c r="BM106" s="47" t="n">
        <f aca="false">IF(ISNUMBER(((BL106/BJ106)+F$14+$R106)*BJ106),((BL106/BJ106)+F$14+$R106)*BJ106,0)</f>
        <v>0</v>
      </c>
      <c r="BN106" s="76" t="n">
        <f aca="false">IF(BJ106=0,0,bsd(1,BO$27,BK106,$W106,$T106,$U106,$AH106,0.1))</f>
        <v>0</v>
      </c>
      <c r="BO106" s="76" t="n">
        <f aca="false">IF(BJ106=0,0,bsd(2,BO$27,BK106,$W106,$T106,$U106,$AH106,0.1))</f>
        <v>0</v>
      </c>
      <c r="BP106" s="76" t="n">
        <f aca="false">IF(BJ106=0,0,bsd(BO$28,BO$27,BK106,$W106,$T106,$U106,$AH106,0.1))</f>
        <v>0</v>
      </c>
      <c r="BQ106" s="37" t="n">
        <f aca="false">BJ106*BN106</f>
        <v>0</v>
      </c>
      <c r="BR106" s="37" t="n">
        <f aca="false">BJ106*BO106</f>
        <v>0</v>
      </c>
      <c r="BS106" s="37" t="n">
        <f aca="false">BJ106*BP106</f>
        <v>0</v>
      </c>
      <c r="BU106" s="73" t="n">
        <f aca="false">IF($A106&gt;=BV$25,IF($A106&lt;=BV$26,$AI106,0),0)</f>
        <v>0</v>
      </c>
      <c r="BV106" s="196" t="e">
        <f aca="false">BX106/BU106</f>
        <v>#DIV/0!</v>
      </c>
      <c r="BW106" s="1" t="n">
        <f aca="false">BU106*($B106+H$13)</f>
        <v>0</v>
      </c>
      <c r="BX106" s="47" t="n">
        <f aca="false">IF(ISNUMBER(((BW106/BU106)+H$14+$Y106)*BU106),((BW106/BU106)+H$14+$Y106)*BU106,0)</f>
        <v>0</v>
      </c>
      <c r="BY106" s="76" t="n">
        <f aca="false">IF(BU106=0,0,bsd(1,BZ$27,BV106,$AD106,$AA106,$AB106,$AH106,0.1))</f>
        <v>0</v>
      </c>
      <c r="BZ106" s="76" t="n">
        <f aca="false">IF(BU106=0,0,bsd(2,BZ$27,BV106,$AD106,$AA106,$AB106,$AH106,0.1))</f>
        <v>0</v>
      </c>
      <c r="CA106" s="76" t="n">
        <f aca="false">IF(BU106=0,0,bsd(BZ$28,BZ$27,BV106,$AD106,$AA106,$AB106,$AH106,0.1))</f>
        <v>0</v>
      </c>
      <c r="CB106" s="37" t="n">
        <f aca="false">BU106*BY106</f>
        <v>0</v>
      </c>
      <c r="CC106" s="37" t="n">
        <f aca="false">BU106*BZ106</f>
        <v>0</v>
      </c>
      <c r="CD106" s="37" t="n">
        <f aca="false">BU106*CA106</f>
        <v>0</v>
      </c>
    </row>
    <row r="107" customFormat="false" ht="12.75" hidden="false" customHeight="false" outlineLevel="0" collapsed="false">
      <c r="A107" s="62" t="n">
        <f aca="false">DATE(YEAR(A106),MONTH(A106)+1,1)</f>
        <v>39569</v>
      </c>
      <c r="B107" s="63" t="n">
        <f aca="false">VLOOKUP(A107,STRADDLE,5,FALSE())</f>
        <v>3.4825</v>
      </c>
      <c r="C107" s="4" t="n">
        <f aca="false">VLOOKUP(A107,STRADDLE,8,FALSE())</f>
        <v>0.23</v>
      </c>
      <c r="D107" s="63" t="n">
        <f aca="false">IF(D$28="nymex",0,VLOOKUP($A107,curvesettle,HLOOKUP(D$28,curvesettle,2,FALSE())))</f>
        <v>-0.0725</v>
      </c>
      <c r="E107" s="65" t="n">
        <f aca="false">IF(ISNUMBER(VLOOKUP($A107,VOLCURVES,HLOOKUP(D$28,VOLCURVES,2,FALSE()),FALSE())),VLOOKUP($A107,VOLCURVES,HLOOKUP(D$28,VOLCURVES,2,FALSE()),FALSE()),1)</f>
        <v>1</v>
      </c>
      <c r="F107" s="64" t="n">
        <f aca="false">IF(D$28="NYMEX",$AG107,$AF107)</f>
        <v>-6361</v>
      </c>
      <c r="G107" s="4" t="e">
        <f aca="false">(($C107+H107)*$E107)+B$15</f>
        <v>#DIV/0!</v>
      </c>
      <c r="H107" s="4" t="e">
        <f aca="false">IF(B$16=1,xCalcSkew(A107,I107-AO107,b)/100,0)</f>
        <v>#DIV/0!</v>
      </c>
      <c r="I107" s="66" t="n">
        <f aca="false">IF($B$19=4,$AO107,$B$18)</f>
        <v>5</v>
      </c>
      <c r="K107" s="63" t="n">
        <f aca="false">IF(K$28="nymex",0,VLOOKUP($A107,curvesettle,HLOOKUP(K$28,curvesettle,2,FALSE())))</f>
        <v>-0.0725</v>
      </c>
      <c r="L107" s="65" t="n">
        <f aca="false">IF(ISNUMBER(VLOOKUP($A107,VOLCURVES,HLOOKUP(K$28,VOLCURVES,2,FALSE()),FALSE())),VLOOKUP($A107,VOLCURVES,HLOOKUP(K$28,VOLCURVES,2,FALSE()),FALSE()),1)</f>
        <v>1</v>
      </c>
      <c r="M107" s="64" t="n">
        <f aca="false">IF(K$28="NYMEX",$AG107,$AF107)</f>
        <v>-6361</v>
      </c>
      <c r="N107" s="184" t="e">
        <f aca="false">(($C107+O107)*$L107)+D$15</f>
        <v>#DIV/0!</v>
      </c>
      <c r="O107" s="4" t="e">
        <f aca="false">IF(D$16=1,xCalcSkew($A107,P107-AZ107,b)/100,0)</f>
        <v>#DIV/0!</v>
      </c>
      <c r="P107" s="66" t="n">
        <f aca="false">IF($D$19=4,$AZ107,$D$18)</f>
        <v>3</v>
      </c>
      <c r="R107" s="63" t="n">
        <f aca="false">IF(R$28="nymex",0,VLOOKUP($A107,curvesettle,HLOOKUP(R$28,curvesettle,2,FALSE())))</f>
        <v>-0.39</v>
      </c>
      <c r="S107" s="65" t="n">
        <f aca="false">IF(ISNUMBER(VLOOKUP($A107,VOLCURVES,HLOOKUP(R$28,VOLCURVES,2,FALSE()),FALSE())),VLOOKUP($A107,VOLCURVES,HLOOKUP(R$28,VOLCURVES,2,FALSE()),FALSE()),1)</f>
        <v>1</v>
      </c>
      <c r="T107" s="64" t="n">
        <f aca="false">IF(R$28="NYMEX",$AG107,$AF107)</f>
        <v>-6361</v>
      </c>
      <c r="U107" s="184" t="e">
        <f aca="false">(($C107+V107)*$S107)+F$15</f>
        <v>#DIV/0!</v>
      </c>
      <c r="V107" s="4" t="e">
        <f aca="false">IF(F$16=1,xCalcSkew($A107,W107-BK107,b)/100,0)</f>
        <v>#DIV/0!</v>
      </c>
      <c r="W107" s="66" t="n">
        <f aca="false">IF($F$19=4,$BK107,$F$18)</f>
        <v>2.55</v>
      </c>
      <c r="X107" s="64"/>
      <c r="Y107" s="63" t="n">
        <f aca="false">IF(Y$28="nymex",0,VLOOKUP($A107,curvesettle,HLOOKUP(Y$28,curvesettle,2,FALSE())))</f>
        <v>0</v>
      </c>
      <c r="Z107" s="65" t="n">
        <f aca="false">IF(ISNUMBER(VLOOKUP($A107,VOLCURVES,HLOOKUP(Y$28,VOLCURVES,2,FALSE()),FALSE())),VLOOKUP($A107,VOLCURVES,HLOOKUP(Y$28,VOLCURVES,2,FALSE()),FALSE()),1)</f>
        <v>1</v>
      </c>
      <c r="AA107" s="64" t="n">
        <f aca="false">IF(Y$28="NYMEX",$AG107,$AF107)</f>
        <v>-6364</v>
      </c>
      <c r="AB107" s="4" t="e">
        <f aca="false">(($C107+AC107)*$Z107)+H$15</f>
        <v>#DIV/0!</v>
      </c>
      <c r="AC107" s="4" t="e">
        <f aca="false">IF(H$16=1,xCalcSkew($A107,AD107-BV107,b)/100,0)</f>
        <v>#DIV/0!</v>
      </c>
      <c r="AD107" s="66" t="n">
        <f aca="false">IF($H$19=4,$BV107,$H$18)</f>
        <v>2.9</v>
      </c>
      <c r="AF107" s="64" t="n">
        <f aca="false">VLOOKUP($A107,expiration,2,FALSE())-$B$2</f>
        <v>-6361</v>
      </c>
      <c r="AG107" s="64" t="n">
        <f aca="false">VLOOKUP($A107,expiration,3,FALSE())-$B$2</f>
        <v>-6364</v>
      </c>
      <c r="AH107" s="4" t="n">
        <f aca="false">VLOOKUP($A107,STRADDLE,14,FALSE())</f>
        <v>0.0542375238149777</v>
      </c>
      <c r="AI107" s="72" t="n">
        <f aca="false">A108-A107</f>
        <v>31</v>
      </c>
      <c r="AL107" s="64"/>
      <c r="AM107" s="73"/>
      <c r="AN107" s="73" t="n">
        <f aca="false">IF($A107&gt;=AO$25,IF($A107&lt;=AO$26,$AI107,0),0)</f>
        <v>0</v>
      </c>
      <c r="AO107" s="196" t="e">
        <f aca="false">AQ107/AN107</f>
        <v>#DIV/0!</v>
      </c>
      <c r="AP107" s="1" t="n">
        <f aca="false">AN107*($B107+B$13)</f>
        <v>0</v>
      </c>
      <c r="AQ107" s="47" t="n">
        <f aca="false">IF(ISNUMBER(((AP107/AN107)+B$14+$D107)*AN107),((AP107/AN107)+B$14+$D107)*AN107,0)</f>
        <v>0</v>
      </c>
      <c r="AR107" s="76" t="n">
        <f aca="false">IF(AN107=0,0,bsd(1,AS$27,AO107,$I107,$F107,$G107,$AH107,0.1))</f>
        <v>0</v>
      </c>
      <c r="AS107" s="76" t="n">
        <f aca="false">IF(AN107=0,0,bsd(2,AS$27,AO107,$I107,$F107,$G107,$AH107,0.1))</f>
        <v>0</v>
      </c>
      <c r="AT107" s="76" t="n">
        <f aca="false">IF(AN107=0,0,bsd(AS$28,AS$27,AO107,$I107,$F107,$G107,$AH107,0.1))</f>
        <v>0</v>
      </c>
      <c r="AU107" s="37" t="n">
        <f aca="false">AN107*AR107</f>
        <v>0</v>
      </c>
      <c r="AV107" s="37" t="n">
        <f aca="false">AN107*AS107</f>
        <v>0</v>
      </c>
      <c r="AW107" s="37" t="n">
        <f aca="false">AN107*AT107</f>
        <v>0</v>
      </c>
      <c r="AY107" s="73" t="n">
        <f aca="false">IF($A107&gt;=AZ$25,IF($A107&lt;=AZ$26,$AI107,0),0)</f>
        <v>0</v>
      </c>
      <c r="AZ107" s="196" t="e">
        <f aca="false">BB107/AY107</f>
        <v>#DIV/0!</v>
      </c>
      <c r="BA107" s="1" t="n">
        <f aca="false">AY107*($B107+D$13)</f>
        <v>0</v>
      </c>
      <c r="BB107" s="47" t="n">
        <f aca="false">IF(ISNUMBER(((BA107/AY107)+D$14+$K107)*AY107),((BA107/AY107)+D$14+$K107)*AY107,0)</f>
        <v>0</v>
      </c>
      <c r="BC107" s="76" t="n">
        <f aca="false">IF(AY107=0,0,bsd(1,BD$27,AZ107,$P107,$M107,$N107,$AH107,0.1))</f>
        <v>0</v>
      </c>
      <c r="BD107" s="76" t="n">
        <f aca="false">IF(AY107=0,0,bsd(2,BD$27,AZ107,$P107,$M107,$N107,$AH107,0.1))</f>
        <v>0</v>
      </c>
      <c r="BE107" s="76" t="n">
        <f aca="false">IF(AY107=0,0,bsd(BD$28,BD$27,AZ107,$P107,$M107,$N107,$AH107,0.1))</f>
        <v>0</v>
      </c>
      <c r="BF107" s="37" t="n">
        <f aca="false">AY107*BC107</f>
        <v>0</v>
      </c>
      <c r="BG107" s="37" t="n">
        <f aca="false">AY107*BD107</f>
        <v>0</v>
      </c>
      <c r="BH107" s="37" t="n">
        <f aca="false">AY107*BE107</f>
        <v>0</v>
      </c>
      <c r="BJ107" s="73" t="n">
        <f aca="false">IF($A107&gt;=BK$25,IF($A107&lt;=BK$26,$AI107,0),0)</f>
        <v>0</v>
      </c>
      <c r="BK107" s="196" t="e">
        <f aca="false">BM107/BJ107</f>
        <v>#DIV/0!</v>
      </c>
      <c r="BL107" s="1" t="n">
        <f aca="false">BJ107*($B107+F$13)</f>
        <v>0</v>
      </c>
      <c r="BM107" s="47" t="n">
        <f aca="false">IF(ISNUMBER(((BL107/BJ107)+F$14+$R107)*BJ107),((BL107/BJ107)+F$14+$R107)*BJ107,0)</f>
        <v>0</v>
      </c>
      <c r="BN107" s="76" t="n">
        <f aca="false">IF(BJ107=0,0,bsd(1,BO$27,BK107,$W107,$T107,$U107,$AH107,0.1))</f>
        <v>0</v>
      </c>
      <c r="BO107" s="76" t="n">
        <f aca="false">IF(BJ107=0,0,bsd(2,BO$27,BK107,$W107,$T107,$U107,$AH107,0.1))</f>
        <v>0</v>
      </c>
      <c r="BP107" s="76" t="n">
        <f aca="false">IF(BJ107=0,0,bsd(BO$28,BO$27,BK107,$W107,$T107,$U107,$AH107,0.1))</f>
        <v>0</v>
      </c>
      <c r="BQ107" s="37" t="n">
        <f aca="false">BJ107*BN107</f>
        <v>0</v>
      </c>
      <c r="BR107" s="37" t="n">
        <f aca="false">BJ107*BO107</f>
        <v>0</v>
      </c>
      <c r="BS107" s="37" t="n">
        <f aca="false">BJ107*BP107</f>
        <v>0</v>
      </c>
      <c r="BU107" s="73" t="n">
        <f aca="false">IF($A107&gt;=BV$25,IF($A107&lt;=BV$26,$AI107,0),0)</f>
        <v>0</v>
      </c>
      <c r="BV107" s="196" t="e">
        <f aca="false">BX107/BU107</f>
        <v>#DIV/0!</v>
      </c>
      <c r="BW107" s="1" t="n">
        <f aca="false">BU107*($B107+H$13)</f>
        <v>0</v>
      </c>
      <c r="BX107" s="47" t="n">
        <f aca="false">IF(ISNUMBER(((BW107/BU107)+H$14+$Y107)*BU107),((BW107/BU107)+H$14+$Y107)*BU107,0)</f>
        <v>0</v>
      </c>
      <c r="BY107" s="76" t="n">
        <f aca="false">IF(BU107=0,0,bsd(1,BZ$27,BV107,$AD107,$AA107,$AB107,$AH107,0.1))</f>
        <v>0</v>
      </c>
      <c r="BZ107" s="76" t="n">
        <f aca="false">IF(BU107=0,0,bsd(2,BZ$27,BV107,$AD107,$AA107,$AB107,$AH107,0.1))</f>
        <v>0</v>
      </c>
      <c r="CA107" s="76" t="n">
        <f aca="false">IF(BU107=0,0,bsd(BZ$28,BZ$27,BV107,$AD107,$AA107,$AB107,$AH107,0.1))</f>
        <v>0</v>
      </c>
      <c r="CB107" s="37" t="n">
        <f aca="false">BU107*BY107</f>
        <v>0</v>
      </c>
      <c r="CC107" s="37" t="n">
        <f aca="false">BU107*BZ107</f>
        <v>0</v>
      </c>
      <c r="CD107" s="37" t="n">
        <f aca="false">BU107*CA107</f>
        <v>0</v>
      </c>
    </row>
    <row r="108" customFormat="false" ht="12.75" hidden="false" customHeight="false" outlineLevel="0" collapsed="false">
      <c r="A108" s="62" t="n">
        <f aca="false">DATE(YEAR(A107),MONTH(A107)+1,1)</f>
        <v>39600</v>
      </c>
      <c r="B108" s="63" t="n">
        <f aca="false">VLOOKUP(A108,STRADDLE,5,FALSE())</f>
        <v>3.5175</v>
      </c>
      <c r="C108" s="4" t="n">
        <f aca="false">VLOOKUP(A108,STRADDLE,8,FALSE())</f>
        <v>0.23</v>
      </c>
      <c r="D108" s="63" t="n">
        <f aca="false">IF(D$28="nymex",0,VLOOKUP($A108,curvesettle,HLOOKUP(D$28,curvesettle,2,FALSE())))</f>
        <v>-0.0725</v>
      </c>
      <c r="E108" s="65" t="n">
        <f aca="false">IF(ISNUMBER(VLOOKUP($A108,VOLCURVES,HLOOKUP(D$28,VOLCURVES,2,FALSE()),FALSE())),VLOOKUP($A108,VOLCURVES,HLOOKUP(D$28,VOLCURVES,2,FALSE()),FALSE()),1)</f>
        <v>1</v>
      </c>
      <c r="F108" s="64" t="n">
        <f aca="false">IF(D$28="NYMEX",$AG108,$AF108)</f>
        <v>-6331</v>
      </c>
      <c r="G108" s="4" t="e">
        <f aca="false">(($C108+H108)*$E108)+B$15</f>
        <v>#DIV/0!</v>
      </c>
      <c r="H108" s="4" t="e">
        <f aca="false">IF(B$16=1,xCalcSkew(A108,I108-AO108,b)/100,0)</f>
        <v>#DIV/0!</v>
      </c>
      <c r="I108" s="66" t="n">
        <f aca="false">IF($B$19=4,$AO108,$B$18)</f>
        <v>5</v>
      </c>
      <c r="K108" s="63" t="n">
        <f aca="false">IF(K$28="nymex",0,VLOOKUP($A108,curvesettle,HLOOKUP(K$28,curvesettle,2,FALSE())))</f>
        <v>-0.0725</v>
      </c>
      <c r="L108" s="65" t="n">
        <f aca="false">IF(ISNUMBER(VLOOKUP($A108,VOLCURVES,HLOOKUP(K$28,VOLCURVES,2,FALSE()),FALSE())),VLOOKUP($A108,VOLCURVES,HLOOKUP(K$28,VOLCURVES,2,FALSE()),FALSE()),1)</f>
        <v>1</v>
      </c>
      <c r="M108" s="64" t="n">
        <f aca="false">IF(K$28="NYMEX",$AG108,$AF108)</f>
        <v>-6331</v>
      </c>
      <c r="N108" s="184" t="e">
        <f aca="false">(($C108+O108)*$L108)+D$15</f>
        <v>#DIV/0!</v>
      </c>
      <c r="O108" s="4" t="e">
        <f aca="false">IF(D$16=1,xCalcSkew($A108,P108-AZ108,b)/100,0)</f>
        <v>#DIV/0!</v>
      </c>
      <c r="P108" s="66" t="n">
        <f aca="false">IF($D$19=4,$AZ108,$D$18)</f>
        <v>3</v>
      </c>
      <c r="R108" s="63" t="n">
        <f aca="false">IF(R$28="nymex",0,VLOOKUP($A108,curvesettle,HLOOKUP(R$28,curvesettle,2,FALSE())))</f>
        <v>-0.39</v>
      </c>
      <c r="S108" s="65" t="n">
        <f aca="false">IF(ISNUMBER(VLOOKUP($A108,VOLCURVES,HLOOKUP(R$28,VOLCURVES,2,FALSE()),FALSE())),VLOOKUP($A108,VOLCURVES,HLOOKUP(R$28,VOLCURVES,2,FALSE()),FALSE()),1)</f>
        <v>1</v>
      </c>
      <c r="T108" s="64" t="n">
        <f aca="false">IF(R$28="NYMEX",$AG108,$AF108)</f>
        <v>-6331</v>
      </c>
      <c r="U108" s="184" t="e">
        <f aca="false">(($C108+V108)*$S108)+F$15</f>
        <v>#DIV/0!</v>
      </c>
      <c r="V108" s="4" t="e">
        <f aca="false">IF(F$16=1,xCalcSkew($A108,W108-BK108,b)/100,0)</f>
        <v>#DIV/0!</v>
      </c>
      <c r="W108" s="66" t="n">
        <f aca="false">IF($F$19=4,$BK108,$F$18)</f>
        <v>2.55</v>
      </c>
      <c r="X108" s="64"/>
      <c r="Y108" s="63" t="n">
        <f aca="false">IF(Y$28="nymex",0,VLOOKUP($A108,curvesettle,HLOOKUP(Y$28,curvesettle,2,FALSE())))</f>
        <v>0</v>
      </c>
      <c r="Z108" s="65" t="n">
        <f aca="false">IF(ISNUMBER(VLOOKUP($A108,VOLCURVES,HLOOKUP(Y$28,VOLCURVES,2,FALSE()),FALSE())),VLOOKUP($A108,VOLCURVES,HLOOKUP(Y$28,VOLCURVES,2,FALSE()),FALSE()),1)</f>
        <v>1</v>
      </c>
      <c r="AA108" s="64" t="n">
        <f aca="false">IF(Y$28="NYMEX",$AG108,$AF108)</f>
        <v>-6332</v>
      </c>
      <c r="AB108" s="4" t="e">
        <f aca="false">(($C108+AC108)*$Z108)+H$15</f>
        <v>#DIV/0!</v>
      </c>
      <c r="AC108" s="4" t="e">
        <f aca="false">IF(H$16=1,xCalcSkew($A108,AD108-BV108,b)/100,0)</f>
        <v>#DIV/0!</v>
      </c>
      <c r="AD108" s="66" t="n">
        <f aca="false">IF($H$19=4,$BV108,$H$18)</f>
        <v>2.9</v>
      </c>
      <c r="AF108" s="64" t="n">
        <f aca="false">VLOOKUP($A108,expiration,2,FALSE())-$B$2</f>
        <v>-6331</v>
      </c>
      <c r="AG108" s="64" t="n">
        <f aca="false">VLOOKUP($A108,expiration,3,FALSE())-$B$2</f>
        <v>-6332</v>
      </c>
      <c r="AH108" s="4" t="n">
        <f aca="false">VLOOKUP($A108,STRADDLE,14,FALSE())</f>
        <v>0.0544190375930174</v>
      </c>
      <c r="AI108" s="72" t="n">
        <f aca="false">A109-A108</f>
        <v>30</v>
      </c>
      <c r="AL108" s="64"/>
      <c r="AM108" s="73"/>
      <c r="AN108" s="73" t="n">
        <f aca="false">IF($A108&gt;=AO$25,IF($A108&lt;=AO$26,$AI108,0),0)</f>
        <v>0</v>
      </c>
      <c r="AO108" s="196" t="e">
        <f aca="false">AQ108/AN108</f>
        <v>#DIV/0!</v>
      </c>
      <c r="AP108" s="1" t="n">
        <f aca="false">AN108*($B108+B$13)</f>
        <v>0</v>
      </c>
      <c r="AQ108" s="47" t="n">
        <f aca="false">IF(ISNUMBER(((AP108/AN108)+B$14+$D108)*AN108),((AP108/AN108)+B$14+$D108)*AN108,0)</f>
        <v>0</v>
      </c>
      <c r="AR108" s="76" t="n">
        <f aca="false">IF(AN108=0,0,bsd(1,AS$27,AO108,$I108,$F108,$G108,$AH108,0.1))</f>
        <v>0</v>
      </c>
      <c r="AS108" s="76" t="n">
        <f aca="false">IF(AN108=0,0,bsd(2,AS$27,AO108,$I108,$F108,$G108,$AH108,0.1))</f>
        <v>0</v>
      </c>
      <c r="AT108" s="76" t="n">
        <f aca="false">IF(AN108=0,0,bsd(AS$28,AS$27,AO108,$I108,$F108,$G108,$AH108,0.1))</f>
        <v>0</v>
      </c>
      <c r="AU108" s="37" t="n">
        <f aca="false">AN108*AR108</f>
        <v>0</v>
      </c>
      <c r="AV108" s="37" t="n">
        <f aca="false">AN108*AS108</f>
        <v>0</v>
      </c>
      <c r="AW108" s="37" t="n">
        <f aca="false">AN108*AT108</f>
        <v>0</v>
      </c>
      <c r="AY108" s="73" t="n">
        <f aca="false">IF($A108&gt;=AZ$25,IF($A108&lt;=AZ$26,$AI108,0),0)</f>
        <v>0</v>
      </c>
      <c r="AZ108" s="196" t="e">
        <f aca="false">BB108/AY108</f>
        <v>#DIV/0!</v>
      </c>
      <c r="BA108" s="1" t="n">
        <f aca="false">AY108*($B108+D$13)</f>
        <v>0</v>
      </c>
      <c r="BB108" s="47" t="n">
        <f aca="false">IF(ISNUMBER(((BA108/AY108)+D$14+$K108)*AY108),((BA108/AY108)+D$14+$K108)*AY108,0)</f>
        <v>0</v>
      </c>
      <c r="BC108" s="76" t="n">
        <f aca="false">IF(AY108=0,0,bsd(1,BD$27,AZ108,$P108,$M108,$N108,$AH108,0.1))</f>
        <v>0</v>
      </c>
      <c r="BD108" s="76" t="n">
        <f aca="false">IF(AY108=0,0,bsd(2,BD$27,AZ108,$P108,$M108,$N108,$AH108,0.1))</f>
        <v>0</v>
      </c>
      <c r="BE108" s="76" t="n">
        <f aca="false">IF(AY108=0,0,bsd(BD$28,BD$27,AZ108,$P108,$M108,$N108,$AH108,0.1))</f>
        <v>0</v>
      </c>
      <c r="BF108" s="37" t="n">
        <f aca="false">AY108*BC108</f>
        <v>0</v>
      </c>
      <c r="BG108" s="37" t="n">
        <f aca="false">AY108*BD108</f>
        <v>0</v>
      </c>
      <c r="BH108" s="37" t="n">
        <f aca="false">AY108*BE108</f>
        <v>0</v>
      </c>
      <c r="BJ108" s="73" t="n">
        <f aca="false">IF($A108&gt;=BK$25,IF($A108&lt;=BK$26,$AI108,0),0)</f>
        <v>0</v>
      </c>
      <c r="BK108" s="196" t="e">
        <f aca="false">BM108/BJ108</f>
        <v>#DIV/0!</v>
      </c>
      <c r="BL108" s="1" t="n">
        <f aca="false">BJ108*($B108+F$13)</f>
        <v>0</v>
      </c>
      <c r="BM108" s="47" t="n">
        <f aca="false">IF(ISNUMBER(((BL108/BJ108)+F$14+$R108)*BJ108),((BL108/BJ108)+F$14+$R108)*BJ108,0)</f>
        <v>0</v>
      </c>
      <c r="BN108" s="76" t="n">
        <f aca="false">IF(BJ108=0,0,bsd(1,BO$27,BK108,$W108,$T108,$U108,$AH108,0.1))</f>
        <v>0</v>
      </c>
      <c r="BO108" s="76" t="n">
        <f aca="false">IF(BJ108=0,0,bsd(2,BO$27,BK108,$W108,$T108,$U108,$AH108,0.1))</f>
        <v>0</v>
      </c>
      <c r="BP108" s="76" t="n">
        <f aca="false">IF(BJ108=0,0,bsd(BO$28,BO$27,BK108,$W108,$T108,$U108,$AH108,0.1))</f>
        <v>0</v>
      </c>
      <c r="BQ108" s="37" t="n">
        <f aca="false">BJ108*BN108</f>
        <v>0</v>
      </c>
      <c r="BR108" s="37" t="n">
        <f aca="false">BJ108*BO108</f>
        <v>0</v>
      </c>
      <c r="BS108" s="37" t="n">
        <f aca="false">BJ108*BP108</f>
        <v>0</v>
      </c>
      <c r="BU108" s="73" t="n">
        <f aca="false">IF($A108&gt;=BV$25,IF($A108&lt;=BV$26,$AI108,0),0)</f>
        <v>0</v>
      </c>
      <c r="BV108" s="196" t="e">
        <f aca="false">BX108/BU108</f>
        <v>#DIV/0!</v>
      </c>
      <c r="BW108" s="1" t="n">
        <f aca="false">BU108*($B108+H$13)</f>
        <v>0</v>
      </c>
      <c r="BX108" s="47" t="n">
        <f aca="false">IF(ISNUMBER(((BW108/BU108)+H$14+$Y108)*BU108),((BW108/BU108)+H$14+$Y108)*BU108,0)</f>
        <v>0</v>
      </c>
      <c r="BY108" s="76" t="n">
        <f aca="false">IF(BU108=0,0,bsd(1,BZ$27,BV108,$AD108,$AA108,$AB108,$AH108,0.1))</f>
        <v>0</v>
      </c>
      <c r="BZ108" s="76" t="n">
        <f aca="false">IF(BU108=0,0,bsd(2,BZ$27,BV108,$AD108,$AA108,$AB108,$AH108,0.1))</f>
        <v>0</v>
      </c>
      <c r="CA108" s="76" t="n">
        <f aca="false">IF(BU108=0,0,bsd(BZ$28,BZ$27,BV108,$AD108,$AA108,$AB108,$AH108,0.1))</f>
        <v>0</v>
      </c>
      <c r="CB108" s="37" t="n">
        <f aca="false">BU108*BY108</f>
        <v>0</v>
      </c>
      <c r="CC108" s="37" t="n">
        <f aca="false">BU108*BZ108</f>
        <v>0</v>
      </c>
      <c r="CD108" s="37" t="n">
        <f aca="false">BU108*CA108</f>
        <v>0</v>
      </c>
    </row>
    <row r="109" customFormat="false" ht="12.75" hidden="false" customHeight="false" outlineLevel="0" collapsed="false">
      <c r="A109" s="62" t="n">
        <f aca="false">DATE(YEAR(A108),MONTH(A108)+1,1)</f>
        <v>39630</v>
      </c>
      <c r="B109" s="63" t="n">
        <f aca="false">VLOOKUP(A109,STRADDLE,5,FALSE())</f>
        <v>3.5575</v>
      </c>
      <c r="C109" s="4" t="n">
        <f aca="false">VLOOKUP(A109,STRADDLE,8,FALSE())</f>
        <v>0.23</v>
      </c>
      <c r="D109" s="63" t="n">
        <f aca="false">IF(D$28="nymex",0,VLOOKUP($A109,curvesettle,HLOOKUP(D$28,curvesettle,2,FALSE())))</f>
        <v>-0.0725</v>
      </c>
      <c r="E109" s="65" t="n">
        <f aca="false">IF(ISNUMBER(VLOOKUP($A109,VOLCURVES,HLOOKUP(D$28,VOLCURVES,2,FALSE()),FALSE())),VLOOKUP($A109,VOLCURVES,HLOOKUP(D$28,VOLCURVES,2,FALSE()),FALSE()),1)</f>
        <v>1</v>
      </c>
      <c r="F109" s="64" t="n">
        <f aca="false">IF(D$28="NYMEX",$AG109,$AF109)</f>
        <v>-6302</v>
      </c>
      <c r="G109" s="4" t="e">
        <f aca="false">(($C109+H109)*$E109)+B$15</f>
        <v>#DIV/0!</v>
      </c>
      <c r="H109" s="4" t="e">
        <f aca="false">IF(B$16=1,xCalcSkew(A109,I109-AO109,b)/100,0)</f>
        <v>#DIV/0!</v>
      </c>
      <c r="I109" s="66" t="n">
        <f aca="false">IF($B$19=4,$AO109,$B$18)</f>
        <v>5</v>
      </c>
      <c r="K109" s="63" t="n">
        <f aca="false">IF(K$28="nymex",0,VLOOKUP($A109,curvesettle,HLOOKUP(K$28,curvesettle,2,FALSE())))</f>
        <v>-0.0725</v>
      </c>
      <c r="L109" s="65" t="n">
        <f aca="false">IF(ISNUMBER(VLOOKUP($A109,VOLCURVES,HLOOKUP(K$28,VOLCURVES,2,FALSE()),FALSE())),VLOOKUP($A109,VOLCURVES,HLOOKUP(K$28,VOLCURVES,2,FALSE()),FALSE()),1)</f>
        <v>1</v>
      </c>
      <c r="M109" s="64" t="n">
        <f aca="false">IF(K$28="NYMEX",$AG109,$AF109)</f>
        <v>-6302</v>
      </c>
      <c r="N109" s="184" t="e">
        <f aca="false">(($C109+O109)*$L109)+D$15</f>
        <v>#DIV/0!</v>
      </c>
      <c r="O109" s="4" t="e">
        <f aca="false">IF(D$16=1,xCalcSkew($A109,P109-AZ109,b)/100,0)</f>
        <v>#DIV/0!</v>
      </c>
      <c r="P109" s="66" t="n">
        <f aca="false">IF($D$19=4,$AZ109,$D$18)</f>
        <v>3</v>
      </c>
      <c r="R109" s="63" t="n">
        <f aca="false">IF(R$28="nymex",0,VLOOKUP($A109,curvesettle,HLOOKUP(R$28,curvesettle,2,FALSE())))</f>
        <v>-0.39</v>
      </c>
      <c r="S109" s="65" t="n">
        <f aca="false">IF(ISNUMBER(VLOOKUP($A109,VOLCURVES,HLOOKUP(R$28,VOLCURVES,2,FALSE()),FALSE())),VLOOKUP($A109,VOLCURVES,HLOOKUP(R$28,VOLCURVES,2,FALSE()),FALSE()),1)</f>
        <v>1</v>
      </c>
      <c r="T109" s="64" t="n">
        <f aca="false">IF(R$28="NYMEX",$AG109,$AF109)</f>
        <v>-6302</v>
      </c>
      <c r="U109" s="184" t="e">
        <f aca="false">(($C109+V109)*$S109)+F$15</f>
        <v>#DIV/0!</v>
      </c>
      <c r="V109" s="4" t="e">
        <f aca="false">IF(F$16=1,xCalcSkew($A109,W109-BK109,b)/100,0)</f>
        <v>#DIV/0!</v>
      </c>
      <c r="W109" s="66" t="n">
        <f aca="false">IF($F$19=4,$BK109,$F$18)</f>
        <v>2.55</v>
      </c>
      <c r="X109" s="64"/>
      <c r="Y109" s="63" t="n">
        <f aca="false">IF(Y$28="nymex",0,VLOOKUP($A109,curvesettle,HLOOKUP(Y$28,curvesettle,2,FALSE())))</f>
        <v>0</v>
      </c>
      <c r="Z109" s="65" t="n">
        <f aca="false">IF(ISNUMBER(VLOOKUP($A109,VOLCURVES,HLOOKUP(Y$28,VOLCURVES,2,FALSE()),FALSE())),VLOOKUP($A109,VOLCURVES,HLOOKUP(Y$28,VOLCURVES,2,FALSE()),FALSE()),1)</f>
        <v>1</v>
      </c>
      <c r="AA109" s="64" t="n">
        <f aca="false">IF(Y$28="NYMEX",$AG109,$AF109)</f>
        <v>-6303</v>
      </c>
      <c r="AB109" s="4" t="e">
        <f aca="false">(($C109+AC109)*$Z109)+H$15</f>
        <v>#DIV/0!</v>
      </c>
      <c r="AC109" s="4" t="e">
        <f aca="false">IF(H$16=1,xCalcSkew($A109,AD109-BV109,b)/100,0)</f>
        <v>#DIV/0!</v>
      </c>
      <c r="AD109" s="66" t="n">
        <f aca="false">IF($H$19=4,$BV109,$H$18)</f>
        <v>2.9</v>
      </c>
      <c r="AF109" s="64" t="n">
        <f aca="false">VLOOKUP($A109,expiration,2,FALSE())-$B$2</f>
        <v>-6302</v>
      </c>
      <c r="AG109" s="64" t="n">
        <f aca="false">VLOOKUP($A109,expiration,3,FALSE())-$B$2</f>
        <v>-6303</v>
      </c>
      <c r="AH109" s="4" t="n">
        <f aca="false">VLOOKUP($A109,STRADDLE,14,FALSE())</f>
        <v>0.0545946960983459</v>
      </c>
      <c r="AI109" s="72" t="n">
        <f aca="false">A110-A109</f>
        <v>31</v>
      </c>
      <c r="AL109" s="64"/>
      <c r="AM109" s="73"/>
      <c r="AN109" s="73" t="n">
        <f aca="false">IF($A109&gt;=AO$25,IF($A109&lt;=AO$26,$AI109,0),0)</f>
        <v>0</v>
      </c>
      <c r="AO109" s="196" t="e">
        <f aca="false">AQ109/AN109</f>
        <v>#DIV/0!</v>
      </c>
      <c r="AP109" s="1" t="n">
        <f aca="false">AN109*($B109+B$13)</f>
        <v>0</v>
      </c>
      <c r="AQ109" s="47" t="n">
        <f aca="false">IF(ISNUMBER(((AP109/AN109)+B$14+$D109)*AN109),((AP109/AN109)+B$14+$D109)*AN109,0)</f>
        <v>0</v>
      </c>
      <c r="AR109" s="76" t="n">
        <f aca="false">IF(AN109=0,0,bsd(1,AS$27,AO109,$I109,$F109,$G109,$AH109,0.1))</f>
        <v>0</v>
      </c>
      <c r="AS109" s="76" t="n">
        <f aca="false">IF(AN109=0,0,bsd(2,AS$27,AO109,$I109,$F109,$G109,$AH109,0.1))</f>
        <v>0</v>
      </c>
      <c r="AT109" s="76" t="n">
        <f aca="false">IF(AN109=0,0,bsd(AS$28,AS$27,AO109,$I109,$F109,$G109,$AH109,0.1))</f>
        <v>0</v>
      </c>
      <c r="AU109" s="37" t="n">
        <f aca="false">AN109*AR109</f>
        <v>0</v>
      </c>
      <c r="AV109" s="37" t="n">
        <f aca="false">AN109*AS109</f>
        <v>0</v>
      </c>
      <c r="AW109" s="37" t="n">
        <f aca="false">AN109*AT109</f>
        <v>0</v>
      </c>
      <c r="AY109" s="73" t="n">
        <f aca="false">IF($A109&gt;=AZ$25,IF($A109&lt;=AZ$26,$AI109,0),0)</f>
        <v>0</v>
      </c>
      <c r="AZ109" s="196" t="e">
        <f aca="false">BB109/AY109</f>
        <v>#DIV/0!</v>
      </c>
      <c r="BA109" s="1" t="n">
        <f aca="false">AY109*($B109+D$13)</f>
        <v>0</v>
      </c>
      <c r="BB109" s="47" t="n">
        <f aca="false">IF(ISNUMBER(((BA109/AY109)+D$14+$K109)*AY109),((BA109/AY109)+D$14+$K109)*AY109,0)</f>
        <v>0</v>
      </c>
      <c r="BC109" s="76" t="n">
        <f aca="false">IF(AY109=0,0,bsd(1,BD$27,AZ109,$P109,$M109,$N109,$AH109,0.1))</f>
        <v>0</v>
      </c>
      <c r="BD109" s="76" t="n">
        <f aca="false">IF(AY109=0,0,bsd(2,BD$27,AZ109,$P109,$M109,$N109,$AH109,0.1))</f>
        <v>0</v>
      </c>
      <c r="BE109" s="76" t="n">
        <f aca="false">IF(AY109=0,0,bsd(BD$28,BD$27,AZ109,$P109,$M109,$N109,$AH109,0.1))</f>
        <v>0</v>
      </c>
      <c r="BF109" s="37" t="n">
        <f aca="false">AY109*BC109</f>
        <v>0</v>
      </c>
      <c r="BG109" s="37" t="n">
        <f aca="false">AY109*BD109</f>
        <v>0</v>
      </c>
      <c r="BH109" s="37" t="n">
        <f aca="false">AY109*BE109</f>
        <v>0</v>
      </c>
      <c r="BJ109" s="73" t="n">
        <f aca="false">IF($A109&gt;=BK$25,IF($A109&lt;=BK$26,$AI109,0),0)</f>
        <v>0</v>
      </c>
      <c r="BK109" s="196" t="e">
        <f aca="false">BM109/BJ109</f>
        <v>#DIV/0!</v>
      </c>
      <c r="BL109" s="1" t="n">
        <f aca="false">BJ109*($B109+F$13)</f>
        <v>0</v>
      </c>
      <c r="BM109" s="47" t="n">
        <f aca="false">IF(ISNUMBER(((BL109/BJ109)+F$14+$R109)*BJ109),((BL109/BJ109)+F$14+$R109)*BJ109,0)</f>
        <v>0</v>
      </c>
      <c r="BN109" s="76" t="n">
        <f aca="false">IF(BJ109=0,0,bsd(1,BO$27,BK109,$W109,$T109,$U109,$AH109,0.1))</f>
        <v>0</v>
      </c>
      <c r="BO109" s="76" t="n">
        <f aca="false">IF(BJ109=0,0,bsd(2,BO$27,BK109,$W109,$T109,$U109,$AH109,0.1))</f>
        <v>0</v>
      </c>
      <c r="BP109" s="76" t="n">
        <f aca="false">IF(BJ109=0,0,bsd(BO$28,BO$27,BK109,$W109,$T109,$U109,$AH109,0.1))</f>
        <v>0</v>
      </c>
      <c r="BQ109" s="37" t="n">
        <f aca="false">BJ109*BN109</f>
        <v>0</v>
      </c>
      <c r="BR109" s="37" t="n">
        <f aca="false">BJ109*BO109</f>
        <v>0</v>
      </c>
      <c r="BS109" s="37" t="n">
        <f aca="false">BJ109*BP109</f>
        <v>0</v>
      </c>
      <c r="BU109" s="73" t="n">
        <f aca="false">IF($A109&gt;=BV$25,IF($A109&lt;=BV$26,$AI109,0),0)</f>
        <v>0</v>
      </c>
      <c r="BV109" s="196" t="e">
        <f aca="false">BX109/BU109</f>
        <v>#DIV/0!</v>
      </c>
      <c r="BW109" s="1" t="n">
        <f aca="false">BU109*($B109+H$13)</f>
        <v>0</v>
      </c>
      <c r="BX109" s="47" t="n">
        <f aca="false">IF(ISNUMBER(((BW109/BU109)+H$14+$Y109)*BU109),((BW109/BU109)+H$14+$Y109)*BU109,0)</f>
        <v>0</v>
      </c>
      <c r="BY109" s="76" t="n">
        <f aca="false">IF(BU109=0,0,bsd(1,BZ$27,BV109,$AD109,$AA109,$AB109,$AH109,0.1))</f>
        <v>0</v>
      </c>
      <c r="BZ109" s="76" t="n">
        <f aca="false">IF(BU109=0,0,bsd(2,BZ$27,BV109,$AD109,$AA109,$AB109,$AH109,0.1))</f>
        <v>0</v>
      </c>
      <c r="CA109" s="76" t="n">
        <f aca="false">IF(BU109=0,0,bsd(BZ$28,BZ$27,BV109,$AD109,$AA109,$AB109,$AH109,0.1))</f>
        <v>0</v>
      </c>
      <c r="CB109" s="37" t="n">
        <f aca="false">BU109*BY109</f>
        <v>0</v>
      </c>
      <c r="CC109" s="37" t="n">
        <f aca="false">BU109*BZ109</f>
        <v>0</v>
      </c>
      <c r="CD109" s="37" t="n">
        <f aca="false">BU109*CA109</f>
        <v>0</v>
      </c>
    </row>
    <row r="110" customFormat="false" ht="12.75" hidden="false" customHeight="false" outlineLevel="0" collapsed="false">
      <c r="A110" s="62" t="n">
        <f aca="false">DATE(YEAR(A109),MONTH(A109)+1,1)</f>
        <v>39661</v>
      </c>
      <c r="B110" s="63" t="n">
        <f aca="false">VLOOKUP(A110,STRADDLE,5,FALSE())</f>
        <v>3.5975</v>
      </c>
      <c r="C110" s="4" t="n">
        <f aca="false">VLOOKUP(A110,STRADDLE,8,FALSE())</f>
        <v>0.23</v>
      </c>
      <c r="D110" s="63" t="n">
        <f aca="false">IF(D$28="nymex",0,VLOOKUP($A110,curvesettle,HLOOKUP(D$28,curvesettle,2,FALSE())))</f>
        <v>-0.0725</v>
      </c>
      <c r="E110" s="65" t="n">
        <f aca="false">IF(ISNUMBER(VLOOKUP($A110,VOLCURVES,HLOOKUP(D$28,VOLCURVES,2,FALSE()),FALSE())),VLOOKUP($A110,VOLCURVES,HLOOKUP(D$28,VOLCURVES,2,FALSE()),FALSE()),1)</f>
        <v>1</v>
      </c>
      <c r="F110" s="64" t="n">
        <f aca="false">IF(D$28="NYMEX",$AG110,$AF110)</f>
        <v>-6269</v>
      </c>
      <c r="G110" s="4" t="e">
        <f aca="false">(($C110+H110)*$E110)+B$15</f>
        <v>#DIV/0!</v>
      </c>
      <c r="H110" s="4" t="e">
        <f aca="false">IF(B$16=1,xCalcSkew(A110,I110-AO110,b)/100,0)</f>
        <v>#DIV/0!</v>
      </c>
      <c r="I110" s="66" t="n">
        <f aca="false">IF($B$19=4,$AO110,$B$18)</f>
        <v>5</v>
      </c>
      <c r="K110" s="63" t="n">
        <f aca="false">IF(K$28="nymex",0,VLOOKUP($A110,curvesettle,HLOOKUP(K$28,curvesettle,2,FALSE())))</f>
        <v>-0.0725</v>
      </c>
      <c r="L110" s="65" t="n">
        <f aca="false">IF(ISNUMBER(VLOOKUP($A110,VOLCURVES,HLOOKUP(K$28,VOLCURVES,2,FALSE()),FALSE())),VLOOKUP($A110,VOLCURVES,HLOOKUP(K$28,VOLCURVES,2,FALSE()),FALSE()),1)</f>
        <v>1</v>
      </c>
      <c r="M110" s="64" t="n">
        <f aca="false">IF(K$28="NYMEX",$AG110,$AF110)</f>
        <v>-6269</v>
      </c>
      <c r="N110" s="184" t="e">
        <f aca="false">(($C110+O110)*$L110)+D$15</f>
        <v>#DIV/0!</v>
      </c>
      <c r="O110" s="4" t="e">
        <f aca="false">IF(D$16=1,xCalcSkew($A110,P110-AZ110,b)/100,0)</f>
        <v>#DIV/0!</v>
      </c>
      <c r="P110" s="66" t="n">
        <f aca="false">IF($D$19=4,$AZ110,$D$18)</f>
        <v>3</v>
      </c>
      <c r="R110" s="63" t="n">
        <f aca="false">IF(R$28="nymex",0,VLOOKUP($A110,curvesettle,HLOOKUP(R$28,curvesettle,2,FALSE())))</f>
        <v>-0.39</v>
      </c>
      <c r="S110" s="65" t="n">
        <f aca="false">IF(ISNUMBER(VLOOKUP($A110,VOLCURVES,HLOOKUP(R$28,VOLCURVES,2,FALSE()),FALSE())),VLOOKUP($A110,VOLCURVES,HLOOKUP(R$28,VOLCURVES,2,FALSE()),FALSE()),1)</f>
        <v>1</v>
      </c>
      <c r="T110" s="64" t="n">
        <f aca="false">IF(R$28="NYMEX",$AG110,$AF110)</f>
        <v>-6269</v>
      </c>
      <c r="U110" s="184" t="e">
        <f aca="false">(($C110+V110)*$S110)+F$15</f>
        <v>#DIV/0!</v>
      </c>
      <c r="V110" s="4" t="e">
        <f aca="false">IF(F$16=1,xCalcSkew($A110,W110-BK110,b)/100,0)</f>
        <v>#DIV/0!</v>
      </c>
      <c r="W110" s="66" t="n">
        <f aca="false">IF($F$19=4,$BK110,$F$18)</f>
        <v>2.55</v>
      </c>
      <c r="X110" s="64"/>
      <c r="Y110" s="63" t="n">
        <f aca="false">IF(Y$28="nymex",0,VLOOKUP($A110,curvesettle,HLOOKUP(Y$28,curvesettle,2,FALSE())))</f>
        <v>0</v>
      </c>
      <c r="Z110" s="65" t="n">
        <f aca="false">IF(ISNUMBER(VLOOKUP($A110,VOLCURVES,HLOOKUP(Y$28,VOLCURVES,2,FALSE()),FALSE())),VLOOKUP($A110,VOLCURVES,HLOOKUP(Y$28,VOLCURVES,2,FALSE()),FALSE()),1)</f>
        <v>1</v>
      </c>
      <c r="AA110" s="64" t="n">
        <f aca="false">IF(Y$28="NYMEX",$AG110,$AF110)</f>
        <v>-6270</v>
      </c>
      <c r="AB110" s="4" t="e">
        <f aca="false">(($C110+AC110)*$Z110)+H$15</f>
        <v>#DIV/0!</v>
      </c>
      <c r="AC110" s="4" t="e">
        <f aca="false">IF(H$16=1,xCalcSkew($A110,AD110-BV110,b)/100,0)</f>
        <v>#DIV/0!</v>
      </c>
      <c r="AD110" s="66" t="n">
        <f aca="false">IF($H$19=4,$BV110,$H$18)</f>
        <v>2.9</v>
      </c>
      <c r="AF110" s="64" t="n">
        <f aca="false">VLOOKUP($A110,expiration,2,FALSE())-$B$2</f>
        <v>-6269</v>
      </c>
      <c r="AG110" s="64" t="n">
        <f aca="false">VLOOKUP($A110,expiration,3,FALSE())-$B$2</f>
        <v>-6270</v>
      </c>
      <c r="AH110" s="4" t="n">
        <f aca="false">VLOOKUP($A110,STRADDLE,14,FALSE())</f>
        <v>0.0547762098979847</v>
      </c>
      <c r="AI110" s="72" t="n">
        <f aca="false">A111-A110</f>
        <v>31</v>
      </c>
      <c r="AL110" s="64"/>
      <c r="AM110" s="73"/>
      <c r="AN110" s="73" t="n">
        <f aca="false">IF($A110&gt;=AO$25,IF($A110&lt;=AO$26,$AI110,0),0)</f>
        <v>0</v>
      </c>
      <c r="AO110" s="196" t="e">
        <f aca="false">AQ110/AN110</f>
        <v>#DIV/0!</v>
      </c>
      <c r="AP110" s="1" t="n">
        <f aca="false">AN110*($B110+B$13)</f>
        <v>0</v>
      </c>
      <c r="AQ110" s="47" t="n">
        <f aca="false">IF(ISNUMBER(((AP110/AN110)+B$14+$D110)*AN110),((AP110/AN110)+B$14+$D110)*AN110,0)</f>
        <v>0</v>
      </c>
      <c r="AR110" s="76" t="n">
        <f aca="false">IF(AN110=0,0,bsd(1,AS$27,AO110,$I110,$F110,$G110,$AH110,0.1))</f>
        <v>0</v>
      </c>
      <c r="AS110" s="76" t="n">
        <f aca="false">IF(AN110=0,0,bsd(2,AS$27,AO110,$I110,$F110,$G110,$AH110,0.1))</f>
        <v>0</v>
      </c>
      <c r="AT110" s="76" t="n">
        <f aca="false">IF(AN110=0,0,bsd(AS$28,AS$27,AO110,$I110,$F110,$G110,$AH110,0.1))</f>
        <v>0</v>
      </c>
      <c r="AU110" s="37" t="n">
        <f aca="false">AN110*AR110</f>
        <v>0</v>
      </c>
      <c r="AV110" s="37" t="n">
        <f aca="false">AN110*AS110</f>
        <v>0</v>
      </c>
      <c r="AW110" s="37" t="n">
        <f aca="false">AN110*AT110</f>
        <v>0</v>
      </c>
      <c r="AY110" s="73" t="n">
        <f aca="false">IF($A110&gt;=AZ$25,IF($A110&lt;=AZ$26,$AI110,0),0)</f>
        <v>0</v>
      </c>
      <c r="AZ110" s="196" t="e">
        <f aca="false">BB110/AY110</f>
        <v>#DIV/0!</v>
      </c>
      <c r="BA110" s="1" t="n">
        <f aca="false">AY110*($B110+D$13)</f>
        <v>0</v>
      </c>
      <c r="BB110" s="47" t="n">
        <f aca="false">IF(ISNUMBER(((BA110/AY110)+D$14+$K110)*AY110),((BA110/AY110)+D$14+$K110)*AY110,0)</f>
        <v>0</v>
      </c>
      <c r="BC110" s="76" t="n">
        <f aca="false">IF(AY110=0,0,bsd(1,BD$27,AZ110,$P110,$M110,$N110,$AH110,0.1))</f>
        <v>0</v>
      </c>
      <c r="BD110" s="76" t="n">
        <f aca="false">IF(AY110=0,0,bsd(2,BD$27,AZ110,$P110,$M110,$N110,$AH110,0.1))</f>
        <v>0</v>
      </c>
      <c r="BE110" s="76" t="n">
        <f aca="false">IF(AY110=0,0,bsd(BD$28,BD$27,AZ110,$P110,$M110,$N110,$AH110,0.1))</f>
        <v>0</v>
      </c>
      <c r="BF110" s="37" t="n">
        <f aca="false">AY110*BC110</f>
        <v>0</v>
      </c>
      <c r="BG110" s="37" t="n">
        <f aca="false">AY110*BD110</f>
        <v>0</v>
      </c>
      <c r="BH110" s="37" t="n">
        <f aca="false">AY110*BE110</f>
        <v>0</v>
      </c>
      <c r="BJ110" s="73" t="n">
        <f aca="false">IF($A110&gt;=BK$25,IF($A110&lt;=BK$26,$AI110,0),0)</f>
        <v>0</v>
      </c>
      <c r="BK110" s="196" t="e">
        <f aca="false">BM110/BJ110</f>
        <v>#DIV/0!</v>
      </c>
      <c r="BL110" s="1" t="n">
        <f aca="false">BJ110*($B110+F$13)</f>
        <v>0</v>
      </c>
      <c r="BM110" s="47" t="n">
        <f aca="false">IF(ISNUMBER(((BL110/BJ110)+F$14+$R110)*BJ110),((BL110/BJ110)+F$14+$R110)*BJ110,0)</f>
        <v>0</v>
      </c>
      <c r="BN110" s="76" t="n">
        <f aca="false">IF(BJ110=0,0,bsd(1,BO$27,BK110,$W110,$T110,$U110,$AH110,0.1))</f>
        <v>0</v>
      </c>
      <c r="BO110" s="76" t="n">
        <f aca="false">IF(BJ110=0,0,bsd(2,BO$27,BK110,$W110,$T110,$U110,$AH110,0.1))</f>
        <v>0</v>
      </c>
      <c r="BP110" s="76" t="n">
        <f aca="false">IF(BJ110=0,0,bsd(BO$28,BO$27,BK110,$W110,$T110,$U110,$AH110,0.1))</f>
        <v>0</v>
      </c>
      <c r="BQ110" s="37" t="n">
        <f aca="false">BJ110*BN110</f>
        <v>0</v>
      </c>
      <c r="BR110" s="37" t="n">
        <f aca="false">BJ110*BO110</f>
        <v>0</v>
      </c>
      <c r="BS110" s="37" t="n">
        <f aca="false">BJ110*BP110</f>
        <v>0</v>
      </c>
      <c r="BU110" s="73" t="n">
        <f aca="false">IF($A110&gt;=BV$25,IF($A110&lt;=BV$26,$AI110,0),0)</f>
        <v>0</v>
      </c>
      <c r="BV110" s="196" t="e">
        <f aca="false">BX110/BU110</f>
        <v>#DIV/0!</v>
      </c>
      <c r="BW110" s="1" t="n">
        <f aca="false">BU110*($B110+H$13)</f>
        <v>0</v>
      </c>
      <c r="BX110" s="47" t="n">
        <f aca="false">IF(ISNUMBER(((BW110/BU110)+H$14+$Y110)*BU110),((BW110/BU110)+H$14+$Y110)*BU110,0)</f>
        <v>0</v>
      </c>
      <c r="BY110" s="76" t="n">
        <f aca="false">IF(BU110=0,0,bsd(1,BZ$27,BV110,$AD110,$AA110,$AB110,$AH110,0.1))</f>
        <v>0</v>
      </c>
      <c r="BZ110" s="76" t="n">
        <f aca="false">IF(BU110=0,0,bsd(2,BZ$27,BV110,$AD110,$AA110,$AB110,$AH110,0.1))</f>
        <v>0</v>
      </c>
      <c r="CA110" s="76" t="n">
        <f aca="false">IF(BU110=0,0,bsd(BZ$28,BZ$27,BV110,$AD110,$AA110,$AB110,$AH110,0.1))</f>
        <v>0</v>
      </c>
      <c r="CB110" s="37" t="n">
        <f aca="false">BU110*BY110</f>
        <v>0</v>
      </c>
      <c r="CC110" s="37" t="n">
        <f aca="false">BU110*BZ110</f>
        <v>0</v>
      </c>
      <c r="CD110" s="37" t="n">
        <f aca="false">BU110*CA110</f>
        <v>0</v>
      </c>
    </row>
    <row r="111" customFormat="false" ht="12.75" hidden="false" customHeight="false" outlineLevel="0" collapsed="false">
      <c r="A111" s="62" t="n">
        <f aca="false">DATE(YEAR(A110),MONTH(A110)+1,1)</f>
        <v>39692</v>
      </c>
      <c r="B111" s="63" t="n">
        <f aca="false">VLOOKUP(A111,STRADDLE,5,FALSE())</f>
        <v>3.5925</v>
      </c>
      <c r="C111" s="4" t="n">
        <f aca="false">VLOOKUP(A111,STRADDLE,8,FALSE())</f>
        <v>0.23</v>
      </c>
      <c r="D111" s="63" t="n">
        <f aca="false">IF(D$28="nymex",0,VLOOKUP($A111,curvesettle,HLOOKUP(D$28,curvesettle,2,FALSE())))</f>
        <v>-0.0725</v>
      </c>
      <c r="E111" s="65" t="n">
        <f aca="false">IF(ISNUMBER(VLOOKUP($A111,VOLCURVES,HLOOKUP(D$28,VOLCURVES,2,FALSE()),FALSE())),VLOOKUP($A111,VOLCURVES,HLOOKUP(D$28,VOLCURVES,2,FALSE()),FALSE()),1)</f>
        <v>1</v>
      </c>
      <c r="F111" s="64" t="n">
        <f aca="false">IF(D$28="NYMEX",$AG111,$AF111)</f>
        <v>-6240</v>
      </c>
      <c r="G111" s="4" t="e">
        <f aca="false">(($C111+H111)*$E111)+B$15</f>
        <v>#DIV/0!</v>
      </c>
      <c r="H111" s="4" t="e">
        <f aca="false">IF(B$16=1,xCalcSkew(A111,I111-AO111,b)/100,0)</f>
        <v>#DIV/0!</v>
      </c>
      <c r="I111" s="66" t="n">
        <f aca="false">IF($B$19=4,$AO111,$B$18)</f>
        <v>5</v>
      </c>
      <c r="K111" s="63" t="n">
        <f aca="false">IF(K$28="nymex",0,VLOOKUP($A111,curvesettle,HLOOKUP(K$28,curvesettle,2,FALSE())))</f>
        <v>-0.0725</v>
      </c>
      <c r="L111" s="65" t="n">
        <f aca="false">IF(ISNUMBER(VLOOKUP($A111,VOLCURVES,HLOOKUP(K$28,VOLCURVES,2,FALSE()),FALSE())),VLOOKUP($A111,VOLCURVES,HLOOKUP(K$28,VOLCURVES,2,FALSE()),FALSE()),1)</f>
        <v>1</v>
      </c>
      <c r="M111" s="64" t="n">
        <f aca="false">IF(K$28="NYMEX",$AG111,$AF111)</f>
        <v>-6240</v>
      </c>
      <c r="N111" s="184" t="e">
        <f aca="false">(($C111+O111)*$L111)+D$15</f>
        <v>#DIV/0!</v>
      </c>
      <c r="O111" s="4" t="e">
        <f aca="false">IF(D$16=1,xCalcSkew($A111,P111-AZ111,b)/100,0)</f>
        <v>#DIV/0!</v>
      </c>
      <c r="P111" s="66" t="n">
        <f aca="false">IF($D$19=4,$AZ111,$D$18)</f>
        <v>3</v>
      </c>
      <c r="R111" s="63" t="n">
        <f aca="false">IF(R$28="nymex",0,VLOOKUP($A111,curvesettle,HLOOKUP(R$28,curvesettle,2,FALSE())))</f>
        <v>-0.39</v>
      </c>
      <c r="S111" s="65" t="n">
        <f aca="false">IF(ISNUMBER(VLOOKUP($A111,VOLCURVES,HLOOKUP(R$28,VOLCURVES,2,FALSE()),FALSE())),VLOOKUP($A111,VOLCURVES,HLOOKUP(R$28,VOLCURVES,2,FALSE()),FALSE()),1)</f>
        <v>1</v>
      </c>
      <c r="T111" s="64" t="n">
        <f aca="false">IF(R$28="NYMEX",$AG111,$AF111)</f>
        <v>-6240</v>
      </c>
      <c r="U111" s="184" t="e">
        <f aca="false">(($C111+V111)*$S111)+F$15</f>
        <v>#DIV/0!</v>
      </c>
      <c r="V111" s="4" t="e">
        <f aca="false">IF(F$16=1,xCalcSkew($A111,W111-BK111,b)/100,0)</f>
        <v>#DIV/0!</v>
      </c>
      <c r="W111" s="66" t="n">
        <f aca="false">IF($F$19=4,$BK111,$F$18)</f>
        <v>2.55</v>
      </c>
      <c r="X111" s="64"/>
      <c r="Y111" s="63" t="n">
        <f aca="false">IF(Y$28="nymex",0,VLOOKUP($A111,curvesettle,HLOOKUP(Y$28,curvesettle,2,FALSE())))</f>
        <v>0</v>
      </c>
      <c r="Z111" s="65" t="n">
        <f aca="false">IF(ISNUMBER(VLOOKUP($A111,VOLCURVES,HLOOKUP(Y$28,VOLCURVES,2,FALSE()),FALSE())),VLOOKUP($A111,VOLCURVES,HLOOKUP(Y$28,VOLCURVES,2,FALSE()),FALSE()),1)</f>
        <v>1</v>
      </c>
      <c r="AA111" s="64" t="n">
        <f aca="false">IF(Y$28="NYMEX",$AG111,$AF111)</f>
        <v>-6241</v>
      </c>
      <c r="AB111" s="4" t="e">
        <f aca="false">(($C111+AC111)*$Z111)+H$15</f>
        <v>#DIV/0!</v>
      </c>
      <c r="AC111" s="4" t="e">
        <f aca="false">IF(H$16=1,xCalcSkew($A111,AD111-BV111,b)/100,0)</f>
        <v>#DIV/0!</v>
      </c>
      <c r="AD111" s="66" t="n">
        <f aca="false">IF($H$19=4,$BV111,$H$18)</f>
        <v>2.9</v>
      </c>
      <c r="AF111" s="64" t="n">
        <f aca="false">VLOOKUP($A111,expiration,2,FALSE())-$B$2</f>
        <v>-6240</v>
      </c>
      <c r="AG111" s="64" t="n">
        <f aca="false">VLOOKUP($A111,expiration,3,FALSE())-$B$2</f>
        <v>-6241</v>
      </c>
      <c r="AH111" s="4" t="n">
        <f aca="false">VLOOKUP($A111,STRADDLE,14,FALSE())</f>
        <v>0.0549577237085983</v>
      </c>
      <c r="AI111" s="72" t="n">
        <f aca="false">A112-A111</f>
        <v>30</v>
      </c>
      <c r="AL111" s="64"/>
      <c r="AM111" s="73"/>
      <c r="AN111" s="73" t="n">
        <f aca="false">IF($A111&gt;=AO$25,IF($A111&lt;=AO$26,$AI111,0),0)</f>
        <v>0</v>
      </c>
      <c r="AO111" s="196" t="e">
        <f aca="false">AQ111/AN111</f>
        <v>#DIV/0!</v>
      </c>
      <c r="AP111" s="1" t="n">
        <f aca="false">AN111*($B111+B$13)</f>
        <v>0</v>
      </c>
      <c r="AQ111" s="47" t="n">
        <f aca="false">IF(ISNUMBER(((AP111/AN111)+B$14+$D111)*AN111),((AP111/AN111)+B$14+$D111)*AN111,0)</f>
        <v>0</v>
      </c>
      <c r="AR111" s="76" t="n">
        <f aca="false">IF(AN111=0,0,bsd(1,AS$27,AO111,$I111,$F111,$G111,$AH111,0.1))</f>
        <v>0</v>
      </c>
      <c r="AS111" s="76" t="n">
        <f aca="false">IF(AN111=0,0,bsd(2,AS$27,AO111,$I111,$F111,$G111,$AH111,0.1))</f>
        <v>0</v>
      </c>
      <c r="AT111" s="76" t="n">
        <f aca="false">IF(AN111=0,0,bsd(AS$28,AS$27,AO111,$I111,$F111,$G111,$AH111,0.1))</f>
        <v>0</v>
      </c>
      <c r="AU111" s="37" t="n">
        <f aca="false">AN111*AR111</f>
        <v>0</v>
      </c>
      <c r="AV111" s="37" t="n">
        <f aca="false">AN111*AS111</f>
        <v>0</v>
      </c>
      <c r="AW111" s="37" t="n">
        <f aca="false">AN111*AT111</f>
        <v>0</v>
      </c>
      <c r="AY111" s="73" t="n">
        <f aca="false">IF($A111&gt;=AZ$25,IF($A111&lt;=AZ$26,$AI111,0),0)</f>
        <v>0</v>
      </c>
      <c r="AZ111" s="196" t="e">
        <f aca="false">BB111/AY111</f>
        <v>#DIV/0!</v>
      </c>
      <c r="BA111" s="1" t="n">
        <f aca="false">AY111*($B111+D$13)</f>
        <v>0</v>
      </c>
      <c r="BB111" s="47" t="n">
        <f aca="false">IF(ISNUMBER(((BA111/AY111)+D$14+$K111)*AY111),((BA111/AY111)+D$14+$K111)*AY111,0)</f>
        <v>0</v>
      </c>
      <c r="BC111" s="76" t="n">
        <f aca="false">IF(AY111=0,0,bsd(1,BD$27,AZ111,$P111,$M111,$N111,$AH111,0.1))</f>
        <v>0</v>
      </c>
      <c r="BD111" s="76" t="n">
        <f aca="false">IF(AY111=0,0,bsd(2,BD$27,AZ111,$P111,$M111,$N111,$AH111,0.1))</f>
        <v>0</v>
      </c>
      <c r="BE111" s="76" t="n">
        <f aca="false">IF(AY111=0,0,bsd(BD$28,BD$27,AZ111,$P111,$M111,$N111,$AH111,0.1))</f>
        <v>0</v>
      </c>
      <c r="BF111" s="37" t="n">
        <f aca="false">AY111*BC111</f>
        <v>0</v>
      </c>
      <c r="BG111" s="37" t="n">
        <f aca="false">AY111*BD111</f>
        <v>0</v>
      </c>
      <c r="BH111" s="37" t="n">
        <f aca="false">AY111*BE111</f>
        <v>0</v>
      </c>
      <c r="BJ111" s="73" t="n">
        <f aca="false">IF($A111&gt;=BK$25,IF($A111&lt;=BK$26,$AI111,0),0)</f>
        <v>0</v>
      </c>
      <c r="BK111" s="196" t="e">
        <f aca="false">BM111/BJ111</f>
        <v>#DIV/0!</v>
      </c>
      <c r="BL111" s="1" t="n">
        <f aca="false">BJ111*($B111+F$13)</f>
        <v>0</v>
      </c>
      <c r="BM111" s="47" t="n">
        <f aca="false">IF(ISNUMBER(((BL111/BJ111)+F$14+$R111)*BJ111),((BL111/BJ111)+F$14+$R111)*BJ111,0)</f>
        <v>0</v>
      </c>
      <c r="BN111" s="76" t="n">
        <f aca="false">IF(BJ111=0,0,bsd(1,BO$27,BK111,$W111,$T111,$U111,$AH111,0.1))</f>
        <v>0</v>
      </c>
      <c r="BO111" s="76" t="n">
        <f aca="false">IF(BJ111=0,0,bsd(2,BO$27,BK111,$W111,$T111,$U111,$AH111,0.1))</f>
        <v>0</v>
      </c>
      <c r="BP111" s="76" t="n">
        <f aca="false">IF(BJ111=0,0,bsd(BO$28,BO$27,BK111,$W111,$T111,$U111,$AH111,0.1))</f>
        <v>0</v>
      </c>
      <c r="BQ111" s="37" t="n">
        <f aca="false">BJ111*BN111</f>
        <v>0</v>
      </c>
      <c r="BR111" s="37" t="n">
        <f aca="false">BJ111*BO111</f>
        <v>0</v>
      </c>
      <c r="BS111" s="37" t="n">
        <f aca="false">BJ111*BP111</f>
        <v>0</v>
      </c>
      <c r="BU111" s="73" t="n">
        <f aca="false">IF($A111&gt;=BV$25,IF($A111&lt;=BV$26,$AI111,0),0)</f>
        <v>0</v>
      </c>
      <c r="BV111" s="196" t="e">
        <f aca="false">BX111/BU111</f>
        <v>#DIV/0!</v>
      </c>
      <c r="BW111" s="1" t="n">
        <f aca="false">BU111*($B111+H$13)</f>
        <v>0</v>
      </c>
      <c r="BX111" s="47" t="n">
        <f aca="false">IF(ISNUMBER(((BW111/BU111)+H$14+$Y111)*BU111),((BW111/BU111)+H$14+$Y111)*BU111,0)</f>
        <v>0</v>
      </c>
      <c r="BY111" s="76" t="n">
        <f aca="false">IF(BU111=0,0,bsd(1,BZ$27,BV111,$AD111,$AA111,$AB111,$AH111,0.1))</f>
        <v>0</v>
      </c>
      <c r="BZ111" s="76" t="n">
        <f aca="false">IF(BU111=0,0,bsd(2,BZ$27,BV111,$AD111,$AA111,$AB111,$AH111,0.1))</f>
        <v>0</v>
      </c>
      <c r="CA111" s="76" t="n">
        <f aca="false">IF(BU111=0,0,bsd(BZ$28,BZ$27,BV111,$AD111,$AA111,$AB111,$AH111,0.1))</f>
        <v>0</v>
      </c>
      <c r="CB111" s="37" t="n">
        <f aca="false">BU111*BY111</f>
        <v>0</v>
      </c>
      <c r="CC111" s="37" t="n">
        <f aca="false">BU111*BZ111</f>
        <v>0</v>
      </c>
      <c r="CD111" s="37" t="n">
        <f aca="false">BU111*CA111</f>
        <v>0</v>
      </c>
    </row>
    <row r="112" customFormat="false" ht="12.75" hidden="false" customHeight="false" outlineLevel="0" collapsed="false">
      <c r="A112" s="62" t="n">
        <f aca="false">DATE(YEAR(A111),MONTH(A111)+1,1)</f>
        <v>39722</v>
      </c>
      <c r="B112" s="63" t="n">
        <f aca="false">VLOOKUP(A112,STRADDLE,5,FALSE())</f>
        <v>3.6175</v>
      </c>
      <c r="C112" s="4" t="n">
        <f aca="false">VLOOKUP(A112,STRADDLE,8,FALSE())</f>
        <v>0.23</v>
      </c>
      <c r="D112" s="63" t="n">
        <f aca="false">IF(D$28="nymex",0,VLOOKUP($A112,curvesettle,HLOOKUP(D$28,curvesettle,2,FALSE())))</f>
        <v>-0.0725</v>
      </c>
      <c r="E112" s="65" t="n">
        <f aca="false">IF(ISNUMBER(VLOOKUP($A112,VOLCURVES,HLOOKUP(D$28,VOLCURVES,2,FALSE()),FALSE())),VLOOKUP($A112,VOLCURVES,HLOOKUP(D$28,VOLCURVES,2,FALSE()),FALSE()),1)</f>
        <v>1</v>
      </c>
      <c r="F112" s="64" t="n">
        <f aca="false">IF(D$28="NYMEX",$AG112,$AF112)</f>
        <v>-6210</v>
      </c>
      <c r="G112" s="4" t="e">
        <f aca="false">(($C112+H112)*$E112)+B$15</f>
        <v>#DIV/0!</v>
      </c>
      <c r="H112" s="4" t="e">
        <f aca="false">IF(B$16=1,xCalcSkew(A112,I112-AO112,b)/100,0)</f>
        <v>#DIV/0!</v>
      </c>
      <c r="I112" s="66" t="n">
        <f aca="false">IF($B$19=4,$AO112,$B$18)</f>
        <v>5</v>
      </c>
      <c r="K112" s="63" t="n">
        <f aca="false">IF(K$28="nymex",0,VLOOKUP($A112,curvesettle,HLOOKUP(K$28,curvesettle,2,FALSE())))</f>
        <v>-0.0725</v>
      </c>
      <c r="L112" s="65" t="n">
        <f aca="false">IF(ISNUMBER(VLOOKUP($A112,VOLCURVES,HLOOKUP(K$28,VOLCURVES,2,FALSE()),FALSE())),VLOOKUP($A112,VOLCURVES,HLOOKUP(K$28,VOLCURVES,2,FALSE()),FALSE()),1)</f>
        <v>1</v>
      </c>
      <c r="M112" s="64" t="n">
        <f aca="false">IF(K$28="NYMEX",$AG112,$AF112)</f>
        <v>-6210</v>
      </c>
      <c r="N112" s="184" t="e">
        <f aca="false">(($C112+O112)*$L112)+D$15</f>
        <v>#DIV/0!</v>
      </c>
      <c r="O112" s="4" t="e">
        <f aca="false">IF(D$16=1,xCalcSkew($A112,P112-AZ112,b)/100,0)</f>
        <v>#DIV/0!</v>
      </c>
      <c r="P112" s="66" t="n">
        <f aca="false">IF($D$19=4,$AZ112,$D$18)</f>
        <v>3</v>
      </c>
      <c r="R112" s="63" t="n">
        <f aca="false">IF(R$28="nymex",0,VLOOKUP($A112,curvesettle,HLOOKUP(R$28,curvesettle,2,FALSE())))</f>
        <v>-0.39</v>
      </c>
      <c r="S112" s="65" t="n">
        <f aca="false">IF(ISNUMBER(VLOOKUP($A112,VOLCURVES,HLOOKUP(R$28,VOLCURVES,2,FALSE()),FALSE())),VLOOKUP($A112,VOLCURVES,HLOOKUP(R$28,VOLCURVES,2,FALSE()),FALSE()),1)</f>
        <v>1</v>
      </c>
      <c r="T112" s="64" t="n">
        <f aca="false">IF(R$28="NYMEX",$AG112,$AF112)</f>
        <v>-6210</v>
      </c>
      <c r="U112" s="184" t="e">
        <f aca="false">(($C112+V112)*$S112)+F$15</f>
        <v>#DIV/0!</v>
      </c>
      <c r="V112" s="4" t="e">
        <f aca="false">IF(F$16=1,xCalcSkew($A112,W112-BK112,b)/100,0)</f>
        <v>#DIV/0!</v>
      </c>
      <c r="W112" s="66" t="n">
        <f aca="false">IF($F$19=4,$BK112,$F$18)</f>
        <v>2.55</v>
      </c>
      <c r="X112" s="64"/>
      <c r="Y112" s="63" t="n">
        <f aca="false">IF(Y$28="nymex",0,VLOOKUP($A112,curvesettle,HLOOKUP(Y$28,curvesettle,2,FALSE())))</f>
        <v>0</v>
      </c>
      <c r="Z112" s="65" t="n">
        <f aca="false">IF(ISNUMBER(VLOOKUP($A112,VOLCURVES,HLOOKUP(Y$28,VOLCURVES,2,FALSE()),FALSE())),VLOOKUP($A112,VOLCURVES,HLOOKUP(Y$28,VOLCURVES,2,FALSE()),FALSE()),1)</f>
        <v>1</v>
      </c>
      <c r="AA112" s="64" t="n">
        <f aca="false">IF(Y$28="NYMEX",$AG112,$AF112)</f>
        <v>-6211</v>
      </c>
      <c r="AB112" s="4" t="e">
        <f aca="false">(($C112+AC112)*$Z112)+H$15</f>
        <v>#DIV/0!</v>
      </c>
      <c r="AC112" s="4" t="e">
        <f aca="false">IF(H$16=1,xCalcSkew($A112,AD112-BV112,b)/100,0)</f>
        <v>#DIV/0!</v>
      </c>
      <c r="AD112" s="66" t="n">
        <f aca="false">IF($H$19=4,$BV112,$H$18)</f>
        <v>2.9</v>
      </c>
      <c r="AF112" s="64" t="n">
        <f aca="false">VLOOKUP($A112,expiration,2,FALSE())-$B$2</f>
        <v>-6210</v>
      </c>
      <c r="AG112" s="64" t="n">
        <f aca="false">VLOOKUP($A112,expiration,3,FALSE())-$B$2</f>
        <v>-6211</v>
      </c>
      <c r="AH112" s="4" t="n">
        <f aca="false">VLOOKUP($A112,STRADDLE,14,FALSE())</f>
        <v>0.0551333822454474</v>
      </c>
      <c r="AI112" s="72" t="n">
        <f aca="false">A113-A112</f>
        <v>31</v>
      </c>
      <c r="AL112" s="64"/>
      <c r="AM112" s="73"/>
      <c r="AN112" s="73" t="n">
        <f aca="false">IF($A112&gt;=AO$25,IF($A112&lt;=AO$26,$AI112,0),0)</f>
        <v>0</v>
      </c>
      <c r="AO112" s="196" t="e">
        <f aca="false">AQ112/AN112</f>
        <v>#DIV/0!</v>
      </c>
      <c r="AP112" s="1" t="n">
        <f aca="false">AN112*($B112+B$13)</f>
        <v>0</v>
      </c>
      <c r="AQ112" s="47" t="n">
        <f aca="false">IF(ISNUMBER(((AP112/AN112)+B$14+$D112)*AN112),((AP112/AN112)+B$14+$D112)*AN112,0)</f>
        <v>0</v>
      </c>
      <c r="AR112" s="76" t="n">
        <f aca="false">IF(AN112=0,0,bsd(1,AS$27,AO112,$I112,$F112,$G112,$AH112,0.1))</f>
        <v>0</v>
      </c>
      <c r="AS112" s="76" t="n">
        <f aca="false">IF(AN112=0,0,bsd(2,AS$27,AO112,$I112,$F112,$G112,$AH112,0.1))</f>
        <v>0</v>
      </c>
      <c r="AT112" s="76" t="n">
        <f aca="false">IF(AN112=0,0,bsd(AS$28,AS$27,AO112,$I112,$F112,$G112,$AH112,0.1))</f>
        <v>0</v>
      </c>
      <c r="AU112" s="37" t="n">
        <f aca="false">AN112*AR112</f>
        <v>0</v>
      </c>
      <c r="AV112" s="37" t="n">
        <f aca="false">AN112*AS112</f>
        <v>0</v>
      </c>
      <c r="AW112" s="37" t="n">
        <f aca="false">AN112*AT112</f>
        <v>0</v>
      </c>
      <c r="AY112" s="73" t="n">
        <f aca="false">IF($A112&gt;=AZ$25,IF($A112&lt;=AZ$26,$AI112,0),0)</f>
        <v>0</v>
      </c>
      <c r="AZ112" s="196" t="e">
        <f aca="false">BB112/AY112</f>
        <v>#DIV/0!</v>
      </c>
      <c r="BA112" s="1" t="n">
        <f aca="false">AY112*($B112+D$13)</f>
        <v>0</v>
      </c>
      <c r="BB112" s="47" t="n">
        <f aca="false">IF(ISNUMBER(((BA112/AY112)+D$14+$K112)*AY112),((BA112/AY112)+D$14+$K112)*AY112,0)</f>
        <v>0</v>
      </c>
      <c r="BC112" s="76" t="n">
        <f aca="false">IF(AY112=0,0,bsd(1,BD$27,AZ112,$P112,$M112,$N112,$AH112,0.1))</f>
        <v>0</v>
      </c>
      <c r="BD112" s="76" t="n">
        <f aca="false">IF(AY112=0,0,bsd(2,BD$27,AZ112,$P112,$M112,$N112,$AH112,0.1))</f>
        <v>0</v>
      </c>
      <c r="BE112" s="76" t="n">
        <f aca="false">IF(AY112=0,0,bsd(BD$28,BD$27,AZ112,$P112,$M112,$N112,$AH112,0.1))</f>
        <v>0</v>
      </c>
      <c r="BF112" s="37" t="n">
        <f aca="false">AY112*BC112</f>
        <v>0</v>
      </c>
      <c r="BG112" s="37" t="n">
        <f aca="false">AY112*BD112</f>
        <v>0</v>
      </c>
      <c r="BH112" s="37" t="n">
        <f aca="false">AY112*BE112</f>
        <v>0</v>
      </c>
      <c r="BJ112" s="73" t="n">
        <f aca="false">IF($A112&gt;=BK$25,IF($A112&lt;=BK$26,$AI112,0),0)</f>
        <v>0</v>
      </c>
      <c r="BK112" s="196" t="e">
        <f aca="false">BM112/BJ112</f>
        <v>#DIV/0!</v>
      </c>
      <c r="BL112" s="1" t="n">
        <f aca="false">BJ112*($B112+F$13)</f>
        <v>0</v>
      </c>
      <c r="BM112" s="47" t="n">
        <f aca="false">IF(ISNUMBER(((BL112/BJ112)+F$14+$R112)*BJ112),((BL112/BJ112)+F$14+$R112)*BJ112,0)</f>
        <v>0</v>
      </c>
      <c r="BN112" s="76" t="n">
        <f aca="false">IF(BJ112=0,0,bsd(1,BO$27,BK112,$W112,$T112,$U112,$AH112,0.1))</f>
        <v>0</v>
      </c>
      <c r="BO112" s="76" t="n">
        <f aca="false">IF(BJ112=0,0,bsd(2,BO$27,BK112,$W112,$T112,$U112,$AH112,0.1))</f>
        <v>0</v>
      </c>
      <c r="BP112" s="76" t="n">
        <f aca="false">IF(BJ112=0,0,bsd(BO$28,BO$27,BK112,$W112,$T112,$U112,$AH112,0.1))</f>
        <v>0</v>
      </c>
      <c r="BQ112" s="37" t="n">
        <f aca="false">BJ112*BN112</f>
        <v>0</v>
      </c>
      <c r="BR112" s="37" t="n">
        <f aca="false">BJ112*BO112</f>
        <v>0</v>
      </c>
      <c r="BS112" s="37" t="n">
        <f aca="false">BJ112*BP112</f>
        <v>0</v>
      </c>
      <c r="BU112" s="73" t="n">
        <f aca="false">IF($A112&gt;=BV$25,IF($A112&lt;=BV$26,$AI112,0),0)</f>
        <v>0</v>
      </c>
      <c r="BV112" s="196" t="e">
        <f aca="false">BX112/BU112</f>
        <v>#DIV/0!</v>
      </c>
      <c r="BW112" s="1" t="n">
        <f aca="false">BU112*($B112+H$13)</f>
        <v>0</v>
      </c>
      <c r="BX112" s="47" t="n">
        <f aca="false">IF(ISNUMBER(((BW112/BU112)+H$14+$Y112)*BU112),((BW112/BU112)+H$14+$Y112)*BU112,0)</f>
        <v>0</v>
      </c>
      <c r="BY112" s="76" t="n">
        <f aca="false">IF(BU112=0,0,bsd(1,BZ$27,BV112,$AD112,$AA112,$AB112,$AH112,0.1))</f>
        <v>0</v>
      </c>
      <c r="BZ112" s="76" t="n">
        <f aca="false">IF(BU112=0,0,bsd(2,BZ$27,BV112,$AD112,$AA112,$AB112,$AH112,0.1))</f>
        <v>0</v>
      </c>
      <c r="CA112" s="76" t="n">
        <f aca="false">IF(BU112=0,0,bsd(BZ$28,BZ$27,BV112,$AD112,$AA112,$AB112,$AH112,0.1))</f>
        <v>0</v>
      </c>
      <c r="CB112" s="37" t="n">
        <f aca="false">BU112*BY112</f>
        <v>0</v>
      </c>
      <c r="CC112" s="37" t="n">
        <f aca="false">BU112*BZ112</f>
        <v>0</v>
      </c>
      <c r="CD112" s="37" t="n">
        <f aca="false">BU112*CA112</f>
        <v>0</v>
      </c>
    </row>
    <row r="113" customFormat="false" ht="12.75" hidden="false" customHeight="false" outlineLevel="0" collapsed="false">
      <c r="A113" s="62" t="n">
        <f aca="false">DATE(YEAR(A112),MONTH(A112)+1,1)</f>
        <v>39753</v>
      </c>
      <c r="B113" s="63" t="n">
        <f aca="false">VLOOKUP(A113,STRADDLE,5,FALSE())</f>
        <v>3.7695</v>
      </c>
      <c r="C113" s="4" t="n">
        <f aca="false">VLOOKUP(A113,STRADDLE,8,FALSE())</f>
        <v>0.23</v>
      </c>
      <c r="D113" s="63" t="n">
        <f aca="false">IF(D$28="nymex",0,VLOOKUP($A113,curvesettle,HLOOKUP(D$28,curvesettle,2,FALSE())))</f>
        <v>-0.075</v>
      </c>
      <c r="E113" s="65" t="n">
        <f aca="false">IF(ISNUMBER(VLOOKUP($A113,VOLCURVES,HLOOKUP(D$28,VOLCURVES,2,FALSE()),FALSE())),VLOOKUP($A113,VOLCURVES,HLOOKUP(D$28,VOLCURVES,2,FALSE()),FALSE()),1)</f>
        <v>1</v>
      </c>
      <c r="F113" s="64" t="n">
        <f aca="false">IF(D$28="NYMEX",$AG113,$AF113)</f>
        <v>-6177</v>
      </c>
      <c r="G113" s="4" t="e">
        <f aca="false">(($C113+H113)*$E113)+B$15</f>
        <v>#DIV/0!</v>
      </c>
      <c r="H113" s="4" t="e">
        <f aca="false">IF(B$16=1,xCalcSkew(A113,I113-AO113,b)/100,0)</f>
        <v>#DIV/0!</v>
      </c>
      <c r="I113" s="66" t="n">
        <f aca="false">IF($B$19=4,$AO113,$B$18)</f>
        <v>5</v>
      </c>
      <c r="K113" s="63" t="n">
        <f aca="false">IF(K$28="nymex",0,VLOOKUP($A113,curvesettle,HLOOKUP(K$28,curvesettle,2,FALSE())))</f>
        <v>-0.075</v>
      </c>
      <c r="L113" s="65" t="n">
        <f aca="false">IF(ISNUMBER(VLOOKUP($A113,VOLCURVES,HLOOKUP(K$28,VOLCURVES,2,FALSE()),FALSE())),VLOOKUP($A113,VOLCURVES,HLOOKUP(K$28,VOLCURVES,2,FALSE()),FALSE()),1)</f>
        <v>1</v>
      </c>
      <c r="M113" s="64" t="n">
        <f aca="false">IF(K$28="NYMEX",$AG113,$AF113)</f>
        <v>-6177</v>
      </c>
      <c r="N113" s="184" t="e">
        <f aca="false">(($C113+O113)*$L113)+D$15</f>
        <v>#DIV/0!</v>
      </c>
      <c r="O113" s="4" t="e">
        <f aca="false">IF(D$16=1,xCalcSkew($A113,P113-AZ113,b)/100,0)</f>
        <v>#DIV/0!</v>
      </c>
      <c r="P113" s="66" t="n">
        <f aca="false">IF($D$19=4,$AZ113,$D$18)</f>
        <v>3</v>
      </c>
      <c r="R113" s="63" t="n">
        <f aca="false">IF(R$28="nymex",0,VLOOKUP($A113,curvesettle,HLOOKUP(R$28,curvesettle,2,FALSE())))</f>
        <v>-0.26</v>
      </c>
      <c r="S113" s="65" t="n">
        <f aca="false">IF(ISNUMBER(VLOOKUP($A113,VOLCURVES,HLOOKUP(R$28,VOLCURVES,2,FALSE()),FALSE())),VLOOKUP($A113,VOLCURVES,HLOOKUP(R$28,VOLCURVES,2,FALSE()),FALSE()),1)</f>
        <v>1</v>
      </c>
      <c r="T113" s="64" t="n">
        <f aca="false">IF(R$28="NYMEX",$AG113,$AF113)</f>
        <v>-6177</v>
      </c>
      <c r="U113" s="184" t="e">
        <f aca="false">(($C113+V113)*$S113)+F$15</f>
        <v>#DIV/0!</v>
      </c>
      <c r="V113" s="4" t="e">
        <f aca="false">IF(F$16=1,xCalcSkew($A113,W113-BK113,b)/100,0)</f>
        <v>#DIV/0!</v>
      </c>
      <c r="W113" s="66" t="n">
        <f aca="false">IF($F$19=4,$BK113,$F$18)</f>
        <v>2.55</v>
      </c>
      <c r="X113" s="64"/>
      <c r="Y113" s="63" t="n">
        <f aca="false">IF(Y$28="nymex",0,VLOOKUP($A113,curvesettle,HLOOKUP(Y$28,curvesettle,2,FALSE())))</f>
        <v>0</v>
      </c>
      <c r="Z113" s="65" t="n">
        <f aca="false">IF(ISNUMBER(VLOOKUP($A113,VOLCURVES,HLOOKUP(Y$28,VOLCURVES,2,FALSE()),FALSE())),VLOOKUP($A113,VOLCURVES,HLOOKUP(Y$28,VOLCURVES,2,FALSE()),FALSE()),1)</f>
        <v>1</v>
      </c>
      <c r="AA113" s="64" t="n">
        <f aca="false">IF(Y$28="NYMEX",$AG113,$AF113)</f>
        <v>-6178</v>
      </c>
      <c r="AB113" s="4" t="e">
        <f aca="false">(($C113+AC113)*$Z113)+H$15</f>
        <v>#DIV/0!</v>
      </c>
      <c r="AC113" s="4" t="e">
        <f aca="false">IF(H$16=1,xCalcSkew($A113,AD113-BV113,b)/100,0)</f>
        <v>#DIV/0!</v>
      </c>
      <c r="AD113" s="66" t="n">
        <f aca="false">IF($H$19=4,$BV113,$H$18)</f>
        <v>2.9</v>
      </c>
      <c r="AF113" s="64" t="n">
        <f aca="false">VLOOKUP($A113,expiration,2,FALSE())-$B$2</f>
        <v>-6177</v>
      </c>
      <c r="AG113" s="64" t="n">
        <f aca="false">VLOOKUP($A113,expiration,3,FALSE())-$B$2</f>
        <v>-6178</v>
      </c>
      <c r="AH113" s="4" t="n">
        <f aca="false">VLOOKUP($A113,STRADDLE,14,FALSE())</f>
        <v>0.0553148960776539</v>
      </c>
      <c r="AI113" s="72" t="n">
        <f aca="false">A114-A113</f>
        <v>30</v>
      </c>
      <c r="AL113" s="64"/>
      <c r="AM113" s="73"/>
      <c r="AN113" s="73" t="n">
        <f aca="false">IF($A113&gt;=AO$25,IF($A113&lt;=AO$26,$AI113,0),0)</f>
        <v>0</v>
      </c>
      <c r="AO113" s="196" t="e">
        <f aca="false">AQ113/AN113</f>
        <v>#DIV/0!</v>
      </c>
      <c r="AP113" s="1" t="n">
        <f aca="false">AN113*($B113+B$13)</f>
        <v>0</v>
      </c>
      <c r="AQ113" s="47" t="n">
        <f aca="false">IF(ISNUMBER(((AP113/AN113)+B$14+$D113)*AN113),((AP113/AN113)+B$14+$D113)*AN113,0)</f>
        <v>0</v>
      </c>
      <c r="AR113" s="76" t="n">
        <f aca="false">IF(AN113=0,0,bsd(1,AS$27,AO113,$I113,$F113,$G113,$AH113,0.1))</f>
        <v>0</v>
      </c>
      <c r="AS113" s="76" t="n">
        <f aca="false">IF(AN113=0,0,bsd(2,AS$27,AO113,$I113,$F113,$G113,$AH113,0.1))</f>
        <v>0</v>
      </c>
      <c r="AT113" s="76" t="n">
        <f aca="false">IF(AN113=0,0,bsd(AS$28,AS$27,AO113,$I113,$F113,$G113,$AH113,0.1))</f>
        <v>0</v>
      </c>
      <c r="AU113" s="37" t="n">
        <f aca="false">AN113*AR113</f>
        <v>0</v>
      </c>
      <c r="AV113" s="37" t="n">
        <f aca="false">AN113*AS113</f>
        <v>0</v>
      </c>
      <c r="AW113" s="37" t="n">
        <f aca="false">AN113*AT113</f>
        <v>0</v>
      </c>
      <c r="AY113" s="73" t="n">
        <f aca="false">IF($A113&gt;=AZ$25,IF($A113&lt;=AZ$26,$AI113,0),0)</f>
        <v>0</v>
      </c>
      <c r="AZ113" s="196" t="e">
        <f aca="false">BB113/AY113</f>
        <v>#DIV/0!</v>
      </c>
      <c r="BA113" s="1" t="n">
        <f aca="false">AY113*($B113+D$13)</f>
        <v>0</v>
      </c>
      <c r="BB113" s="47" t="n">
        <f aca="false">IF(ISNUMBER(((BA113/AY113)+D$14+$K113)*AY113),((BA113/AY113)+D$14+$K113)*AY113,0)</f>
        <v>0</v>
      </c>
      <c r="BC113" s="76" t="n">
        <f aca="false">IF(AY113=0,0,bsd(1,BD$27,AZ113,$P113,$M113,$N113,$AH113,0.1))</f>
        <v>0</v>
      </c>
      <c r="BD113" s="76" t="n">
        <f aca="false">IF(AY113=0,0,bsd(2,BD$27,AZ113,$P113,$M113,$N113,$AH113,0.1))</f>
        <v>0</v>
      </c>
      <c r="BE113" s="76" t="n">
        <f aca="false">IF(AY113=0,0,bsd(BD$28,BD$27,AZ113,$P113,$M113,$N113,$AH113,0.1))</f>
        <v>0</v>
      </c>
      <c r="BF113" s="37" t="n">
        <f aca="false">AY113*BC113</f>
        <v>0</v>
      </c>
      <c r="BG113" s="37" t="n">
        <f aca="false">AY113*BD113</f>
        <v>0</v>
      </c>
      <c r="BH113" s="37" t="n">
        <f aca="false">AY113*BE113</f>
        <v>0</v>
      </c>
      <c r="BJ113" s="73" t="n">
        <f aca="false">IF($A113&gt;=BK$25,IF($A113&lt;=BK$26,$AI113,0),0)</f>
        <v>0</v>
      </c>
      <c r="BK113" s="196" t="e">
        <f aca="false">BM113/BJ113</f>
        <v>#DIV/0!</v>
      </c>
      <c r="BL113" s="1" t="n">
        <f aca="false">BJ113*($B113+F$13)</f>
        <v>0</v>
      </c>
      <c r="BM113" s="47" t="n">
        <f aca="false">IF(ISNUMBER(((BL113/BJ113)+F$14+$R113)*BJ113),((BL113/BJ113)+F$14+$R113)*BJ113,0)</f>
        <v>0</v>
      </c>
      <c r="BN113" s="76" t="n">
        <f aca="false">IF(BJ113=0,0,bsd(1,BO$27,BK113,$W113,$T113,$U113,$AH113,0.1))</f>
        <v>0</v>
      </c>
      <c r="BO113" s="76" t="n">
        <f aca="false">IF(BJ113=0,0,bsd(2,BO$27,BK113,$W113,$T113,$U113,$AH113,0.1))</f>
        <v>0</v>
      </c>
      <c r="BP113" s="76" t="n">
        <f aca="false">IF(BJ113=0,0,bsd(BO$28,BO$27,BK113,$W113,$T113,$U113,$AH113,0.1))</f>
        <v>0</v>
      </c>
      <c r="BQ113" s="37" t="n">
        <f aca="false">BJ113*BN113</f>
        <v>0</v>
      </c>
      <c r="BR113" s="37" t="n">
        <f aca="false">BJ113*BO113</f>
        <v>0</v>
      </c>
      <c r="BS113" s="37" t="n">
        <f aca="false">BJ113*BP113</f>
        <v>0</v>
      </c>
      <c r="BU113" s="73" t="n">
        <f aca="false">IF($A113&gt;=BV$25,IF($A113&lt;=BV$26,$AI113,0),0)</f>
        <v>0</v>
      </c>
      <c r="BV113" s="196" t="e">
        <f aca="false">BX113/BU113</f>
        <v>#DIV/0!</v>
      </c>
      <c r="BW113" s="1" t="n">
        <f aca="false">BU113*($B113+H$13)</f>
        <v>0</v>
      </c>
      <c r="BX113" s="47" t="n">
        <f aca="false">IF(ISNUMBER(((BW113/BU113)+H$14+$Y113)*BU113),((BW113/BU113)+H$14+$Y113)*BU113,0)</f>
        <v>0</v>
      </c>
      <c r="BY113" s="76" t="n">
        <f aca="false">IF(BU113=0,0,bsd(1,BZ$27,BV113,$AD113,$AA113,$AB113,$AH113,0.1))</f>
        <v>0</v>
      </c>
      <c r="BZ113" s="76" t="n">
        <f aca="false">IF(BU113=0,0,bsd(2,BZ$27,BV113,$AD113,$AA113,$AB113,$AH113,0.1))</f>
        <v>0</v>
      </c>
      <c r="CA113" s="76" t="n">
        <f aca="false">IF(BU113=0,0,bsd(BZ$28,BZ$27,BV113,$AD113,$AA113,$AB113,$AH113,0.1))</f>
        <v>0</v>
      </c>
      <c r="CB113" s="37" t="n">
        <f aca="false">BU113*BY113</f>
        <v>0</v>
      </c>
      <c r="CC113" s="37" t="n">
        <f aca="false">BU113*BZ113</f>
        <v>0</v>
      </c>
      <c r="CD113" s="37" t="n">
        <f aca="false">BU113*CA113</f>
        <v>0</v>
      </c>
    </row>
    <row r="114" customFormat="false" ht="12.75" hidden="false" customHeight="false" outlineLevel="0" collapsed="false">
      <c r="A114" s="62" t="n">
        <f aca="false">DATE(YEAR(A113),MONTH(A113)+1,1)</f>
        <v>39783</v>
      </c>
      <c r="B114" s="63" t="n">
        <f aca="false">VLOOKUP(A114,STRADDLE,5,FALSE())</f>
        <v>3.9125</v>
      </c>
      <c r="C114" s="4" t="n">
        <f aca="false">VLOOKUP(A114,STRADDLE,8,FALSE())</f>
        <v>0.23</v>
      </c>
      <c r="D114" s="63" t="n">
        <f aca="false">IF(D$28="nymex",0,VLOOKUP($A114,curvesettle,HLOOKUP(D$28,curvesettle,2,FALSE())))</f>
        <v>-0.075</v>
      </c>
      <c r="E114" s="65" t="n">
        <f aca="false">IF(ISNUMBER(VLOOKUP($A114,VOLCURVES,HLOOKUP(D$28,VOLCURVES,2,FALSE()),FALSE())),VLOOKUP($A114,VOLCURVES,HLOOKUP(D$28,VOLCURVES,2,FALSE()),FALSE()),1)</f>
        <v>1</v>
      </c>
      <c r="F114" s="64" t="n">
        <f aca="false">IF(D$28="NYMEX",$AG114,$AF114)</f>
        <v>-6150</v>
      </c>
      <c r="G114" s="4" t="e">
        <f aca="false">(($C114+H114)*$E114)+B$15</f>
        <v>#DIV/0!</v>
      </c>
      <c r="H114" s="4" t="e">
        <f aca="false">IF(B$16=1,xCalcSkew(A114,I114-AO114,b)/100,0)</f>
        <v>#DIV/0!</v>
      </c>
      <c r="I114" s="66" t="n">
        <f aca="false">IF($B$19=4,$AO114,$B$18)</f>
        <v>5</v>
      </c>
      <c r="K114" s="63" t="n">
        <f aca="false">IF(K$28="nymex",0,VLOOKUP($A114,curvesettle,HLOOKUP(K$28,curvesettle,2,FALSE())))</f>
        <v>-0.075</v>
      </c>
      <c r="L114" s="65" t="n">
        <f aca="false">IF(ISNUMBER(VLOOKUP($A114,VOLCURVES,HLOOKUP(K$28,VOLCURVES,2,FALSE()),FALSE())),VLOOKUP($A114,VOLCURVES,HLOOKUP(K$28,VOLCURVES,2,FALSE()),FALSE()),1)</f>
        <v>1</v>
      </c>
      <c r="M114" s="64" t="n">
        <f aca="false">IF(K$28="NYMEX",$AG114,$AF114)</f>
        <v>-6150</v>
      </c>
      <c r="N114" s="184" t="e">
        <f aca="false">(($C114+O114)*$L114)+D$15</f>
        <v>#DIV/0!</v>
      </c>
      <c r="O114" s="4" t="e">
        <f aca="false">IF(D$16=1,xCalcSkew($A114,P114-AZ114,b)/100,0)</f>
        <v>#DIV/0!</v>
      </c>
      <c r="P114" s="66" t="n">
        <f aca="false">IF($D$19=4,$AZ114,$D$18)</f>
        <v>3</v>
      </c>
      <c r="R114" s="63" t="n">
        <f aca="false">IF(R$28="nymex",0,VLOOKUP($A114,curvesettle,HLOOKUP(R$28,curvesettle,2,FALSE())))</f>
        <v>-0.26</v>
      </c>
      <c r="S114" s="65" t="n">
        <f aca="false">IF(ISNUMBER(VLOOKUP($A114,VOLCURVES,HLOOKUP(R$28,VOLCURVES,2,FALSE()),FALSE())),VLOOKUP($A114,VOLCURVES,HLOOKUP(R$28,VOLCURVES,2,FALSE()),FALSE()),1)</f>
        <v>1</v>
      </c>
      <c r="T114" s="64" t="n">
        <f aca="false">IF(R$28="NYMEX",$AG114,$AF114)</f>
        <v>-6150</v>
      </c>
      <c r="U114" s="184" t="e">
        <f aca="false">(($C114+V114)*$S114)+F$15</f>
        <v>#DIV/0!</v>
      </c>
      <c r="V114" s="4" t="e">
        <f aca="false">IF(F$16=1,xCalcSkew($A114,W114-BK114,b)/100,0)</f>
        <v>#DIV/0!</v>
      </c>
      <c r="W114" s="66" t="n">
        <f aca="false">IF($F$19=4,$BK114,$F$18)</f>
        <v>2.55</v>
      </c>
      <c r="X114" s="64"/>
      <c r="Y114" s="63" t="n">
        <f aca="false">IF(Y$28="nymex",0,VLOOKUP($A114,curvesettle,HLOOKUP(Y$28,curvesettle,2,FALSE())))</f>
        <v>0</v>
      </c>
      <c r="Z114" s="65" t="n">
        <f aca="false">IF(ISNUMBER(VLOOKUP($A114,VOLCURVES,HLOOKUP(Y$28,VOLCURVES,2,FALSE()),FALSE())),VLOOKUP($A114,VOLCURVES,HLOOKUP(Y$28,VOLCURVES,2,FALSE()),FALSE()),1)</f>
        <v>1</v>
      </c>
      <c r="AA114" s="64" t="n">
        <f aca="false">IF(Y$28="NYMEX",$AG114,$AF114)</f>
        <v>-6151</v>
      </c>
      <c r="AB114" s="4" t="e">
        <f aca="false">(($C114+AC114)*$Z114)+H$15</f>
        <v>#DIV/0!</v>
      </c>
      <c r="AC114" s="4" t="e">
        <f aca="false">IF(H$16=1,xCalcSkew($A114,AD114-BV114,b)/100,0)</f>
        <v>#DIV/0!</v>
      </c>
      <c r="AD114" s="66" t="n">
        <f aca="false">IF($H$19=4,$BV114,$H$18)</f>
        <v>2.9</v>
      </c>
      <c r="AF114" s="64" t="n">
        <f aca="false">VLOOKUP($A114,expiration,2,FALSE())-$B$2</f>
        <v>-6150</v>
      </c>
      <c r="AG114" s="64" t="n">
        <f aca="false">VLOOKUP($A114,expiration,3,FALSE())-$B$2</f>
        <v>-6151</v>
      </c>
      <c r="AH114" s="4" t="n">
        <f aca="false">VLOOKUP($A114,STRADDLE,14,FALSE())</f>
        <v>0.0554905546353979</v>
      </c>
      <c r="AI114" s="72" t="n">
        <f aca="false">A115-A114</f>
        <v>31</v>
      </c>
      <c r="AL114" s="64"/>
      <c r="AM114" s="73"/>
      <c r="AN114" s="73" t="n">
        <f aca="false">IF($A114&gt;=AO$25,IF($A114&lt;=AO$26,$AI114,0),0)</f>
        <v>0</v>
      </c>
      <c r="AO114" s="196" t="e">
        <f aca="false">AQ114/AN114</f>
        <v>#DIV/0!</v>
      </c>
      <c r="AP114" s="1" t="n">
        <f aca="false">AN114*($B114+B$13)</f>
        <v>0</v>
      </c>
      <c r="AQ114" s="47" t="n">
        <f aca="false">IF(ISNUMBER(((AP114/AN114)+B$14+$D114)*AN114),((AP114/AN114)+B$14+$D114)*AN114,0)</f>
        <v>0</v>
      </c>
      <c r="AR114" s="76" t="n">
        <f aca="false">IF(AN114=0,0,bsd(1,AS$27,AO114,$I114,$F114,$G114,$AH114,0.1))</f>
        <v>0</v>
      </c>
      <c r="AS114" s="76" t="n">
        <f aca="false">IF(AN114=0,0,bsd(2,AS$27,AO114,$I114,$F114,$G114,$AH114,0.1))</f>
        <v>0</v>
      </c>
      <c r="AT114" s="76" t="n">
        <f aca="false">IF(AN114=0,0,bsd(AS$28,AS$27,AO114,$I114,$F114,$G114,$AH114,0.1))</f>
        <v>0</v>
      </c>
      <c r="AU114" s="37" t="n">
        <f aca="false">AN114*AR114</f>
        <v>0</v>
      </c>
      <c r="AV114" s="37" t="n">
        <f aca="false">AN114*AS114</f>
        <v>0</v>
      </c>
      <c r="AW114" s="37" t="n">
        <f aca="false">AN114*AT114</f>
        <v>0</v>
      </c>
      <c r="AY114" s="73" t="n">
        <f aca="false">IF($A114&gt;=AZ$25,IF($A114&lt;=AZ$26,$AI114,0),0)</f>
        <v>0</v>
      </c>
      <c r="AZ114" s="196" t="e">
        <f aca="false">BB114/AY114</f>
        <v>#DIV/0!</v>
      </c>
      <c r="BA114" s="1" t="n">
        <f aca="false">AY114*($B114+D$13)</f>
        <v>0</v>
      </c>
      <c r="BB114" s="47" t="n">
        <f aca="false">IF(ISNUMBER(((BA114/AY114)+D$14+$K114)*AY114),((BA114/AY114)+D$14+$K114)*AY114,0)</f>
        <v>0</v>
      </c>
      <c r="BC114" s="76" t="n">
        <f aca="false">IF(AY114=0,0,bsd(1,BD$27,AZ114,$P114,$M114,$N114,$AH114,0.1))</f>
        <v>0</v>
      </c>
      <c r="BD114" s="76" t="n">
        <f aca="false">IF(AY114=0,0,bsd(2,BD$27,AZ114,$P114,$M114,$N114,$AH114,0.1))</f>
        <v>0</v>
      </c>
      <c r="BE114" s="76" t="n">
        <f aca="false">IF(AY114=0,0,bsd(BD$28,BD$27,AZ114,$P114,$M114,$N114,$AH114,0.1))</f>
        <v>0</v>
      </c>
      <c r="BF114" s="37" t="n">
        <f aca="false">AY114*BC114</f>
        <v>0</v>
      </c>
      <c r="BG114" s="37" t="n">
        <f aca="false">AY114*BD114</f>
        <v>0</v>
      </c>
      <c r="BH114" s="37" t="n">
        <f aca="false">AY114*BE114</f>
        <v>0</v>
      </c>
      <c r="BJ114" s="73" t="n">
        <f aca="false">IF($A114&gt;=BK$25,IF($A114&lt;=BK$26,$AI114,0),0)</f>
        <v>0</v>
      </c>
      <c r="BK114" s="196" t="e">
        <f aca="false">BM114/BJ114</f>
        <v>#DIV/0!</v>
      </c>
      <c r="BL114" s="1" t="n">
        <f aca="false">BJ114*($B114+F$13)</f>
        <v>0</v>
      </c>
      <c r="BM114" s="47" t="n">
        <f aca="false">IF(ISNUMBER(((BL114/BJ114)+F$14+$R114)*BJ114),((BL114/BJ114)+F$14+$R114)*BJ114,0)</f>
        <v>0</v>
      </c>
      <c r="BN114" s="76" t="n">
        <f aca="false">IF(BJ114=0,0,bsd(1,BO$27,BK114,$W114,$T114,$U114,$AH114,0.1))</f>
        <v>0</v>
      </c>
      <c r="BO114" s="76" t="n">
        <f aca="false">IF(BJ114=0,0,bsd(2,BO$27,BK114,$W114,$T114,$U114,$AH114,0.1))</f>
        <v>0</v>
      </c>
      <c r="BP114" s="76" t="n">
        <f aca="false">IF(BJ114=0,0,bsd(BO$28,BO$27,BK114,$W114,$T114,$U114,$AH114,0.1))</f>
        <v>0</v>
      </c>
      <c r="BQ114" s="37" t="n">
        <f aca="false">BJ114*BN114</f>
        <v>0</v>
      </c>
      <c r="BR114" s="37" t="n">
        <f aca="false">BJ114*BO114</f>
        <v>0</v>
      </c>
      <c r="BS114" s="37" t="n">
        <f aca="false">BJ114*BP114</f>
        <v>0</v>
      </c>
      <c r="BU114" s="73" t="n">
        <f aca="false">IF($A114&gt;=BV$25,IF($A114&lt;=BV$26,$AI114,0),0)</f>
        <v>0</v>
      </c>
      <c r="BV114" s="196" t="e">
        <f aca="false">BX114/BU114</f>
        <v>#DIV/0!</v>
      </c>
      <c r="BW114" s="1" t="n">
        <f aca="false">BU114*($B114+H$13)</f>
        <v>0</v>
      </c>
      <c r="BX114" s="47" t="n">
        <f aca="false">IF(ISNUMBER(((BW114/BU114)+H$14+$Y114)*BU114),((BW114/BU114)+H$14+$Y114)*BU114,0)</f>
        <v>0</v>
      </c>
      <c r="BY114" s="76" t="n">
        <f aca="false">IF(BU114=0,0,bsd(1,BZ$27,BV114,$AD114,$AA114,$AB114,$AH114,0.1))</f>
        <v>0</v>
      </c>
      <c r="BZ114" s="76" t="n">
        <f aca="false">IF(BU114=0,0,bsd(2,BZ$27,BV114,$AD114,$AA114,$AB114,$AH114,0.1))</f>
        <v>0</v>
      </c>
      <c r="CA114" s="76" t="n">
        <f aca="false">IF(BU114=0,0,bsd(BZ$28,BZ$27,BV114,$AD114,$AA114,$AB114,$AH114,0.1))</f>
        <v>0</v>
      </c>
      <c r="CB114" s="37" t="n">
        <f aca="false">BU114*BY114</f>
        <v>0</v>
      </c>
      <c r="CC114" s="37" t="n">
        <f aca="false">BU114*BZ114</f>
        <v>0</v>
      </c>
      <c r="CD114" s="37" t="n">
        <f aca="false">BU114*CA114</f>
        <v>0</v>
      </c>
    </row>
    <row r="115" customFormat="false" ht="12.75" hidden="false" customHeight="false" outlineLevel="0" collapsed="false">
      <c r="A115" s="62" t="n">
        <f aca="false">DATE(YEAR(A114),MONTH(A114)+1,1)</f>
        <v>39814</v>
      </c>
      <c r="B115" s="63" t="n">
        <f aca="false">VLOOKUP(A115,STRADDLE,5,FALSE())</f>
        <v>3.965</v>
      </c>
      <c r="C115" s="4" t="n">
        <f aca="false">VLOOKUP(A115,STRADDLE,8,FALSE())</f>
        <v>0.23</v>
      </c>
      <c r="D115" s="63" t="n">
        <f aca="false">IF(D$28="nymex",0,VLOOKUP($A115,curvesettle,HLOOKUP(D$28,curvesettle,2,FALSE())))</f>
        <v>-0.075</v>
      </c>
      <c r="E115" s="65" t="n">
        <f aca="false">IF(ISNUMBER(VLOOKUP($A115,VOLCURVES,HLOOKUP(D$28,VOLCURVES,2,FALSE()),FALSE())),VLOOKUP($A115,VOLCURVES,HLOOKUP(D$28,VOLCURVES,2,FALSE()),FALSE()),1)</f>
        <v>1</v>
      </c>
      <c r="F115" s="64" t="n">
        <f aca="false">IF(D$28="NYMEX",$AG115,$AF115)</f>
        <v>-6116</v>
      </c>
      <c r="G115" s="4" t="e">
        <f aca="false">(($C115+H115)*$E115)+B$15</f>
        <v>#DIV/0!</v>
      </c>
      <c r="H115" s="4" t="e">
        <f aca="false">IF(B$16=1,xCalcSkew(A115,I115-AO115,b)/100,0)</f>
        <v>#DIV/0!</v>
      </c>
      <c r="I115" s="66" t="n">
        <f aca="false">IF($B$19=4,$AO115,$B$18)</f>
        <v>5</v>
      </c>
      <c r="K115" s="63" t="n">
        <f aca="false">IF(K$28="nymex",0,VLOOKUP($A115,curvesettle,HLOOKUP(K$28,curvesettle,2,FALSE())))</f>
        <v>-0.075</v>
      </c>
      <c r="L115" s="65" t="n">
        <f aca="false">IF(ISNUMBER(VLOOKUP($A115,VOLCURVES,HLOOKUP(K$28,VOLCURVES,2,FALSE()),FALSE())),VLOOKUP($A115,VOLCURVES,HLOOKUP(K$28,VOLCURVES,2,FALSE()),FALSE()),1)</f>
        <v>1</v>
      </c>
      <c r="M115" s="64" t="n">
        <f aca="false">IF(K$28="NYMEX",$AG115,$AF115)</f>
        <v>-6116</v>
      </c>
      <c r="N115" s="184" t="e">
        <f aca="false">(($C115+O115)*$L115)+D$15</f>
        <v>#DIV/0!</v>
      </c>
      <c r="O115" s="4" t="e">
        <f aca="false">IF(D$16=1,xCalcSkew($A115,P115-AZ115,b)/100,0)</f>
        <v>#DIV/0!</v>
      </c>
      <c r="P115" s="66" t="n">
        <f aca="false">IF($D$19=4,$AZ115,$D$18)</f>
        <v>3</v>
      </c>
      <c r="R115" s="63" t="n">
        <f aca="false">IF(R$28="nymex",0,VLOOKUP($A115,curvesettle,HLOOKUP(R$28,curvesettle,2,FALSE())))</f>
        <v>-0.26</v>
      </c>
      <c r="S115" s="65" t="n">
        <f aca="false">IF(ISNUMBER(VLOOKUP($A115,VOLCURVES,HLOOKUP(R$28,VOLCURVES,2,FALSE()),FALSE())),VLOOKUP($A115,VOLCURVES,HLOOKUP(R$28,VOLCURVES,2,FALSE()),FALSE()),1)</f>
        <v>1</v>
      </c>
      <c r="T115" s="64" t="n">
        <f aca="false">IF(R$28="NYMEX",$AG115,$AF115)</f>
        <v>-6116</v>
      </c>
      <c r="U115" s="184" t="e">
        <f aca="false">(($C115+V115)*$S115)+F$15</f>
        <v>#DIV/0!</v>
      </c>
      <c r="V115" s="4" t="e">
        <f aca="false">IF(F$16=1,xCalcSkew($A115,W115-BK115,b)/100,0)</f>
        <v>#DIV/0!</v>
      </c>
      <c r="W115" s="66" t="n">
        <f aca="false">IF($F$19=4,$BK115,$F$18)</f>
        <v>2.55</v>
      </c>
      <c r="X115" s="64"/>
      <c r="Y115" s="63" t="n">
        <f aca="false">IF(Y$28="nymex",0,VLOOKUP($A115,curvesettle,HLOOKUP(Y$28,curvesettle,2,FALSE())))</f>
        <v>0</v>
      </c>
      <c r="Z115" s="65" t="n">
        <f aca="false">IF(ISNUMBER(VLOOKUP($A115,VOLCURVES,HLOOKUP(Y$28,VOLCURVES,2,FALSE()),FALSE())),VLOOKUP($A115,VOLCURVES,HLOOKUP(Y$28,VOLCURVES,2,FALSE()),FALSE()),1)</f>
        <v>1</v>
      </c>
      <c r="AA115" s="64" t="n">
        <f aca="false">IF(Y$28="NYMEX",$AG115,$AF115)</f>
        <v>-6119</v>
      </c>
      <c r="AB115" s="4" t="e">
        <f aca="false">(($C115+AC115)*$Z115)+H$15</f>
        <v>#DIV/0!</v>
      </c>
      <c r="AC115" s="4" t="e">
        <f aca="false">IF(H$16=1,xCalcSkew($A115,AD115-BV115,b)/100,0)</f>
        <v>#DIV/0!</v>
      </c>
      <c r="AD115" s="66" t="n">
        <f aca="false">IF($H$19=4,$BV115,$H$18)</f>
        <v>2.9</v>
      </c>
      <c r="AF115" s="64" t="n">
        <f aca="false">VLOOKUP($A115,expiration,2,FALSE())-$B$2</f>
        <v>-6116</v>
      </c>
      <c r="AG115" s="64" t="n">
        <f aca="false">VLOOKUP($A115,expiration,3,FALSE())-$B$2</f>
        <v>-6119</v>
      </c>
      <c r="AH115" s="4" t="n">
        <f aca="false">VLOOKUP($A115,STRADDLE,14,FALSE())</f>
        <v>0.0556292858091121</v>
      </c>
      <c r="AI115" s="72" t="n">
        <f aca="false">A116-A115</f>
        <v>31</v>
      </c>
      <c r="AL115" s="64"/>
      <c r="AM115" s="73"/>
      <c r="AN115" s="73" t="n">
        <f aca="false">IF($A115&gt;=AO$25,IF($A115&lt;=AO$26,$AI115,0),0)</f>
        <v>0</v>
      </c>
      <c r="AO115" s="196" t="e">
        <f aca="false">AQ115/AN115</f>
        <v>#DIV/0!</v>
      </c>
      <c r="AP115" s="1" t="n">
        <f aca="false">AN115*($B115+B$13)</f>
        <v>0</v>
      </c>
      <c r="AQ115" s="47" t="n">
        <f aca="false">IF(ISNUMBER(((AP115/AN115)+B$14+$D115)*AN115),((AP115/AN115)+B$14+$D115)*AN115,0)</f>
        <v>0</v>
      </c>
      <c r="AR115" s="76" t="n">
        <f aca="false">IF(AN115=0,0,bsd(1,AS$27,AO115,$I115,$F115,$G115,$AH115,0.1))</f>
        <v>0</v>
      </c>
      <c r="AS115" s="76" t="n">
        <f aca="false">IF(AN115=0,0,bsd(2,AS$27,AO115,$I115,$F115,$G115,$AH115,0.1))</f>
        <v>0</v>
      </c>
      <c r="AT115" s="76" t="n">
        <f aca="false">IF(AN115=0,0,bsd(AS$28,AS$27,AO115,$I115,$F115,$G115,$AH115,0.1))</f>
        <v>0</v>
      </c>
      <c r="AU115" s="37" t="n">
        <f aca="false">AN115*AR115</f>
        <v>0</v>
      </c>
      <c r="AV115" s="37" t="n">
        <f aca="false">AN115*AS115</f>
        <v>0</v>
      </c>
      <c r="AW115" s="37" t="n">
        <f aca="false">AN115*AT115</f>
        <v>0</v>
      </c>
      <c r="AY115" s="73" t="n">
        <f aca="false">IF($A115&gt;=AZ$25,IF($A115&lt;=AZ$26,$AI115,0),0)</f>
        <v>0</v>
      </c>
      <c r="AZ115" s="196" t="e">
        <f aca="false">BB115/AY115</f>
        <v>#DIV/0!</v>
      </c>
      <c r="BA115" s="1" t="n">
        <f aca="false">AY115*($B115+D$13)</f>
        <v>0</v>
      </c>
      <c r="BB115" s="47" t="n">
        <f aca="false">IF(ISNUMBER(((BA115/AY115)+D$14+$K115)*AY115),((BA115/AY115)+D$14+$K115)*AY115,0)</f>
        <v>0</v>
      </c>
      <c r="BC115" s="76" t="n">
        <f aca="false">IF(AY115=0,0,bsd(1,BD$27,AZ115,$P115,$M115,$N115,$AH115,0.1))</f>
        <v>0</v>
      </c>
      <c r="BD115" s="76" t="n">
        <f aca="false">IF(AY115=0,0,bsd(2,BD$27,AZ115,$P115,$M115,$N115,$AH115,0.1))</f>
        <v>0</v>
      </c>
      <c r="BE115" s="76" t="n">
        <f aca="false">IF(AY115=0,0,bsd(BD$28,BD$27,AZ115,$P115,$M115,$N115,$AH115,0.1))</f>
        <v>0</v>
      </c>
      <c r="BF115" s="37" t="n">
        <f aca="false">AY115*BC115</f>
        <v>0</v>
      </c>
      <c r="BG115" s="37" t="n">
        <f aca="false">AY115*BD115</f>
        <v>0</v>
      </c>
      <c r="BH115" s="37" t="n">
        <f aca="false">AY115*BE115</f>
        <v>0</v>
      </c>
      <c r="BJ115" s="73" t="n">
        <f aca="false">IF($A115&gt;=BK$25,IF($A115&lt;=BK$26,$AI115,0),0)</f>
        <v>0</v>
      </c>
      <c r="BK115" s="196" t="e">
        <f aca="false">BM115/BJ115</f>
        <v>#DIV/0!</v>
      </c>
      <c r="BL115" s="1" t="n">
        <f aca="false">BJ115*($B115+F$13)</f>
        <v>0</v>
      </c>
      <c r="BM115" s="47" t="n">
        <f aca="false">IF(ISNUMBER(((BL115/BJ115)+F$14+$R115)*BJ115),((BL115/BJ115)+F$14+$R115)*BJ115,0)</f>
        <v>0</v>
      </c>
      <c r="BN115" s="76" t="n">
        <f aca="false">IF(BJ115=0,0,bsd(1,BO$27,BK115,$W115,$T115,$U115,$AH115,0.1))</f>
        <v>0</v>
      </c>
      <c r="BO115" s="76" t="n">
        <f aca="false">IF(BJ115=0,0,bsd(2,BO$27,BK115,$W115,$T115,$U115,$AH115,0.1))</f>
        <v>0</v>
      </c>
      <c r="BP115" s="76" t="n">
        <f aca="false">IF(BJ115=0,0,bsd(BO$28,BO$27,BK115,$W115,$T115,$U115,$AH115,0.1))</f>
        <v>0</v>
      </c>
      <c r="BQ115" s="37" t="n">
        <f aca="false">BJ115*BN115</f>
        <v>0</v>
      </c>
      <c r="BR115" s="37" t="n">
        <f aca="false">BJ115*BO115</f>
        <v>0</v>
      </c>
      <c r="BS115" s="37" t="n">
        <f aca="false">BJ115*BP115</f>
        <v>0</v>
      </c>
      <c r="BU115" s="73" t="n">
        <f aca="false">IF($A115&gt;=BV$25,IF($A115&lt;=BV$26,$AI115,0),0)</f>
        <v>0</v>
      </c>
      <c r="BV115" s="196" t="e">
        <f aca="false">BX115/BU115</f>
        <v>#DIV/0!</v>
      </c>
      <c r="BW115" s="1" t="n">
        <f aca="false">BU115*($B115+H$13)</f>
        <v>0</v>
      </c>
      <c r="BX115" s="47" t="n">
        <f aca="false">IF(ISNUMBER(((BW115/BU115)+H$14+$Y115)*BU115),((BW115/BU115)+H$14+$Y115)*BU115,0)</f>
        <v>0</v>
      </c>
      <c r="BY115" s="76" t="n">
        <f aca="false">IF(BU115=0,0,bsd(1,BZ$27,BV115,$AD115,$AA115,$AB115,$AH115,0.1))</f>
        <v>0</v>
      </c>
      <c r="BZ115" s="76" t="n">
        <f aca="false">IF(BU115=0,0,bsd(2,BZ$27,BV115,$AD115,$AA115,$AB115,$AH115,0.1))</f>
        <v>0</v>
      </c>
      <c r="CA115" s="76" t="n">
        <f aca="false">IF(BU115=0,0,bsd(BZ$28,BZ$27,BV115,$AD115,$AA115,$AB115,$AH115,0.1))</f>
        <v>0</v>
      </c>
      <c r="CB115" s="37" t="n">
        <f aca="false">BU115*BY115</f>
        <v>0</v>
      </c>
      <c r="CC115" s="37" t="n">
        <f aca="false">BU115*BZ115</f>
        <v>0</v>
      </c>
      <c r="CD115" s="37" t="n">
        <f aca="false">BU115*CA115</f>
        <v>0</v>
      </c>
    </row>
    <row r="116" customFormat="false" ht="12.75" hidden="false" customHeight="false" outlineLevel="0" collapsed="false">
      <c r="A116" s="62" t="n">
        <f aca="false">DATE(YEAR(A115),MONTH(A115)+1,1)</f>
        <v>39845</v>
      </c>
      <c r="B116" s="63" t="n">
        <f aca="false">VLOOKUP(A116,STRADDLE,5,FALSE())</f>
        <v>3.88</v>
      </c>
      <c r="C116" s="4" t="n">
        <f aca="false">VLOOKUP(A116,STRADDLE,8,FALSE())</f>
        <v>0.2275</v>
      </c>
      <c r="D116" s="63" t="n">
        <f aca="false">IF(D$28="nymex",0,VLOOKUP($A116,curvesettle,HLOOKUP(D$28,curvesettle,2,FALSE())))</f>
        <v>-0.075</v>
      </c>
      <c r="E116" s="65" t="n">
        <f aca="false">IF(ISNUMBER(VLOOKUP($A116,VOLCURVES,HLOOKUP(D$28,VOLCURVES,2,FALSE()),FALSE())),VLOOKUP($A116,VOLCURVES,HLOOKUP(D$28,VOLCURVES,2,FALSE()),FALSE()),1)</f>
        <v>1</v>
      </c>
      <c r="F116" s="64" t="n">
        <f aca="false">IF(D$28="NYMEX",$AG116,$AF116)</f>
        <v>-6086</v>
      </c>
      <c r="G116" s="4" t="e">
        <f aca="false">(($C116+H116)*$E116)+B$15</f>
        <v>#DIV/0!</v>
      </c>
      <c r="H116" s="4" t="e">
        <f aca="false">IF(B$16=1,xCalcSkew(A116,I116-AO116,b)/100,0)</f>
        <v>#DIV/0!</v>
      </c>
      <c r="I116" s="66" t="n">
        <f aca="false">IF($B$19=4,$AO116,$B$18)</f>
        <v>5</v>
      </c>
      <c r="K116" s="63" t="n">
        <f aca="false">IF(K$28="nymex",0,VLOOKUP($A116,curvesettle,HLOOKUP(K$28,curvesettle,2,FALSE())))</f>
        <v>-0.075</v>
      </c>
      <c r="L116" s="65" t="n">
        <f aca="false">IF(ISNUMBER(VLOOKUP($A116,VOLCURVES,HLOOKUP(K$28,VOLCURVES,2,FALSE()),FALSE())),VLOOKUP($A116,VOLCURVES,HLOOKUP(K$28,VOLCURVES,2,FALSE()),FALSE()),1)</f>
        <v>1</v>
      </c>
      <c r="M116" s="64" t="n">
        <f aca="false">IF(K$28="NYMEX",$AG116,$AF116)</f>
        <v>-6086</v>
      </c>
      <c r="N116" s="184" t="e">
        <f aca="false">(($C116+O116)*$L116)+D$15</f>
        <v>#DIV/0!</v>
      </c>
      <c r="O116" s="4" t="e">
        <f aca="false">IF(D$16=1,xCalcSkew($A116,P116-AZ116,b)/100,0)</f>
        <v>#DIV/0!</v>
      </c>
      <c r="P116" s="66" t="n">
        <f aca="false">IF($D$19=4,$AZ116,$D$18)</f>
        <v>3</v>
      </c>
      <c r="R116" s="63" t="n">
        <f aca="false">IF(R$28="nymex",0,VLOOKUP($A116,curvesettle,HLOOKUP(R$28,curvesettle,2,FALSE())))</f>
        <v>-0.26</v>
      </c>
      <c r="S116" s="65" t="n">
        <f aca="false">IF(ISNUMBER(VLOOKUP($A116,VOLCURVES,HLOOKUP(R$28,VOLCURVES,2,FALSE()),FALSE())),VLOOKUP($A116,VOLCURVES,HLOOKUP(R$28,VOLCURVES,2,FALSE()),FALSE()),1)</f>
        <v>1</v>
      </c>
      <c r="T116" s="64" t="n">
        <f aca="false">IF(R$28="NYMEX",$AG116,$AF116)</f>
        <v>-6086</v>
      </c>
      <c r="U116" s="184" t="e">
        <f aca="false">(($C116+V116)*$S116)+F$15</f>
        <v>#DIV/0!</v>
      </c>
      <c r="V116" s="4" t="e">
        <f aca="false">IF(F$16=1,xCalcSkew($A116,W116-BK116,b)/100,0)</f>
        <v>#DIV/0!</v>
      </c>
      <c r="W116" s="66" t="n">
        <f aca="false">IF($F$19=4,$BK116,$F$18)</f>
        <v>2.55</v>
      </c>
      <c r="X116" s="64"/>
      <c r="Y116" s="63" t="n">
        <f aca="false">IF(Y$28="nymex",0,VLOOKUP($A116,curvesettle,HLOOKUP(Y$28,curvesettle,2,FALSE())))</f>
        <v>0</v>
      </c>
      <c r="Z116" s="65" t="n">
        <f aca="false">IF(ISNUMBER(VLOOKUP($A116,VOLCURVES,HLOOKUP(Y$28,VOLCURVES,2,FALSE()),FALSE())),VLOOKUP($A116,VOLCURVES,HLOOKUP(Y$28,VOLCURVES,2,FALSE()),FALSE()),1)</f>
        <v>1</v>
      </c>
      <c r="AA116" s="64" t="n">
        <f aca="false">IF(Y$28="NYMEX",$AG116,$AF116)</f>
        <v>-6087</v>
      </c>
      <c r="AB116" s="4" t="e">
        <f aca="false">(($C116+AC116)*$Z116)+H$15</f>
        <v>#DIV/0!</v>
      </c>
      <c r="AC116" s="4" t="e">
        <f aca="false">IF(H$16=1,xCalcSkew($A116,AD116-BV116,b)/100,0)</f>
        <v>#DIV/0!</v>
      </c>
      <c r="AD116" s="66" t="n">
        <f aca="false">IF($H$19=4,$BV116,$H$18)</f>
        <v>2.9</v>
      </c>
      <c r="AF116" s="64" t="n">
        <f aca="false">VLOOKUP($A116,expiration,2,FALSE())-$B$2</f>
        <v>-6086</v>
      </c>
      <c r="AG116" s="64" t="n">
        <f aca="false">VLOOKUP($A116,expiration,3,FALSE())-$B$2</f>
        <v>-6087</v>
      </c>
      <c r="AH116" s="4" t="n">
        <f aca="false">VLOOKUP($A116,STRADDLE,14,FALSE())</f>
        <v>0.055732784192704</v>
      </c>
      <c r="AI116" s="72" t="n">
        <f aca="false">A117-A116</f>
        <v>28</v>
      </c>
      <c r="AL116" s="64"/>
      <c r="AM116" s="73"/>
      <c r="AN116" s="73" t="n">
        <f aca="false">IF($A116&gt;=AO$25,IF($A116&lt;=AO$26,$AI116,0),0)</f>
        <v>0</v>
      </c>
      <c r="AO116" s="196" t="e">
        <f aca="false">AQ116/AN116</f>
        <v>#DIV/0!</v>
      </c>
      <c r="AP116" s="1" t="n">
        <f aca="false">AN116*($B116+B$13)</f>
        <v>0</v>
      </c>
      <c r="AQ116" s="47" t="n">
        <f aca="false">IF(ISNUMBER(((AP116/AN116)+B$14+$D116)*AN116),((AP116/AN116)+B$14+$D116)*AN116,0)</f>
        <v>0</v>
      </c>
      <c r="AR116" s="76" t="n">
        <f aca="false">IF(AN116=0,0,bsd(1,AS$27,AO116,$I116,$F116,$G116,$AH116,0.1))</f>
        <v>0</v>
      </c>
      <c r="AS116" s="76" t="n">
        <f aca="false">IF(AN116=0,0,bsd(2,AS$27,AO116,$I116,$F116,$G116,$AH116,0.1))</f>
        <v>0</v>
      </c>
      <c r="AT116" s="76" t="n">
        <f aca="false">IF(AN116=0,0,bsd(AS$28,AS$27,AO116,$I116,$F116,$G116,$AH116,0.1))</f>
        <v>0</v>
      </c>
      <c r="AU116" s="37" t="n">
        <f aca="false">AN116*AR116</f>
        <v>0</v>
      </c>
      <c r="AV116" s="37" t="n">
        <f aca="false">AN116*AS116</f>
        <v>0</v>
      </c>
      <c r="AW116" s="37" t="n">
        <f aca="false">AN116*AT116</f>
        <v>0</v>
      </c>
      <c r="AY116" s="73" t="n">
        <f aca="false">IF($A116&gt;=AZ$25,IF($A116&lt;=AZ$26,$AI116,0),0)</f>
        <v>0</v>
      </c>
      <c r="AZ116" s="196" t="e">
        <f aca="false">BB116/AY116</f>
        <v>#DIV/0!</v>
      </c>
      <c r="BA116" s="1" t="n">
        <f aca="false">AY116*($B116+D$13)</f>
        <v>0</v>
      </c>
      <c r="BB116" s="47" t="n">
        <f aca="false">IF(ISNUMBER(((BA116/AY116)+D$14+$K116)*AY116),((BA116/AY116)+D$14+$K116)*AY116,0)</f>
        <v>0</v>
      </c>
      <c r="BC116" s="76" t="n">
        <f aca="false">IF(AY116=0,0,bsd(1,BD$27,AZ116,$P116,$M116,$N116,$AH116,0.1))</f>
        <v>0</v>
      </c>
      <c r="BD116" s="76" t="n">
        <f aca="false">IF(AY116=0,0,bsd(2,BD$27,AZ116,$P116,$M116,$N116,$AH116,0.1))</f>
        <v>0</v>
      </c>
      <c r="BE116" s="76" t="n">
        <f aca="false">IF(AY116=0,0,bsd(BD$28,BD$27,AZ116,$P116,$M116,$N116,$AH116,0.1))</f>
        <v>0</v>
      </c>
      <c r="BF116" s="37" t="n">
        <f aca="false">AY116*BC116</f>
        <v>0</v>
      </c>
      <c r="BG116" s="37" t="n">
        <f aca="false">AY116*BD116</f>
        <v>0</v>
      </c>
      <c r="BH116" s="37" t="n">
        <f aca="false">AY116*BE116</f>
        <v>0</v>
      </c>
      <c r="BJ116" s="73" t="n">
        <f aca="false">IF($A116&gt;=BK$25,IF($A116&lt;=BK$26,$AI116,0),0)</f>
        <v>0</v>
      </c>
      <c r="BK116" s="196" t="e">
        <f aca="false">BM116/BJ116</f>
        <v>#DIV/0!</v>
      </c>
      <c r="BL116" s="1" t="n">
        <f aca="false">BJ116*($B116+F$13)</f>
        <v>0</v>
      </c>
      <c r="BM116" s="47" t="n">
        <f aca="false">IF(ISNUMBER(((BL116/BJ116)+F$14+$R116)*BJ116),((BL116/BJ116)+F$14+$R116)*BJ116,0)</f>
        <v>0</v>
      </c>
      <c r="BN116" s="76" t="n">
        <f aca="false">IF(BJ116=0,0,bsd(1,BO$27,BK116,$W116,$T116,$U116,$AH116,0.1))</f>
        <v>0</v>
      </c>
      <c r="BO116" s="76" t="n">
        <f aca="false">IF(BJ116=0,0,bsd(2,BO$27,BK116,$W116,$T116,$U116,$AH116,0.1))</f>
        <v>0</v>
      </c>
      <c r="BP116" s="76" t="n">
        <f aca="false">IF(BJ116=0,0,bsd(BO$28,BO$27,BK116,$W116,$T116,$U116,$AH116,0.1))</f>
        <v>0</v>
      </c>
      <c r="BQ116" s="37" t="n">
        <f aca="false">BJ116*BN116</f>
        <v>0</v>
      </c>
      <c r="BR116" s="37" t="n">
        <f aca="false">BJ116*BO116</f>
        <v>0</v>
      </c>
      <c r="BS116" s="37" t="n">
        <f aca="false">BJ116*BP116</f>
        <v>0</v>
      </c>
      <c r="BU116" s="73" t="n">
        <f aca="false">IF($A116&gt;=BV$25,IF($A116&lt;=BV$26,$AI116,0),0)</f>
        <v>0</v>
      </c>
      <c r="BV116" s="196" t="e">
        <f aca="false">BX116/BU116</f>
        <v>#DIV/0!</v>
      </c>
      <c r="BW116" s="1" t="n">
        <f aca="false">BU116*($B116+H$13)</f>
        <v>0</v>
      </c>
      <c r="BX116" s="47" t="n">
        <f aca="false">IF(ISNUMBER(((BW116/BU116)+H$14+$Y116)*BU116),((BW116/BU116)+H$14+$Y116)*BU116,0)</f>
        <v>0</v>
      </c>
      <c r="BY116" s="76" t="n">
        <f aca="false">IF(BU116=0,0,bsd(1,BZ$27,BV116,$AD116,$AA116,$AB116,$AH116,0.1))</f>
        <v>0</v>
      </c>
      <c r="BZ116" s="76" t="n">
        <f aca="false">IF(BU116=0,0,bsd(2,BZ$27,BV116,$AD116,$AA116,$AB116,$AH116,0.1))</f>
        <v>0</v>
      </c>
      <c r="CA116" s="76" t="n">
        <f aca="false">IF(BU116=0,0,bsd(BZ$28,BZ$27,BV116,$AD116,$AA116,$AB116,$AH116,0.1))</f>
        <v>0</v>
      </c>
      <c r="CB116" s="37" t="n">
        <f aca="false">BU116*BY116</f>
        <v>0</v>
      </c>
      <c r="CC116" s="37" t="n">
        <f aca="false">BU116*BZ116</f>
        <v>0</v>
      </c>
      <c r="CD116" s="37" t="n">
        <f aca="false">BU116*CA116</f>
        <v>0</v>
      </c>
    </row>
    <row r="117" customFormat="false" ht="12.75" hidden="false" customHeight="false" outlineLevel="0" collapsed="false">
      <c r="A117" s="62" t="n">
        <f aca="false">DATE(YEAR(A116),MONTH(A116)+1,1)</f>
        <v>39873</v>
      </c>
      <c r="B117" s="63" t="n">
        <f aca="false">VLOOKUP(A117,STRADDLE,5,FALSE())</f>
        <v>3.75</v>
      </c>
      <c r="C117" s="4" t="n">
        <f aca="false">VLOOKUP(A117,STRADDLE,8,FALSE())</f>
        <v>0.22</v>
      </c>
      <c r="D117" s="63" t="n">
        <f aca="false">IF(D$28="nymex",0,VLOOKUP($A117,curvesettle,HLOOKUP(D$28,curvesettle,2,FALSE())))</f>
        <v>-0.075</v>
      </c>
      <c r="E117" s="65" t="n">
        <f aca="false">IF(ISNUMBER(VLOOKUP($A117,VOLCURVES,HLOOKUP(D$28,VOLCURVES,2,FALSE()),FALSE())),VLOOKUP($A117,VOLCURVES,HLOOKUP(D$28,VOLCURVES,2,FALSE()),FALSE()),1)</f>
        <v>1</v>
      </c>
      <c r="F117" s="64" t="n">
        <f aca="false">IF(D$28="NYMEX",$AG117,$AF117)</f>
        <v>-6058</v>
      </c>
      <c r="G117" s="4" t="e">
        <f aca="false">(($C117+H117)*$E117)+B$15</f>
        <v>#DIV/0!</v>
      </c>
      <c r="H117" s="4" t="e">
        <f aca="false">IF(B$16=1,xCalcSkew(A117,I117-AO117,b)/100,0)</f>
        <v>#DIV/0!</v>
      </c>
      <c r="I117" s="66" t="n">
        <f aca="false">IF($B$19=4,$AO117,$B$18)</f>
        <v>5</v>
      </c>
      <c r="K117" s="63" t="n">
        <f aca="false">IF(K$28="nymex",0,VLOOKUP($A117,curvesettle,HLOOKUP(K$28,curvesettle,2,FALSE())))</f>
        <v>-0.075</v>
      </c>
      <c r="L117" s="65" t="n">
        <f aca="false">IF(ISNUMBER(VLOOKUP($A117,VOLCURVES,HLOOKUP(K$28,VOLCURVES,2,FALSE()),FALSE())),VLOOKUP($A117,VOLCURVES,HLOOKUP(K$28,VOLCURVES,2,FALSE()),FALSE()),1)</f>
        <v>1</v>
      </c>
      <c r="M117" s="64" t="n">
        <f aca="false">IF(K$28="NYMEX",$AG117,$AF117)</f>
        <v>-6058</v>
      </c>
      <c r="N117" s="184" t="e">
        <f aca="false">(($C117+O117)*$L117)+D$15</f>
        <v>#DIV/0!</v>
      </c>
      <c r="O117" s="4" t="e">
        <f aca="false">IF(D$16=1,xCalcSkew($A117,P117-AZ117,b)/100,0)</f>
        <v>#DIV/0!</v>
      </c>
      <c r="P117" s="66" t="n">
        <f aca="false">IF($D$19=4,$AZ117,$D$18)</f>
        <v>3</v>
      </c>
      <c r="R117" s="63" t="n">
        <f aca="false">IF(R$28="nymex",0,VLOOKUP($A117,curvesettle,HLOOKUP(R$28,curvesettle,2,FALSE())))</f>
        <v>-0.26</v>
      </c>
      <c r="S117" s="65" t="n">
        <f aca="false">IF(ISNUMBER(VLOOKUP($A117,VOLCURVES,HLOOKUP(R$28,VOLCURVES,2,FALSE()),FALSE())),VLOOKUP($A117,VOLCURVES,HLOOKUP(R$28,VOLCURVES,2,FALSE()),FALSE()),1)</f>
        <v>1</v>
      </c>
      <c r="T117" s="64" t="n">
        <f aca="false">IF(R$28="NYMEX",$AG117,$AF117)</f>
        <v>-6058</v>
      </c>
      <c r="U117" s="184" t="e">
        <f aca="false">(($C117+V117)*$S117)+F$15</f>
        <v>#DIV/0!</v>
      </c>
      <c r="V117" s="4" t="e">
        <f aca="false">IF(F$16=1,xCalcSkew($A117,W117-BK117,b)/100,0)</f>
        <v>#DIV/0!</v>
      </c>
      <c r="W117" s="66" t="n">
        <f aca="false">IF($F$19=4,$BK117,$F$18)</f>
        <v>2.55</v>
      </c>
      <c r="X117" s="64"/>
      <c r="Y117" s="63" t="n">
        <f aca="false">IF(Y$28="nymex",0,VLOOKUP($A117,curvesettle,HLOOKUP(Y$28,curvesettle,2,FALSE())))</f>
        <v>0</v>
      </c>
      <c r="Z117" s="65" t="n">
        <f aca="false">IF(ISNUMBER(VLOOKUP($A117,VOLCURVES,HLOOKUP(Y$28,VOLCURVES,2,FALSE()),FALSE())),VLOOKUP($A117,VOLCURVES,HLOOKUP(Y$28,VOLCURVES,2,FALSE()),FALSE()),1)</f>
        <v>1</v>
      </c>
      <c r="AA117" s="64" t="n">
        <f aca="false">IF(Y$28="NYMEX",$AG117,$AF117)</f>
        <v>-6059</v>
      </c>
      <c r="AB117" s="4" t="e">
        <f aca="false">(($C117+AC117)*$Z117)+H$15</f>
        <v>#DIV/0!</v>
      </c>
      <c r="AC117" s="4" t="e">
        <f aca="false">IF(H$16=1,xCalcSkew($A117,AD117-BV117,b)/100,0)</f>
        <v>#DIV/0!</v>
      </c>
      <c r="AD117" s="66" t="n">
        <f aca="false">IF($H$19=4,$BV117,$H$18)</f>
        <v>2.9</v>
      </c>
      <c r="AF117" s="64" t="n">
        <f aca="false">VLOOKUP($A117,expiration,2,FALSE())-$B$2</f>
        <v>-6058</v>
      </c>
      <c r="AG117" s="64" t="n">
        <f aca="false">VLOOKUP($A117,expiration,3,FALSE())-$B$2</f>
        <v>-6059</v>
      </c>
      <c r="AH117" s="4" t="n">
        <f aca="false">VLOOKUP($A117,STRADDLE,14,FALSE())</f>
        <v>0.0558262666067555</v>
      </c>
      <c r="AI117" s="72" t="n">
        <f aca="false">A118-A117</f>
        <v>31</v>
      </c>
      <c r="AL117" s="64"/>
      <c r="AM117" s="73"/>
      <c r="AN117" s="73" t="n">
        <f aca="false">IF($A117&gt;=AO$25,IF($A117&lt;=AO$26,$AI117,0),0)</f>
        <v>0</v>
      </c>
      <c r="AO117" s="196" t="e">
        <f aca="false">AQ117/AN117</f>
        <v>#DIV/0!</v>
      </c>
      <c r="AP117" s="1" t="n">
        <f aca="false">AN117*($B117+B$13)</f>
        <v>0</v>
      </c>
      <c r="AQ117" s="47" t="n">
        <f aca="false">IF(ISNUMBER(((AP117/AN117)+B$14+$D117)*AN117),((AP117/AN117)+B$14+$D117)*AN117,0)</f>
        <v>0</v>
      </c>
      <c r="AR117" s="76" t="n">
        <f aca="false">IF(AN117=0,0,bsd(1,AS$27,AO117,$I117,$F117,$G117,$AH117,0.1))</f>
        <v>0</v>
      </c>
      <c r="AS117" s="76" t="n">
        <f aca="false">IF(AN117=0,0,bsd(2,AS$27,AO117,$I117,$F117,$G117,$AH117,0.1))</f>
        <v>0</v>
      </c>
      <c r="AT117" s="76" t="n">
        <f aca="false">IF(AN117=0,0,bsd(AS$28,AS$27,AO117,$I117,$F117,$G117,$AH117,0.1))</f>
        <v>0</v>
      </c>
      <c r="AU117" s="37" t="n">
        <f aca="false">AN117*AR117</f>
        <v>0</v>
      </c>
      <c r="AV117" s="37" t="n">
        <f aca="false">AN117*AS117</f>
        <v>0</v>
      </c>
      <c r="AW117" s="37" t="n">
        <f aca="false">AN117*AT117</f>
        <v>0</v>
      </c>
      <c r="AY117" s="73" t="n">
        <f aca="false">IF($A117&gt;=AZ$25,IF($A117&lt;=AZ$26,$AI117,0),0)</f>
        <v>0</v>
      </c>
      <c r="AZ117" s="196" t="e">
        <f aca="false">BB117/AY117</f>
        <v>#DIV/0!</v>
      </c>
      <c r="BA117" s="1" t="n">
        <f aca="false">AY117*($B117+D$13)</f>
        <v>0</v>
      </c>
      <c r="BB117" s="47" t="n">
        <f aca="false">IF(ISNUMBER(((BA117/AY117)+D$14+$K117)*AY117),((BA117/AY117)+D$14+$K117)*AY117,0)</f>
        <v>0</v>
      </c>
      <c r="BC117" s="76" t="n">
        <f aca="false">IF(AY117=0,0,bsd(1,BD$27,AZ117,$P117,$M117,$N117,$AH117,0.1))</f>
        <v>0</v>
      </c>
      <c r="BD117" s="76" t="n">
        <f aca="false">IF(AY117=0,0,bsd(2,BD$27,AZ117,$P117,$M117,$N117,$AH117,0.1))</f>
        <v>0</v>
      </c>
      <c r="BE117" s="76" t="n">
        <f aca="false">IF(AY117=0,0,bsd(BD$28,BD$27,AZ117,$P117,$M117,$N117,$AH117,0.1))</f>
        <v>0</v>
      </c>
      <c r="BF117" s="37" t="n">
        <f aca="false">AY117*BC117</f>
        <v>0</v>
      </c>
      <c r="BG117" s="37" t="n">
        <f aca="false">AY117*BD117</f>
        <v>0</v>
      </c>
      <c r="BH117" s="37" t="n">
        <f aca="false">AY117*BE117</f>
        <v>0</v>
      </c>
      <c r="BJ117" s="73" t="n">
        <f aca="false">IF($A117&gt;=BK$25,IF($A117&lt;=BK$26,$AI117,0),0)</f>
        <v>0</v>
      </c>
      <c r="BK117" s="196" t="e">
        <f aca="false">BM117/BJ117</f>
        <v>#DIV/0!</v>
      </c>
      <c r="BL117" s="1" t="n">
        <f aca="false">BJ117*($B117+F$13)</f>
        <v>0</v>
      </c>
      <c r="BM117" s="47" t="n">
        <f aca="false">IF(ISNUMBER(((BL117/BJ117)+F$14+$R117)*BJ117),((BL117/BJ117)+F$14+$R117)*BJ117,0)</f>
        <v>0</v>
      </c>
      <c r="BN117" s="76" t="n">
        <f aca="false">IF(BJ117=0,0,bsd(1,BO$27,BK117,$W117,$T117,$U117,$AH117,0.1))</f>
        <v>0</v>
      </c>
      <c r="BO117" s="76" t="n">
        <f aca="false">IF(BJ117=0,0,bsd(2,BO$27,BK117,$W117,$T117,$U117,$AH117,0.1))</f>
        <v>0</v>
      </c>
      <c r="BP117" s="76" t="n">
        <f aca="false">IF(BJ117=0,0,bsd(BO$28,BO$27,BK117,$W117,$T117,$U117,$AH117,0.1))</f>
        <v>0</v>
      </c>
      <c r="BQ117" s="37" t="n">
        <f aca="false">BJ117*BN117</f>
        <v>0</v>
      </c>
      <c r="BR117" s="37" t="n">
        <f aca="false">BJ117*BO117</f>
        <v>0</v>
      </c>
      <c r="BS117" s="37" t="n">
        <f aca="false">BJ117*BP117</f>
        <v>0</v>
      </c>
      <c r="BU117" s="73" t="n">
        <f aca="false">IF($A117&gt;=BV$25,IF($A117&lt;=BV$26,$AI117,0),0)</f>
        <v>0</v>
      </c>
      <c r="BV117" s="196" t="e">
        <f aca="false">BX117/BU117</f>
        <v>#DIV/0!</v>
      </c>
      <c r="BW117" s="1" t="n">
        <f aca="false">BU117*($B117+H$13)</f>
        <v>0</v>
      </c>
      <c r="BX117" s="47" t="n">
        <f aca="false">IF(ISNUMBER(((BW117/BU117)+H$14+$Y117)*BU117),((BW117/BU117)+H$14+$Y117)*BU117,0)</f>
        <v>0</v>
      </c>
      <c r="BY117" s="76" t="n">
        <f aca="false">IF(BU117=0,0,bsd(1,BZ$27,BV117,$AD117,$AA117,$AB117,$AH117,0.1))</f>
        <v>0</v>
      </c>
      <c r="BZ117" s="76" t="n">
        <f aca="false">IF(BU117=0,0,bsd(2,BZ$27,BV117,$AD117,$AA117,$AB117,$AH117,0.1))</f>
        <v>0</v>
      </c>
      <c r="CA117" s="76" t="n">
        <f aca="false">IF(BU117=0,0,bsd(BZ$28,BZ$27,BV117,$AD117,$AA117,$AB117,$AH117,0.1))</f>
        <v>0</v>
      </c>
      <c r="CB117" s="37" t="n">
        <f aca="false">BU117*BY117</f>
        <v>0</v>
      </c>
      <c r="CC117" s="37" t="n">
        <f aca="false">BU117*BZ117</f>
        <v>0</v>
      </c>
      <c r="CD117" s="37" t="n">
        <f aca="false">BU117*CA117</f>
        <v>0</v>
      </c>
    </row>
    <row r="118" customFormat="false" ht="12.75" hidden="false" customHeight="false" outlineLevel="0" collapsed="false">
      <c r="A118" s="62" t="n">
        <f aca="false">DATE(YEAR(A117),MONTH(A117)+1,1)</f>
        <v>39904</v>
      </c>
      <c r="B118" s="63" t="n">
        <f aca="false">VLOOKUP(A118,STRADDLE,5,FALSE())</f>
        <v>3.565</v>
      </c>
      <c r="C118" s="4" t="n">
        <f aca="false">VLOOKUP(A118,STRADDLE,8,FALSE())</f>
        <v>0.2025</v>
      </c>
      <c r="D118" s="63" t="n">
        <f aca="false">IF(D$28="nymex",0,VLOOKUP($A118,curvesettle,HLOOKUP(D$28,curvesettle,2,FALSE())))</f>
        <v>-0.0725</v>
      </c>
      <c r="E118" s="65" t="n">
        <f aca="false">IF(ISNUMBER(VLOOKUP($A118,VOLCURVES,HLOOKUP(D$28,VOLCURVES,2,FALSE()),FALSE())),VLOOKUP($A118,VOLCURVES,HLOOKUP(D$28,VOLCURVES,2,FALSE()),FALSE()),1)</f>
        <v>1</v>
      </c>
      <c r="F118" s="64" t="n">
        <f aca="false">IF(D$28="NYMEX",$AG118,$AF118)</f>
        <v>-6028</v>
      </c>
      <c r="G118" s="4" t="e">
        <f aca="false">(($C118+H118)*$E118)+B$15</f>
        <v>#DIV/0!</v>
      </c>
      <c r="H118" s="4" t="e">
        <f aca="false">IF(B$16=1,xCalcSkew(A118,I118-AO118,b)/100,0)</f>
        <v>#DIV/0!</v>
      </c>
      <c r="I118" s="66" t="n">
        <f aca="false">IF($B$19=4,$AO118,$B$18)</f>
        <v>5</v>
      </c>
      <c r="K118" s="63" t="n">
        <f aca="false">IF(K$28="nymex",0,VLOOKUP($A118,curvesettle,HLOOKUP(K$28,curvesettle,2,FALSE())))</f>
        <v>-0.0725</v>
      </c>
      <c r="L118" s="65" t="n">
        <f aca="false">IF(ISNUMBER(VLOOKUP($A118,VOLCURVES,HLOOKUP(K$28,VOLCURVES,2,FALSE()),FALSE())),VLOOKUP($A118,VOLCURVES,HLOOKUP(K$28,VOLCURVES,2,FALSE()),FALSE()),1)</f>
        <v>1</v>
      </c>
      <c r="M118" s="64" t="n">
        <f aca="false">IF(K$28="NYMEX",$AG118,$AF118)</f>
        <v>-6028</v>
      </c>
      <c r="N118" s="184" t="e">
        <f aca="false">(($C118+O118)*$L118)+D$15</f>
        <v>#DIV/0!</v>
      </c>
      <c r="O118" s="4" t="e">
        <f aca="false">IF(D$16=1,xCalcSkew($A118,P118-AZ118,b)/100,0)</f>
        <v>#DIV/0!</v>
      </c>
      <c r="P118" s="66" t="n">
        <f aca="false">IF($D$19=4,$AZ118,$D$18)</f>
        <v>3</v>
      </c>
      <c r="R118" s="63" t="n">
        <f aca="false">IF(R$28="nymex",0,VLOOKUP($A118,curvesettle,HLOOKUP(R$28,curvesettle,2,FALSE())))</f>
        <v>-0.39</v>
      </c>
      <c r="S118" s="65" t="n">
        <f aca="false">IF(ISNUMBER(VLOOKUP($A118,VOLCURVES,HLOOKUP(R$28,VOLCURVES,2,FALSE()),FALSE())),VLOOKUP($A118,VOLCURVES,HLOOKUP(R$28,VOLCURVES,2,FALSE()),FALSE()),1)</f>
        <v>1</v>
      </c>
      <c r="T118" s="64" t="n">
        <f aca="false">IF(R$28="NYMEX",$AG118,$AF118)</f>
        <v>-6028</v>
      </c>
      <c r="U118" s="184" t="e">
        <f aca="false">(($C118+V118)*$S118)+F$15</f>
        <v>#DIV/0!</v>
      </c>
      <c r="V118" s="4" t="e">
        <f aca="false">IF(F$16=1,xCalcSkew($A118,W118-BK118,b)/100,0)</f>
        <v>#DIV/0!</v>
      </c>
      <c r="W118" s="66" t="n">
        <f aca="false">IF($F$19=4,$BK118,$F$18)</f>
        <v>2.55</v>
      </c>
      <c r="X118" s="64"/>
      <c r="Y118" s="63" t="n">
        <f aca="false">IF(Y$28="nymex",0,VLOOKUP($A118,curvesettle,HLOOKUP(Y$28,curvesettle,2,FALSE())))</f>
        <v>0</v>
      </c>
      <c r="Z118" s="65" t="n">
        <f aca="false">IF(ISNUMBER(VLOOKUP($A118,VOLCURVES,HLOOKUP(Y$28,VOLCURVES,2,FALSE()),FALSE())),VLOOKUP($A118,VOLCURVES,HLOOKUP(Y$28,VOLCURVES,2,FALSE()),FALSE()),1)</f>
        <v>1</v>
      </c>
      <c r="AA118" s="64" t="n">
        <f aca="false">IF(Y$28="NYMEX",$AG118,$AF118)</f>
        <v>-6029</v>
      </c>
      <c r="AB118" s="4" t="e">
        <f aca="false">(($C118+AC118)*$Z118)+H$15</f>
        <v>#DIV/0!</v>
      </c>
      <c r="AC118" s="4" t="e">
        <f aca="false">IF(H$16=1,xCalcSkew($A118,AD118-BV118,b)/100,0)</f>
        <v>#DIV/0!</v>
      </c>
      <c r="AD118" s="66" t="n">
        <f aca="false">IF($H$19=4,$BV118,$H$18)</f>
        <v>2.9</v>
      </c>
      <c r="AF118" s="64" t="n">
        <f aca="false">VLOOKUP($A118,expiration,2,FALSE())-$B$2</f>
        <v>-6028</v>
      </c>
      <c r="AG118" s="64" t="n">
        <f aca="false">VLOOKUP($A118,expiration,3,FALSE())-$B$2</f>
        <v>-6029</v>
      </c>
      <c r="AH118" s="4" t="n">
        <f aca="false">VLOOKUP($A118,STRADDLE,14,FALSE())</f>
        <v>0.0559297649971344</v>
      </c>
      <c r="AI118" s="72" t="n">
        <f aca="false">A119-A118</f>
        <v>30</v>
      </c>
      <c r="AL118" s="64"/>
      <c r="AM118" s="73"/>
      <c r="AN118" s="73" t="n">
        <f aca="false">IF($A118&gt;=AO$25,IF($A118&lt;=AO$26,$AI118,0),0)</f>
        <v>0</v>
      </c>
      <c r="AO118" s="196" t="e">
        <f aca="false">AQ118/AN118</f>
        <v>#DIV/0!</v>
      </c>
      <c r="AP118" s="1" t="n">
        <f aca="false">AN118*($B118+B$13)</f>
        <v>0</v>
      </c>
      <c r="AQ118" s="47" t="n">
        <f aca="false">IF(ISNUMBER(((AP118/AN118)+B$14+$D118)*AN118),((AP118/AN118)+B$14+$D118)*AN118,0)</f>
        <v>0</v>
      </c>
      <c r="AR118" s="76" t="n">
        <f aca="false">IF(AN118=0,0,bsd(1,AS$27,AO118,$I118,$F118,$G118,$AH118,0.1))</f>
        <v>0</v>
      </c>
      <c r="AS118" s="76" t="n">
        <f aca="false">IF(AN118=0,0,bsd(2,AS$27,AO118,$I118,$F118,$G118,$AH118,0.1))</f>
        <v>0</v>
      </c>
      <c r="AT118" s="76" t="n">
        <f aca="false">IF(AN118=0,0,bsd(AS$28,AS$27,AO118,$I118,$F118,$G118,$AH118,0.1))</f>
        <v>0</v>
      </c>
      <c r="AU118" s="37" t="n">
        <f aca="false">AN118*AR118</f>
        <v>0</v>
      </c>
      <c r="AV118" s="37" t="n">
        <f aca="false">AN118*AS118</f>
        <v>0</v>
      </c>
      <c r="AW118" s="37" t="n">
        <f aca="false">AN118*AT118</f>
        <v>0</v>
      </c>
      <c r="AY118" s="73" t="n">
        <f aca="false">IF($A118&gt;=AZ$25,IF($A118&lt;=AZ$26,$AI118,0),0)</f>
        <v>0</v>
      </c>
      <c r="AZ118" s="196" t="e">
        <f aca="false">BB118/AY118</f>
        <v>#DIV/0!</v>
      </c>
      <c r="BA118" s="1" t="n">
        <f aca="false">AY118*($B118+D$13)</f>
        <v>0</v>
      </c>
      <c r="BB118" s="47" t="n">
        <f aca="false">IF(ISNUMBER(((BA118/AY118)+D$14+$K118)*AY118),((BA118/AY118)+D$14+$K118)*AY118,0)</f>
        <v>0</v>
      </c>
      <c r="BC118" s="76" t="n">
        <f aca="false">IF(AY118=0,0,bsd(1,BD$27,AZ118,$P118,$M118,$N118,$AH118,0.1))</f>
        <v>0</v>
      </c>
      <c r="BD118" s="76" t="n">
        <f aca="false">IF(AY118=0,0,bsd(2,BD$27,AZ118,$P118,$M118,$N118,$AH118,0.1))</f>
        <v>0</v>
      </c>
      <c r="BE118" s="76" t="n">
        <f aca="false">IF(AY118=0,0,bsd(BD$28,BD$27,AZ118,$P118,$M118,$N118,$AH118,0.1))</f>
        <v>0</v>
      </c>
      <c r="BF118" s="37" t="n">
        <f aca="false">AY118*BC118</f>
        <v>0</v>
      </c>
      <c r="BG118" s="37" t="n">
        <f aca="false">AY118*BD118</f>
        <v>0</v>
      </c>
      <c r="BH118" s="37" t="n">
        <f aca="false">AY118*BE118</f>
        <v>0</v>
      </c>
      <c r="BJ118" s="73" t="n">
        <f aca="false">IF($A118&gt;=BK$25,IF($A118&lt;=BK$26,$AI118,0),0)</f>
        <v>0</v>
      </c>
      <c r="BK118" s="196" t="e">
        <f aca="false">BM118/BJ118</f>
        <v>#DIV/0!</v>
      </c>
      <c r="BL118" s="1" t="n">
        <f aca="false">BJ118*($B118+F$13)</f>
        <v>0</v>
      </c>
      <c r="BM118" s="47" t="n">
        <f aca="false">IF(ISNUMBER(((BL118/BJ118)+F$14+$R118)*BJ118),((BL118/BJ118)+F$14+$R118)*BJ118,0)</f>
        <v>0</v>
      </c>
      <c r="BN118" s="76" t="n">
        <f aca="false">IF(BJ118=0,0,bsd(1,BO$27,BK118,$W118,$T118,$U118,$AH118,0.1))</f>
        <v>0</v>
      </c>
      <c r="BO118" s="76" t="n">
        <f aca="false">IF(BJ118=0,0,bsd(2,BO$27,BK118,$W118,$T118,$U118,$AH118,0.1))</f>
        <v>0</v>
      </c>
      <c r="BP118" s="76" t="n">
        <f aca="false">IF(BJ118=0,0,bsd(BO$28,BO$27,BK118,$W118,$T118,$U118,$AH118,0.1))</f>
        <v>0</v>
      </c>
      <c r="BQ118" s="37" t="n">
        <f aca="false">BJ118*BN118</f>
        <v>0</v>
      </c>
      <c r="BR118" s="37" t="n">
        <f aca="false">BJ118*BO118</f>
        <v>0</v>
      </c>
      <c r="BS118" s="37" t="n">
        <f aca="false">BJ118*BP118</f>
        <v>0</v>
      </c>
      <c r="BU118" s="73" t="n">
        <f aca="false">IF($A118&gt;=BV$25,IF($A118&lt;=BV$26,$AI118,0),0)</f>
        <v>0</v>
      </c>
      <c r="BV118" s="196" t="e">
        <f aca="false">BX118/BU118</f>
        <v>#DIV/0!</v>
      </c>
      <c r="BW118" s="1" t="n">
        <f aca="false">BU118*($B118+H$13)</f>
        <v>0</v>
      </c>
      <c r="BX118" s="47" t="n">
        <f aca="false">IF(ISNUMBER(((BW118/BU118)+H$14+$Y118)*BU118),((BW118/BU118)+H$14+$Y118)*BU118,0)</f>
        <v>0</v>
      </c>
      <c r="BY118" s="76" t="n">
        <f aca="false">IF(BU118=0,0,bsd(1,BZ$27,BV118,$AD118,$AA118,$AB118,$AH118,0.1))</f>
        <v>0</v>
      </c>
      <c r="BZ118" s="76" t="n">
        <f aca="false">IF(BU118=0,0,bsd(2,BZ$27,BV118,$AD118,$AA118,$AB118,$AH118,0.1))</f>
        <v>0</v>
      </c>
      <c r="CA118" s="76" t="n">
        <f aca="false">IF(BU118=0,0,bsd(BZ$28,BZ$27,BV118,$AD118,$AA118,$AB118,$AH118,0.1))</f>
        <v>0</v>
      </c>
      <c r="CB118" s="37" t="n">
        <f aca="false">BU118*BY118</f>
        <v>0</v>
      </c>
      <c r="CC118" s="37" t="n">
        <f aca="false">BU118*BZ118</f>
        <v>0</v>
      </c>
      <c r="CD118" s="37" t="n">
        <f aca="false">BU118*CA118</f>
        <v>0</v>
      </c>
    </row>
    <row r="119" customFormat="false" ht="12.75" hidden="false" customHeight="false" outlineLevel="0" collapsed="false">
      <c r="A119" s="62" t="n">
        <f aca="false">DATE(YEAR(A118),MONTH(A118)+1,1)</f>
        <v>39934</v>
      </c>
      <c r="B119" s="63" t="n">
        <f aca="false">VLOOKUP(A119,STRADDLE,5,FALSE())</f>
        <v>3.56</v>
      </c>
      <c r="C119" s="4" t="n">
        <f aca="false">VLOOKUP(A119,STRADDLE,8,FALSE())</f>
        <v>0.2025</v>
      </c>
      <c r="D119" s="63" t="n">
        <f aca="false">IF(D$28="nymex",0,VLOOKUP($A119,curvesettle,HLOOKUP(D$28,curvesettle,2,FALSE())))</f>
        <v>-0.0725</v>
      </c>
      <c r="E119" s="65" t="n">
        <f aca="false">IF(ISNUMBER(VLOOKUP($A119,VOLCURVES,HLOOKUP(D$28,VOLCURVES,2,FALSE()),FALSE())),VLOOKUP($A119,VOLCURVES,HLOOKUP(D$28,VOLCURVES,2,FALSE()),FALSE()),1)</f>
        <v>1</v>
      </c>
      <c r="F119" s="64" t="n">
        <f aca="false">IF(D$28="NYMEX",$AG119,$AF119)</f>
        <v>-5996</v>
      </c>
      <c r="G119" s="4" t="e">
        <f aca="false">(($C119+H119)*$E119)+B$15</f>
        <v>#DIV/0!</v>
      </c>
      <c r="H119" s="4" t="e">
        <f aca="false">IF(B$16=1,xCalcSkew(A119,I119-AO119,b)/100,0)</f>
        <v>#DIV/0!</v>
      </c>
      <c r="I119" s="66" t="n">
        <f aca="false">IF($B$19=4,$AO119,$B$18)</f>
        <v>5</v>
      </c>
      <c r="K119" s="63" t="n">
        <f aca="false">IF(K$28="nymex",0,VLOOKUP($A119,curvesettle,HLOOKUP(K$28,curvesettle,2,FALSE())))</f>
        <v>-0.0725</v>
      </c>
      <c r="L119" s="65" t="n">
        <f aca="false">IF(ISNUMBER(VLOOKUP($A119,VOLCURVES,HLOOKUP(K$28,VOLCURVES,2,FALSE()),FALSE())),VLOOKUP($A119,VOLCURVES,HLOOKUP(K$28,VOLCURVES,2,FALSE()),FALSE()),1)</f>
        <v>1</v>
      </c>
      <c r="M119" s="64" t="n">
        <f aca="false">IF(K$28="NYMEX",$AG119,$AF119)</f>
        <v>-5996</v>
      </c>
      <c r="N119" s="184" t="e">
        <f aca="false">(($C119+O119)*$L119)+D$15</f>
        <v>#DIV/0!</v>
      </c>
      <c r="O119" s="4" t="e">
        <f aca="false">IF(D$16=1,xCalcSkew($A119,P119-AZ119,b)/100,0)</f>
        <v>#DIV/0!</v>
      </c>
      <c r="P119" s="66" t="n">
        <f aca="false">IF($D$19=4,$AZ119,$D$18)</f>
        <v>3</v>
      </c>
      <c r="R119" s="63" t="n">
        <f aca="false">IF(R$28="nymex",0,VLOOKUP($A119,curvesettle,HLOOKUP(R$28,curvesettle,2,FALSE())))</f>
        <v>-0.39</v>
      </c>
      <c r="S119" s="65" t="n">
        <f aca="false">IF(ISNUMBER(VLOOKUP($A119,VOLCURVES,HLOOKUP(R$28,VOLCURVES,2,FALSE()),FALSE())),VLOOKUP($A119,VOLCURVES,HLOOKUP(R$28,VOLCURVES,2,FALSE()),FALSE()),1)</f>
        <v>1</v>
      </c>
      <c r="T119" s="64" t="n">
        <f aca="false">IF(R$28="NYMEX",$AG119,$AF119)</f>
        <v>-5996</v>
      </c>
      <c r="U119" s="184" t="e">
        <f aca="false">(($C119+V119)*$S119)+F$15</f>
        <v>#DIV/0!</v>
      </c>
      <c r="V119" s="4" t="e">
        <f aca="false">IF(F$16=1,xCalcSkew($A119,W119-BK119,b)/100,0)</f>
        <v>#DIV/0!</v>
      </c>
      <c r="W119" s="66" t="n">
        <f aca="false">IF($F$19=4,$BK119,$F$18)</f>
        <v>2.55</v>
      </c>
      <c r="X119" s="64"/>
      <c r="Y119" s="63" t="n">
        <f aca="false">IF(Y$28="nymex",0,VLOOKUP($A119,curvesettle,HLOOKUP(Y$28,curvesettle,2,FALSE())))</f>
        <v>0</v>
      </c>
      <c r="Z119" s="65" t="n">
        <f aca="false">IF(ISNUMBER(VLOOKUP($A119,VOLCURVES,HLOOKUP(Y$28,VOLCURVES,2,FALSE()),FALSE())),VLOOKUP($A119,VOLCURVES,HLOOKUP(Y$28,VOLCURVES,2,FALSE()),FALSE()),1)</f>
        <v>1</v>
      </c>
      <c r="AA119" s="64" t="n">
        <f aca="false">IF(Y$28="NYMEX",$AG119,$AF119)</f>
        <v>-5997</v>
      </c>
      <c r="AB119" s="4" t="e">
        <f aca="false">(($C119+AC119)*$Z119)+H$15</f>
        <v>#DIV/0!</v>
      </c>
      <c r="AC119" s="4" t="e">
        <f aca="false">IF(H$16=1,xCalcSkew($A119,AD119-BV119,b)/100,0)</f>
        <v>#DIV/0!</v>
      </c>
      <c r="AD119" s="66" t="n">
        <f aca="false">IF($H$19=4,$BV119,$H$18)</f>
        <v>2.9</v>
      </c>
      <c r="AF119" s="64" t="n">
        <f aca="false">VLOOKUP($A119,expiration,2,FALSE())-$B$2</f>
        <v>-5996</v>
      </c>
      <c r="AG119" s="64" t="n">
        <f aca="false">VLOOKUP($A119,expiration,3,FALSE())-$B$2</f>
        <v>-5997</v>
      </c>
      <c r="AH119" s="4" t="n">
        <f aca="false">VLOOKUP($A119,STRADDLE,14,FALSE())</f>
        <v>0.0560299247331555</v>
      </c>
      <c r="AI119" s="72" t="n">
        <f aca="false">A120-A119</f>
        <v>31</v>
      </c>
      <c r="AL119" s="64"/>
      <c r="AM119" s="73"/>
      <c r="AN119" s="73" t="n">
        <f aca="false">IF($A119&gt;=AO$25,IF($A119&lt;=AO$26,$AI119,0),0)</f>
        <v>0</v>
      </c>
      <c r="AO119" s="196" t="e">
        <f aca="false">AQ119/AN119</f>
        <v>#DIV/0!</v>
      </c>
      <c r="AP119" s="1" t="n">
        <f aca="false">AN119*($B119+B$13)</f>
        <v>0</v>
      </c>
      <c r="AQ119" s="47" t="n">
        <f aca="false">IF(ISNUMBER(((AP119/AN119)+B$14+$D119)*AN119),((AP119/AN119)+B$14+$D119)*AN119,0)</f>
        <v>0</v>
      </c>
      <c r="AR119" s="76" t="n">
        <f aca="false">IF(AN119=0,0,bsd(1,AS$27,AO119,$I119,$F119,$G119,$AH119,0.1))</f>
        <v>0</v>
      </c>
      <c r="AS119" s="76" t="n">
        <f aca="false">IF(AN119=0,0,bsd(2,AS$27,AO119,$I119,$F119,$G119,$AH119,0.1))</f>
        <v>0</v>
      </c>
      <c r="AT119" s="76" t="n">
        <f aca="false">IF(AN119=0,0,bsd(AS$28,AS$27,AO119,$I119,$F119,$G119,$AH119,0.1))</f>
        <v>0</v>
      </c>
      <c r="AU119" s="37" t="n">
        <f aca="false">AN119*AR119</f>
        <v>0</v>
      </c>
      <c r="AV119" s="37" t="n">
        <f aca="false">AN119*AS119</f>
        <v>0</v>
      </c>
      <c r="AW119" s="37" t="n">
        <f aca="false">AN119*AT119</f>
        <v>0</v>
      </c>
      <c r="AY119" s="73" t="n">
        <f aca="false">IF($A119&gt;=AZ$25,IF($A119&lt;=AZ$26,$AI119,0),0)</f>
        <v>0</v>
      </c>
      <c r="AZ119" s="196" t="e">
        <f aca="false">BB119/AY119</f>
        <v>#DIV/0!</v>
      </c>
      <c r="BA119" s="1" t="n">
        <f aca="false">AY119*($B119+D$13)</f>
        <v>0</v>
      </c>
      <c r="BB119" s="47" t="n">
        <f aca="false">IF(ISNUMBER(((BA119/AY119)+D$14+$K119)*AY119),((BA119/AY119)+D$14+$K119)*AY119,0)</f>
        <v>0</v>
      </c>
      <c r="BC119" s="76" t="n">
        <f aca="false">IF(AY119=0,0,bsd(1,BD$27,AZ119,$P119,$M119,$N119,$AH119,0.1))</f>
        <v>0</v>
      </c>
      <c r="BD119" s="76" t="n">
        <f aca="false">IF(AY119=0,0,bsd(2,BD$27,AZ119,$P119,$M119,$N119,$AH119,0.1))</f>
        <v>0</v>
      </c>
      <c r="BE119" s="76" t="n">
        <f aca="false">IF(AY119=0,0,bsd(BD$28,BD$27,AZ119,$P119,$M119,$N119,$AH119,0.1))</f>
        <v>0</v>
      </c>
      <c r="BF119" s="37" t="n">
        <f aca="false">AY119*BC119</f>
        <v>0</v>
      </c>
      <c r="BG119" s="37" t="n">
        <f aca="false">AY119*BD119</f>
        <v>0</v>
      </c>
      <c r="BH119" s="37" t="n">
        <f aca="false">AY119*BE119</f>
        <v>0</v>
      </c>
      <c r="BJ119" s="73" t="n">
        <f aca="false">IF($A119&gt;=BK$25,IF($A119&lt;=BK$26,$AI119,0),0)</f>
        <v>0</v>
      </c>
      <c r="BK119" s="196" t="e">
        <f aca="false">BM119/BJ119</f>
        <v>#DIV/0!</v>
      </c>
      <c r="BL119" s="1" t="n">
        <f aca="false">BJ119*($B119+F$13)</f>
        <v>0</v>
      </c>
      <c r="BM119" s="47" t="n">
        <f aca="false">IF(ISNUMBER(((BL119/BJ119)+F$14+$R119)*BJ119),((BL119/BJ119)+F$14+$R119)*BJ119,0)</f>
        <v>0</v>
      </c>
      <c r="BN119" s="76" t="n">
        <f aca="false">IF(BJ119=0,0,bsd(1,BO$27,BK119,$W119,$T119,$U119,$AH119,0.1))</f>
        <v>0</v>
      </c>
      <c r="BO119" s="76" t="n">
        <f aca="false">IF(BJ119=0,0,bsd(2,BO$27,BK119,$W119,$T119,$U119,$AH119,0.1))</f>
        <v>0</v>
      </c>
      <c r="BP119" s="76" t="n">
        <f aca="false">IF(BJ119=0,0,bsd(BO$28,BO$27,BK119,$W119,$T119,$U119,$AH119,0.1))</f>
        <v>0</v>
      </c>
      <c r="BQ119" s="37" t="n">
        <f aca="false">BJ119*BN119</f>
        <v>0</v>
      </c>
      <c r="BR119" s="37" t="n">
        <f aca="false">BJ119*BO119</f>
        <v>0</v>
      </c>
      <c r="BS119" s="37" t="n">
        <f aca="false">BJ119*BP119</f>
        <v>0</v>
      </c>
      <c r="BU119" s="73" t="n">
        <f aca="false">IF($A119&gt;=BV$25,IF($A119&lt;=BV$26,$AI119,0),0)</f>
        <v>0</v>
      </c>
      <c r="BV119" s="196" t="e">
        <f aca="false">BX119/BU119</f>
        <v>#DIV/0!</v>
      </c>
      <c r="BW119" s="1" t="n">
        <f aca="false">BU119*($B119+H$13)</f>
        <v>0</v>
      </c>
      <c r="BX119" s="47" t="n">
        <f aca="false">IF(ISNUMBER(((BW119/BU119)+H$14+$Y119)*BU119),((BW119/BU119)+H$14+$Y119)*BU119,0)</f>
        <v>0</v>
      </c>
      <c r="BY119" s="76" t="n">
        <f aca="false">IF(BU119=0,0,bsd(1,BZ$27,BV119,$AD119,$AA119,$AB119,$AH119,0.1))</f>
        <v>0</v>
      </c>
      <c r="BZ119" s="76" t="n">
        <f aca="false">IF(BU119=0,0,bsd(2,BZ$27,BV119,$AD119,$AA119,$AB119,$AH119,0.1))</f>
        <v>0</v>
      </c>
      <c r="CA119" s="76" t="n">
        <f aca="false">IF(BU119=0,0,bsd(BZ$28,BZ$27,BV119,$AD119,$AA119,$AB119,$AH119,0.1))</f>
        <v>0</v>
      </c>
      <c r="CB119" s="37" t="n">
        <f aca="false">BU119*BY119</f>
        <v>0</v>
      </c>
      <c r="CC119" s="37" t="n">
        <f aca="false">BU119*BZ119</f>
        <v>0</v>
      </c>
      <c r="CD119" s="37" t="n">
        <f aca="false">BU119*CA119</f>
        <v>0</v>
      </c>
    </row>
    <row r="120" customFormat="false" ht="12.75" hidden="false" customHeight="false" outlineLevel="0" collapsed="false">
      <c r="A120" s="62" t="n">
        <f aca="false">DATE(YEAR(A119),MONTH(A119)+1,1)</f>
        <v>39965</v>
      </c>
      <c r="B120" s="63" t="n">
        <f aca="false">VLOOKUP(A120,STRADDLE,5,FALSE())</f>
        <v>3.595</v>
      </c>
      <c r="C120" s="4" t="n">
        <f aca="false">VLOOKUP(A120,STRADDLE,8,FALSE())</f>
        <v>0.2025</v>
      </c>
      <c r="D120" s="63" t="n">
        <f aca="false">IF(D$28="nymex",0,VLOOKUP($A120,curvesettle,HLOOKUP(D$28,curvesettle,2,FALSE())))</f>
        <v>-0.0725</v>
      </c>
      <c r="E120" s="65" t="n">
        <f aca="false">IF(ISNUMBER(VLOOKUP($A120,VOLCURVES,HLOOKUP(D$28,VOLCURVES,2,FALSE()),FALSE())),VLOOKUP($A120,VOLCURVES,HLOOKUP(D$28,VOLCURVES,2,FALSE()),FALSE()),1)</f>
        <v>1</v>
      </c>
      <c r="F120" s="64" t="n">
        <f aca="false">IF(D$28="NYMEX",$AG120,$AF120)</f>
        <v>-5967</v>
      </c>
      <c r="G120" s="4" t="e">
        <f aca="false">(($C120+H120)*$E120)+B$15</f>
        <v>#DIV/0!</v>
      </c>
      <c r="H120" s="4" t="e">
        <f aca="false">IF(B$16=1,xCalcSkew(A120,I120-AO120,b)/100,0)</f>
        <v>#DIV/0!</v>
      </c>
      <c r="I120" s="66" t="n">
        <f aca="false">IF($B$19=4,$AO120,$B$18)</f>
        <v>5</v>
      </c>
      <c r="K120" s="63" t="n">
        <f aca="false">IF(K$28="nymex",0,VLOOKUP($A120,curvesettle,HLOOKUP(K$28,curvesettle,2,FALSE())))</f>
        <v>-0.0725</v>
      </c>
      <c r="L120" s="65" t="n">
        <f aca="false">IF(ISNUMBER(VLOOKUP($A120,VOLCURVES,HLOOKUP(K$28,VOLCURVES,2,FALSE()),FALSE())),VLOOKUP($A120,VOLCURVES,HLOOKUP(K$28,VOLCURVES,2,FALSE()),FALSE()),1)</f>
        <v>1</v>
      </c>
      <c r="M120" s="64" t="n">
        <f aca="false">IF(K$28="NYMEX",$AG120,$AF120)</f>
        <v>-5967</v>
      </c>
      <c r="N120" s="184" t="e">
        <f aca="false">(($C120+O120)*$L120)+D$15</f>
        <v>#DIV/0!</v>
      </c>
      <c r="O120" s="4" t="e">
        <f aca="false">IF(D$16=1,xCalcSkew($A120,P120-AZ120,b)/100,0)</f>
        <v>#DIV/0!</v>
      </c>
      <c r="P120" s="66" t="n">
        <f aca="false">IF($D$19=4,$AZ120,$D$18)</f>
        <v>3</v>
      </c>
      <c r="R120" s="63" t="n">
        <f aca="false">IF(R$28="nymex",0,VLOOKUP($A120,curvesettle,HLOOKUP(R$28,curvesettle,2,FALSE())))</f>
        <v>-0.39</v>
      </c>
      <c r="S120" s="65" t="n">
        <f aca="false">IF(ISNUMBER(VLOOKUP($A120,VOLCURVES,HLOOKUP(R$28,VOLCURVES,2,FALSE()),FALSE())),VLOOKUP($A120,VOLCURVES,HLOOKUP(R$28,VOLCURVES,2,FALSE()),FALSE()),1)</f>
        <v>1</v>
      </c>
      <c r="T120" s="64" t="n">
        <f aca="false">IF(R$28="NYMEX",$AG120,$AF120)</f>
        <v>-5967</v>
      </c>
      <c r="U120" s="184" t="e">
        <f aca="false">(($C120+V120)*$S120)+F$15</f>
        <v>#DIV/0!</v>
      </c>
      <c r="V120" s="4" t="e">
        <f aca="false">IF(F$16=1,xCalcSkew($A120,W120-BK120,b)/100,0)</f>
        <v>#DIV/0!</v>
      </c>
      <c r="W120" s="66" t="n">
        <f aca="false">IF($F$19=4,$BK120,$F$18)</f>
        <v>2.55</v>
      </c>
      <c r="X120" s="64"/>
      <c r="Y120" s="63" t="n">
        <f aca="false">IF(Y$28="nymex",0,VLOOKUP($A120,curvesettle,HLOOKUP(Y$28,curvesettle,2,FALSE())))</f>
        <v>0</v>
      </c>
      <c r="Z120" s="65" t="n">
        <f aca="false">IF(ISNUMBER(VLOOKUP($A120,VOLCURVES,HLOOKUP(Y$28,VOLCURVES,2,FALSE()),FALSE())),VLOOKUP($A120,VOLCURVES,HLOOKUP(Y$28,VOLCURVES,2,FALSE()),FALSE()),1)</f>
        <v>1</v>
      </c>
      <c r="AA120" s="64" t="n">
        <f aca="false">IF(Y$28="NYMEX",$AG120,$AF120)</f>
        <v>-5968</v>
      </c>
      <c r="AB120" s="4" t="e">
        <f aca="false">(($C120+AC120)*$Z120)+H$15</f>
        <v>#DIV/0!</v>
      </c>
      <c r="AC120" s="4" t="e">
        <f aca="false">IF(H$16=1,xCalcSkew($A120,AD120-BV120,b)/100,0)</f>
        <v>#DIV/0!</v>
      </c>
      <c r="AD120" s="66" t="n">
        <f aca="false">IF($H$19=4,$BV120,$H$18)</f>
        <v>2.9</v>
      </c>
      <c r="AF120" s="64" t="n">
        <f aca="false">VLOOKUP($A120,expiration,2,FALSE())-$B$2</f>
        <v>-5967</v>
      </c>
      <c r="AG120" s="64" t="n">
        <f aca="false">VLOOKUP($A120,expiration,3,FALSE())-$B$2</f>
        <v>-5968</v>
      </c>
      <c r="AH120" s="4" t="n">
        <f aca="false">VLOOKUP($A120,STRADDLE,14,FALSE())</f>
        <v>0.0561334231305515</v>
      </c>
      <c r="AI120" s="72" t="n">
        <f aca="false">A121-A120</f>
        <v>30</v>
      </c>
      <c r="AL120" s="64"/>
      <c r="AM120" s="73"/>
      <c r="AN120" s="73" t="n">
        <f aca="false">IF($A120&gt;=AO$25,IF($A120&lt;=AO$26,$AI120,0),0)</f>
        <v>0</v>
      </c>
      <c r="AO120" s="196" t="e">
        <f aca="false">AQ120/AN120</f>
        <v>#DIV/0!</v>
      </c>
      <c r="AP120" s="1" t="n">
        <f aca="false">AN120*($B120+B$13)</f>
        <v>0</v>
      </c>
      <c r="AQ120" s="47" t="n">
        <f aca="false">IF(ISNUMBER(((AP120/AN120)+B$14+$D120)*AN120),((AP120/AN120)+B$14+$D120)*AN120,0)</f>
        <v>0</v>
      </c>
      <c r="AR120" s="76" t="n">
        <f aca="false">IF(AN120=0,0,bsd(1,AS$27,AO120,$I120,$F120,$G120,$AH120,0.1))</f>
        <v>0</v>
      </c>
      <c r="AS120" s="76" t="n">
        <f aca="false">IF(AN120=0,0,bsd(2,AS$27,AO120,$I120,$F120,$G120,$AH120,0.1))</f>
        <v>0</v>
      </c>
      <c r="AT120" s="76" t="n">
        <f aca="false">IF(AN120=0,0,bsd(AS$28,AS$27,AO120,$I120,$F120,$G120,$AH120,0.1))</f>
        <v>0</v>
      </c>
      <c r="AU120" s="37" t="n">
        <f aca="false">AN120*AR120</f>
        <v>0</v>
      </c>
      <c r="AV120" s="37" t="n">
        <f aca="false">AN120*AS120</f>
        <v>0</v>
      </c>
      <c r="AW120" s="37" t="n">
        <f aca="false">AN120*AT120</f>
        <v>0</v>
      </c>
      <c r="AY120" s="73" t="n">
        <f aca="false">IF($A120&gt;=AZ$25,IF($A120&lt;=AZ$26,$AI120,0),0)</f>
        <v>0</v>
      </c>
      <c r="AZ120" s="196" t="e">
        <f aca="false">BB120/AY120</f>
        <v>#DIV/0!</v>
      </c>
      <c r="BA120" s="1" t="n">
        <f aca="false">AY120*($B120+D$13)</f>
        <v>0</v>
      </c>
      <c r="BB120" s="47" t="n">
        <f aca="false">IF(ISNUMBER(((BA120/AY120)+D$14+$K120)*AY120),((BA120/AY120)+D$14+$K120)*AY120,0)</f>
        <v>0</v>
      </c>
      <c r="BC120" s="76" t="n">
        <f aca="false">IF(AY120=0,0,bsd(1,BD$27,AZ120,$P120,$M120,$N120,$AH120,0.1))</f>
        <v>0</v>
      </c>
      <c r="BD120" s="76" t="n">
        <f aca="false">IF(AY120=0,0,bsd(2,BD$27,AZ120,$P120,$M120,$N120,$AH120,0.1))</f>
        <v>0</v>
      </c>
      <c r="BE120" s="76" t="n">
        <f aca="false">IF(AY120=0,0,bsd(BD$28,BD$27,AZ120,$P120,$M120,$N120,$AH120,0.1))</f>
        <v>0</v>
      </c>
      <c r="BF120" s="37" t="n">
        <f aca="false">AY120*BC120</f>
        <v>0</v>
      </c>
      <c r="BG120" s="37" t="n">
        <f aca="false">AY120*BD120</f>
        <v>0</v>
      </c>
      <c r="BH120" s="37" t="n">
        <f aca="false">AY120*BE120</f>
        <v>0</v>
      </c>
      <c r="BJ120" s="73" t="n">
        <f aca="false">IF($A120&gt;=BK$25,IF($A120&lt;=BK$26,$AI120,0),0)</f>
        <v>0</v>
      </c>
      <c r="BK120" s="196" t="e">
        <f aca="false">BM120/BJ120</f>
        <v>#DIV/0!</v>
      </c>
      <c r="BL120" s="1" t="n">
        <f aca="false">BJ120*($B120+F$13)</f>
        <v>0</v>
      </c>
      <c r="BM120" s="47" t="n">
        <f aca="false">IF(ISNUMBER(((BL120/BJ120)+F$14+$R120)*BJ120),((BL120/BJ120)+F$14+$R120)*BJ120,0)</f>
        <v>0</v>
      </c>
      <c r="BN120" s="76" t="n">
        <f aca="false">IF(BJ120=0,0,bsd(1,BO$27,BK120,$W120,$T120,$U120,$AH120,0.1))</f>
        <v>0</v>
      </c>
      <c r="BO120" s="76" t="n">
        <f aca="false">IF(BJ120=0,0,bsd(2,BO$27,BK120,$W120,$T120,$U120,$AH120,0.1))</f>
        <v>0</v>
      </c>
      <c r="BP120" s="76" t="n">
        <f aca="false">IF(BJ120=0,0,bsd(BO$28,BO$27,BK120,$W120,$T120,$U120,$AH120,0.1))</f>
        <v>0</v>
      </c>
      <c r="BQ120" s="37" t="n">
        <f aca="false">BJ120*BN120</f>
        <v>0</v>
      </c>
      <c r="BR120" s="37" t="n">
        <f aca="false">BJ120*BO120</f>
        <v>0</v>
      </c>
      <c r="BS120" s="37" t="n">
        <f aca="false">BJ120*BP120</f>
        <v>0</v>
      </c>
      <c r="BU120" s="73" t="n">
        <f aca="false">IF($A120&gt;=BV$25,IF($A120&lt;=BV$26,$AI120,0),0)</f>
        <v>0</v>
      </c>
      <c r="BV120" s="196" t="e">
        <f aca="false">BX120/BU120</f>
        <v>#DIV/0!</v>
      </c>
      <c r="BW120" s="1" t="n">
        <f aca="false">BU120*($B120+H$13)</f>
        <v>0</v>
      </c>
      <c r="BX120" s="47" t="n">
        <f aca="false">IF(ISNUMBER(((BW120/BU120)+H$14+$Y120)*BU120),((BW120/BU120)+H$14+$Y120)*BU120,0)</f>
        <v>0</v>
      </c>
      <c r="BY120" s="76" t="n">
        <f aca="false">IF(BU120=0,0,bsd(1,BZ$27,BV120,$AD120,$AA120,$AB120,$AH120,0.1))</f>
        <v>0</v>
      </c>
      <c r="BZ120" s="76" t="n">
        <f aca="false">IF(BU120=0,0,bsd(2,BZ$27,BV120,$AD120,$AA120,$AB120,$AH120,0.1))</f>
        <v>0</v>
      </c>
      <c r="CA120" s="76" t="n">
        <f aca="false">IF(BU120=0,0,bsd(BZ$28,BZ$27,BV120,$AD120,$AA120,$AB120,$AH120,0.1))</f>
        <v>0</v>
      </c>
      <c r="CB120" s="37" t="n">
        <f aca="false">BU120*BY120</f>
        <v>0</v>
      </c>
      <c r="CC120" s="37" t="n">
        <f aca="false">BU120*BZ120</f>
        <v>0</v>
      </c>
      <c r="CD120" s="37" t="n">
        <f aca="false">BU120*CA120</f>
        <v>0</v>
      </c>
    </row>
    <row r="121" customFormat="false" ht="12.75" hidden="false" customHeight="false" outlineLevel="0" collapsed="false">
      <c r="A121" s="62" t="n">
        <f aca="false">DATE(YEAR(A120),MONTH(A120)+1,1)</f>
        <v>39995</v>
      </c>
      <c r="B121" s="63" t="n">
        <f aca="false">VLOOKUP(A121,STRADDLE,5,FALSE())</f>
        <v>3.635</v>
      </c>
      <c r="C121" s="4" t="n">
        <f aca="false">VLOOKUP(A121,STRADDLE,8,FALSE())</f>
        <v>0.2025</v>
      </c>
      <c r="D121" s="63" t="n">
        <f aca="false">IF(D$28="nymex",0,VLOOKUP($A121,curvesettle,HLOOKUP(D$28,curvesettle,2,FALSE())))</f>
        <v>-0.0725</v>
      </c>
      <c r="E121" s="65" t="n">
        <f aca="false">IF(ISNUMBER(VLOOKUP($A121,VOLCURVES,HLOOKUP(D$28,VOLCURVES,2,FALSE()),FALSE())),VLOOKUP($A121,VOLCURVES,HLOOKUP(D$28,VOLCURVES,2,FALSE()),FALSE()),1)</f>
        <v>1</v>
      </c>
      <c r="F121" s="64" t="n">
        <f aca="false">IF(D$28="NYMEX",$AG121,$AF121)</f>
        <v>-5937</v>
      </c>
      <c r="G121" s="4" t="e">
        <f aca="false">(($C121+H121)*$E121)+B$15</f>
        <v>#DIV/0!</v>
      </c>
      <c r="H121" s="4" t="e">
        <f aca="false">IF(B$16=1,xCalcSkew(A121,I121-AO121,b)/100,0)</f>
        <v>#DIV/0!</v>
      </c>
      <c r="I121" s="66" t="n">
        <f aca="false">IF($B$19=4,$AO121,$B$18)</f>
        <v>5</v>
      </c>
      <c r="K121" s="63" t="n">
        <f aca="false">IF(K$28="nymex",0,VLOOKUP($A121,curvesettle,HLOOKUP(K$28,curvesettle,2,FALSE())))</f>
        <v>-0.0725</v>
      </c>
      <c r="L121" s="65" t="n">
        <f aca="false">IF(ISNUMBER(VLOOKUP($A121,VOLCURVES,HLOOKUP(K$28,VOLCURVES,2,FALSE()),FALSE())),VLOOKUP($A121,VOLCURVES,HLOOKUP(K$28,VOLCURVES,2,FALSE()),FALSE()),1)</f>
        <v>1</v>
      </c>
      <c r="M121" s="64" t="n">
        <f aca="false">IF(K$28="NYMEX",$AG121,$AF121)</f>
        <v>-5937</v>
      </c>
      <c r="N121" s="184" t="e">
        <f aca="false">(($C121+O121)*$L121)+D$15</f>
        <v>#DIV/0!</v>
      </c>
      <c r="O121" s="4" t="e">
        <f aca="false">IF(D$16=1,xCalcSkew($A121,P121-AZ121,b)/100,0)</f>
        <v>#DIV/0!</v>
      </c>
      <c r="P121" s="66" t="n">
        <f aca="false">IF($D$19=4,$AZ121,$D$18)</f>
        <v>3</v>
      </c>
      <c r="R121" s="63" t="n">
        <f aca="false">IF(R$28="nymex",0,VLOOKUP($A121,curvesettle,HLOOKUP(R$28,curvesettle,2,FALSE())))</f>
        <v>-0.39</v>
      </c>
      <c r="S121" s="65" t="n">
        <f aca="false">IF(ISNUMBER(VLOOKUP($A121,VOLCURVES,HLOOKUP(R$28,VOLCURVES,2,FALSE()),FALSE())),VLOOKUP($A121,VOLCURVES,HLOOKUP(R$28,VOLCURVES,2,FALSE()),FALSE()),1)</f>
        <v>1</v>
      </c>
      <c r="T121" s="64" t="n">
        <f aca="false">IF(R$28="NYMEX",$AG121,$AF121)</f>
        <v>-5937</v>
      </c>
      <c r="U121" s="184" t="e">
        <f aca="false">(($C121+V121)*$S121)+F$15</f>
        <v>#DIV/0!</v>
      </c>
      <c r="V121" s="4" t="e">
        <f aca="false">IF(F$16=1,xCalcSkew($A121,W121-BK121,b)/100,0)</f>
        <v>#DIV/0!</v>
      </c>
      <c r="W121" s="66" t="n">
        <f aca="false">IF($F$19=4,$BK121,$F$18)</f>
        <v>2.55</v>
      </c>
      <c r="X121" s="64"/>
      <c r="Y121" s="63" t="n">
        <f aca="false">IF(Y$28="nymex",0,VLOOKUP($A121,curvesettle,HLOOKUP(Y$28,curvesettle,2,FALSE())))</f>
        <v>0</v>
      </c>
      <c r="Z121" s="65" t="n">
        <f aca="false">IF(ISNUMBER(VLOOKUP($A121,VOLCURVES,HLOOKUP(Y$28,VOLCURVES,2,FALSE()),FALSE())),VLOOKUP($A121,VOLCURVES,HLOOKUP(Y$28,VOLCURVES,2,FALSE()),FALSE()),1)</f>
        <v>1</v>
      </c>
      <c r="AA121" s="64" t="n">
        <f aca="false">IF(Y$28="NYMEX",$AG121,$AF121)</f>
        <v>-5938</v>
      </c>
      <c r="AB121" s="4" t="e">
        <f aca="false">(($C121+AC121)*$Z121)+H$15</f>
        <v>#DIV/0!</v>
      </c>
      <c r="AC121" s="4" t="e">
        <f aca="false">IF(H$16=1,xCalcSkew($A121,AD121-BV121,b)/100,0)</f>
        <v>#DIV/0!</v>
      </c>
      <c r="AD121" s="66" t="n">
        <f aca="false">IF($H$19=4,$BV121,$H$18)</f>
        <v>2.9</v>
      </c>
      <c r="AF121" s="64" t="n">
        <f aca="false">VLOOKUP($A121,expiration,2,FALSE())-$B$2</f>
        <v>-5937</v>
      </c>
      <c r="AG121" s="64" t="n">
        <f aca="false">VLOOKUP($A121,expiration,3,FALSE())-$B$2</f>
        <v>-5938</v>
      </c>
      <c r="AH121" s="4" t="n">
        <f aca="false">VLOOKUP($A121,STRADDLE,14,FALSE())</f>
        <v>0.0562335828733631</v>
      </c>
      <c r="AI121" s="72" t="n">
        <f aca="false">A122-A121</f>
        <v>31</v>
      </c>
      <c r="AL121" s="64"/>
      <c r="AM121" s="73"/>
      <c r="AN121" s="73" t="n">
        <f aca="false">IF($A121&gt;=AO$25,IF($A121&lt;=AO$26,$AI121,0),0)</f>
        <v>0</v>
      </c>
      <c r="AO121" s="196" t="e">
        <f aca="false">AQ121/AN121</f>
        <v>#DIV/0!</v>
      </c>
      <c r="AP121" s="1" t="n">
        <f aca="false">AN121*($B121+B$13)</f>
        <v>0</v>
      </c>
      <c r="AQ121" s="47" t="n">
        <f aca="false">IF(ISNUMBER(((AP121/AN121)+B$14+$D121)*AN121),((AP121/AN121)+B$14+$D121)*AN121,0)</f>
        <v>0</v>
      </c>
      <c r="AR121" s="76" t="n">
        <f aca="false">IF(AN121=0,0,bsd(1,AS$27,AO121,$I121,$F121,$G121,$AH121,0.1))</f>
        <v>0</v>
      </c>
      <c r="AS121" s="76" t="n">
        <f aca="false">IF(AN121=0,0,bsd(2,AS$27,AO121,$I121,$F121,$G121,$AH121,0.1))</f>
        <v>0</v>
      </c>
      <c r="AT121" s="76" t="n">
        <f aca="false">IF(AN121=0,0,bsd(AS$28,AS$27,AO121,$I121,$F121,$G121,$AH121,0.1))</f>
        <v>0</v>
      </c>
      <c r="AU121" s="37" t="n">
        <f aca="false">AN121*AR121</f>
        <v>0</v>
      </c>
      <c r="AV121" s="37" t="n">
        <f aca="false">AN121*AS121</f>
        <v>0</v>
      </c>
      <c r="AW121" s="37" t="n">
        <f aca="false">AN121*AT121</f>
        <v>0</v>
      </c>
      <c r="AY121" s="73" t="n">
        <f aca="false">IF($A121&gt;=AZ$25,IF($A121&lt;=AZ$26,$AI121,0),0)</f>
        <v>0</v>
      </c>
      <c r="AZ121" s="196" t="e">
        <f aca="false">BB121/AY121</f>
        <v>#DIV/0!</v>
      </c>
      <c r="BA121" s="1" t="n">
        <f aca="false">AY121*($B121+D$13)</f>
        <v>0</v>
      </c>
      <c r="BB121" s="47" t="n">
        <f aca="false">IF(ISNUMBER(((BA121/AY121)+D$14+$K121)*AY121),((BA121/AY121)+D$14+$K121)*AY121,0)</f>
        <v>0</v>
      </c>
      <c r="BC121" s="76" t="n">
        <f aca="false">IF(AY121=0,0,bsd(1,BD$27,AZ121,$P121,$M121,$N121,$AH121,0.1))</f>
        <v>0</v>
      </c>
      <c r="BD121" s="76" t="n">
        <f aca="false">IF(AY121=0,0,bsd(2,BD$27,AZ121,$P121,$M121,$N121,$AH121,0.1))</f>
        <v>0</v>
      </c>
      <c r="BE121" s="76" t="n">
        <f aca="false">IF(AY121=0,0,bsd(BD$28,BD$27,AZ121,$P121,$M121,$N121,$AH121,0.1))</f>
        <v>0</v>
      </c>
      <c r="BF121" s="37" t="n">
        <f aca="false">AY121*BC121</f>
        <v>0</v>
      </c>
      <c r="BG121" s="37" t="n">
        <f aca="false">AY121*BD121</f>
        <v>0</v>
      </c>
      <c r="BH121" s="37" t="n">
        <f aca="false">AY121*BE121</f>
        <v>0</v>
      </c>
      <c r="BJ121" s="73" t="n">
        <f aca="false">IF($A121&gt;=BK$25,IF($A121&lt;=BK$26,$AI121,0),0)</f>
        <v>0</v>
      </c>
      <c r="BK121" s="196" t="e">
        <f aca="false">BM121/BJ121</f>
        <v>#DIV/0!</v>
      </c>
      <c r="BL121" s="1" t="n">
        <f aca="false">BJ121*($B121+F$13)</f>
        <v>0</v>
      </c>
      <c r="BM121" s="47" t="n">
        <f aca="false">IF(ISNUMBER(((BL121/BJ121)+F$14+$R121)*BJ121),((BL121/BJ121)+F$14+$R121)*BJ121,0)</f>
        <v>0</v>
      </c>
      <c r="BN121" s="76" t="n">
        <f aca="false">IF(BJ121=0,0,bsd(1,BO$27,BK121,$W121,$T121,$U121,$AH121,0.1))</f>
        <v>0</v>
      </c>
      <c r="BO121" s="76" t="n">
        <f aca="false">IF(BJ121=0,0,bsd(2,BO$27,BK121,$W121,$T121,$U121,$AH121,0.1))</f>
        <v>0</v>
      </c>
      <c r="BP121" s="76" t="n">
        <f aca="false">IF(BJ121=0,0,bsd(BO$28,BO$27,BK121,$W121,$T121,$U121,$AH121,0.1))</f>
        <v>0</v>
      </c>
      <c r="BQ121" s="37" t="n">
        <f aca="false">BJ121*BN121</f>
        <v>0</v>
      </c>
      <c r="BR121" s="37" t="n">
        <f aca="false">BJ121*BO121</f>
        <v>0</v>
      </c>
      <c r="BS121" s="37" t="n">
        <f aca="false">BJ121*BP121</f>
        <v>0</v>
      </c>
      <c r="BU121" s="73" t="n">
        <f aca="false">IF($A121&gt;=BV$25,IF($A121&lt;=BV$26,$AI121,0),0)</f>
        <v>0</v>
      </c>
      <c r="BV121" s="196" t="e">
        <f aca="false">BX121/BU121</f>
        <v>#DIV/0!</v>
      </c>
      <c r="BW121" s="1" t="n">
        <f aca="false">BU121*($B121+H$13)</f>
        <v>0</v>
      </c>
      <c r="BX121" s="47" t="n">
        <f aca="false">IF(ISNUMBER(((BW121/BU121)+H$14+$Y121)*BU121),((BW121/BU121)+H$14+$Y121)*BU121,0)</f>
        <v>0</v>
      </c>
      <c r="BY121" s="76" t="n">
        <f aca="false">IF(BU121=0,0,bsd(1,BZ$27,BV121,$AD121,$AA121,$AB121,$AH121,0.1))</f>
        <v>0</v>
      </c>
      <c r="BZ121" s="76" t="n">
        <f aca="false">IF(BU121=0,0,bsd(2,BZ$27,BV121,$AD121,$AA121,$AB121,$AH121,0.1))</f>
        <v>0</v>
      </c>
      <c r="CA121" s="76" t="n">
        <f aca="false">IF(BU121=0,0,bsd(BZ$28,BZ$27,BV121,$AD121,$AA121,$AB121,$AH121,0.1))</f>
        <v>0</v>
      </c>
      <c r="CB121" s="37" t="n">
        <f aca="false">BU121*BY121</f>
        <v>0</v>
      </c>
      <c r="CC121" s="37" t="n">
        <f aca="false">BU121*BZ121</f>
        <v>0</v>
      </c>
      <c r="CD121" s="37" t="n">
        <f aca="false">BU121*CA121</f>
        <v>0</v>
      </c>
    </row>
    <row r="122" customFormat="false" ht="12.75" hidden="false" customHeight="false" outlineLevel="0" collapsed="false">
      <c r="A122" s="62" t="n">
        <f aca="false">DATE(YEAR(A121),MONTH(A121)+1,1)</f>
        <v>40026</v>
      </c>
      <c r="B122" s="63" t="n">
        <f aca="false">VLOOKUP(A122,STRADDLE,5,FALSE())</f>
        <v>3.675</v>
      </c>
      <c r="C122" s="4" t="n">
        <f aca="false">VLOOKUP(A122,STRADDLE,8,FALSE())</f>
        <v>0.2025</v>
      </c>
      <c r="D122" s="63" t="n">
        <f aca="false">IF(D$28="nymex",0,VLOOKUP($A122,curvesettle,HLOOKUP(D$28,curvesettle,2,FALSE())))</f>
        <v>-0.0725</v>
      </c>
      <c r="E122" s="65" t="n">
        <f aca="false">IF(ISNUMBER(VLOOKUP($A122,VOLCURVES,HLOOKUP(D$28,VOLCURVES,2,FALSE()),FALSE())),VLOOKUP($A122,VOLCURVES,HLOOKUP(D$28,VOLCURVES,2,FALSE()),FALSE()),1)</f>
        <v>1</v>
      </c>
      <c r="F122" s="64" t="n">
        <f aca="false">IF(D$28="NYMEX",$AG122,$AF122)</f>
        <v>-5904</v>
      </c>
      <c r="G122" s="4" t="e">
        <f aca="false">(($C122+H122)*$E122)+B$15</f>
        <v>#DIV/0!</v>
      </c>
      <c r="H122" s="4" t="e">
        <f aca="false">IF(B$16=1,xCalcSkew(A122,I122-AO122,b)/100,0)</f>
        <v>#DIV/0!</v>
      </c>
      <c r="I122" s="66" t="n">
        <f aca="false">IF($B$19=4,$AO122,$B$18)</f>
        <v>5</v>
      </c>
      <c r="K122" s="63" t="n">
        <f aca="false">IF(K$28="nymex",0,VLOOKUP($A122,curvesettle,HLOOKUP(K$28,curvesettle,2,FALSE())))</f>
        <v>-0.0725</v>
      </c>
      <c r="L122" s="65" t="n">
        <f aca="false">IF(ISNUMBER(VLOOKUP($A122,VOLCURVES,HLOOKUP(K$28,VOLCURVES,2,FALSE()),FALSE())),VLOOKUP($A122,VOLCURVES,HLOOKUP(K$28,VOLCURVES,2,FALSE()),FALSE()),1)</f>
        <v>1</v>
      </c>
      <c r="M122" s="64" t="n">
        <f aca="false">IF(K$28="NYMEX",$AG122,$AF122)</f>
        <v>-5904</v>
      </c>
      <c r="N122" s="184" t="e">
        <f aca="false">(($C122+O122)*$L122)+D$15</f>
        <v>#DIV/0!</v>
      </c>
      <c r="O122" s="4" t="e">
        <f aca="false">IF(D$16=1,xCalcSkew($A122,P122-AZ122,b)/100,0)</f>
        <v>#DIV/0!</v>
      </c>
      <c r="P122" s="66" t="n">
        <f aca="false">IF($D$19=4,$AZ122,$D$18)</f>
        <v>3</v>
      </c>
      <c r="R122" s="63" t="n">
        <f aca="false">IF(R$28="nymex",0,VLOOKUP($A122,curvesettle,HLOOKUP(R$28,curvesettle,2,FALSE())))</f>
        <v>-0.39</v>
      </c>
      <c r="S122" s="65" t="n">
        <f aca="false">IF(ISNUMBER(VLOOKUP($A122,VOLCURVES,HLOOKUP(R$28,VOLCURVES,2,FALSE()),FALSE())),VLOOKUP($A122,VOLCURVES,HLOOKUP(R$28,VOLCURVES,2,FALSE()),FALSE()),1)</f>
        <v>1</v>
      </c>
      <c r="T122" s="64" t="n">
        <f aca="false">IF(R$28="NYMEX",$AG122,$AF122)</f>
        <v>-5904</v>
      </c>
      <c r="U122" s="184" t="e">
        <f aca="false">(($C122+V122)*$S122)+F$15</f>
        <v>#DIV/0!</v>
      </c>
      <c r="V122" s="4" t="e">
        <f aca="false">IF(F$16=1,xCalcSkew($A122,W122-BK122,b)/100,0)</f>
        <v>#DIV/0!</v>
      </c>
      <c r="W122" s="66" t="n">
        <f aca="false">IF($F$19=4,$BK122,$F$18)</f>
        <v>2.55</v>
      </c>
      <c r="X122" s="64"/>
      <c r="Y122" s="63" t="n">
        <f aca="false">IF(Y$28="nymex",0,VLOOKUP($A122,curvesettle,HLOOKUP(Y$28,curvesettle,2,FALSE())))</f>
        <v>0</v>
      </c>
      <c r="Z122" s="65" t="n">
        <f aca="false">IF(ISNUMBER(VLOOKUP($A122,VOLCURVES,HLOOKUP(Y$28,VOLCURVES,2,FALSE()),FALSE())),VLOOKUP($A122,VOLCURVES,HLOOKUP(Y$28,VOLCURVES,2,FALSE()),FALSE()),1)</f>
        <v>1</v>
      </c>
      <c r="AA122" s="64" t="n">
        <f aca="false">IF(Y$28="NYMEX",$AG122,$AF122)</f>
        <v>-5905</v>
      </c>
      <c r="AB122" s="4" t="e">
        <f aca="false">(($C122+AC122)*$Z122)+H$15</f>
        <v>#DIV/0!</v>
      </c>
      <c r="AC122" s="4" t="e">
        <f aca="false">IF(H$16=1,xCalcSkew($A122,AD122-BV122,b)/100,0)</f>
        <v>#DIV/0!</v>
      </c>
      <c r="AD122" s="66" t="n">
        <f aca="false">IF($H$19=4,$BV122,$H$18)</f>
        <v>2.9</v>
      </c>
      <c r="AF122" s="64" t="n">
        <f aca="false">VLOOKUP($A122,expiration,2,FALSE())-$B$2</f>
        <v>-5904</v>
      </c>
      <c r="AG122" s="64" t="n">
        <f aca="false">VLOOKUP($A122,expiration,3,FALSE())-$B$2</f>
        <v>-5905</v>
      </c>
      <c r="AH122" s="4" t="n">
        <f aca="false">VLOOKUP($A122,STRADDLE,14,FALSE())</f>
        <v>0.0563370812777757</v>
      </c>
      <c r="AI122" s="72" t="n">
        <f aca="false">A123-A122</f>
        <v>31</v>
      </c>
      <c r="AL122" s="64"/>
      <c r="AM122" s="73"/>
      <c r="AN122" s="73" t="n">
        <f aca="false">IF($A122&gt;=AO$25,IF($A122&lt;=AO$26,$AI122,0),0)</f>
        <v>0</v>
      </c>
      <c r="AO122" s="196" t="e">
        <f aca="false">AQ122/AN122</f>
        <v>#DIV/0!</v>
      </c>
      <c r="AP122" s="1" t="n">
        <f aca="false">AN122*($B122+B$13)</f>
        <v>0</v>
      </c>
      <c r="AQ122" s="47" t="n">
        <f aca="false">IF(ISNUMBER(((AP122/AN122)+B$14+$D122)*AN122),((AP122/AN122)+B$14+$D122)*AN122,0)</f>
        <v>0</v>
      </c>
      <c r="AR122" s="76" t="n">
        <f aca="false">IF(AN122=0,0,bsd(1,AS$27,AO122,$I122,$F122,$G122,$AH122,0.1))</f>
        <v>0</v>
      </c>
      <c r="AS122" s="76" t="n">
        <f aca="false">IF(AN122=0,0,bsd(2,AS$27,AO122,$I122,$F122,$G122,$AH122,0.1))</f>
        <v>0</v>
      </c>
      <c r="AT122" s="76" t="n">
        <f aca="false">IF(AN122=0,0,bsd(AS$28,AS$27,AO122,$I122,$F122,$G122,$AH122,0.1))</f>
        <v>0</v>
      </c>
      <c r="AU122" s="37" t="n">
        <f aca="false">AN122*AR122</f>
        <v>0</v>
      </c>
      <c r="AV122" s="37" t="n">
        <f aca="false">AN122*AS122</f>
        <v>0</v>
      </c>
      <c r="AW122" s="37" t="n">
        <f aca="false">AN122*AT122</f>
        <v>0</v>
      </c>
      <c r="AY122" s="73" t="n">
        <f aca="false">IF($A122&gt;=AZ$25,IF($A122&lt;=AZ$26,$AI122,0),0)</f>
        <v>0</v>
      </c>
      <c r="AZ122" s="196" t="e">
        <f aca="false">BB122/AY122</f>
        <v>#DIV/0!</v>
      </c>
      <c r="BA122" s="1" t="n">
        <f aca="false">AY122*($B122+D$13)</f>
        <v>0</v>
      </c>
      <c r="BB122" s="47" t="n">
        <f aca="false">IF(ISNUMBER(((BA122/AY122)+D$14+$K122)*AY122),((BA122/AY122)+D$14+$K122)*AY122,0)</f>
        <v>0</v>
      </c>
      <c r="BC122" s="76" t="n">
        <f aca="false">IF(AY122=0,0,bsd(1,BD$27,AZ122,$P122,$M122,$N122,$AH122,0.1))</f>
        <v>0</v>
      </c>
      <c r="BD122" s="76" t="n">
        <f aca="false">IF(AY122=0,0,bsd(2,BD$27,AZ122,$P122,$M122,$N122,$AH122,0.1))</f>
        <v>0</v>
      </c>
      <c r="BE122" s="76" t="n">
        <f aca="false">IF(AY122=0,0,bsd(BD$28,BD$27,AZ122,$P122,$M122,$N122,$AH122,0.1))</f>
        <v>0</v>
      </c>
      <c r="BF122" s="37" t="n">
        <f aca="false">AY122*BC122</f>
        <v>0</v>
      </c>
      <c r="BG122" s="37" t="n">
        <f aca="false">AY122*BD122</f>
        <v>0</v>
      </c>
      <c r="BH122" s="37" t="n">
        <f aca="false">AY122*BE122</f>
        <v>0</v>
      </c>
      <c r="BJ122" s="73" t="n">
        <f aca="false">IF($A122&gt;=BK$25,IF($A122&lt;=BK$26,$AI122,0),0)</f>
        <v>0</v>
      </c>
      <c r="BK122" s="196" t="e">
        <f aca="false">BM122/BJ122</f>
        <v>#DIV/0!</v>
      </c>
      <c r="BL122" s="1" t="n">
        <f aca="false">BJ122*($B122+F$13)</f>
        <v>0</v>
      </c>
      <c r="BM122" s="47" t="n">
        <f aca="false">IF(ISNUMBER(((BL122/BJ122)+F$14+$R122)*BJ122),((BL122/BJ122)+F$14+$R122)*BJ122,0)</f>
        <v>0</v>
      </c>
      <c r="BN122" s="76" t="n">
        <f aca="false">IF(BJ122=0,0,bsd(1,BO$27,BK122,$W122,$T122,$U122,$AH122,0.1))</f>
        <v>0</v>
      </c>
      <c r="BO122" s="76" t="n">
        <f aca="false">IF(BJ122=0,0,bsd(2,BO$27,BK122,$W122,$T122,$U122,$AH122,0.1))</f>
        <v>0</v>
      </c>
      <c r="BP122" s="76" t="n">
        <f aca="false">IF(BJ122=0,0,bsd(BO$28,BO$27,BK122,$W122,$T122,$U122,$AH122,0.1))</f>
        <v>0</v>
      </c>
      <c r="BQ122" s="37" t="n">
        <f aca="false">BJ122*BN122</f>
        <v>0</v>
      </c>
      <c r="BR122" s="37" t="n">
        <f aca="false">BJ122*BO122</f>
        <v>0</v>
      </c>
      <c r="BS122" s="37" t="n">
        <f aca="false">BJ122*BP122</f>
        <v>0</v>
      </c>
      <c r="BU122" s="73" t="n">
        <f aca="false">IF($A122&gt;=BV$25,IF($A122&lt;=BV$26,$AI122,0),0)</f>
        <v>0</v>
      </c>
      <c r="BV122" s="196" t="e">
        <f aca="false">BX122/BU122</f>
        <v>#DIV/0!</v>
      </c>
      <c r="BW122" s="1" t="n">
        <f aca="false">BU122*($B122+H$13)</f>
        <v>0</v>
      </c>
      <c r="BX122" s="47" t="n">
        <f aca="false">IF(ISNUMBER(((BW122/BU122)+H$14+$Y122)*BU122),((BW122/BU122)+H$14+$Y122)*BU122,0)</f>
        <v>0</v>
      </c>
      <c r="BY122" s="76" t="n">
        <f aca="false">IF(BU122=0,0,bsd(1,BZ$27,BV122,$AD122,$AA122,$AB122,$AH122,0.1))</f>
        <v>0</v>
      </c>
      <c r="BZ122" s="76" t="n">
        <f aca="false">IF(BU122=0,0,bsd(2,BZ$27,BV122,$AD122,$AA122,$AB122,$AH122,0.1))</f>
        <v>0</v>
      </c>
      <c r="CA122" s="76" t="n">
        <f aca="false">IF(BU122=0,0,bsd(BZ$28,BZ$27,BV122,$AD122,$AA122,$AB122,$AH122,0.1))</f>
        <v>0</v>
      </c>
      <c r="CB122" s="37" t="n">
        <f aca="false">BU122*BY122</f>
        <v>0</v>
      </c>
      <c r="CC122" s="37" t="n">
        <f aca="false">BU122*BZ122</f>
        <v>0</v>
      </c>
      <c r="CD122" s="37" t="n">
        <f aca="false">BU122*CA122</f>
        <v>0</v>
      </c>
    </row>
    <row r="123" customFormat="false" ht="12.75" hidden="false" customHeight="false" outlineLevel="0" collapsed="false">
      <c r="A123" s="62" t="n">
        <f aca="false">DATE(YEAR(A122),MONTH(A122)+1,1)</f>
        <v>40057</v>
      </c>
      <c r="B123" s="63" t="n">
        <f aca="false">VLOOKUP(A123,STRADDLE,5,FALSE())</f>
        <v>3.67</v>
      </c>
      <c r="C123" s="4" t="n">
        <f aca="false">VLOOKUP(A123,STRADDLE,8,FALSE())</f>
        <v>0.2025</v>
      </c>
      <c r="D123" s="63" t="n">
        <f aca="false">IF(D$28="nymex",0,VLOOKUP($A123,curvesettle,HLOOKUP(D$28,curvesettle,2,FALSE())))</f>
        <v>-0.0725</v>
      </c>
      <c r="E123" s="65" t="n">
        <f aca="false">IF(ISNUMBER(VLOOKUP($A123,VOLCURVES,HLOOKUP(D$28,VOLCURVES,2,FALSE()),FALSE())),VLOOKUP($A123,VOLCURVES,HLOOKUP(D$28,VOLCURVES,2,FALSE()),FALSE()),1)</f>
        <v>1</v>
      </c>
      <c r="F123" s="64" t="n">
        <f aca="false">IF(D$28="NYMEX",$AG123,$AF123)</f>
        <v>-5875</v>
      </c>
      <c r="G123" s="4" t="e">
        <f aca="false">(($C123+H123)*$E123)+B$15</f>
        <v>#DIV/0!</v>
      </c>
      <c r="H123" s="4" t="e">
        <f aca="false">IF(B$16=1,xCalcSkew(A123,I123-AO123,b)/100,0)</f>
        <v>#DIV/0!</v>
      </c>
      <c r="I123" s="66" t="n">
        <f aca="false">IF($B$19=4,$AO123,$B$18)</f>
        <v>5</v>
      </c>
      <c r="K123" s="63" t="n">
        <f aca="false">IF(K$28="nymex",0,VLOOKUP($A123,curvesettle,HLOOKUP(K$28,curvesettle,2,FALSE())))</f>
        <v>-0.0725</v>
      </c>
      <c r="L123" s="65" t="n">
        <f aca="false">IF(ISNUMBER(VLOOKUP($A123,VOLCURVES,HLOOKUP(K$28,VOLCURVES,2,FALSE()),FALSE())),VLOOKUP($A123,VOLCURVES,HLOOKUP(K$28,VOLCURVES,2,FALSE()),FALSE()),1)</f>
        <v>1</v>
      </c>
      <c r="M123" s="64" t="n">
        <f aca="false">IF(K$28="NYMEX",$AG123,$AF123)</f>
        <v>-5875</v>
      </c>
      <c r="N123" s="184" t="e">
        <f aca="false">(($C123+O123)*$L123)+D$15</f>
        <v>#DIV/0!</v>
      </c>
      <c r="O123" s="4" t="e">
        <f aca="false">IF(D$16=1,xCalcSkew($A123,P123-AZ123,b)/100,0)</f>
        <v>#DIV/0!</v>
      </c>
      <c r="P123" s="66" t="n">
        <f aca="false">IF($D$19=4,$AZ123,$D$18)</f>
        <v>3</v>
      </c>
      <c r="R123" s="63" t="n">
        <f aca="false">IF(R$28="nymex",0,VLOOKUP($A123,curvesettle,HLOOKUP(R$28,curvesettle,2,FALSE())))</f>
        <v>-0.39</v>
      </c>
      <c r="S123" s="65" t="n">
        <f aca="false">IF(ISNUMBER(VLOOKUP($A123,VOLCURVES,HLOOKUP(R$28,VOLCURVES,2,FALSE()),FALSE())),VLOOKUP($A123,VOLCURVES,HLOOKUP(R$28,VOLCURVES,2,FALSE()),FALSE()),1)</f>
        <v>1</v>
      </c>
      <c r="T123" s="64" t="n">
        <f aca="false">IF(R$28="NYMEX",$AG123,$AF123)</f>
        <v>-5875</v>
      </c>
      <c r="U123" s="184" t="e">
        <f aca="false">(($C123+V123)*$S123)+F$15</f>
        <v>#DIV/0!</v>
      </c>
      <c r="V123" s="4" t="e">
        <f aca="false">IF(F$16=1,xCalcSkew($A123,W123-BK123,b)/100,0)</f>
        <v>#DIV/0!</v>
      </c>
      <c r="W123" s="66" t="n">
        <f aca="false">IF($F$19=4,$BK123,$F$18)</f>
        <v>2.55</v>
      </c>
      <c r="X123" s="64"/>
      <c r="Y123" s="63" t="n">
        <f aca="false">IF(Y$28="nymex",0,VLOOKUP($A123,curvesettle,HLOOKUP(Y$28,curvesettle,2,FALSE())))</f>
        <v>0</v>
      </c>
      <c r="Z123" s="65" t="n">
        <f aca="false">IF(ISNUMBER(VLOOKUP($A123,VOLCURVES,HLOOKUP(Y$28,VOLCURVES,2,FALSE()),FALSE())),VLOOKUP($A123,VOLCURVES,HLOOKUP(Y$28,VOLCURVES,2,FALSE()),FALSE()),1)</f>
        <v>1</v>
      </c>
      <c r="AA123" s="64" t="n">
        <f aca="false">IF(Y$28="NYMEX",$AG123,$AF123)</f>
        <v>-5876</v>
      </c>
      <c r="AB123" s="4" t="e">
        <f aca="false">(($C123+AC123)*$Z123)+H$15</f>
        <v>#DIV/0!</v>
      </c>
      <c r="AC123" s="4" t="e">
        <f aca="false">IF(H$16=1,xCalcSkew($A123,AD123-BV123,b)/100,0)</f>
        <v>#DIV/0!</v>
      </c>
      <c r="AD123" s="66" t="n">
        <f aca="false">IF($H$19=4,$BV123,$H$18)</f>
        <v>2.9</v>
      </c>
      <c r="AF123" s="64" t="n">
        <f aca="false">VLOOKUP($A123,expiration,2,FALSE())-$B$2</f>
        <v>-5875</v>
      </c>
      <c r="AG123" s="64" t="n">
        <f aca="false">VLOOKUP($A123,expiration,3,FALSE())-$B$2</f>
        <v>-5876</v>
      </c>
      <c r="AH123" s="4" t="n">
        <f aca="false">VLOOKUP($A123,STRADDLE,14,FALSE())</f>
        <v>0.0564405796857548</v>
      </c>
      <c r="AI123" s="72" t="n">
        <f aca="false">A124-A123</f>
        <v>30</v>
      </c>
      <c r="AL123" s="64"/>
      <c r="AM123" s="73"/>
      <c r="AN123" s="73" t="n">
        <f aca="false">IF($A123&gt;=AO$25,IF($A123&lt;=AO$26,$AI123,0),0)</f>
        <v>0</v>
      </c>
      <c r="AO123" s="196" t="e">
        <f aca="false">AQ123/AN123</f>
        <v>#DIV/0!</v>
      </c>
      <c r="AP123" s="1" t="n">
        <f aca="false">AN123*($B123+B$13)</f>
        <v>0</v>
      </c>
      <c r="AQ123" s="47" t="n">
        <f aca="false">IF(ISNUMBER(((AP123/AN123)+B$14+$D123)*AN123),((AP123/AN123)+B$14+$D123)*AN123,0)</f>
        <v>0</v>
      </c>
      <c r="AR123" s="76" t="n">
        <f aca="false">IF(AN123=0,0,bsd(1,AS$27,AO123,$I123,$F123,$G123,$AH123,0.1))</f>
        <v>0</v>
      </c>
      <c r="AS123" s="76" t="n">
        <f aca="false">IF(AN123=0,0,bsd(2,AS$27,AO123,$I123,$F123,$G123,$AH123,0.1))</f>
        <v>0</v>
      </c>
      <c r="AT123" s="76" t="n">
        <f aca="false">IF(AN123=0,0,bsd(AS$28,AS$27,AO123,$I123,$F123,$G123,$AH123,0.1))</f>
        <v>0</v>
      </c>
      <c r="AU123" s="37" t="n">
        <f aca="false">AN123*AR123</f>
        <v>0</v>
      </c>
      <c r="AV123" s="37" t="n">
        <f aca="false">AN123*AS123</f>
        <v>0</v>
      </c>
      <c r="AW123" s="37" t="n">
        <f aca="false">AN123*AT123</f>
        <v>0</v>
      </c>
      <c r="AY123" s="73" t="n">
        <f aca="false">IF($A123&gt;=AZ$25,IF($A123&lt;=AZ$26,$AI123,0),0)</f>
        <v>0</v>
      </c>
      <c r="AZ123" s="196" t="e">
        <f aca="false">BB123/AY123</f>
        <v>#DIV/0!</v>
      </c>
      <c r="BA123" s="1" t="n">
        <f aca="false">AY123*($B123+D$13)</f>
        <v>0</v>
      </c>
      <c r="BB123" s="47" t="n">
        <f aca="false">IF(ISNUMBER(((BA123/AY123)+D$14+$K123)*AY123),((BA123/AY123)+D$14+$K123)*AY123,0)</f>
        <v>0</v>
      </c>
      <c r="BC123" s="76" t="n">
        <f aca="false">IF(AY123=0,0,bsd(1,BD$27,AZ123,$P123,$M123,$N123,$AH123,0.1))</f>
        <v>0</v>
      </c>
      <c r="BD123" s="76" t="n">
        <f aca="false">IF(AY123=0,0,bsd(2,BD$27,AZ123,$P123,$M123,$N123,$AH123,0.1))</f>
        <v>0</v>
      </c>
      <c r="BE123" s="76" t="n">
        <f aca="false">IF(AY123=0,0,bsd(BD$28,BD$27,AZ123,$P123,$M123,$N123,$AH123,0.1))</f>
        <v>0</v>
      </c>
      <c r="BF123" s="37" t="n">
        <f aca="false">AY123*BC123</f>
        <v>0</v>
      </c>
      <c r="BG123" s="37" t="n">
        <f aca="false">AY123*BD123</f>
        <v>0</v>
      </c>
      <c r="BH123" s="37" t="n">
        <f aca="false">AY123*BE123</f>
        <v>0</v>
      </c>
      <c r="BJ123" s="73" t="n">
        <f aca="false">IF($A123&gt;=BK$25,IF($A123&lt;=BK$26,$AI123,0),0)</f>
        <v>0</v>
      </c>
      <c r="BK123" s="196" t="e">
        <f aca="false">BM123/BJ123</f>
        <v>#DIV/0!</v>
      </c>
      <c r="BL123" s="1" t="n">
        <f aca="false">BJ123*($B123+F$13)</f>
        <v>0</v>
      </c>
      <c r="BM123" s="47" t="n">
        <f aca="false">IF(ISNUMBER(((BL123/BJ123)+F$14+$R123)*BJ123),((BL123/BJ123)+F$14+$R123)*BJ123,0)</f>
        <v>0</v>
      </c>
      <c r="BN123" s="76" t="n">
        <f aca="false">IF(BJ123=0,0,bsd(1,BO$27,BK123,$W123,$T123,$U123,$AH123,0.1))</f>
        <v>0</v>
      </c>
      <c r="BO123" s="76" t="n">
        <f aca="false">IF(BJ123=0,0,bsd(2,BO$27,BK123,$W123,$T123,$U123,$AH123,0.1))</f>
        <v>0</v>
      </c>
      <c r="BP123" s="76" t="n">
        <f aca="false">IF(BJ123=0,0,bsd(BO$28,BO$27,BK123,$W123,$T123,$U123,$AH123,0.1))</f>
        <v>0</v>
      </c>
      <c r="BQ123" s="37" t="n">
        <f aca="false">BJ123*BN123</f>
        <v>0</v>
      </c>
      <c r="BR123" s="37" t="n">
        <f aca="false">BJ123*BO123</f>
        <v>0</v>
      </c>
      <c r="BS123" s="37" t="n">
        <f aca="false">BJ123*BP123</f>
        <v>0</v>
      </c>
      <c r="BU123" s="73" t="n">
        <f aca="false">IF($A123&gt;=BV$25,IF($A123&lt;=BV$26,$AI123,0),0)</f>
        <v>0</v>
      </c>
      <c r="BV123" s="196" t="e">
        <f aca="false">BX123/BU123</f>
        <v>#DIV/0!</v>
      </c>
      <c r="BW123" s="1" t="n">
        <f aca="false">BU123*($B123+H$13)</f>
        <v>0</v>
      </c>
      <c r="BX123" s="47" t="n">
        <f aca="false">IF(ISNUMBER(((BW123/BU123)+H$14+$Y123)*BU123),((BW123/BU123)+H$14+$Y123)*BU123,0)</f>
        <v>0</v>
      </c>
      <c r="BY123" s="76" t="n">
        <f aca="false">IF(BU123=0,0,bsd(1,BZ$27,BV123,$AD123,$AA123,$AB123,$AH123,0.1))</f>
        <v>0</v>
      </c>
      <c r="BZ123" s="76" t="n">
        <f aca="false">IF(BU123=0,0,bsd(2,BZ$27,BV123,$AD123,$AA123,$AB123,$AH123,0.1))</f>
        <v>0</v>
      </c>
      <c r="CA123" s="76" t="n">
        <f aca="false">IF(BU123=0,0,bsd(BZ$28,BZ$27,BV123,$AD123,$AA123,$AB123,$AH123,0.1))</f>
        <v>0</v>
      </c>
      <c r="CB123" s="37" t="n">
        <f aca="false">BU123*BY123</f>
        <v>0</v>
      </c>
      <c r="CC123" s="37" t="n">
        <f aca="false">BU123*BZ123</f>
        <v>0</v>
      </c>
      <c r="CD123" s="37" t="n">
        <f aca="false">BU123*CA123</f>
        <v>0</v>
      </c>
    </row>
    <row r="124" customFormat="false" ht="12.75" hidden="false" customHeight="false" outlineLevel="0" collapsed="false">
      <c r="A124" s="62" t="n">
        <f aca="false">DATE(YEAR(A123),MONTH(A123)+1,1)</f>
        <v>40087</v>
      </c>
      <c r="B124" s="63" t="n">
        <f aca="false">VLOOKUP(A124,STRADDLE,5,FALSE())</f>
        <v>3.695</v>
      </c>
      <c r="C124" s="4" t="n">
        <f aca="false">VLOOKUP(A124,STRADDLE,8,FALSE())</f>
        <v>0.2025</v>
      </c>
      <c r="D124" s="63" t="n">
        <f aca="false">IF(D$28="nymex",0,VLOOKUP($A124,curvesettle,HLOOKUP(D$28,curvesettle,2,FALSE())))</f>
        <v>-0.0725</v>
      </c>
      <c r="E124" s="65" t="n">
        <f aca="false">IF(ISNUMBER(VLOOKUP($A124,VOLCURVES,HLOOKUP(D$28,VOLCURVES,2,FALSE()),FALSE())),VLOOKUP($A124,VOLCURVES,HLOOKUP(D$28,VOLCURVES,2,FALSE()),FALSE()),1)</f>
        <v>1</v>
      </c>
      <c r="F124" s="64" t="n">
        <f aca="false">IF(D$28="NYMEX",$AG124,$AF124)</f>
        <v>-5843</v>
      </c>
      <c r="G124" s="4" t="e">
        <f aca="false">(($C124+H124)*$E124)+B$15</f>
        <v>#DIV/0!</v>
      </c>
      <c r="H124" s="4" t="e">
        <f aca="false">IF(B$16=1,xCalcSkew(A124,I124-AO124,b)/100,0)</f>
        <v>#DIV/0!</v>
      </c>
      <c r="I124" s="66" t="n">
        <f aca="false">IF($B$19=4,$AO124,$B$18)</f>
        <v>5</v>
      </c>
      <c r="K124" s="63" t="n">
        <f aca="false">IF(K$28="nymex",0,VLOOKUP($A124,curvesettle,HLOOKUP(K$28,curvesettle,2,FALSE())))</f>
        <v>-0.0725</v>
      </c>
      <c r="L124" s="65" t="n">
        <f aca="false">IF(ISNUMBER(VLOOKUP($A124,VOLCURVES,HLOOKUP(K$28,VOLCURVES,2,FALSE()),FALSE())),VLOOKUP($A124,VOLCURVES,HLOOKUP(K$28,VOLCURVES,2,FALSE()),FALSE()),1)</f>
        <v>1</v>
      </c>
      <c r="M124" s="64" t="n">
        <f aca="false">IF(K$28="NYMEX",$AG124,$AF124)</f>
        <v>-5843</v>
      </c>
      <c r="N124" s="184" t="e">
        <f aca="false">(($C124+O124)*$L124)+D$15</f>
        <v>#DIV/0!</v>
      </c>
      <c r="O124" s="4" t="e">
        <f aca="false">IF(D$16=1,xCalcSkew($A124,P124-AZ124,b)/100,0)</f>
        <v>#DIV/0!</v>
      </c>
      <c r="P124" s="66" t="n">
        <f aca="false">IF($D$19=4,$AZ124,$D$18)</f>
        <v>3</v>
      </c>
      <c r="R124" s="63" t="n">
        <f aca="false">IF(R$28="nymex",0,VLOOKUP($A124,curvesettle,HLOOKUP(R$28,curvesettle,2,FALSE())))</f>
        <v>-0.39</v>
      </c>
      <c r="S124" s="65" t="n">
        <f aca="false">IF(ISNUMBER(VLOOKUP($A124,VOLCURVES,HLOOKUP(R$28,VOLCURVES,2,FALSE()),FALSE())),VLOOKUP($A124,VOLCURVES,HLOOKUP(R$28,VOLCURVES,2,FALSE()),FALSE()),1)</f>
        <v>1</v>
      </c>
      <c r="T124" s="64" t="n">
        <f aca="false">IF(R$28="NYMEX",$AG124,$AF124)</f>
        <v>-5843</v>
      </c>
      <c r="U124" s="184" t="e">
        <f aca="false">(($C124+V124)*$S124)+F$15</f>
        <v>#DIV/0!</v>
      </c>
      <c r="V124" s="4" t="e">
        <f aca="false">IF(F$16=1,xCalcSkew($A124,W124-BK124,b)/100,0)</f>
        <v>#DIV/0!</v>
      </c>
      <c r="W124" s="66" t="n">
        <f aca="false">IF($F$19=4,$BK124,$F$18)</f>
        <v>2.55</v>
      </c>
      <c r="X124" s="64"/>
      <c r="Y124" s="63" t="n">
        <f aca="false">IF(Y$28="nymex",0,VLOOKUP($A124,curvesettle,HLOOKUP(Y$28,curvesettle,2,FALSE())))</f>
        <v>0</v>
      </c>
      <c r="Z124" s="65" t="n">
        <f aca="false">IF(ISNUMBER(VLOOKUP($A124,VOLCURVES,HLOOKUP(Y$28,VOLCURVES,2,FALSE()),FALSE())),VLOOKUP($A124,VOLCURVES,HLOOKUP(Y$28,VOLCURVES,2,FALSE()),FALSE()),1)</f>
        <v>1</v>
      </c>
      <c r="AA124" s="64" t="n">
        <f aca="false">IF(Y$28="NYMEX",$AG124,$AF124)</f>
        <v>-5846</v>
      </c>
      <c r="AB124" s="4" t="e">
        <f aca="false">(($C124+AC124)*$Z124)+H$15</f>
        <v>#DIV/0!</v>
      </c>
      <c r="AC124" s="4" t="e">
        <f aca="false">IF(H$16=1,xCalcSkew($A124,AD124-BV124,b)/100,0)</f>
        <v>#DIV/0!</v>
      </c>
      <c r="AD124" s="66" t="n">
        <f aca="false">IF($H$19=4,$BV124,$H$18)</f>
        <v>2.9</v>
      </c>
      <c r="AF124" s="64" t="n">
        <f aca="false">VLOOKUP($A124,expiration,2,FALSE())-$B$2</f>
        <v>-5843</v>
      </c>
      <c r="AG124" s="64" t="n">
        <f aca="false">VLOOKUP($A124,expiration,3,FALSE())-$B$2</f>
        <v>-5846</v>
      </c>
      <c r="AH124" s="4" t="n">
        <f aca="false">VLOOKUP($A124,STRADDLE,14,FALSE())</f>
        <v>0.0565407394388062</v>
      </c>
      <c r="AI124" s="72" t="n">
        <f aca="false">A125-A124</f>
        <v>31</v>
      </c>
      <c r="AL124" s="64"/>
      <c r="AM124" s="73"/>
      <c r="AN124" s="73" t="n">
        <f aca="false">IF($A124&gt;=AO$25,IF($A124&lt;=AO$26,$AI124,0),0)</f>
        <v>0</v>
      </c>
      <c r="AO124" s="196" t="e">
        <f aca="false">AQ124/AN124</f>
        <v>#DIV/0!</v>
      </c>
      <c r="AP124" s="1" t="n">
        <f aca="false">AN124*($B124+B$13)</f>
        <v>0</v>
      </c>
      <c r="AQ124" s="47" t="n">
        <f aca="false">IF(ISNUMBER(((AP124/AN124)+B$14+$D124)*AN124),((AP124/AN124)+B$14+$D124)*AN124,0)</f>
        <v>0</v>
      </c>
      <c r="AR124" s="76" t="n">
        <f aca="false">IF(AN124=0,0,bsd(1,AS$27,AO124,$I124,$F124,$G124,$AH124,0.1))</f>
        <v>0</v>
      </c>
      <c r="AS124" s="76" t="n">
        <f aca="false">IF(AN124=0,0,bsd(2,AS$27,AO124,$I124,$F124,$G124,$AH124,0.1))</f>
        <v>0</v>
      </c>
      <c r="AT124" s="76" t="n">
        <f aca="false">IF(AN124=0,0,bsd(AS$28,AS$27,AO124,$I124,$F124,$G124,$AH124,0.1))</f>
        <v>0</v>
      </c>
      <c r="AU124" s="37" t="n">
        <f aca="false">AN124*AR124</f>
        <v>0</v>
      </c>
      <c r="AV124" s="37" t="n">
        <f aca="false">AN124*AS124</f>
        <v>0</v>
      </c>
      <c r="AW124" s="37" t="n">
        <f aca="false">AN124*AT124</f>
        <v>0</v>
      </c>
      <c r="AY124" s="73" t="n">
        <f aca="false">IF($A124&gt;=AZ$25,IF($A124&lt;=AZ$26,$AI124,0),0)</f>
        <v>0</v>
      </c>
      <c r="AZ124" s="196" t="e">
        <f aca="false">BB124/AY124</f>
        <v>#DIV/0!</v>
      </c>
      <c r="BA124" s="1" t="n">
        <f aca="false">AY124*($B124+D$13)</f>
        <v>0</v>
      </c>
      <c r="BB124" s="47" t="n">
        <f aca="false">IF(ISNUMBER(((BA124/AY124)+D$14+$K124)*AY124),((BA124/AY124)+D$14+$K124)*AY124,0)</f>
        <v>0</v>
      </c>
      <c r="BC124" s="76" t="n">
        <f aca="false">IF(AY124=0,0,bsd(1,BD$27,AZ124,$P124,$M124,$N124,$AH124,0.1))</f>
        <v>0</v>
      </c>
      <c r="BD124" s="76" t="n">
        <f aca="false">IF(AY124=0,0,bsd(2,BD$27,AZ124,$P124,$M124,$N124,$AH124,0.1))</f>
        <v>0</v>
      </c>
      <c r="BE124" s="76" t="n">
        <f aca="false">IF(AY124=0,0,bsd(BD$28,BD$27,AZ124,$P124,$M124,$N124,$AH124,0.1))</f>
        <v>0</v>
      </c>
      <c r="BF124" s="37" t="n">
        <f aca="false">AY124*BC124</f>
        <v>0</v>
      </c>
      <c r="BG124" s="37" t="n">
        <f aca="false">AY124*BD124</f>
        <v>0</v>
      </c>
      <c r="BH124" s="37" t="n">
        <f aca="false">AY124*BE124</f>
        <v>0</v>
      </c>
      <c r="BJ124" s="73" t="n">
        <f aca="false">IF($A124&gt;=BK$25,IF($A124&lt;=BK$26,$AI124,0),0)</f>
        <v>0</v>
      </c>
      <c r="BK124" s="196" t="e">
        <f aca="false">BM124/BJ124</f>
        <v>#DIV/0!</v>
      </c>
      <c r="BL124" s="1" t="n">
        <f aca="false">BJ124*($B124+F$13)</f>
        <v>0</v>
      </c>
      <c r="BM124" s="47" t="n">
        <f aca="false">IF(ISNUMBER(((BL124/BJ124)+F$14+$R124)*BJ124),((BL124/BJ124)+F$14+$R124)*BJ124,0)</f>
        <v>0</v>
      </c>
      <c r="BN124" s="76" t="n">
        <f aca="false">IF(BJ124=0,0,bsd(1,BO$27,BK124,$W124,$T124,$U124,$AH124,0.1))</f>
        <v>0</v>
      </c>
      <c r="BO124" s="76" t="n">
        <f aca="false">IF(BJ124=0,0,bsd(2,BO$27,BK124,$W124,$T124,$U124,$AH124,0.1))</f>
        <v>0</v>
      </c>
      <c r="BP124" s="76" t="n">
        <f aca="false">IF(BJ124=0,0,bsd(BO$28,BO$27,BK124,$W124,$T124,$U124,$AH124,0.1))</f>
        <v>0</v>
      </c>
      <c r="BQ124" s="37" t="n">
        <f aca="false">BJ124*BN124</f>
        <v>0</v>
      </c>
      <c r="BR124" s="37" t="n">
        <f aca="false">BJ124*BO124</f>
        <v>0</v>
      </c>
      <c r="BS124" s="37" t="n">
        <f aca="false">BJ124*BP124</f>
        <v>0</v>
      </c>
      <c r="BU124" s="73" t="n">
        <f aca="false">IF($A124&gt;=BV$25,IF($A124&lt;=BV$26,$AI124,0),0)</f>
        <v>0</v>
      </c>
      <c r="BV124" s="196" t="e">
        <f aca="false">BX124/BU124</f>
        <v>#DIV/0!</v>
      </c>
      <c r="BW124" s="1" t="n">
        <f aca="false">BU124*($B124+H$13)</f>
        <v>0</v>
      </c>
      <c r="BX124" s="47" t="n">
        <f aca="false">IF(ISNUMBER(((BW124/BU124)+H$14+$Y124)*BU124),((BW124/BU124)+H$14+$Y124)*BU124,0)</f>
        <v>0</v>
      </c>
      <c r="BY124" s="76" t="n">
        <f aca="false">IF(BU124=0,0,bsd(1,BZ$27,BV124,$AD124,$AA124,$AB124,$AH124,0.1))</f>
        <v>0</v>
      </c>
      <c r="BZ124" s="76" t="n">
        <f aca="false">IF(BU124=0,0,bsd(2,BZ$27,BV124,$AD124,$AA124,$AB124,$AH124,0.1))</f>
        <v>0</v>
      </c>
      <c r="CA124" s="76" t="n">
        <f aca="false">IF(BU124=0,0,bsd(BZ$28,BZ$27,BV124,$AD124,$AA124,$AB124,$AH124,0.1))</f>
        <v>0</v>
      </c>
      <c r="CB124" s="37" t="n">
        <f aca="false">BU124*BY124</f>
        <v>0</v>
      </c>
      <c r="CC124" s="37" t="n">
        <f aca="false">BU124*BZ124</f>
        <v>0</v>
      </c>
      <c r="CD124" s="37" t="n">
        <f aca="false">BU124*CA124</f>
        <v>0</v>
      </c>
    </row>
    <row r="125" customFormat="false" ht="12.75" hidden="false" customHeight="false" outlineLevel="0" collapsed="false">
      <c r="A125" s="62" t="n">
        <f aca="false">DATE(YEAR(A124),MONTH(A124)+1,1)</f>
        <v>40118</v>
      </c>
      <c r="B125" s="63" t="n">
        <f aca="false">VLOOKUP(A125,STRADDLE,5,FALSE())</f>
        <v>3.847</v>
      </c>
      <c r="C125" s="4" t="n">
        <f aca="false">VLOOKUP(A125,STRADDLE,8,FALSE())</f>
        <v>0.2025</v>
      </c>
      <c r="D125" s="63" t="n">
        <f aca="false">IF(D$28="nymex",0,VLOOKUP($A125,curvesettle,HLOOKUP(D$28,curvesettle,2,FALSE())))</f>
        <v>-0.075</v>
      </c>
      <c r="E125" s="65" t="n">
        <f aca="false">IF(ISNUMBER(VLOOKUP($A125,VOLCURVES,HLOOKUP(D$28,VOLCURVES,2,FALSE()),FALSE())),VLOOKUP($A125,VOLCURVES,HLOOKUP(D$28,VOLCURVES,2,FALSE()),FALSE()),1)</f>
        <v>1</v>
      </c>
      <c r="F125" s="64" t="n">
        <f aca="false">IF(D$28="NYMEX",$AG125,$AF125)</f>
        <v>-5813</v>
      </c>
      <c r="G125" s="4" t="e">
        <f aca="false">(($C125+H125)*$E125)+B$15</f>
        <v>#DIV/0!</v>
      </c>
      <c r="H125" s="4" t="e">
        <f aca="false">IF(B$16=1,xCalcSkew(A125,I125-AO125,b)/100,0)</f>
        <v>#DIV/0!</v>
      </c>
      <c r="I125" s="66" t="n">
        <f aca="false">IF($B$19=4,$AO125,$B$18)</f>
        <v>5</v>
      </c>
      <c r="K125" s="63" t="n">
        <f aca="false">IF(K$28="nymex",0,VLOOKUP($A125,curvesettle,HLOOKUP(K$28,curvesettle,2,FALSE())))</f>
        <v>-0.075</v>
      </c>
      <c r="L125" s="65" t="n">
        <f aca="false">IF(ISNUMBER(VLOOKUP($A125,VOLCURVES,HLOOKUP(K$28,VOLCURVES,2,FALSE()),FALSE())),VLOOKUP($A125,VOLCURVES,HLOOKUP(K$28,VOLCURVES,2,FALSE()),FALSE()),1)</f>
        <v>1</v>
      </c>
      <c r="M125" s="64" t="n">
        <f aca="false">IF(K$28="NYMEX",$AG125,$AF125)</f>
        <v>-5813</v>
      </c>
      <c r="N125" s="184" t="e">
        <f aca="false">(($C125+O125)*$L125)+D$15</f>
        <v>#DIV/0!</v>
      </c>
      <c r="O125" s="4" t="e">
        <f aca="false">IF(D$16=1,xCalcSkew($A125,P125-AZ125,b)/100,0)</f>
        <v>#DIV/0!</v>
      </c>
      <c r="P125" s="66" t="n">
        <f aca="false">IF($D$19=4,$AZ125,$D$18)</f>
        <v>3</v>
      </c>
      <c r="R125" s="63" t="n">
        <f aca="false">IF(R$28="nymex",0,VLOOKUP($A125,curvesettle,HLOOKUP(R$28,curvesettle,2,FALSE())))</f>
        <v>-0.26</v>
      </c>
      <c r="S125" s="65" t="n">
        <f aca="false">IF(ISNUMBER(VLOOKUP($A125,VOLCURVES,HLOOKUP(R$28,VOLCURVES,2,FALSE()),FALSE())),VLOOKUP($A125,VOLCURVES,HLOOKUP(R$28,VOLCURVES,2,FALSE()),FALSE()),1)</f>
        <v>1</v>
      </c>
      <c r="T125" s="64" t="n">
        <f aca="false">IF(R$28="NYMEX",$AG125,$AF125)</f>
        <v>-5813</v>
      </c>
      <c r="U125" s="184" t="e">
        <f aca="false">(($C125+V125)*$S125)+F$15</f>
        <v>#DIV/0!</v>
      </c>
      <c r="V125" s="4" t="e">
        <f aca="false">IF(F$16=1,xCalcSkew($A125,W125-BK125,b)/100,0)</f>
        <v>#DIV/0!</v>
      </c>
      <c r="W125" s="66" t="n">
        <f aca="false">IF($F$19=4,$BK125,$F$18)</f>
        <v>2.55</v>
      </c>
      <c r="X125" s="64"/>
      <c r="Y125" s="63" t="n">
        <f aca="false">IF(Y$28="nymex",0,VLOOKUP($A125,curvesettle,HLOOKUP(Y$28,curvesettle,2,FALSE())))</f>
        <v>0</v>
      </c>
      <c r="Z125" s="65" t="n">
        <f aca="false">IF(ISNUMBER(VLOOKUP($A125,VOLCURVES,HLOOKUP(Y$28,VOLCURVES,2,FALSE()),FALSE())),VLOOKUP($A125,VOLCURVES,HLOOKUP(Y$28,VOLCURVES,2,FALSE()),FALSE()),1)</f>
        <v>1</v>
      </c>
      <c r="AA125" s="64" t="n">
        <f aca="false">IF(Y$28="NYMEX",$AG125,$AF125)</f>
        <v>-5814</v>
      </c>
      <c r="AB125" s="4" t="e">
        <f aca="false">(($C125+AC125)*$Z125)+H$15</f>
        <v>#DIV/0!</v>
      </c>
      <c r="AC125" s="4" t="e">
        <f aca="false">IF(H$16=1,xCalcSkew($A125,AD125-BV125,b)/100,0)</f>
        <v>#DIV/0!</v>
      </c>
      <c r="AD125" s="66" t="n">
        <f aca="false">IF($H$19=4,$BV125,$H$18)</f>
        <v>2.9</v>
      </c>
      <c r="AF125" s="64" t="n">
        <f aca="false">VLOOKUP($A125,expiration,2,FALSE())-$B$2</f>
        <v>-5813</v>
      </c>
      <c r="AG125" s="64" t="n">
        <f aca="false">VLOOKUP($A125,expiration,3,FALSE())-$B$2</f>
        <v>-5814</v>
      </c>
      <c r="AH125" s="4" t="n">
        <f aca="false">VLOOKUP($A125,STRADDLE,14,FALSE())</f>
        <v>0.0566442378538001</v>
      </c>
      <c r="AI125" s="72" t="n">
        <f aca="false">A126-A125</f>
        <v>30</v>
      </c>
      <c r="AL125" s="64"/>
      <c r="AM125" s="73"/>
      <c r="AN125" s="73" t="n">
        <f aca="false">IF($A125&gt;=AO$25,IF($A125&lt;=AO$26,$AI125,0),0)</f>
        <v>0</v>
      </c>
      <c r="AO125" s="196" t="e">
        <f aca="false">AQ125/AN125</f>
        <v>#DIV/0!</v>
      </c>
      <c r="AP125" s="1" t="n">
        <f aca="false">AN125*($B125+B$13)</f>
        <v>0</v>
      </c>
      <c r="AQ125" s="47" t="n">
        <f aca="false">IF(ISNUMBER(((AP125/AN125)+B$14+$D125)*AN125),((AP125/AN125)+B$14+$D125)*AN125,0)</f>
        <v>0</v>
      </c>
      <c r="AR125" s="76" t="n">
        <f aca="false">IF(AN125=0,0,bsd(1,AS$27,AO125,$I125,$F125,$G125,$AH125,0.1))</f>
        <v>0</v>
      </c>
      <c r="AS125" s="76" t="n">
        <f aca="false">IF(AN125=0,0,bsd(2,AS$27,AO125,$I125,$F125,$G125,$AH125,0.1))</f>
        <v>0</v>
      </c>
      <c r="AT125" s="76" t="n">
        <f aca="false">IF(AN125=0,0,bsd(AS$28,AS$27,AO125,$I125,$F125,$G125,$AH125,0.1))</f>
        <v>0</v>
      </c>
      <c r="AU125" s="37" t="n">
        <f aca="false">AN125*AR125</f>
        <v>0</v>
      </c>
      <c r="AV125" s="37" t="n">
        <f aca="false">AN125*AS125</f>
        <v>0</v>
      </c>
      <c r="AW125" s="37" t="n">
        <f aca="false">AN125*AT125</f>
        <v>0</v>
      </c>
      <c r="AY125" s="73" t="n">
        <f aca="false">IF($A125&gt;=AZ$25,IF($A125&lt;=AZ$26,$AI125,0),0)</f>
        <v>0</v>
      </c>
      <c r="AZ125" s="196" t="e">
        <f aca="false">BB125/AY125</f>
        <v>#DIV/0!</v>
      </c>
      <c r="BA125" s="1" t="n">
        <f aca="false">AY125*($B125+D$13)</f>
        <v>0</v>
      </c>
      <c r="BB125" s="47" t="n">
        <f aca="false">IF(ISNUMBER(((BA125/AY125)+D$14+$K125)*AY125),((BA125/AY125)+D$14+$K125)*AY125,0)</f>
        <v>0</v>
      </c>
      <c r="BC125" s="76" t="n">
        <f aca="false">IF(AY125=0,0,bsd(1,BD$27,AZ125,$P125,$M125,$N125,$AH125,0.1))</f>
        <v>0</v>
      </c>
      <c r="BD125" s="76" t="n">
        <f aca="false">IF(AY125=0,0,bsd(2,BD$27,AZ125,$P125,$M125,$N125,$AH125,0.1))</f>
        <v>0</v>
      </c>
      <c r="BE125" s="76" t="n">
        <f aca="false">IF(AY125=0,0,bsd(BD$28,BD$27,AZ125,$P125,$M125,$N125,$AH125,0.1))</f>
        <v>0</v>
      </c>
      <c r="BF125" s="37" t="n">
        <f aca="false">AY125*BC125</f>
        <v>0</v>
      </c>
      <c r="BG125" s="37" t="n">
        <f aca="false">AY125*BD125</f>
        <v>0</v>
      </c>
      <c r="BH125" s="37" t="n">
        <f aca="false">AY125*BE125</f>
        <v>0</v>
      </c>
      <c r="BJ125" s="73" t="n">
        <f aca="false">IF($A125&gt;=BK$25,IF($A125&lt;=BK$26,$AI125,0),0)</f>
        <v>0</v>
      </c>
      <c r="BK125" s="196" t="e">
        <f aca="false">BM125/BJ125</f>
        <v>#DIV/0!</v>
      </c>
      <c r="BL125" s="1" t="n">
        <f aca="false">BJ125*($B125+F$13)</f>
        <v>0</v>
      </c>
      <c r="BM125" s="47" t="n">
        <f aca="false">IF(ISNUMBER(((BL125/BJ125)+F$14+$R125)*BJ125),((BL125/BJ125)+F$14+$R125)*BJ125,0)</f>
        <v>0</v>
      </c>
      <c r="BN125" s="76" t="n">
        <f aca="false">IF(BJ125=0,0,bsd(1,BO$27,BK125,$W125,$T125,$U125,$AH125,0.1))</f>
        <v>0</v>
      </c>
      <c r="BO125" s="76" t="n">
        <f aca="false">IF(BJ125=0,0,bsd(2,BO$27,BK125,$W125,$T125,$U125,$AH125,0.1))</f>
        <v>0</v>
      </c>
      <c r="BP125" s="76" t="n">
        <f aca="false">IF(BJ125=0,0,bsd(BO$28,BO$27,BK125,$W125,$T125,$U125,$AH125,0.1))</f>
        <v>0</v>
      </c>
      <c r="BQ125" s="37" t="n">
        <f aca="false">BJ125*BN125</f>
        <v>0</v>
      </c>
      <c r="BR125" s="37" t="n">
        <f aca="false">BJ125*BO125</f>
        <v>0</v>
      </c>
      <c r="BS125" s="37" t="n">
        <f aca="false">BJ125*BP125</f>
        <v>0</v>
      </c>
      <c r="BU125" s="73" t="n">
        <f aca="false">IF($A125&gt;=BV$25,IF($A125&lt;=BV$26,$AI125,0),0)</f>
        <v>0</v>
      </c>
      <c r="BV125" s="196" t="e">
        <f aca="false">BX125/BU125</f>
        <v>#DIV/0!</v>
      </c>
      <c r="BW125" s="1" t="n">
        <f aca="false">BU125*($B125+H$13)</f>
        <v>0</v>
      </c>
      <c r="BX125" s="47" t="n">
        <f aca="false">IF(ISNUMBER(((BW125/BU125)+H$14+$Y125)*BU125),((BW125/BU125)+H$14+$Y125)*BU125,0)</f>
        <v>0</v>
      </c>
      <c r="BY125" s="76" t="n">
        <f aca="false">IF(BU125=0,0,bsd(1,BZ$27,BV125,$AD125,$AA125,$AB125,$AH125,0.1))</f>
        <v>0</v>
      </c>
      <c r="BZ125" s="76" t="n">
        <f aca="false">IF(BU125=0,0,bsd(2,BZ$27,BV125,$AD125,$AA125,$AB125,$AH125,0.1))</f>
        <v>0</v>
      </c>
      <c r="CA125" s="76" t="n">
        <f aca="false">IF(BU125=0,0,bsd(BZ$28,BZ$27,BV125,$AD125,$AA125,$AB125,$AH125,0.1))</f>
        <v>0</v>
      </c>
      <c r="CB125" s="37" t="n">
        <f aca="false">BU125*BY125</f>
        <v>0</v>
      </c>
      <c r="CC125" s="37" t="n">
        <f aca="false">BU125*BZ125</f>
        <v>0</v>
      </c>
      <c r="CD125" s="37" t="n">
        <f aca="false">BU125*CA125</f>
        <v>0</v>
      </c>
    </row>
    <row r="126" customFormat="false" ht="12.75" hidden="false" customHeight="false" outlineLevel="0" collapsed="false">
      <c r="A126" s="62" t="n">
        <f aca="false">DATE(YEAR(A125),MONTH(A125)+1,1)</f>
        <v>40148</v>
      </c>
      <c r="B126" s="63" t="n">
        <f aca="false">VLOOKUP(A126,STRADDLE,5,FALSE())</f>
        <v>3.99</v>
      </c>
      <c r="C126" s="4" t="n">
        <f aca="false">VLOOKUP(A126,STRADDLE,8,FALSE())</f>
        <v>0.2025</v>
      </c>
      <c r="D126" s="63" t="n">
        <f aca="false">IF(D$28="nymex",0,VLOOKUP($A126,curvesettle,HLOOKUP(D$28,curvesettle,2,FALSE())))</f>
        <v>-0.075</v>
      </c>
      <c r="E126" s="65" t="n">
        <f aca="false">IF(ISNUMBER(VLOOKUP($A126,VOLCURVES,HLOOKUP(D$28,VOLCURVES,2,FALSE()),FALSE())),VLOOKUP($A126,VOLCURVES,HLOOKUP(D$28,VOLCURVES,2,FALSE()),FALSE()),1)</f>
        <v>1</v>
      </c>
      <c r="F126" s="64" t="n">
        <f aca="false">IF(D$28="NYMEX",$AG126,$AF126)</f>
        <v>-5785</v>
      </c>
      <c r="G126" s="4" t="e">
        <f aca="false">(($C126+H126)*$E126)+B$15</f>
        <v>#DIV/0!</v>
      </c>
      <c r="H126" s="4" t="e">
        <f aca="false">IF(B$16=1,xCalcSkew(A126,I126-AO126,b)/100,0)</f>
        <v>#DIV/0!</v>
      </c>
      <c r="I126" s="66" t="n">
        <f aca="false">IF($B$19=4,$AO126,$B$18)</f>
        <v>5</v>
      </c>
      <c r="K126" s="63" t="n">
        <f aca="false">IF(K$28="nymex",0,VLOOKUP($A126,curvesettle,HLOOKUP(K$28,curvesettle,2,FALSE())))</f>
        <v>-0.075</v>
      </c>
      <c r="L126" s="65" t="n">
        <f aca="false">IF(ISNUMBER(VLOOKUP($A126,VOLCURVES,HLOOKUP(K$28,VOLCURVES,2,FALSE()),FALSE())),VLOOKUP($A126,VOLCURVES,HLOOKUP(K$28,VOLCURVES,2,FALSE()),FALSE()),1)</f>
        <v>1</v>
      </c>
      <c r="M126" s="64" t="n">
        <f aca="false">IF(K$28="NYMEX",$AG126,$AF126)</f>
        <v>-5785</v>
      </c>
      <c r="N126" s="184" t="e">
        <f aca="false">(($C126+O126)*$L126)+D$15</f>
        <v>#DIV/0!</v>
      </c>
      <c r="O126" s="4" t="e">
        <f aca="false">IF(D$16=1,xCalcSkew($A126,P126-AZ126,b)/100,0)</f>
        <v>#DIV/0!</v>
      </c>
      <c r="P126" s="66" t="n">
        <f aca="false">IF($D$19=4,$AZ126,$D$18)</f>
        <v>3</v>
      </c>
      <c r="R126" s="63" t="n">
        <f aca="false">IF(R$28="nymex",0,VLOOKUP($A126,curvesettle,HLOOKUP(R$28,curvesettle,2,FALSE())))</f>
        <v>-0.26</v>
      </c>
      <c r="S126" s="65" t="n">
        <f aca="false">IF(ISNUMBER(VLOOKUP($A126,VOLCURVES,HLOOKUP(R$28,VOLCURVES,2,FALSE()),FALSE())),VLOOKUP($A126,VOLCURVES,HLOOKUP(R$28,VOLCURVES,2,FALSE()),FALSE()),1)</f>
        <v>1</v>
      </c>
      <c r="T126" s="64" t="n">
        <f aca="false">IF(R$28="NYMEX",$AG126,$AF126)</f>
        <v>-5785</v>
      </c>
      <c r="U126" s="184" t="e">
        <f aca="false">(($C126+V126)*$S126)+F$15</f>
        <v>#DIV/0!</v>
      </c>
      <c r="V126" s="4" t="e">
        <f aca="false">IF(F$16=1,xCalcSkew($A126,W126-BK126,b)/100,0)</f>
        <v>#DIV/0!</v>
      </c>
      <c r="W126" s="66" t="n">
        <f aca="false">IF($F$19=4,$BK126,$F$18)</f>
        <v>2.55</v>
      </c>
      <c r="X126" s="64"/>
      <c r="Y126" s="63" t="n">
        <f aca="false">IF(Y$28="nymex",0,VLOOKUP($A126,curvesettle,HLOOKUP(Y$28,curvesettle,2,FALSE())))</f>
        <v>0</v>
      </c>
      <c r="Z126" s="65" t="n">
        <f aca="false">IF(ISNUMBER(VLOOKUP($A126,VOLCURVES,HLOOKUP(Y$28,VOLCURVES,2,FALSE()),FALSE())),VLOOKUP($A126,VOLCURVES,HLOOKUP(Y$28,VOLCURVES,2,FALSE()),FALSE()),1)</f>
        <v>1</v>
      </c>
      <c r="AA126" s="64" t="n">
        <f aca="false">IF(Y$28="NYMEX",$AG126,$AF126)</f>
        <v>-5786</v>
      </c>
      <c r="AB126" s="4" t="e">
        <f aca="false">(($C126+AC126)*$Z126)+H$15</f>
        <v>#DIV/0!</v>
      </c>
      <c r="AC126" s="4" t="e">
        <f aca="false">IF(H$16=1,xCalcSkew($A126,AD126-BV126,b)/100,0)</f>
        <v>#DIV/0!</v>
      </c>
      <c r="AD126" s="66" t="n">
        <f aca="false">IF($H$19=4,$BV126,$H$18)</f>
        <v>2.9</v>
      </c>
      <c r="AF126" s="64" t="n">
        <f aca="false">VLOOKUP($A126,expiration,2,FALSE())-$B$2</f>
        <v>-5785</v>
      </c>
      <c r="AG126" s="64" t="n">
        <f aca="false">VLOOKUP($A126,expiration,3,FALSE())-$B$2</f>
        <v>-5786</v>
      </c>
      <c r="AH126" s="4" t="n">
        <f aca="false">VLOOKUP($A126,STRADDLE,14,FALSE())</f>
        <v>0.0567443976136408</v>
      </c>
      <c r="AI126" s="72" t="n">
        <f aca="false">A127-A126</f>
        <v>31</v>
      </c>
      <c r="AL126" s="64"/>
      <c r="AM126" s="73"/>
      <c r="AN126" s="73" t="n">
        <f aca="false">IF($A126&gt;=AO$25,IF($A126&lt;=AO$26,$AI126,0),0)</f>
        <v>0</v>
      </c>
      <c r="AO126" s="196" t="e">
        <f aca="false">AQ126/AN126</f>
        <v>#DIV/0!</v>
      </c>
      <c r="AP126" s="1" t="n">
        <f aca="false">AN126*($B126+B$13)</f>
        <v>0</v>
      </c>
      <c r="AQ126" s="47" t="n">
        <f aca="false">IF(ISNUMBER(((AP126/AN126)+B$14+$D126)*AN126),((AP126/AN126)+B$14+$D126)*AN126,0)</f>
        <v>0</v>
      </c>
      <c r="AR126" s="76" t="n">
        <f aca="false">IF(AN126=0,0,bsd(1,AS$27,AO126,$I126,$F126,$G126,$AH126,0.1))</f>
        <v>0</v>
      </c>
      <c r="AS126" s="76" t="n">
        <f aca="false">IF(AN126=0,0,bsd(2,AS$27,AO126,$I126,$F126,$G126,$AH126,0.1))</f>
        <v>0</v>
      </c>
      <c r="AT126" s="76" t="n">
        <f aca="false">IF(AN126=0,0,bsd(AS$28,AS$27,AO126,$I126,$F126,$G126,$AH126,0.1))</f>
        <v>0</v>
      </c>
      <c r="AU126" s="37" t="n">
        <f aca="false">AN126*AR126</f>
        <v>0</v>
      </c>
      <c r="AV126" s="37" t="n">
        <f aca="false">AN126*AS126</f>
        <v>0</v>
      </c>
      <c r="AW126" s="37" t="n">
        <f aca="false">AN126*AT126</f>
        <v>0</v>
      </c>
      <c r="AY126" s="73" t="n">
        <f aca="false">IF($A126&gt;=AZ$25,IF($A126&lt;=AZ$26,$AI126,0),0)</f>
        <v>0</v>
      </c>
      <c r="AZ126" s="196" t="e">
        <f aca="false">BB126/AY126</f>
        <v>#DIV/0!</v>
      </c>
      <c r="BA126" s="1" t="n">
        <f aca="false">AY126*($B126+D$13)</f>
        <v>0</v>
      </c>
      <c r="BB126" s="47" t="n">
        <f aca="false">IF(ISNUMBER(((BA126/AY126)+D$14+$K126)*AY126),((BA126/AY126)+D$14+$K126)*AY126,0)</f>
        <v>0</v>
      </c>
      <c r="BC126" s="76" t="n">
        <f aca="false">IF(AY126=0,0,bsd(1,BD$27,AZ126,$P126,$M126,$N126,$AH126,0.1))</f>
        <v>0</v>
      </c>
      <c r="BD126" s="76" t="n">
        <f aca="false">IF(AY126=0,0,bsd(2,BD$27,AZ126,$P126,$M126,$N126,$AH126,0.1))</f>
        <v>0</v>
      </c>
      <c r="BE126" s="76" t="n">
        <f aca="false">IF(AY126=0,0,bsd(BD$28,BD$27,AZ126,$P126,$M126,$N126,$AH126,0.1))</f>
        <v>0</v>
      </c>
      <c r="BF126" s="37" t="n">
        <f aca="false">AY126*BC126</f>
        <v>0</v>
      </c>
      <c r="BG126" s="37" t="n">
        <f aca="false">AY126*BD126</f>
        <v>0</v>
      </c>
      <c r="BH126" s="37" t="n">
        <f aca="false">AY126*BE126</f>
        <v>0</v>
      </c>
      <c r="BJ126" s="73" t="n">
        <f aca="false">IF($A126&gt;=BK$25,IF($A126&lt;=BK$26,$AI126,0),0)</f>
        <v>0</v>
      </c>
      <c r="BK126" s="196" t="e">
        <f aca="false">BM126/BJ126</f>
        <v>#DIV/0!</v>
      </c>
      <c r="BL126" s="1" t="n">
        <f aca="false">BJ126*($B126+F$13)</f>
        <v>0</v>
      </c>
      <c r="BM126" s="47" t="n">
        <f aca="false">IF(ISNUMBER(((BL126/BJ126)+F$14+$R126)*BJ126),((BL126/BJ126)+F$14+$R126)*BJ126,0)</f>
        <v>0</v>
      </c>
      <c r="BN126" s="76" t="n">
        <f aca="false">IF(BJ126=0,0,bsd(1,BO$27,BK126,$W126,$T126,$U126,$AH126,0.1))</f>
        <v>0</v>
      </c>
      <c r="BO126" s="76" t="n">
        <f aca="false">IF(BJ126=0,0,bsd(2,BO$27,BK126,$W126,$T126,$U126,$AH126,0.1))</f>
        <v>0</v>
      </c>
      <c r="BP126" s="76" t="n">
        <f aca="false">IF(BJ126=0,0,bsd(BO$28,BO$27,BK126,$W126,$T126,$U126,$AH126,0.1))</f>
        <v>0</v>
      </c>
      <c r="BQ126" s="37" t="n">
        <f aca="false">BJ126*BN126</f>
        <v>0</v>
      </c>
      <c r="BR126" s="37" t="n">
        <f aca="false">BJ126*BO126</f>
        <v>0</v>
      </c>
      <c r="BS126" s="37" t="n">
        <f aca="false">BJ126*BP126</f>
        <v>0</v>
      </c>
      <c r="BU126" s="73" t="n">
        <f aca="false">IF($A126&gt;=BV$25,IF($A126&lt;=BV$26,$AI126,0),0)</f>
        <v>0</v>
      </c>
      <c r="BV126" s="196" t="e">
        <f aca="false">BX126/BU126</f>
        <v>#DIV/0!</v>
      </c>
      <c r="BW126" s="1" t="n">
        <f aca="false">BU126*($B126+H$13)</f>
        <v>0</v>
      </c>
      <c r="BX126" s="47" t="n">
        <f aca="false">IF(ISNUMBER(((BW126/BU126)+H$14+$Y126)*BU126),((BW126/BU126)+H$14+$Y126)*BU126,0)</f>
        <v>0</v>
      </c>
      <c r="BY126" s="76" t="n">
        <f aca="false">IF(BU126=0,0,bsd(1,BZ$27,BV126,$AD126,$AA126,$AB126,$AH126,0.1))</f>
        <v>0</v>
      </c>
      <c r="BZ126" s="76" t="n">
        <f aca="false">IF(BU126=0,0,bsd(2,BZ$27,BV126,$AD126,$AA126,$AB126,$AH126,0.1))</f>
        <v>0</v>
      </c>
      <c r="CA126" s="76" t="n">
        <f aca="false">IF(BU126=0,0,bsd(BZ$28,BZ$27,BV126,$AD126,$AA126,$AB126,$AH126,0.1))</f>
        <v>0</v>
      </c>
      <c r="CB126" s="37" t="n">
        <f aca="false">BU126*BY126</f>
        <v>0</v>
      </c>
      <c r="CC126" s="37" t="n">
        <f aca="false">BU126*BZ126</f>
        <v>0</v>
      </c>
      <c r="CD126" s="37" t="n">
        <f aca="false">BU126*CA126</f>
        <v>0</v>
      </c>
    </row>
    <row r="127" customFormat="false" ht="12.75" hidden="false" customHeight="false" outlineLevel="0" collapsed="false">
      <c r="A127" s="62" t="n">
        <f aca="false">DATE(YEAR(A126),MONTH(A126)+1,1)</f>
        <v>40179</v>
      </c>
      <c r="B127" s="63" t="n">
        <f aca="false">VLOOKUP(A127,STRADDLE,5,FALSE())</f>
        <v>4.045</v>
      </c>
      <c r="C127" s="4" t="n">
        <f aca="false">VLOOKUP(A127,STRADDLE,8,FALSE())</f>
        <v>0.2025</v>
      </c>
      <c r="D127" s="63" t="n">
        <f aca="false">IF(D$28="nymex",0,VLOOKUP($A127,curvesettle,HLOOKUP(D$28,curvesettle,2,FALSE())))</f>
        <v>-0.075</v>
      </c>
      <c r="E127" s="65" t="n">
        <f aca="false">IF(ISNUMBER(VLOOKUP($A127,VOLCURVES,HLOOKUP(D$28,VOLCURVES,2,FALSE()),FALSE())),VLOOKUP($A127,VOLCURVES,HLOOKUP(D$28,VOLCURVES,2,FALSE()),FALSE()),1)</f>
        <v>1</v>
      </c>
      <c r="F127" s="64" t="n">
        <f aca="false">IF(D$28="NYMEX",$AG127,$AF127)</f>
        <v>-5751</v>
      </c>
      <c r="G127" s="4" t="e">
        <f aca="false">(($C127+H127)*$E127)+B$15</f>
        <v>#DIV/0!</v>
      </c>
      <c r="H127" s="4" t="e">
        <f aca="false">IF(B$16=1,xCalcSkew(A127,I127-AO127,b)/100,0)</f>
        <v>#DIV/0!</v>
      </c>
      <c r="I127" s="66" t="n">
        <f aca="false">IF($B$19=4,$AO127,$B$18)</f>
        <v>5</v>
      </c>
      <c r="K127" s="63" t="n">
        <f aca="false">IF(K$28="nymex",0,VLOOKUP($A127,curvesettle,HLOOKUP(K$28,curvesettle,2,FALSE())))</f>
        <v>-0.075</v>
      </c>
      <c r="L127" s="65" t="n">
        <f aca="false">IF(ISNUMBER(VLOOKUP($A127,VOLCURVES,HLOOKUP(K$28,VOLCURVES,2,FALSE()),FALSE())),VLOOKUP($A127,VOLCURVES,HLOOKUP(K$28,VOLCURVES,2,FALSE()),FALSE()),1)</f>
        <v>1</v>
      </c>
      <c r="M127" s="64" t="n">
        <f aca="false">IF(K$28="NYMEX",$AG127,$AF127)</f>
        <v>-5751</v>
      </c>
      <c r="N127" s="184" t="e">
        <f aca="false">(($C127+O127)*$L127)+D$15</f>
        <v>#DIV/0!</v>
      </c>
      <c r="O127" s="4" t="e">
        <f aca="false">IF(D$16=1,xCalcSkew($A127,P127-AZ127,b)/100,0)</f>
        <v>#DIV/0!</v>
      </c>
      <c r="P127" s="66" t="n">
        <f aca="false">IF($D$19=4,$AZ127,$D$18)</f>
        <v>3</v>
      </c>
      <c r="R127" s="63" t="n">
        <f aca="false">IF(R$28="nymex",0,VLOOKUP($A127,curvesettle,HLOOKUP(R$28,curvesettle,2,FALSE())))</f>
        <v>-0.26</v>
      </c>
      <c r="S127" s="65" t="n">
        <f aca="false">IF(ISNUMBER(VLOOKUP($A127,VOLCURVES,HLOOKUP(R$28,VOLCURVES,2,FALSE()),FALSE())),VLOOKUP($A127,VOLCURVES,HLOOKUP(R$28,VOLCURVES,2,FALSE()),FALSE()),1)</f>
        <v>1</v>
      </c>
      <c r="T127" s="64" t="n">
        <f aca="false">IF(R$28="NYMEX",$AG127,$AF127)</f>
        <v>-5751</v>
      </c>
      <c r="U127" s="184" t="e">
        <f aca="false">(($C127+V127)*$S127)+F$15</f>
        <v>#DIV/0!</v>
      </c>
      <c r="V127" s="4" t="e">
        <f aca="false">IF(F$16=1,xCalcSkew($A127,W127-BK127,b)/100,0)</f>
        <v>#DIV/0!</v>
      </c>
      <c r="W127" s="66" t="n">
        <f aca="false">IF($F$19=4,$BK127,$F$18)</f>
        <v>2.55</v>
      </c>
      <c r="X127" s="64"/>
      <c r="Y127" s="63" t="n">
        <f aca="false">IF(Y$28="nymex",0,VLOOKUP($A127,curvesettle,HLOOKUP(Y$28,curvesettle,2,FALSE())))</f>
        <v>0</v>
      </c>
      <c r="Z127" s="65" t="n">
        <f aca="false">IF(ISNUMBER(VLOOKUP($A127,VOLCURVES,HLOOKUP(Y$28,VOLCURVES,2,FALSE()),FALSE())),VLOOKUP($A127,VOLCURVES,HLOOKUP(Y$28,VOLCURVES,2,FALSE()),FALSE()),1)</f>
        <v>1</v>
      </c>
      <c r="AA127" s="64" t="n">
        <f aca="false">IF(Y$28="NYMEX",$AG127,$AF127)</f>
        <v>-5752</v>
      </c>
      <c r="AB127" s="4" t="e">
        <f aca="false">(($C127+AC127)*$Z127)+H$15</f>
        <v>#DIV/0!</v>
      </c>
      <c r="AC127" s="4" t="e">
        <f aca="false">IF(H$16=1,xCalcSkew($A127,AD127-BV127,b)/100,0)</f>
        <v>#DIV/0!</v>
      </c>
      <c r="AD127" s="66" t="n">
        <f aca="false">IF($H$19=4,$BV127,$H$18)</f>
        <v>2.9</v>
      </c>
      <c r="AF127" s="64" t="n">
        <f aca="false">VLOOKUP($A127,expiration,2,FALSE())-$B$2</f>
        <v>-5751</v>
      </c>
      <c r="AG127" s="64" t="n">
        <f aca="false">VLOOKUP($A127,expiration,3,FALSE())-$B$2</f>
        <v>-5752</v>
      </c>
      <c r="AH127" s="4" t="n">
        <f aca="false">VLOOKUP($A127,STRADDLE,14,FALSE())</f>
        <v>0.0568478960356496</v>
      </c>
      <c r="AI127" s="72" t="n">
        <f aca="false">A128-A127</f>
        <v>31</v>
      </c>
      <c r="AL127" s="64"/>
      <c r="AM127" s="73"/>
      <c r="AN127" s="73" t="n">
        <f aca="false">IF($A127&gt;=AO$25,IF($A127&lt;=AO$26,$AI127,0),0)</f>
        <v>0</v>
      </c>
      <c r="AO127" s="196" t="e">
        <f aca="false">AQ127/AN127</f>
        <v>#DIV/0!</v>
      </c>
      <c r="AP127" s="1" t="n">
        <f aca="false">AN127*($B127+B$13)</f>
        <v>0</v>
      </c>
      <c r="AQ127" s="47" t="n">
        <f aca="false">IF(ISNUMBER(((AP127/AN127)+B$14+$D127)*AN127),((AP127/AN127)+B$14+$D127)*AN127,0)</f>
        <v>0</v>
      </c>
      <c r="AR127" s="76" t="n">
        <f aca="false">IF(AN127=0,0,bsd(1,AS$27,AO127,$I127,$F127,$G127,$AH127,0.1))</f>
        <v>0</v>
      </c>
      <c r="AS127" s="76" t="n">
        <f aca="false">IF(AN127=0,0,bsd(2,AS$27,AO127,$I127,$F127,$G127,$AH127,0.1))</f>
        <v>0</v>
      </c>
      <c r="AT127" s="76" t="n">
        <f aca="false">IF(AN127=0,0,bsd(AS$28,AS$27,AO127,$I127,$F127,$G127,$AH127,0.1))</f>
        <v>0</v>
      </c>
      <c r="AU127" s="37" t="n">
        <f aca="false">AN127*AR127</f>
        <v>0</v>
      </c>
      <c r="AV127" s="37" t="n">
        <f aca="false">AN127*AS127</f>
        <v>0</v>
      </c>
      <c r="AW127" s="37" t="n">
        <f aca="false">AN127*AT127</f>
        <v>0</v>
      </c>
      <c r="AY127" s="73" t="n">
        <f aca="false">IF($A127&gt;=AZ$25,IF($A127&lt;=AZ$26,$AI127,0),0)</f>
        <v>0</v>
      </c>
      <c r="AZ127" s="196" t="e">
        <f aca="false">BB127/AY127</f>
        <v>#DIV/0!</v>
      </c>
      <c r="BA127" s="1" t="n">
        <f aca="false">AY127*($B127+D$13)</f>
        <v>0</v>
      </c>
      <c r="BB127" s="47" t="n">
        <f aca="false">IF(ISNUMBER(((BA127/AY127)+D$14+$K127)*AY127),((BA127/AY127)+D$14+$K127)*AY127,0)</f>
        <v>0</v>
      </c>
      <c r="BC127" s="76" t="n">
        <f aca="false">IF(AY127=0,0,bsd(1,BD$27,AZ127,$P127,$M127,$N127,$AH127,0.1))</f>
        <v>0</v>
      </c>
      <c r="BD127" s="76" t="n">
        <f aca="false">IF(AY127=0,0,bsd(2,BD$27,AZ127,$P127,$M127,$N127,$AH127,0.1))</f>
        <v>0</v>
      </c>
      <c r="BE127" s="76" t="n">
        <f aca="false">IF(AY127=0,0,bsd(BD$28,BD$27,AZ127,$P127,$M127,$N127,$AH127,0.1))</f>
        <v>0</v>
      </c>
      <c r="BF127" s="37" t="n">
        <f aca="false">AY127*BC127</f>
        <v>0</v>
      </c>
      <c r="BG127" s="37" t="n">
        <f aca="false">AY127*BD127</f>
        <v>0</v>
      </c>
      <c r="BH127" s="37" t="n">
        <f aca="false">AY127*BE127</f>
        <v>0</v>
      </c>
      <c r="BJ127" s="73" t="n">
        <f aca="false">IF($A127&gt;=BK$25,IF($A127&lt;=BK$26,$AI127,0),0)</f>
        <v>0</v>
      </c>
      <c r="BK127" s="196" t="e">
        <f aca="false">BM127/BJ127</f>
        <v>#DIV/0!</v>
      </c>
      <c r="BL127" s="1" t="n">
        <f aca="false">BJ127*($B127+F$13)</f>
        <v>0</v>
      </c>
      <c r="BM127" s="47" t="n">
        <f aca="false">IF(ISNUMBER(((BL127/BJ127)+F$14+$R127)*BJ127),((BL127/BJ127)+F$14+$R127)*BJ127,0)</f>
        <v>0</v>
      </c>
      <c r="BN127" s="76" t="n">
        <f aca="false">IF(BJ127=0,0,bsd(1,BO$27,BK127,$W127,$T127,$U127,$AH127,0.1))</f>
        <v>0</v>
      </c>
      <c r="BO127" s="76" t="n">
        <f aca="false">IF(BJ127=0,0,bsd(2,BO$27,BK127,$W127,$T127,$U127,$AH127,0.1))</f>
        <v>0</v>
      </c>
      <c r="BP127" s="76" t="n">
        <f aca="false">IF(BJ127=0,0,bsd(BO$28,BO$27,BK127,$W127,$T127,$U127,$AH127,0.1))</f>
        <v>0</v>
      </c>
      <c r="BQ127" s="37" t="n">
        <f aca="false">BJ127*BN127</f>
        <v>0</v>
      </c>
      <c r="BR127" s="37" t="n">
        <f aca="false">BJ127*BO127</f>
        <v>0</v>
      </c>
      <c r="BS127" s="37" t="n">
        <f aca="false">BJ127*BP127</f>
        <v>0</v>
      </c>
      <c r="BU127" s="73" t="n">
        <f aca="false">IF($A127&gt;=BV$25,IF($A127&lt;=BV$26,$AI127,0),0)</f>
        <v>0</v>
      </c>
      <c r="BV127" s="196" t="e">
        <f aca="false">BX127/BU127</f>
        <v>#DIV/0!</v>
      </c>
      <c r="BW127" s="1" t="n">
        <f aca="false">BU127*($B127+H$13)</f>
        <v>0</v>
      </c>
      <c r="BX127" s="47" t="n">
        <f aca="false">IF(ISNUMBER(((BW127/BU127)+H$14+$Y127)*BU127),((BW127/BU127)+H$14+$Y127)*BU127,0)</f>
        <v>0</v>
      </c>
      <c r="BY127" s="76" t="n">
        <f aca="false">IF(BU127=0,0,bsd(1,BZ$27,BV127,$AD127,$AA127,$AB127,$AH127,0.1))</f>
        <v>0</v>
      </c>
      <c r="BZ127" s="76" t="n">
        <f aca="false">IF(BU127=0,0,bsd(2,BZ$27,BV127,$AD127,$AA127,$AB127,$AH127,0.1))</f>
        <v>0</v>
      </c>
      <c r="CA127" s="76" t="n">
        <f aca="false">IF(BU127=0,0,bsd(BZ$28,BZ$27,BV127,$AD127,$AA127,$AB127,$AH127,0.1))</f>
        <v>0</v>
      </c>
      <c r="CB127" s="37" t="n">
        <f aca="false">BU127*BY127</f>
        <v>0</v>
      </c>
      <c r="CC127" s="37" t="n">
        <f aca="false">BU127*BZ127</f>
        <v>0</v>
      </c>
      <c r="CD127" s="37" t="n">
        <f aca="false">BU127*CA127</f>
        <v>0</v>
      </c>
    </row>
    <row r="128" customFormat="false" ht="12.75" hidden="false" customHeight="false" outlineLevel="0" collapsed="false">
      <c r="A128" s="62" t="n">
        <f aca="false">DATE(YEAR(A127),MONTH(A127)+1,1)</f>
        <v>40210</v>
      </c>
      <c r="B128" s="63" t="n">
        <f aca="false">VLOOKUP(A128,STRADDLE,5,FALSE())</f>
        <v>3.96</v>
      </c>
      <c r="C128" s="4" t="n">
        <f aca="false">VLOOKUP(A128,STRADDLE,8,FALSE())</f>
        <v>0.2</v>
      </c>
      <c r="D128" s="63" t="n">
        <f aca="false">IF(D$28="nymex",0,VLOOKUP($A128,curvesettle,HLOOKUP(D$28,curvesettle,2,FALSE())))</f>
        <v>-0.075</v>
      </c>
      <c r="E128" s="65" t="n">
        <f aca="false">IF(ISNUMBER(VLOOKUP($A128,VOLCURVES,HLOOKUP(D$28,VOLCURVES,2,FALSE()),FALSE())),VLOOKUP($A128,VOLCURVES,HLOOKUP(D$28,VOLCURVES,2,FALSE()),FALSE()),1)</f>
        <v>1</v>
      </c>
      <c r="F128" s="64" t="n">
        <f aca="false">IF(D$28="NYMEX",$AG128,$AF128)</f>
        <v>-5722</v>
      </c>
      <c r="G128" s="4" t="e">
        <f aca="false">(($C128+H128)*$E128)+B$15</f>
        <v>#DIV/0!</v>
      </c>
      <c r="H128" s="4" t="e">
        <f aca="false">IF(B$16=1,xCalcSkew(A128,I128-AO128,b)/100,0)</f>
        <v>#DIV/0!</v>
      </c>
      <c r="I128" s="66" t="n">
        <f aca="false">IF($B$19=4,$AO128,$B$18)</f>
        <v>5</v>
      </c>
      <c r="K128" s="63" t="n">
        <f aca="false">IF(K$28="nymex",0,VLOOKUP($A128,curvesettle,HLOOKUP(K$28,curvesettle,2,FALSE())))</f>
        <v>-0.075</v>
      </c>
      <c r="L128" s="65" t="n">
        <f aca="false">IF(ISNUMBER(VLOOKUP($A128,VOLCURVES,HLOOKUP(K$28,VOLCURVES,2,FALSE()),FALSE())),VLOOKUP($A128,VOLCURVES,HLOOKUP(K$28,VOLCURVES,2,FALSE()),FALSE()),1)</f>
        <v>1</v>
      </c>
      <c r="M128" s="64" t="n">
        <f aca="false">IF(K$28="NYMEX",$AG128,$AF128)</f>
        <v>-5722</v>
      </c>
      <c r="N128" s="184" t="e">
        <f aca="false">(($C128+O128)*$L128)+D$15</f>
        <v>#DIV/0!</v>
      </c>
      <c r="O128" s="4" t="e">
        <f aca="false">IF(D$16=1,xCalcSkew($A128,P128-AZ128,b)/100,0)</f>
        <v>#DIV/0!</v>
      </c>
      <c r="P128" s="66" t="n">
        <f aca="false">IF($D$19=4,$AZ128,$D$18)</f>
        <v>3</v>
      </c>
      <c r="R128" s="63" t="n">
        <f aca="false">IF(R$28="nymex",0,VLOOKUP($A128,curvesettle,HLOOKUP(R$28,curvesettle,2,FALSE())))</f>
        <v>-0.26</v>
      </c>
      <c r="S128" s="65" t="n">
        <f aca="false">IF(ISNUMBER(VLOOKUP($A128,VOLCURVES,HLOOKUP(R$28,VOLCURVES,2,FALSE()),FALSE())),VLOOKUP($A128,VOLCURVES,HLOOKUP(R$28,VOLCURVES,2,FALSE()),FALSE()),1)</f>
        <v>1</v>
      </c>
      <c r="T128" s="64" t="n">
        <f aca="false">IF(R$28="NYMEX",$AG128,$AF128)</f>
        <v>-5722</v>
      </c>
      <c r="U128" s="184" t="e">
        <f aca="false">(($C128+V128)*$S128)+F$15</f>
        <v>#DIV/0!</v>
      </c>
      <c r="V128" s="4" t="e">
        <f aca="false">IF(F$16=1,xCalcSkew($A128,W128-BK128,b)/100,0)</f>
        <v>#DIV/0!</v>
      </c>
      <c r="W128" s="66" t="n">
        <f aca="false">IF($F$19=4,$BK128,$F$18)</f>
        <v>2.55</v>
      </c>
      <c r="X128" s="64"/>
      <c r="Y128" s="63" t="n">
        <f aca="false">IF(Y$28="nymex",0,VLOOKUP($A128,curvesettle,HLOOKUP(Y$28,curvesettle,2,FALSE())))</f>
        <v>0</v>
      </c>
      <c r="Z128" s="65" t="n">
        <f aca="false">IF(ISNUMBER(VLOOKUP($A128,VOLCURVES,HLOOKUP(Y$28,VOLCURVES,2,FALSE()),FALSE())),VLOOKUP($A128,VOLCURVES,HLOOKUP(Y$28,VOLCURVES,2,FALSE()),FALSE()),1)</f>
        <v>1</v>
      </c>
      <c r="AA128" s="64" t="n">
        <f aca="false">IF(Y$28="NYMEX",$AG128,$AF128)</f>
        <v>-5723</v>
      </c>
      <c r="AB128" s="4" t="e">
        <f aca="false">(($C128+AC128)*$Z128)+H$15</f>
        <v>#DIV/0!</v>
      </c>
      <c r="AC128" s="4" t="e">
        <f aca="false">IF(H$16=1,xCalcSkew($A128,AD128-BV128,b)/100,0)</f>
        <v>#DIV/0!</v>
      </c>
      <c r="AD128" s="66" t="n">
        <f aca="false">IF($H$19=4,$BV128,$H$18)</f>
        <v>2.9</v>
      </c>
      <c r="AF128" s="64" t="n">
        <f aca="false">VLOOKUP($A128,expiration,2,FALSE())-$B$2</f>
        <v>-5722</v>
      </c>
      <c r="AG128" s="64" t="n">
        <f aca="false">VLOOKUP($A128,expiration,3,FALSE())-$B$2</f>
        <v>-5723</v>
      </c>
      <c r="AH128" s="4" t="n">
        <f aca="false">VLOOKUP($A128,STRADDLE,14,FALSE())</f>
        <v>0.056951394461223</v>
      </c>
      <c r="AI128" s="72" t="n">
        <f aca="false">A129-A128</f>
        <v>28</v>
      </c>
      <c r="AL128" s="64"/>
      <c r="AM128" s="73"/>
      <c r="AN128" s="73" t="n">
        <f aca="false">IF($A128&gt;=AO$25,IF($A128&lt;=AO$26,$AI128,0),0)</f>
        <v>0</v>
      </c>
      <c r="AO128" s="196" t="e">
        <f aca="false">AQ128/AN128</f>
        <v>#DIV/0!</v>
      </c>
      <c r="AP128" s="1" t="n">
        <f aca="false">AN128*($B128+B$13)</f>
        <v>0</v>
      </c>
      <c r="AQ128" s="47" t="n">
        <f aca="false">IF(ISNUMBER(((AP128/AN128)+B$14+$D128)*AN128),((AP128/AN128)+B$14+$D128)*AN128,0)</f>
        <v>0</v>
      </c>
      <c r="AR128" s="76" t="n">
        <f aca="false">IF(AN128=0,0,bsd(1,AS$27,AO128,$I128,$F128,$G128,$AH128,0.1))</f>
        <v>0</v>
      </c>
      <c r="AS128" s="76" t="n">
        <f aca="false">IF(AN128=0,0,bsd(2,AS$27,AO128,$I128,$F128,$G128,$AH128,0.1))</f>
        <v>0</v>
      </c>
      <c r="AT128" s="76" t="n">
        <f aca="false">IF(AN128=0,0,bsd(AS$28,AS$27,AO128,$I128,$F128,$G128,$AH128,0.1))</f>
        <v>0</v>
      </c>
      <c r="AU128" s="37" t="n">
        <f aca="false">AN128*AR128</f>
        <v>0</v>
      </c>
      <c r="AV128" s="37" t="n">
        <f aca="false">AN128*AS128</f>
        <v>0</v>
      </c>
      <c r="AW128" s="37" t="n">
        <f aca="false">AN128*AT128</f>
        <v>0</v>
      </c>
      <c r="AY128" s="73" t="n">
        <f aca="false">IF($A128&gt;=AZ$25,IF($A128&lt;=AZ$26,$AI128,0),0)</f>
        <v>0</v>
      </c>
      <c r="AZ128" s="196" t="e">
        <f aca="false">BB128/AY128</f>
        <v>#DIV/0!</v>
      </c>
      <c r="BA128" s="1" t="n">
        <f aca="false">AY128*($B128+D$13)</f>
        <v>0</v>
      </c>
      <c r="BB128" s="47" t="n">
        <f aca="false">IF(ISNUMBER(((BA128/AY128)+D$14+$K128)*AY128),((BA128/AY128)+D$14+$K128)*AY128,0)</f>
        <v>0</v>
      </c>
      <c r="BC128" s="76" t="n">
        <f aca="false">IF(AY128=0,0,bsd(1,BD$27,AZ128,$P128,$M128,$N128,$AH128,0.1))</f>
        <v>0</v>
      </c>
      <c r="BD128" s="76" t="n">
        <f aca="false">IF(AY128=0,0,bsd(2,BD$27,AZ128,$P128,$M128,$N128,$AH128,0.1))</f>
        <v>0</v>
      </c>
      <c r="BE128" s="76" t="n">
        <f aca="false">IF(AY128=0,0,bsd(BD$28,BD$27,AZ128,$P128,$M128,$N128,$AH128,0.1))</f>
        <v>0</v>
      </c>
      <c r="BF128" s="37" t="n">
        <f aca="false">AY128*BC128</f>
        <v>0</v>
      </c>
      <c r="BG128" s="37" t="n">
        <f aca="false">AY128*BD128</f>
        <v>0</v>
      </c>
      <c r="BH128" s="37" t="n">
        <f aca="false">AY128*BE128</f>
        <v>0</v>
      </c>
      <c r="BJ128" s="73" t="n">
        <f aca="false">IF($A128&gt;=BK$25,IF($A128&lt;=BK$26,$AI128,0),0)</f>
        <v>0</v>
      </c>
      <c r="BK128" s="196" t="e">
        <f aca="false">BM128/BJ128</f>
        <v>#DIV/0!</v>
      </c>
      <c r="BL128" s="1" t="n">
        <f aca="false">BJ128*($B128+F$13)</f>
        <v>0</v>
      </c>
      <c r="BM128" s="47" t="n">
        <f aca="false">IF(ISNUMBER(((BL128/BJ128)+F$14+$R128)*BJ128),((BL128/BJ128)+F$14+$R128)*BJ128,0)</f>
        <v>0</v>
      </c>
      <c r="BN128" s="76" t="n">
        <f aca="false">IF(BJ128=0,0,bsd(1,BO$27,BK128,$W128,$T128,$U128,$AH128,0.1))</f>
        <v>0</v>
      </c>
      <c r="BO128" s="76" t="n">
        <f aca="false">IF(BJ128=0,0,bsd(2,BO$27,BK128,$W128,$T128,$U128,$AH128,0.1))</f>
        <v>0</v>
      </c>
      <c r="BP128" s="76" t="n">
        <f aca="false">IF(BJ128=0,0,bsd(BO$28,BO$27,BK128,$W128,$T128,$U128,$AH128,0.1))</f>
        <v>0</v>
      </c>
      <c r="BQ128" s="37" t="n">
        <f aca="false">BJ128*BN128</f>
        <v>0</v>
      </c>
      <c r="BR128" s="37" t="n">
        <f aca="false">BJ128*BO128</f>
        <v>0</v>
      </c>
      <c r="BS128" s="37" t="n">
        <f aca="false">BJ128*BP128</f>
        <v>0</v>
      </c>
      <c r="BU128" s="73" t="n">
        <f aca="false">IF($A128&gt;=BV$25,IF($A128&lt;=BV$26,$AI128,0),0)</f>
        <v>0</v>
      </c>
      <c r="BV128" s="196" t="e">
        <f aca="false">BX128/BU128</f>
        <v>#DIV/0!</v>
      </c>
      <c r="BW128" s="1" t="n">
        <f aca="false">BU128*($B128+H$13)</f>
        <v>0</v>
      </c>
      <c r="BX128" s="47" t="n">
        <f aca="false">IF(ISNUMBER(((BW128/BU128)+H$14+$Y128)*BU128),((BW128/BU128)+H$14+$Y128)*BU128,0)</f>
        <v>0</v>
      </c>
      <c r="BY128" s="76" t="n">
        <f aca="false">IF(BU128=0,0,bsd(1,BZ$27,BV128,$AD128,$AA128,$AB128,$AH128,0.1))</f>
        <v>0</v>
      </c>
      <c r="BZ128" s="76" t="n">
        <f aca="false">IF(BU128=0,0,bsd(2,BZ$27,BV128,$AD128,$AA128,$AB128,$AH128,0.1))</f>
        <v>0</v>
      </c>
      <c r="CA128" s="76" t="n">
        <f aca="false">IF(BU128=0,0,bsd(BZ$28,BZ$27,BV128,$AD128,$AA128,$AB128,$AH128,0.1))</f>
        <v>0</v>
      </c>
      <c r="CB128" s="37" t="n">
        <f aca="false">BU128*BY128</f>
        <v>0</v>
      </c>
      <c r="CC128" s="37" t="n">
        <f aca="false">BU128*BZ128</f>
        <v>0</v>
      </c>
      <c r="CD128" s="37" t="n">
        <f aca="false">BU128*CA128</f>
        <v>0</v>
      </c>
    </row>
    <row r="129" customFormat="false" ht="12.75" hidden="false" customHeight="false" outlineLevel="0" collapsed="false">
      <c r="A129" s="62" t="n">
        <f aca="false">DATE(YEAR(A128),MONTH(A128)+1,1)</f>
        <v>40238</v>
      </c>
      <c r="B129" s="63" t="n">
        <f aca="false">VLOOKUP(A129,STRADDLE,5,FALSE())</f>
        <v>3.83</v>
      </c>
      <c r="C129" s="4" t="n">
        <f aca="false">VLOOKUP(A129,STRADDLE,8,FALSE())</f>
        <v>0.195</v>
      </c>
      <c r="D129" s="63" t="n">
        <f aca="false">IF(D$28="nymex",0,VLOOKUP($A129,curvesettle,HLOOKUP(D$28,curvesettle,2,FALSE())))</f>
        <v>-0.075</v>
      </c>
      <c r="E129" s="65" t="n">
        <f aca="false">IF(ISNUMBER(VLOOKUP($A129,VOLCURVES,HLOOKUP(D$28,VOLCURVES,2,FALSE()),FALSE())),VLOOKUP($A129,VOLCURVES,HLOOKUP(D$28,VOLCURVES,2,FALSE()),FALSE()),1)</f>
        <v>1</v>
      </c>
      <c r="F129" s="64" t="n">
        <f aca="false">IF(D$28="NYMEX",$AG129,$AF129)</f>
        <v>-5694</v>
      </c>
      <c r="G129" s="4" t="e">
        <f aca="false">(($C129+H129)*$E129)+B$15</f>
        <v>#DIV/0!</v>
      </c>
      <c r="H129" s="4" t="e">
        <f aca="false">IF(B$16=1,xCalcSkew(A129,I129-AO129,b)/100,0)</f>
        <v>#DIV/0!</v>
      </c>
      <c r="I129" s="66" t="n">
        <f aca="false">IF($B$19=4,$AO129,$B$18)</f>
        <v>5</v>
      </c>
      <c r="K129" s="63" t="n">
        <f aca="false">IF(K$28="nymex",0,VLOOKUP($A129,curvesettle,HLOOKUP(K$28,curvesettle,2,FALSE())))</f>
        <v>-0.075</v>
      </c>
      <c r="L129" s="65" t="n">
        <f aca="false">IF(ISNUMBER(VLOOKUP($A129,VOLCURVES,HLOOKUP(K$28,VOLCURVES,2,FALSE()),FALSE())),VLOOKUP($A129,VOLCURVES,HLOOKUP(K$28,VOLCURVES,2,FALSE()),FALSE()),1)</f>
        <v>1</v>
      </c>
      <c r="M129" s="64" t="n">
        <f aca="false">IF(K$28="NYMEX",$AG129,$AF129)</f>
        <v>-5694</v>
      </c>
      <c r="N129" s="184" t="e">
        <f aca="false">(($C129+O129)*$L129)+D$15</f>
        <v>#DIV/0!</v>
      </c>
      <c r="O129" s="4" t="e">
        <f aca="false">IF(D$16=1,xCalcSkew($A129,P129-AZ129,b)/100,0)</f>
        <v>#DIV/0!</v>
      </c>
      <c r="P129" s="66" t="n">
        <f aca="false">IF($D$19=4,$AZ129,$D$18)</f>
        <v>3</v>
      </c>
      <c r="R129" s="63" t="n">
        <f aca="false">IF(R$28="nymex",0,VLOOKUP($A129,curvesettle,HLOOKUP(R$28,curvesettle,2,FALSE())))</f>
        <v>-0.26</v>
      </c>
      <c r="S129" s="65" t="n">
        <f aca="false">IF(ISNUMBER(VLOOKUP($A129,VOLCURVES,HLOOKUP(R$28,VOLCURVES,2,FALSE()),FALSE())),VLOOKUP($A129,VOLCURVES,HLOOKUP(R$28,VOLCURVES,2,FALSE()),FALSE()),1)</f>
        <v>1</v>
      </c>
      <c r="T129" s="64" t="n">
        <f aca="false">IF(R$28="NYMEX",$AG129,$AF129)</f>
        <v>-5694</v>
      </c>
      <c r="U129" s="184" t="e">
        <f aca="false">(($C129+V129)*$S129)+F$15</f>
        <v>#DIV/0!</v>
      </c>
      <c r="V129" s="4" t="e">
        <f aca="false">IF(F$16=1,xCalcSkew($A129,W129-BK129,b)/100,0)</f>
        <v>#DIV/0!</v>
      </c>
      <c r="W129" s="66" t="n">
        <f aca="false">IF($F$19=4,$BK129,$F$18)</f>
        <v>2.55</v>
      </c>
      <c r="X129" s="64"/>
      <c r="Y129" s="63" t="n">
        <f aca="false">IF(Y$28="nymex",0,VLOOKUP($A129,curvesettle,HLOOKUP(Y$28,curvesettle,2,FALSE())))</f>
        <v>0</v>
      </c>
      <c r="Z129" s="65" t="n">
        <f aca="false">IF(ISNUMBER(VLOOKUP($A129,VOLCURVES,HLOOKUP(Y$28,VOLCURVES,2,FALSE()),FALSE())),VLOOKUP($A129,VOLCURVES,HLOOKUP(Y$28,VOLCURVES,2,FALSE()),FALSE()),1)</f>
        <v>1</v>
      </c>
      <c r="AA129" s="64" t="n">
        <f aca="false">IF(Y$28="NYMEX",$AG129,$AF129)</f>
        <v>-5695</v>
      </c>
      <c r="AB129" s="4" t="e">
        <f aca="false">(($C129+AC129)*$Z129)+H$15</f>
        <v>#DIV/0!</v>
      </c>
      <c r="AC129" s="4" t="e">
        <f aca="false">IF(H$16=1,xCalcSkew($A129,AD129-BV129,b)/100,0)</f>
        <v>#DIV/0!</v>
      </c>
      <c r="AD129" s="66" t="n">
        <f aca="false">IF($H$19=4,$BV129,$H$18)</f>
        <v>2.9</v>
      </c>
      <c r="AF129" s="64" t="n">
        <f aca="false">VLOOKUP($A129,expiration,2,FALSE())-$B$2</f>
        <v>-5694</v>
      </c>
      <c r="AG129" s="64" t="n">
        <f aca="false">VLOOKUP($A129,expiration,3,FALSE())-$B$2</f>
        <v>-5695</v>
      </c>
      <c r="AH129" s="4" t="n">
        <f aca="false">VLOOKUP($A129,STRADDLE,14,FALSE())</f>
        <v>0.0570448769131922</v>
      </c>
      <c r="AI129" s="72" t="n">
        <f aca="false">A130-A129</f>
        <v>31</v>
      </c>
      <c r="AL129" s="64"/>
      <c r="AM129" s="73"/>
      <c r="AN129" s="73" t="n">
        <f aca="false">IF($A129&gt;=AO$25,IF($A129&lt;=AO$26,$AI129,0),0)</f>
        <v>0</v>
      </c>
      <c r="AO129" s="196" t="e">
        <f aca="false">AQ129/AN129</f>
        <v>#DIV/0!</v>
      </c>
      <c r="AP129" s="1" t="n">
        <f aca="false">AN129*($B129+B$13)</f>
        <v>0</v>
      </c>
      <c r="AQ129" s="47" t="n">
        <f aca="false">IF(ISNUMBER(((AP129/AN129)+B$14+$D129)*AN129),((AP129/AN129)+B$14+$D129)*AN129,0)</f>
        <v>0</v>
      </c>
      <c r="AR129" s="76" t="n">
        <f aca="false">IF(AN129=0,0,bsd(1,AS$27,AO129,$I129,$F129,$G129,$AH129,0.1))</f>
        <v>0</v>
      </c>
      <c r="AS129" s="76" t="n">
        <f aca="false">IF(AN129=0,0,bsd(2,AS$27,AO129,$I129,$F129,$G129,$AH129,0.1))</f>
        <v>0</v>
      </c>
      <c r="AT129" s="76" t="n">
        <f aca="false">IF(AN129=0,0,bsd(AS$28,AS$27,AO129,$I129,$F129,$G129,$AH129,0.1))</f>
        <v>0</v>
      </c>
      <c r="AU129" s="37" t="n">
        <f aca="false">AN129*AR129</f>
        <v>0</v>
      </c>
      <c r="AV129" s="37" t="n">
        <f aca="false">AN129*AS129</f>
        <v>0</v>
      </c>
      <c r="AW129" s="37" t="n">
        <f aca="false">AN129*AT129</f>
        <v>0</v>
      </c>
      <c r="AY129" s="73" t="n">
        <f aca="false">IF($A129&gt;=AZ$25,IF($A129&lt;=AZ$26,$AI129,0),0)</f>
        <v>0</v>
      </c>
      <c r="AZ129" s="196" t="e">
        <f aca="false">BB129/AY129</f>
        <v>#DIV/0!</v>
      </c>
      <c r="BA129" s="1" t="n">
        <f aca="false">AY129*($B129+D$13)</f>
        <v>0</v>
      </c>
      <c r="BB129" s="47" t="n">
        <f aca="false">IF(ISNUMBER(((BA129/AY129)+D$14+$K129)*AY129),((BA129/AY129)+D$14+$K129)*AY129,0)</f>
        <v>0</v>
      </c>
      <c r="BC129" s="76" t="n">
        <f aca="false">IF(AY129=0,0,bsd(1,BD$27,AZ129,$P129,$M129,$N129,$AH129,0.1))</f>
        <v>0</v>
      </c>
      <c r="BD129" s="76" t="n">
        <f aca="false">IF(AY129=0,0,bsd(2,BD$27,AZ129,$P129,$M129,$N129,$AH129,0.1))</f>
        <v>0</v>
      </c>
      <c r="BE129" s="76" t="n">
        <f aca="false">IF(AY129=0,0,bsd(BD$28,BD$27,AZ129,$P129,$M129,$N129,$AH129,0.1))</f>
        <v>0</v>
      </c>
      <c r="BF129" s="37" t="n">
        <f aca="false">AY129*BC129</f>
        <v>0</v>
      </c>
      <c r="BG129" s="37" t="n">
        <f aca="false">AY129*BD129</f>
        <v>0</v>
      </c>
      <c r="BH129" s="37" t="n">
        <f aca="false">AY129*BE129</f>
        <v>0</v>
      </c>
      <c r="BJ129" s="73" t="n">
        <f aca="false">IF($A129&gt;=BK$25,IF($A129&lt;=BK$26,$AI129,0),0)</f>
        <v>0</v>
      </c>
      <c r="BK129" s="196" t="e">
        <f aca="false">BM129/BJ129</f>
        <v>#DIV/0!</v>
      </c>
      <c r="BL129" s="1" t="n">
        <f aca="false">BJ129*($B129+F$13)</f>
        <v>0</v>
      </c>
      <c r="BM129" s="47" t="n">
        <f aca="false">IF(ISNUMBER(((BL129/BJ129)+F$14+$R129)*BJ129),((BL129/BJ129)+F$14+$R129)*BJ129,0)</f>
        <v>0</v>
      </c>
      <c r="BN129" s="76" t="n">
        <f aca="false">IF(BJ129=0,0,bsd(1,BO$27,BK129,$W129,$T129,$U129,$AH129,0.1))</f>
        <v>0</v>
      </c>
      <c r="BO129" s="76" t="n">
        <f aca="false">IF(BJ129=0,0,bsd(2,BO$27,BK129,$W129,$T129,$U129,$AH129,0.1))</f>
        <v>0</v>
      </c>
      <c r="BP129" s="76" t="n">
        <f aca="false">IF(BJ129=0,0,bsd(BO$28,BO$27,BK129,$W129,$T129,$U129,$AH129,0.1))</f>
        <v>0</v>
      </c>
      <c r="BQ129" s="37" t="n">
        <f aca="false">BJ129*BN129</f>
        <v>0</v>
      </c>
      <c r="BR129" s="37" t="n">
        <f aca="false">BJ129*BO129</f>
        <v>0</v>
      </c>
      <c r="BS129" s="37" t="n">
        <f aca="false">BJ129*BP129</f>
        <v>0</v>
      </c>
      <c r="BU129" s="73" t="n">
        <f aca="false">IF($A129&gt;=BV$25,IF($A129&lt;=BV$26,$AI129,0),0)</f>
        <v>0</v>
      </c>
      <c r="BV129" s="196" t="e">
        <f aca="false">BX129/BU129</f>
        <v>#DIV/0!</v>
      </c>
      <c r="BW129" s="1" t="n">
        <f aca="false">BU129*($B129+H$13)</f>
        <v>0</v>
      </c>
      <c r="BX129" s="47" t="n">
        <f aca="false">IF(ISNUMBER(((BW129/BU129)+H$14+$Y129)*BU129),((BW129/BU129)+H$14+$Y129)*BU129,0)</f>
        <v>0</v>
      </c>
      <c r="BY129" s="76" t="n">
        <f aca="false">IF(BU129=0,0,bsd(1,BZ$27,BV129,$AD129,$AA129,$AB129,$AH129,0.1))</f>
        <v>0</v>
      </c>
      <c r="BZ129" s="76" t="n">
        <f aca="false">IF(BU129=0,0,bsd(2,BZ$27,BV129,$AD129,$AA129,$AB129,$AH129,0.1))</f>
        <v>0</v>
      </c>
      <c r="CA129" s="76" t="n">
        <f aca="false">IF(BU129=0,0,bsd(BZ$28,BZ$27,BV129,$AD129,$AA129,$AB129,$AH129,0.1))</f>
        <v>0</v>
      </c>
      <c r="CB129" s="37" t="n">
        <f aca="false">BU129*BY129</f>
        <v>0</v>
      </c>
      <c r="CC129" s="37" t="n">
        <f aca="false">BU129*BZ129</f>
        <v>0</v>
      </c>
      <c r="CD129" s="37" t="n">
        <f aca="false">BU129*CA129</f>
        <v>0</v>
      </c>
    </row>
    <row r="130" customFormat="false" ht="12.75" hidden="false" customHeight="false" outlineLevel="0" collapsed="false">
      <c r="A130" s="62" t="n">
        <f aca="false">DATE(YEAR(A129),MONTH(A129)+1,1)</f>
        <v>40269</v>
      </c>
      <c r="B130" s="63" t="n">
        <f aca="false">VLOOKUP(A130,STRADDLE,5,FALSE())</f>
        <v>3.645</v>
      </c>
      <c r="C130" s="4" t="n">
        <f aca="false">VLOOKUP(A130,STRADDLE,8,FALSE())</f>
        <v>0.19</v>
      </c>
      <c r="D130" s="63" t="n">
        <f aca="false">IF(D$28="nymex",0,VLOOKUP($A130,curvesettle,HLOOKUP(D$28,curvesettle,2,FALSE())))</f>
        <v>-0.0725</v>
      </c>
      <c r="E130" s="65" t="n">
        <f aca="false">IF(ISNUMBER(VLOOKUP($A130,VOLCURVES,HLOOKUP(D$28,VOLCURVES,2,FALSE()),FALSE())),VLOOKUP($A130,VOLCURVES,HLOOKUP(D$28,VOLCURVES,2,FALSE()),FALSE()),1)</f>
        <v>1</v>
      </c>
      <c r="F130" s="64" t="n">
        <f aca="false">IF(D$28="NYMEX",$AG130,$AF130)</f>
        <v>-5661</v>
      </c>
      <c r="G130" s="4" t="e">
        <f aca="false">(($C130+H130)*$E130)+B$15</f>
        <v>#DIV/0!</v>
      </c>
      <c r="H130" s="4" t="e">
        <f aca="false">IF(B$16=1,xCalcSkew(A130,I130-AO130,b)/100,0)</f>
        <v>#DIV/0!</v>
      </c>
      <c r="I130" s="66" t="n">
        <f aca="false">IF($B$19=4,$AO130,$B$18)</f>
        <v>5</v>
      </c>
      <c r="K130" s="63" t="n">
        <f aca="false">IF(K$28="nymex",0,VLOOKUP($A130,curvesettle,HLOOKUP(K$28,curvesettle,2,FALSE())))</f>
        <v>-0.0725</v>
      </c>
      <c r="L130" s="65" t="n">
        <f aca="false">IF(ISNUMBER(VLOOKUP($A130,VOLCURVES,HLOOKUP(K$28,VOLCURVES,2,FALSE()),FALSE())),VLOOKUP($A130,VOLCURVES,HLOOKUP(K$28,VOLCURVES,2,FALSE()),FALSE()),1)</f>
        <v>1</v>
      </c>
      <c r="M130" s="64" t="n">
        <f aca="false">IF(K$28="NYMEX",$AG130,$AF130)</f>
        <v>-5661</v>
      </c>
      <c r="N130" s="184" t="e">
        <f aca="false">(($C130+O130)*$L130)+D$15</f>
        <v>#DIV/0!</v>
      </c>
      <c r="O130" s="4" t="e">
        <f aca="false">IF(D$16=1,xCalcSkew($A130,P130-AZ130,b)/100,0)</f>
        <v>#DIV/0!</v>
      </c>
      <c r="P130" s="66" t="n">
        <f aca="false">IF($D$19=4,$AZ130,$D$18)</f>
        <v>3</v>
      </c>
      <c r="R130" s="63" t="n">
        <f aca="false">IF(R$28="nymex",0,VLOOKUP($A130,curvesettle,HLOOKUP(R$28,curvesettle,2,FALSE())))</f>
        <v>-0.37</v>
      </c>
      <c r="S130" s="65" t="n">
        <f aca="false">IF(ISNUMBER(VLOOKUP($A130,VOLCURVES,HLOOKUP(R$28,VOLCURVES,2,FALSE()),FALSE())),VLOOKUP($A130,VOLCURVES,HLOOKUP(R$28,VOLCURVES,2,FALSE()),FALSE()),1)</f>
        <v>1</v>
      </c>
      <c r="T130" s="64" t="n">
        <f aca="false">IF(R$28="NYMEX",$AG130,$AF130)</f>
        <v>-5661</v>
      </c>
      <c r="U130" s="184" t="e">
        <f aca="false">(($C130+V130)*$S130)+F$15</f>
        <v>#DIV/0!</v>
      </c>
      <c r="V130" s="4" t="e">
        <f aca="false">IF(F$16=1,xCalcSkew($A130,W130-BK130,b)/100,0)</f>
        <v>#DIV/0!</v>
      </c>
      <c r="W130" s="66" t="n">
        <f aca="false">IF($F$19=4,$BK130,$F$18)</f>
        <v>2.55</v>
      </c>
      <c r="X130" s="64"/>
      <c r="Y130" s="63" t="n">
        <f aca="false">IF(Y$28="nymex",0,VLOOKUP($A130,curvesettle,HLOOKUP(Y$28,curvesettle,2,FALSE())))</f>
        <v>0</v>
      </c>
      <c r="Z130" s="65" t="n">
        <f aca="false">IF(ISNUMBER(VLOOKUP($A130,VOLCURVES,HLOOKUP(Y$28,VOLCURVES,2,FALSE()),FALSE())),VLOOKUP($A130,VOLCURVES,HLOOKUP(Y$28,VOLCURVES,2,FALSE()),FALSE()),1)</f>
        <v>1</v>
      </c>
      <c r="AA130" s="64" t="n">
        <f aca="false">IF(Y$28="NYMEX",$AG130,$AF130)</f>
        <v>-5664</v>
      </c>
      <c r="AB130" s="4" t="e">
        <f aca="false">(($C130+AC130)*$Z130)+H$15</f>
        <v>#DIV/0!</v>
      </c>
      <c r="AC130" s="4" t="e">
        <f aca="false">IF(H$16=1,xCalcSkew($A130,AD130-BV130,b)/100,0)</f>
        <v>#DIV/0!</v>
      </c>
      <c r="AD130" s="66" t="n">
        <f aca="false">IF($H$19=4,$BV130,$H$18)</f>
        <v>2.9</v>
      </c>
      <c r="AF130" s="64" t="n">
        <f aca="false">VLOOKUP($A130,expiration,2,FALSE())-$B$2</f>
        <v>-5661</v>
      </c>
      <c r="AG130" s="64" t="n">
        <f aca="false">VLOOKUP($A130,expiration,3,FALSE())-$B$2</f>
        <v>-5664</v>
      </c>
      <c r="AH130" s="4" t="n">
        <f aca="false">VLOOKUP($A130,STRADDLE,14,FALSE())</f>
        <v>0.0571483753455491</v>
      </c>
      <c r="AI130" s="72" t="n">
        <f aca="false">A131-A130</f>
        <v>30</v>
      </c>
      <c r="AL130" s="64"/>
      <c r="AM130" s="73"/>
      <c r="AN130" s="73" t="n">
        <f aca="false">IF($A130&gt;=AO$25,IF($A130&lt;=AO$26,$AI130,0),0)</f>
        <v>0</v>
      </c>
      <c r="AO130" s="196" t="e">
        <f aca="false">AQ130/AN130</f>
        <v>#DIV/0!</v>
      </c>
      <c r="AP130" s="1" t="n">
        <f aca="false">AN130*($B130+B$13)</f>
        <v>0</v>
      </c>
      <c r="AQ130" s="47" t="n">
        <f aca="false">IF(ISNUMBER(((AP130/AN130)+B$14+$D130)*AN130),((AP130/AN130)+B$14+$D130)*AN130,0)</f>
        <v>0</v>
      </c>
      <c r="AR130" s="76" t="n">
        <f aca="false">IF(AN130=0,0,bsd(1,AS$27,AO130,$I130,$F130,$G130,$AH130,0.1))</f>
        <v>0</v>
      </c>
      <c r="AS130" s="76" t="n">
        <f aca="false">IF(AN130=0,0,bsd(2,AS$27,AO130,$I130,$F130,$G130,$AH130,0.1))</f>
        <v>0</v>
      </c>
      <c r="AT130" s="76" t="n">
        <f aca="false">IF(AN130=0,0,bsd(AS$28,AS$27,AO130,$I130,$F130,$G130,$AH130,0.1))</f>
        <v>0</v>
      </c>
      <c r="AU130" s="37" t="n">
        <f aca="false">AN130*AR130</f>
        <v>0</v>
      </c>
      <c r="AV130" s="37" t="n">
        <f aca="false">AN130*AS130</f>
        <v>0</v>
      </c>
      <c r="AW130" s="37" t="n">
        <f aca="false">AN130*AT130</f>
        <v>0</v>
      </c>
      <c r="AY130" s="73" t="n">
        <f aca="false">IF($A130&gt;=AZ$25,IF($A130&lt;=AZ$26,$AI130,0),0)</f>
        <v>0</v>
      </c>
      <c r="AZ130" s="196" t="e">
        <f aca="false">BB130/AY130</f>
        <v>#DIV/0!</v>
      </c>
      <c r="BA130" s="1" t="n">
        <f aca="false">AY130*($B130+D$13)</f>
        <v>0</v>
      </c>
      <c r="BB130" s="47" t="n">
        <f aca="false">IF(ISNUMBER(((BA130/AY130)+D$14+$K130)*AY130),((BA130/AY130)+D$14+$K130)*AY130,0)</f>
        <v>0</v>
      </c>
      <c r="BC130" s="76" t="n">
        <f aca="false">IF(AY130=0,0,bsd(1,BD$27,AZ130,$P130,$M130,$N130,$AH130,0.1))</f>
        <v>0</v>
      </c>
      <c r="BD130" s="76" t="n">
        <f aca="false">IF(AY130=0,0,bsd(2,BD$27,AZ130,$P130,$M130,$N130,$AH130,0.1))</f>
        <v>0</v>
      </c>
      <c r="BE130" s="76" t="n">
        <f aca="false">IF(AY130=0,0,bsd(BD$28,BD$27,AZ130,$P130,$M130,$N130,$AH130,0.1))</f>
        <v>0</v>
      </c>
      <c r="BF130" s="37" t="n">
        <f aca="false">AY130*BC130</f>
        <v>0</v>
      </c>
      <c r="BG130" s="37" t="n">
        <f aca="false">AY130*BD130</f>
        <v>0</v>
      </c>
      <c r="BH130" s="37" t="n">
        <f aca="false">AY130*BE130</f>
        <v>0</v>
      </c>
      <c r="BJ130" s="73" t="n">
        <f aca="false">IF($A130&gt;=BK$25,IF($A130&lt;=BK$26,$AI130,0),0)</f>
        <v>0</v>
      </c>
      <c r="BK130" s="196" t="e">
        <f aca="false">BM130/BJ130</f>
        <v>#DIV/0!</v>
      </c>
      <c r="BL130" s="1" t="n">
        <f aca="false">BJ130*($B130+F$13)</f>
        <v>0</v>
      </c>
      <c r="BM130" s="47" t="n">
        <f aca="false">IF(ISNUMBER(((BL130/BJ130)+F$14+$R130)*BJ130),((BL130/BJ130)+F$14+$R130)*BJ130,0)</f>
        <v>0</v>
      </c>
      <c r="BN130" s="76" t="n">
        <f aca="false">IF(BJ130=0,0,bsd(1,BO$27,BK130,$W130,$T130,$U130,$AH130,0.1))</f>
        <v>0</v>
      </c>
      <c r="BO130" s="76" t="n">
        <f aca="false">IF(BJ130=0,0,bsd(2,BO$27,BK130,$W130,$T130,$U130,$AH130,0.1))</f>
        <v>0</v>
      </c>
      <c r="BP130" s="76" t="n">
        <f aca="false">IF(BJ130=0,0,bsd(BO$28,BO$27,BK130,$W130,$T130,$U130,$AH130,0.1))</f>
        <v>0</v>
      </c>
      <c r="BQ130" s="37" t="n">
        <f aca="false">BJ130*BN130</f>
        <v>0</v>
      </c>
      <c r="BR130" s="37" t="n">
        <f aca="false">BJ130*BO130</f>
        <v>0</v>
      </c>
      <c r="BS130" s="37" t="n">
        <f aca="false">BJ130*BP130</f>
        <v>0</v>
      </c>
      <c r="BU130" s="73" t="n">
        <f aca="false">IF($A130&gt;=BV$25,IF($A130&lt;=BV$26,$AI130,0),0)</f>
        <v>0</v>
      </c>
      <c r="BV130" s="196" t="e">
        <f aca="false">BX130/BU130</f>
        <v>#DIV/0!</v>
      </c>
      <c r="BW130" s="1" t="n">
        <f aca="false">BU130*($B130+H$13)</f>
        <v>0</v>
      </c>
      <c r="BX130" s="47" t="n">
        <f aca="false">IF(ISNUMBER(((BW130/BU130)+H$14+$Y130)*BU130),((BW130/BU130)+H$14+$Y130)*BU130,0)</f>
        <v>0</v>
      </c>
      <c r="BY130" s="76" t="n">
        <f aca="false">IF(BU130=0,0,bsd(1,BZ$27,BV130,$AD130,$AA130,$AB130,$AH130,0.1))</f>
        <v>0</v>
      </c>
      <c r="BZ130" s="76" t="n">
        <f aca="false">IF(BU130=0,0,bsd(2,BZ$27,BV130,$AD130,$AA130,$AB130,$AH130,0.1))</f>
        <v>0</v>
      </c>
      <c r="CA130" s="76" t="n">
        <f aca="false">IF(BU130=0,0,bsd(BZ$28,BZ$27,BV130,$AD130,$AA130,$AB130,$AH130,0.1))</f>
        <v>0</v>
      </c>
      <c r="CB130" s="37" t="n">
        <f aca="false">BU130*BY130</f>
        <v>0</v>
      </c>
      <c r="CC130" s="37" t="n">
        <f aca="false">BU130*BZ130</f>
        <v>0</v>
      </c>
      <c r="CD130" s="37" t="n">
        <f aca="false">BU130*CA130</f>
        <v>0</v>
      </c>
    </row>
    <row r="131" customFormat="false" ht="12.75" hidden="false" customHeight="false" outlineLevel="0" collapsed="false">
      <c r="A131" s="62" t="n">
        <f aca="false">DATE(YEAR(A130),MONTH(A130)+1,1)</f>
        <v>40299</v>
      </c>
      <c r="B131" s="63" t="n">
        <f aca="false">VLOOKUP(A131,STRADDLE,5,FALSE())</f>
        <v>3.64</v>
      </c>
      <c r="C131" s="4" t="n">
        <f aca="false">VLOOKUP(A131,STRADDLE,8,FALSE())</f>
        <v>0.185</v>
      </c>
      <c r="D131" s="63" t="n">
        <f aca="false">IF(D$28="nymex",0,VLOOKUP($A131,curvesettle,HLOOKUP(D$28,curvesettle,2,FALSE())))</f>
        <v>-0.0725</v>
      </c>
      <c r="E131" s="65" t="n">
        <f aca="false">IF(ISNUMBER(VLOOKUP($A131,VOLCURVES,HLOOKUP(D$28,VOLCURVES,2,FALSE()),FALSE())),VLOOKUP($A131,VOLCURVES,HLOOKUP(D$28,VOLCURVES,2,FALSE()),FALSE()),1)</f>
        <v>1</v>
      </c>
      <c r="F131" s="64" t="n">
        <f aca="false">IF(D$28="NYMEX",$AG131,$AF131)</f>
        <v>-5631</v>
      </c>
      <c r="G131" s="4" t="e">
        <f aca="false">(($C131+H131)*$E131)+B$15</f>
        <v>#DIV/0!</v>
      </c>
      <c r="H131" s="4" t="e">
        <f aca="false">IF(B$16=1,xCalcSkew(A131,I131-AO131,b)/100,0)</f>
        <v>#DIV/0!</v>
      </c>
      <c r="I131" s="66" t="n">
        <f aca="false">IF($B$19=4,$AO131,$B$18)</f>
        <v>5</v>
      </c>
      <c r="K131" s="63" t="n">
        <f aca="false">IF(K$28="nymex",0,VLOOKUP($A131,curvesettle,HLOOKUP(K$28,curvesettle,2,FALSE())))</f>
        <v>-0.0725</v>
      </c>
      <c r="L131" s="65" t="n">
        <f aca="false">IF(ISNUMBER(VLOOKUP($A131,VOLCURVES,HLOOKUP(K$28,VOLCURVES,2,FALSE()),FALSE())),VLOOKUP($A131,VOLCURVES,HLOOKUP(K$28,VOLCURVES,2,FALSE()),FALSE()),1)</f>
        <v>1</v>
      </c>
      <c r="M131" s="64" t="n">
        <f aca="false">IF(K$28="NYMEX",$AG131,$AF131)</f>
        <v>-5631</v>
      </c>
      <c r="N131" s="184" t="e">
        <f aca="false">(($C131+O131)*$L131)+D$15</f>
        <v>#DIV/0!</v>
      </c>
      <c r="O131" s="4" t="e">
        <f aca="false">IF(D$16=1,xCalcSkew($A131,P131-AZ131,b)/100,0)</f>
        <v>#DIV/0!</v>
      </c>
      <c r="P131" s="66" t="n">
        <f aca="false">IF($D$19=4,$AZ131,$D$18)</f>
        <v>3</v>
      </c>
      <c r="R131" s="63" t="n">
        <f aca="false">IF(R$28="nymex",0,VLOOKUP($A131,curvesettle,HLOOKUP(R$28,curvesettle,2,FALSE())))</f>
        <v>-0.37</v>
      </c>
      <c r="S131" s="65" t="n">
        <f aca="false">IF(ISNUMBER(VLOOKUP($A131,VOLCURVES,HLOOKUP(R$28,VOLCURVES,2,FALSE()),FALSE())),VLOOKUP($A131,VOLCURVES,HLOOKUP(R$28,VOLCURVES,2,FALSE()),FALSE()),1)</f>
        <v>1</v>
      </c>
      <c r="T131" s="64" t="n">
        <f aca="false">IF(R$28="NYMEX",$AG131,$AF131)</f>
        <v>-5631</v>
      </c>
      <c r="U131" s="184" t="e">
        <f aca="false">(($C131+V131)*$S131)+F$15</f>
        <v>#DIV/0!</v>
      </c>
      <c r="V131" s="4" t="e">
        <f aca="false">IF(F$16=1,xCalcSkew($A131,W131-BK131,b)/100,0)</f>
        <v>#DIV/0!</v>
      </c>
      <c r="W131" s="66" t="n">
        <f aca="false">IF($F$19=4,$BK131,$F$18)</f>
        <v>2.55</v>
      </c>
      <c r="X131" s="64"/>
      <c r="Y131" s="63" t="n">
        <f aca="false">IF(Y$28="nymex",0,VLOOKUP($A131,curvesettle,HLOOKUP(Y$28,curvesettle,2,FALSE())))</f>
        <v>0</v>
      </c>
      <c r="Z131" s="65" t="n">
        <f aca="false">IF(ISNUMBER(VLOOKUP($A131,VOLCURVES,HLOOKUP(Y$28,VOLCURVES,2,FALSE()),FALSE())),VLOOKUP($A131,VOLCURVES,HLOOKUP(Y$28,VOLCURVES,2,FALSE()),FALSE()),1)</f>
        <v>1</v>
      </c>
      <c r="AA131" s="64" t="n">
        <f aca="false">IF(Y$28="NYMEX",$AG131,$AF131)</f>
        <v>-5632</v>
      </c>
      <c r="AB131" s="4" t="e">
        <f aca="false">(($C131+AC131)*$Z131)+H$15</f>
        <v>#DIV/0!</v>
      </c>
      <c r="AC131" s="4" t="e">
        <f aca="false">IF(H$16=1,xCalcSkew($A131,AD131-BV131,b)/100,0)</f>
        <v>#DIV/0!</v>
      </c>
      <c r="AD131" s="66" t="n">
        <f aca="false">IF($H$19=4,$BV131,$H$18)</f>
        <v>2.9</v>
      </c>
      <c r="AF131" s="64" t="n">
        <f aca="false">VLOOKUP($A131,expiration,2,FALSE())-$B$2</f>
        <v>-5631</v>
      </c>
      <c r="AG131" s="64" t="n">
        <f aca="false">VLOOKUP($A131,expiration,3,FALSE())-$B$2</f>
        <v>-5632</v>
      </c>
      <c r="AH131" s="4" t="n">
        <f aca="false">VLOOKUP($A131,STRADDLE,14,FALSE())</f>
        <v>0.0572485351221919</v>
      </c>
      <c r="AI131" s="72" t="n">
        <f aca="false">A132-A131</f>
        <v>31</v>
      </c>
      <c r="AL131" s="64"/>
      <c r="AM131" s="73"/>
      <c r="AN131" s="73" t="n">
        <f aca="false">IF($A131&gt;=AO$25,IF($A131&lt;=AO$26,$AI131,0),0)</f>
        <v>0</v>
      </c>
      <c r="AO131" s="196" t="e">
        <f aca="false">AQ131/AN131</f>
        <v>#DIV/0!</v>
      </c>
      <c r="AP131" s="1" t="n">
        <f aca="false">AN131*($B131+B$13)</f>
        <v>0</v>
      </c>
      <c r="AQ131" s="47" t="n">
        <f aca="false">IF(ISNUMBER(((AP131/AN131)+B$14+$D131)*AN131),((AP131/AN131)+B$14+$D131)*AN131,0)</f>
        <v>0</v>
      </c>
      <c r="AR131" s="76" t="n">
        <f aca="false">IF(AN131=0,0,bsd(1,AS$27,AO131,$I131,$F131,$G131,$AH131,0.1))</f>
        <v>0</v>
      </c>
      <c r="AS131" s="76" t="n">
        <f aca="false">IF(AN131=0,0,bsd(2,AS$27,AO131,$I131,$F131,$G131,$AH131,0.1))</f>
        <v>0</v>
      </c>
      <c r="AT131" s="76" t="n">
        <f aca="false">IF(AN131=0,0,bsd(AS$28,AS$27,AO131,$I131,$F131,$G131,$AH131,0.1))</f>
        <v>0</v>
      </c>
      <c r="AU131" s="37" t="n">
        <f aca="false">AN131*AR131</f>
        <v>0</v>
      </c>
      <c r="AV131" s="37" t="n">
        <f aca="false">AN131*AS131</f>
        <v>0</v>
      </c>
      <c r="AW131" s="37" t="n">
        <f aca="false">AN131*AT131</f>
        <v>0</v>
      </c>
      <c r="AY131" s="73" t="n">
        <f aca="false">IF($A131&gt;=AZ$25,IF($A131&lt;=AZ$26,$AI131,0),0)</f>
        <v>0</v>
      </c>
      <c r="AZ131" s="196" t="e">
        <f aca="false">BB131/AY131</f>
        <v>#DIV/0!</v>
      </c>
      <c r="BA131" s="1" t="n">
        <f aca="false">AY131*($B131+D$13)</f>
        <v>0</v>
      </c>
      <c r="BB131" s="47" t="n">
        <f aca="false">IF(ISNUMBER(((BA131/AY131)+D$14+$K131)*AY131),((BA131/AY131)+D$14+$K131)*AY131,0)</f>
        <v>0</v>
      </c>
      <c r="BC131" s="76" t="n">
        <f aca="false">IF(AY131=0,0,bsd(1,BD$27,AZ131,$P131,$M131,$N131,$AH131,0.1))</f>
        <v>0</v>
      </c>
      <c r="BD131" s="76" t="n">
        <f aca="false">IF(AY131=0,0,bsd(2,BD$27,AZ131,$P131,$M131,$N131,$AH131,0.1))</f>
        <v>0</v>
      </c>
      <c r="BE131" s="76" t="n">
        <f aca="false">IF(AY131=0,0,bsd(BD$28,BD$27,AZ131,$P131,$M131,$N131,$AH131,0.1))</f>
        <v>0</v>
      </c>
      <c r="BF131" s="37" t="n">
        <f aca="false">AY131*BC131</f>
        <v>0</v>
      </c>
      <c r="BG131" s="37" t="n">
        <f aca="false">AY131*BD131</f>
        <v>0</v>
      </c>
      <c r="BH131" s="37" t="n">
        <f aca="false">AY131*BE131</f>
        <v>0</v>
      </c>
      <c r="BJ131" s="73" t="n">
        <f aca="false">IF($A131&gt;=BK$25,IF($A131&lt;=BK$26,$AI131,0),0)</f>
        <v>0</v>
      </c>
      <c r="BK131" s="196" t="e">
        <f aca="false">BM131/BJ131</f>
        <v>#DIV/0!</v>
      </c>
      <c r="BL131" s="1" t="n">
        <f aca="false">BJ131*($B131+F$13)</f>
        <v>0</v>
      </c>
      <c r="BM131" s="47" t="n">
        <f aca="false">IF(ISNUMBER(((BL131/BJ131)+F$14+$R131)*BJ131),((BL131/BJ131)+F$14+$R131)*BJ131,0)</f>
        <v>0</v>
      </c>
      <c r="BN131" s="76" t="n">
        <f aca="false">IF(BJ131=0,0,bsd(1,BO$27,BK131,$W131,$T131,$U131,$AH131,0.1))</f>
        <v>0</v>
      </c>
      <c r="BO131" s="76" t="n">
        <f aca="false">IF(BJ131=0,0,bsd(2,BO$27,BK131,$W131,$T131,$U131,$AH131,0.1))</f>
        <v>0</v>
      </c>
      <c r="BP131" s="76" t="n">
        <f aca="false">IF(BJ131=0,0,bsd(BO$28,BO$27,BK131,$W131,$T131,$U131,$AH131,0.1))</f>
        <v>0</v>
      </c>
      <c r="BQ131" s="37" t="n">
        <f aca="false">BJ131*BN131</f>
        <v>0</v>
      </c>
      <c r="BR131" s="37" t="n">
        <f aca="false">BJ131*BO131</f>
        <v>0</v>
      </c>
      <c r="BS131" s="37" t="n">
        <f aca="false">BJ131*BP131</f>
        <v>0</v>
      </c>
      <c r="BU131" s="73" t="n">
        <f aca="false">IF($A131&gt;=BV$25,IF($A131&lt;=BV$26,$AI131,0),0)</f>
        <v>0</v>
      </c>
      <c r="BV131" s="196" t="e">
        <f aca="false">BX131/BU131</f>
        <v>#DIV/0!</v>
      </c>
      <c r="BW131" s="1" t="n">
        <f aca="false">BU131*($B131+H$13)</f>
        <v>0</v>
      </c>
      <c r="BX131" s="47" t="n">
        <f aca="false">IF(ISNUMBER(((BW131/BU131)+H$14+$Y131)*BU131),((BW131/BU131)+H$14+$Y131)*BU131,0)</f>
        <v>0</v>
      </c>
      <c r="BY131" s="76" t="n">
        <f aca="false">IF(BU131=0,0,bsd(1,BZ$27,BV131,$AD131,$AA131,$AB131,$AH131,0.1))</f>
        <v>0</v>
      </c>
      <c r="BZ131" s="76" t="n">
        <f aca="false">IF(BU131=0,0,bsd(2,BZ$27,BV131,$AD131,$AA131,$AB131,$AH131,0.1))</f>
        <v>0</v>
      </c>
      <c r="CA131" s="76" t="n">
        <f aca="false">IF(BU131=0,0,bsd(BZ$28,BZ$27,BV131,$AD131,$AA131,$AB131,$AH131,0.1))</f>
        <v>0</v>
      </c>
      <c r="CB131" s="37" t="n">
        <f aca="false">BU131*BY131</f>
        <v>0</v>
      </c>
      <c r="CC131" s="37" t="n">
        <f aca="false">BU131*BZ131</f>
        <v>0</v>
      </c>
      <c r="CD131" s="37" t="n">
        <f aca="false">BU131*CA131</f>
        <v>0</v>
      </c>
    </row>
    <row r="132" customFormat="false" ht="12.75" hidden="false" customHeight="false" outlineLevel="0" collapsed="false">
      <c r="A132" s="62" t="n">
        <f aca="false">DATE(YEAR(A131),MONTH(A131)+1,1)</f>
        <v>40330</v>
      </c>
      <c r="B132" s="63" t="n">
        <f aca="false">VLOOKUP(A132,STRADDLE,5,FALSE())</f>
        <v>3.675</v>
      </c>
      <c r="C132" s="4" t="n">
        <f aca="false">VLOOKUP(A132,STRADDLE,8,FALSE())</f>
        <v>0.185</v>
      </c>
      <c r="D132" s="63" t="n">
        <f aca="false">IF(D$28="nymex",0,VLOOKUP($A132,curvesettle,HLOOKUP(D$28,curvesettle,2,FALSE())))</f>
        <v>-0.0725</v>
      </c>
      <c r="E132" s="65" t="n">
        <f aca="false">IF(ISNUMBER(VLOOKUP($A132,VOLCURVES,HLOOKUP(D$28,VOLCURVES,2,FALSE()),FALSE())),VLOOKUP($A132,VOLCURVES,HLOOKUP(D$28,VOLCURVES,2,FALSE()),FALSE()),1)</f>
        <v>1</v>
      </c>
      <c r="F132" s="64" t="n">
        <f aca="false">IF(D$28="NYMEX",$AG132,$AF132)</f>
        <v>-5603</v>
      </c>
      <c r="G132" s="4" t="e">
        <f aca="false">(($C132+H132)*$E132)+B$15</f>
        <v>#DIV/0!</v>
      </c>
      <c r="H132" s="4" t="e">
        <f aca="false">IF(B$16=1,xCalcSkew(A132,I132-AO132,b)/100,0)</f>
        <v>#DIV/0!</v>
      </c>
      <c r="I132" s="66" t="n">
        <f aca="false">IF($B$19=4,$AO132,$B$18)</f>
        <v>5</v>
      </c>
      <c r="K132" s="63" t="n">
        <f aca="false">IF(K$28="nymex",0,VLOOKUP($A132,curvesettle,HLOOKUP(K$28,curvesettle,2,FALSE())))</f>
        <v>-0.0725</v>
      </c>
      <c r="L132" s="65" t="n">
        <f aca="false">IF(ISNUMBER(VLOOKUP($A132,VOLCURVES,HLOOKUP(K$28,VOLCURVES,2,FALSE()),FALSE())),VLOOKUP($A132,VOLCURVES,HLOOKUP(K$28,VOLCURVES,2,FALSE()),FALSE()),1)</f>
        <v>1</v>
      </c>
      <c r="M132" s="64" t="n">
        <f aca="false">IF(K$28="NYMEX",$AG132,$AF132)</f>
        <v>-5603</v>
      </c>
      <c r="N132" s="184" t="e">
        <f aca="false">(($C132+O132)*$L132)+D$15</f>
        <v>#DIV/0!</v>
      </c>
      <c r="O132" s="4" t="e">
        <f aca="false">IF(D$16=1,xCalcSkew($A132,P132-AZ132,b)/100,0)</f>
        <v>#DIV/0!</v>
      </c>
      <c r="P132" s="66" t="n">
        <f aca="false">IF($D$19=4,$AZ132,$D$18)</f>
        <v>3</v>
      </c>
      <c r="R132" s="63" t="n">
        <f aca="false">IF(R$28="nymex",0,VLOOKUP($A132,curvesettle,HLOOKUP(R$28,curvesettle,2,FALSE())))</f>
        <v>-0.37</v>
      </c>
      <c r="S132" s="65" t="n">
        <f aca="false">IF(ISNUMBER(VLOOKUP($A132,VOLCURVES,HLOOKUP(R$28,VOLCURVES,2,FALSE()),FALSE())),VLOOKUP($A132,VOLCURVES,HLOOKUP(R$28,VOLCURVES,2,FALSE()),FALSE()),1)</f>
        <v>1</v>
      </c>
      <c r="T132" s="64" t="n">
        <f aca="false">IF(R$28="NYMEX",$AG132,$AF132)</f>
        <v>-5603</v>
      </c>
      <c r="U132" s="184" t="e">
        <f aca="false">(($C132+V132)*$S132)+F$15</f>
        <v>#DIV/0!</v>
      </c>
      <c r="V132" s="4" t="e">
        <f aca="false">IF(F$16=1,xCalcSkew($A132,W132-BK132,b)/100,0)</f>
        <v>#DIV/0!</v>
      </c>
      <c r="W132" s="66" t="n">
        <f aca="false">IF($F$19=4,$BK132,$F$18)</f>
        <v>2.55</v>
      </c>
      <c r="X132" s="64"/>
      <c r="Y132" s="63" t="n">
        <f aca="false">IF(Y$28="nymex",0,VLOOKUP($A132,curvesettle,HLOOKUP(Y$28,curvesettle,2,FALSE())))</f>
        <v>0</v>
      </c>
      <c r="Z132" s="65" t="n">
        <f aca="false">IF(ISNUMBER(VLOOKUP($A132,VOLCURVES,HLOOKUP(Y$28,VOLCURVES,2,FALSE()),FALSE())),VLOOKUP($A132,VOLCURVES,HLOOKUP(Y$28,VOLCURVES,2,FALSE()),FALSE()),1)</f>
        <v>1</v>
      </c>
      <c r="AA132" s="64" t="n">
        <f aca="false">IF(Y$28="NYMEX",$AG132,$AF132)</f>
        <v>-5604</v>
      </c>
      <c r="AB132" s="4" t="e">
        <f aca="false">(($C132+AC132)*$Z132)+H$15</f>
        <v>#DIV/0!</v>
      </c>
      <c r="AC132" s="4" t="e">
        <f aca="false">IF(H$16=1,xCalcSkew($A132,AD132-BV132,b)/100,0)</f>
        <v>#DIV/0!</v>
      </c>
      <c r="AD132" s="66" t="n">
        <f aca="false">IF($H$19=4,$BV132,$H$18)</f>
        <v>2.9</v>
      </c>
      <c r="AF132" s="64" t="n">
        <f aca="false">VLOOKUP($A132,expiration,2,FALSE())-$B$2</f>
        <v>-5603</v>
      </c>
      <c r="AG132" s="64" t="n">
        <f aca="false">VLOOKUP($A132,expiration,3,FALSE())-$B$2</f>
        <v>-5604</v>
      </c>
      <c r="AH132" s="4" t="n">
        <f aca="false">VLOOKUP($A132,STRADDLE,14,FALSE())</f>
        <v>0.0573520335615627</v>
      </c>
      <c r="AI132" s="72" t="n">
        <f aca="false">A133-A132</f>
        <v>30</v>
      </c>
      <c r="AL132" s="64"/>
      <c r="AM132" s="73"/>
      <c r="AN132" s="73" t="n">
        <f aca="false">IF($A132&gt;=AO$25,IF($A132&lt;=AO$26,$AI132,0),0)</f>
        <v>0</v>
      </c>
      <c r="AO132" s="196" t="e">
        <f aca="false">AQ132/AN132</f>
        <v>#DIV/0!</v>
      </c>
      <c r="AP132" s="1" t="n">
        <f aca="false">AN132*($B132+B$13)</f>
        <v>0</v>
      </c>
      <c r="AQ132" s="47" t="n">
        <f aca="false">IF(ISNUMBER(((AP132/AN132)+B$14+$D132)*AN132),((AP132/AN132)+B$14+$D132)*AN132,0)</f>
        <v>0</v>
      </c>
      <c r="AR132" s="76" t="n">
        <f aca="false">IF(AN132=0,0,bsd(1,AS$27,AO132,$I132,$F132,$G132,$AH132,0.1))</f>
        <v>0</v>
      </c>
      <c r="AS132" s="76" t="n">
        <f aca="false">IF(AN132=0,0,bsd(2,AS$27,AO132,$I132,$F132,$G132,$AH132,0.1))</f>
        <v>0</v>
      </c>
      <c r="AT132" s="76" t="n">
        <f aca="false">IF(AN132=0,0,bsd(AS$28,AS$27,AO132,$I132,$F132,$G132,$AH132,0.1))</f>
        <v>0</v>
      </c>
      <c r="AU132" s="37" t="n">
        <f aca="false">AN132*AR132</f>
        <v>0</v>
      </c>
      <c r="AV132" s="37" t="n">
        <f aca="false">AN132*AS132</f>
        <v>0</v>
      </c>
      <c r="AW132" s="37" t="n">
        <f aca="false">AN132*AT132</f>
        <v>0</v>
      </c>
      <c r="AY132" s="73" t="n">
        <f aca="false">IF($A132&gt;=AZ$25,IF($A132&lt;=AZ$26,$AI132,0),0)</f>
        <v>0</v>
      </c>
      <c r="AZ132" s="196" t="e">
        <f aca="false">BB132/AY132</f>
        <v>#DIV/0!</v>
      </c>
      <c r="BA132" s="1" t="n">
        <f aca="false">AY132*($B132+D$13)</f>
        <v>0</v>
      </c>
      <c r="BB132" s="47" t="n">
        <f aca="false">IF(ISNUMBER(((BA132/AY132)+D$14+$K132)*AY132),((BA132/AY132)+D$14+$K132)*AY132,0)</f>
        <v>0</v>
      </c>
      <c r="BC132" s="76" t="n">
        <f aca="false">IF(AY132=0,0,bsd(1,BD$27,AZ132,$P132,$M132,$N132,$AH132,0.1))</f>
        <v>0</v>
      </c>
      <c r="BD132" s="76" t="n">
        <f aca="false">IF(AY132=0,0,bsd(2,BD$27,AZ132,$P132,$M132,$N132,$AH132,0.1))</f>
        <v>0</v>
      </c>
      <c r="BE132" s="76" t="n">
        <f aca="false">IF(AY132=0,0,bsd(BD$28,BD$27,AZ132,$P132,$M132,$N132,$AH132,0.1))</f>
        <v>0</v>
      </c>
      <c r="BF132" s="37" t="n">
        <f aca="false">AY132*BC132</f>
        <v>0</v>
      </c>
      <c r="BG132" s="37" t="n">
        <f aca="false">AY132*BD132</f>
        <v>0</v>
      </c>
      <c r="BH132" s="37" t="n">
        <f aca="false">AY132*BE132</f>
        <v>0</v>
      </c>
      <c r="BJ132" s="73" t="n">
        <f aca="false">IF($A132&gt;=BK$25,IF($A132&lt;=BK$26,$AI132,0),0)</f>
        <v>0</v>
      </c>
      <c r="BK132" s="196" t="e">
        <f aca="false">BM132/BJ132</f>
        <v>#DIV/0!</v>
      </c>
      <c r="BL132" s="1" t="n">
        <f aca="false">BJ132*($B132+F$13)</f>
        <v>0</v>
      </c>
      <c r="BM132" s="47" t="n">
        <f aca="false">IF(ISNUMBER(((BL132/BJ132)+F$14+$R132)*BJ132),((BL132/BJ132)+F$14+$R132)*BJ132,0)</f>
        <v>0</v>
      </c>
      <c r="BN132" s="76" t="n">
        <f aca="false">IF(BJ132=0,0,bsd(1,BO$27,BK132,$W132,$T132,$U132,$AH132,0.1))</f>
        <v>0</v>
      </c>
      <c r="BO132" s="76" t="n">
        <f aca="false">IF(BJ132=0,0,bsd(2,BO$27,BK132,$W132,$T132,$U132,$AH132,0.1))</f>
        <v>0</v>
      </c>
      <c r="BP132" s="76" t="n">
        <f aca="false">IF(BJ132=0,0,bsd(BO$28,BO$27,BK132,$W132,$T132,$U132,$AH132,0.1))</f>
        <v>0</v>
      </c>
      <c r="BQ132" s="37" t="n">
        <f aca="false">BJ132*BN132</f>
        <v>0</v>
      </c>
      <c r="BR132" s="37" t="n">
        <f aca="false">BJ132*BO132</f>
        <v>0</v>
      </c>
      <c r="BS132" s="37" t="n">
        <f aca="false">BJ132*BP132</f>
        <v>0</v>
      </c>
      <c r="BU132" s="73" t="n">
        <f aca="false">IF($A132&gt;=BV$25,IF($A132&lt;=BV$26,$AI132,0),0)</f>
        <v>0</v>
      </c>
      <c r="BV132" s="196" t="e">
        <f aca="false">BX132/BU132</f>
        <v>#DIV/0!</v>
      </c>
      <c r="BW132" s="1" t="n">
        <f aca="false">BU132*($B132+H$13)</f>
        <v>0</v>
      </c>
      <c r="BX132" s="47" t="n">
        <f aca="false">IF(ISNUMBER(((BW132/BU132)+H$14+$Y132)*BU132),((BW132/BU132)+H$14+$Y132)*BU132,0)</f>
        <v>0</v>
      </c>
      <c r="BY132" s="76" t="n">
        <f aca="false">IF(BU132=0,0,bsd(1,BZ$27,BV132,$AD132,$AA132,$AB132,$AH132,0.1))</f>
        <v>0</v>
      </c>
      <c r="BZ132" s="76" t="n">
        <f aca="false">IF(BU132=0,0,bsd(2,BZ$27,BV132,$AD132,$AA132,$AB132,$AH132,0.1))</f>
        <v>0</v>
      </c>
      <c r="CA132" s="76" t="n">
        <f aca="false">IF(BU132=0,0,bsd(BZ$28,BZ$27,BV132,$AD132,$AA132,$AB132,$AH132,0.1))</f>
        <v>0</v>
      </c>
      <c r="CB132" s="37" t="n">
        <f aca="false">BU132*BY132</f>
        <v>0</v>
      </c>
      <c r="CC132" s="37" t="n">
        <f aca="false">BU132*BZ132</f>
        <v>0</v>
      </c>
      <c r="CD132" s="37" t="n">
        <f aca="false">BU132*CA132</f>
        <v>0</v>
      </c>
    </row>
    <row r="133" customFormat="false" ht="12.75" hidden="false" customHeight="false" outlineLevel="0" collapsed="false">
      <c r="A133" s="62" t="n">
        <f aca="false">DATE(YEAR(A132),MONTH(A132)+1,1)</f>
        <v>40360</v>
      </c>
      <c r="B133" s="63" t="n">
        <f aca="false">VLOOKUP(A133,STRADDLE,5,FALSE())</f>
        <v>3.715</v>
      </c>
      <c r="C133" s="4" t="n">
        <f aca="false">VLOOKUP(A133,STRADDLE,8,FALSE())</f>
        <v>0.185</v>
      </c>
      <c r="D133" s="63" t="n">
        <f aca="false">IF(D$28="nymex",0,VLOOKUP($A133,curvesettle,HLOOKUP(D$28,curvesettle,2,FALSE())))</f>
        <v>-0.0725</v>
      </c>
      <c r="E133" s="65" t="n">
        <f aca="false">IF(ISNUMBER(VLOOKUP($A133,VOLCURVES,HLOOKUP(D$28,VOLCURVES,2,FALSE()),FALSE())),VLOOKUP($A133,VOLCURVES,HLOOKUP(D$28,VOLCURVES,2,FALSE()),FALSE()),1)</f>
        <v>1</v>
      </c>
      <c r="F133" s="64" t="n">
        <f aca="false">IF(D$28="NYMEX",$AG133,$AF133)</f>
        <v>-5570</v>
      </c>
      <c r="G133" s="4" t="e">
        <f aca="false">(($C133+H133)*$E133)+B$15</f>
        <v>#DIV/0!</v>
      </c>
      <c r="H133" s="4" t="e">
        <f aca="false">IF(B$16=1,xCalcSkew(A133,I133-AO133,b)/100,0)</f>
        <v>#DIV/0!</v>
      </c>
      <c r="I133" s="66" t="n">
        <f aca="false">IF($B$19=4,$AO133,$B$18)</f>
        <v>5</v>
      </c>
      <c r="K133" s="63" t="n">
        <f aca="false">IF(K$28="nymex",0,VLOOKUP($A133,curvesettle,HLOOKUP(K$28,curvesettle,2,FALSE())))</f>
        <v>-0.0725</v>
      </c>
      <c r="L133" s="65" t="n">
        <f aca="false">IF(ISNUMBER(VLOOKUP($A133,VOLCURVES,HLOOKUP(K$28,VOLCURVES,2,FALSE()),FALSE())),VLOOKUP($A133,VOLCURVES,HLOOKUP(K$28,VOLCURVES,2,FALSE()),FALSE()),1)</f>
        <v>1</v>
      </c>
      <c r="M133" s="64" t="n">
        <f aca="false">IF(K$28="NYMEX",$AG133,$AF133)</f>
        <v>-5570</v>
      </c>
      <c r="N133" s="184" t="e">
        <f aca="false">(($C133+O133)*$L133)+D$15</f>
        <v>#DIV/0!</v>
      </c>
      <c r="O133" s="4" t="e">
        <f aca="false">IF(D$16=1,xCalcSkew($A133,P133-AZ133,b)/100,0)</f>
        <v>#DIV/0!</v>
      </c>
      <c r="P133" s="66" t="n">
        <f aca="false">IF($D$19=4,$AZ133,$D$18)</f>
        <v>3</v>
      </c>
      <c r="R133" s="63" t="n">
        <f aca="false">IF(R$28="nymex",0,VLOOKUP($A133,curvesettle,HLOOKUP(R$28,curvesettle,2,FALSE())))</f>
        <v>-0.37</v>
      </c>
      <c r="S133" s="65" t="n">
        <f aca="false">IF(ISNUMBER(VLOOKUP($A133,VOLCURVES,HLOOKUP(R$28,VOLCURVES,2,FALSE()),FALSE())),VLOOKUP($A133,VOLCURVES,HLOOKUP(R$28,VOLCURVES,2,FALSE()),FALSE()),1)</f>
        <v>1</v>
      </c>
      <c r="T133" s="64" t="n">
        <f aca="false">IF(R$28="NYMEX",$AG133,$AF133)</f>
        <v>-5570</v>
      </c>
      <c r="U133" s="184" t="e">
        <f aca="false">(($C133+V133)*$S133)+F$15</f>
        <v>#DIV/0!</v>
      </c>
      <c r="V133" s="4" t="e">
        <f aca="false">IF(F$16=1,xCalcSkew($A133,W133-BK133,b)/100,0)</f>
        <v>#DIV/0!</v>
      </c>
      <c r="W133" s="66" t="n">
        <f aca="false">IF($F$19=4,$BK133,$F$18)</f>
        <v>2.55</v>
      </c>
      <c r="X133" s="64"/>
      <c r="Y133" s="63" t="n">
        <f aca="false">IF(Y$28="nymex",0,VLOOKUP($A133,curvesettle,HLOOKUP(Y$28,curvesettle,2,FALSE())))</f>
        <v>0</v>
      </c>
      <c r="Z133" s="65" t="n">
        <f aca="false">IF(ISNUMBER(VLOOKUP($A133,VOLCURVES,HLOOKUP(Y$28,VOLCURVES,2,FALSE()),FALSE())),VLOOKUP($A133,VOLCURVES,HLOOKUP(Y$28,VOLCURVES,2,FALSE()),FALSE()),1)</f>
        <v>1</v>
      </c>
      <c r="AA133" s="64" t="n">
        <f aca="false">IF(Y$28="NYMEX",$AG133,$AF133)</f>
        <v>-5573</v>
      </c>
      <c r="AB133" s="4" t="e">
        <f aca="false">(($C133+AC133)*$Z133)+H$15</f>
        <v>#DIV/0!</v>
      </c>
      <c r="AC133" s="4" t="e">
        <f aca="false">IF(H$16=1,xCalcSkew($A133,AD133-BV133,b)/100,0)</f>
        <v>#DIV/0!</v>
      </c>
      <c r="AD133" s="66" t="n">
        <f aca="false">IF($H$19=4,$BV133,$H$18)</f>
        <v>2.9</v>
      </c>
      <c r="AF133" s="64" t="n">
        <f aca="false">VLOOKUP($A133,expiration,2,FALSE())-$B$2</f>
        <v>-5570</v>
      </c>
      <c r="AG133" s="64" t="n">
        <f aca="false">VLOOKUP($A133,expiration,3,FALSE())-$B$2</f>
        <v>-5573</v>
      </c>
      <c r="AH133" s="4" t="n">
        <f aca="false">VLOOKUP($A133,STRADDLE,14,FALSE())</f>
        <v>0.0574521933449916</v>
      </c>
      <c r="AI133" s="72" t="n">
        <f aca="false">A134-A133</f>
        <v>31</v>
      </c>
      <c r="AL133" s="64"/>
      <c r="AM133" s="73"/>
      <c r="AN133" s="73" t="n">
        <f aca="false">IF($A133&gt;=AO$25,IF($A133&lt;=AO$26,$AI133,0),0)</f>
        <v>0</v>
      </c>
      <c r="AO133" s="196" t="e">
        <f aca="false">AQ133/AN133</f>
        <v>#DIV/0!</v>
      </c>
      <c r="AP133" s="1" t="n">
        <f aca="false">AN133*($B133+B$13)</f>
        <v>0</v>
      </c>
      <c r="AQ133" s="47" t="n">
        <f aca="false">IF(ISNUMBER(((AP133/AN133)+B$14+$D133)*AN133),((AP133/AN133)+B$14+$D133)*AN133,0)</f>
        <v>0</v>
      </c>
      <c r="AR133" s="76" t="n">
        <f aca="false">IF(AN133=0,0,bsd(1,AS$27,AO133,$I133,$F133,$G133,$AH133,0.1))</f>
        <v>0</v>
      </c>
      <c r="AS133" s="76" t="n">
        <f aca="false">IF(AN133=0,0,bsd(2,AS$27,AO133,$I133,$F133,$G133,$AH133,0.1))</f>
        <v>0</v>
      </c>
      <c r="AT133" s="76" t="n">
        <f aca="false">IF(AN133=0,0,bsd(AS$28,AS$27,AO133,$I133,$F133,$G133,$AH133,0.1))</f>
        <v>0</v>
      </c>
      <c r="AU133" s="37" t="n">
        <f aca="false">AN133*AR133</f>
        <v>0</v>
      </c>
      <c r="AV133" s="37" t="n">
        <f aca="false">AN133*AS133</f>
        <v>0</v>
      </c>
      <c r="AW133" s="37" t="n">
        <f aca="false">AN133*AT133</f>
        <v>0</v>
      </c>
      <c r="AY133" s="73" t="n">
        <f aca="false">IF($A133&gt;=AZ$25,IF($A133&lt;=AZ$26,$AI133,0),0)</f>
        <v>0</v>
      </c>
      <c r="AZ133" s="196" t="e">
        <f aca="false">BB133/AY133</f>
        <v>#DIV/0!</v>
      </c>
      <c r="BA133" s="1" t="n">
        <f aca="false">AY133*($B133+D$13)</f>
        <v>0</v>
      </c>
      <c r="BB133" s="47" t="n">
        <f aca="false">IF(ISNUMBER(((BA133/AY133)+D$14+$K133)*AY133),((BA133/AY133)+D$14+$K133)*AY133,0)</f>
        <v>0</v>
      </c>
      <c r="BC133" s="76" t="n">
        <f aca="false">IF(AY133=0,0,bsd(1,BD$27,AZ133,$P133,$M133,$N133,$AH133,0.1))</f>
        <v>0</v>
      </c>
      <c r="BD133" s="76" t="n">
        <f aca="false">IF(AY133=0,0,bsd(2,BD$27,AZ133,$P133,$M133,$N133,$AH133,0.1))</f>
        <v>0</v>
      </c>
      <c r="BE133" s="76" t="n">
        <f aca="false">IF(AY133=0,0,bsd(BD$28,BD$27,AZ133,$P133,$M133,$N133,$AH133,0.1))</f>
        <v>0</v>
      </c>
      <c r="BF133" s="37" t="n">
        <f aca="false">AY133*BC133</f>
        <v>0</v>
      </c>
      <c r="BG133" s="37" t="n">
        <f aca="false">AY133*BD133</f>
        <v>0</v>
      </c>
      <c r="BH133" s="37" t="n">
        <f aca="false">AY133*BE133</f>
        <v>0</v>
      </c>
      <c r="BJ133" s="73" t="n">
        <f aca="false">IF($A133&gt;=BK$25,IF($A133&lt;=BK$26,$AI133,0),0)</f>
        <v>0</v>
      </c>
      <c r="BK133" s="196" t="e">
        <f aca="false">BM133/BJ133</f>
        <v>#DIV/0!</v>
      </c>
      <c r="BL133" s="1" t="n">
        <f aca="false">BJ133*($B133+F$13)</f>
        <v>0</v>
      </c>
      <c r="BM133" s="47" t="n">
        <f aca="false">IF(ISNUMBER(((BL133/BJ133)+F$14+$R133)*BJ133),((BL133/BJ133)+F$14+$R133)*BJ133,0)</f>
        <v>0</v>
      </c>
      <c r="BN133" s="76" t="n">
        <f aca="false">IF(BJ133=0,0,bsd(1,BO$27,BK133,$W133,$T133,$U133,$AH133,0.1))</f>
        <v>0</v>
      </c>
      <c r="BO133" s="76" t="n">
        <f aca="false">IF(BJ133=0,0,bsd(2,BO$27,BK133,$W133,$T133,$U133,$AH133,0.1))</f>
        <v>0</v>
      </c>
      <c r="BP133" s="76" t="n">
        <f aca="false">IF(BJ133=0,0,bsd(BO$28,BO$27,BK133,$W133,$T133,$U133,$AH133,0.1))</f>
        <v>0</v>
      </c>
      <c r="BQ133" s="37" t="n">
        <f aca="false">BJ133*BN133</f>
        <v>0</v>
      </c>
      <c r="BR133" s="37" t="n">
        <f aca="false">BJ133*BO133</f>
        <v>0</v>
      </c>
      <c r="BS133" s="37" t="n">
        <f aca="false">BJ133*BP133</f>
        <v>0</v>
      </c>
      <c r="BU133" s="73" t="n">
        <f aca="false">IF($A133&gt;=BV$25,IF($A133&lt;=BV$26,$AI133,0),0)</f>
        <v>0</v>
      </c>
      <c r="BV133" s="196" t="e">
        <f aca="false">BX133/BU133</f>
        <v>#DIV/0!</v>
      </c>
      <c r="BW133" s="1" t="n">
        <f aca="false">BU133*($B133+H$13)</f>
        <v>0</v>
      </c>
      <c r="BX133" s="47" t="n">
        <f aca="false">IF(ISNUMBER(((BW133/BU133)+H$14+$Y133)*BU133),((BW133/BU133)+H$14+$Y133)*BU133,0)</f>
        <v>0</v>
      </c>
      <c r="BY133" s="76" t="n">
        <f aca="false">IF(BU133=0,0,bsd(1,BZ$27,BV133,$AD133,$AA133,$AB133,$AH133,0.1))</f>
        <v>0</v>
      </c>
      <c r="BZ133" s="76" t="n">
        <f aca="false">IF(BU133=0,0,bsd(2,BZ$27,BV133,$AD133,$AA133,$AB133,$AH133,0.1))</f>
        <v>0</v>
      </c>
      <c r="CA133" s="76" t="n">
        <f aca="false">IF(BU133=0,0,bsd(BZ$28,BZ$27,BV133,$AD133,$AA133,$AB133,$AH133,0.1))</f>
        <v>0</v>
      </c>
      <c r="CB133" s="37" t="n">
        <f aca="false">BU133*BY133</f>
        <v>0</v>
      </c>
      <c r="CC133" s="37" t="n">
        <f aca="false">BU133*BZ133</f>
        <v>0</v>
      </c>
      <c r="CD133" s="37" t="n">
        <f aca="false">BU133*CA133</f>
        <v>0</v>
      </c>
    </row>
    <row r="134" customFormat="false" ht="12.75" hidden="false" customHeight="false" outlineLevel="0" collapsed="false">
      <c r="A134" s="62" t="n">
        <f aca="false">DATE(YEAR(A133),MONTH(A133)+1,1)</f>
        <v>40391</v>
      </c>
      <c r="B134" s="63" t="n">
        <f aca="false">VLOOKUP(A134,STRADDLE,5,FALSE())</f>
        <v>3.755</v>
      </c>
      <c r="C134" s="4" t="n">
        <f aca="false">VLOOKUP(A134,STRADDLE,8,FALSE())</f>
        <v>0.185</v>
      </c>
      <c r="D134" s="63" t="n">
        <f aca="false">IF(D$28="nymex",0,VLOOKUP($A134,curvesettle,HLOOKUP(D$28,curvesettle,2,FALSE())))</f>
        <v>-0.0725</v>
      </c>
      <c r="E134" s="65" t="n">
        <f aca="false">IF(ISNUMBER(VLOOKUP($A134,VOLCURVES,HLOOKUP(D$28,VOLCURVES,2,FALSE()),FALSE())),VLOOKUP($A134,VOLCURVES,HLOOKUP(D$28,VOLCURVES,2,FALSE()),FALSE()),1)</f>
        <v>1</v>
      </c>
      <c r="F134" s="64" t="n">
        <f aca="false">IF(D$28="NYMEX",$AG134,$AF134)</f>
        <v>-5540</v>
      </c>
      <c r="G134" s="4" t="e">
        <f aca="false">(($C134+H134)*$E134)+B$15</f>
        <v>#DIV/0!</v>
      </c>
      <c r="H134" s="4" t="e">
        <f aca="false">IF(B$16=1,xCalcSkew(A134,I134-AO134,b)/100,0)</f>
        <v>#DIV/0!</v>
      </c>
      <c r="I134" s="66" t="n">
        <f aca="false">IF($B$19=4,$AO134,$B$18)</f>
        <v>5</v>
      </c>
      <c r="K134" s="63" t="n">
        <f aca="false">IF(K$28="nymex",0,VLOOKUP($A134,curvesettle,HLOOKUP(K$28,curvesettle,2,FALSE())))</f>
        <v>-0.0725</v>
      </c>
      <c r="L134" s="65" t="n">
        <f aca="false">IF(ISNUMBER(VLOOKUP($A134,VOLCURVES,HLOOKUP(K$28,VOLCURVES,2,FALSE()),FALSE())),VLOOKUP($A134,VOLCURVES,HLOOKUP(K$28,VOLCURVES,2,FALSE()),FALSE()),1)</f>
        <v>1</v>
      </c>
      <c r="M134" s="64" t="n">
        <f aca="false">IF(K$28="NYMEX",$AG134,$AF134)</f>
        <v>-5540</v>
      </c>
      <c r="N134" s="184" t="e">
        <f aca="false">(($C134+O134)*$L134)+D$15</f>
        <v>#DIV/0!</v>
      </c>
      <c r="O134" s="4" t="e">
        <f aca="false">IF(D$16=1,xCalcSkew($A134,P134-AZ134,b)/100,0)</f>
        <v>#DIV/0!</v>
      </c>
      <c r="P134" s="66" t="n">
        <f aca="false">IF($D$19=4,$AZ134,$D$18)</f>
        <v>3</v>
      </c>
      <c r="R134" s="63" t="n">
        <f aca="false">IF(R$28="nymex",0,VLOOKUP($A134,curvesettle,HLOOKUP(R$28,curvesettle,2,FALSE())))</f>
        <v>-0.37</v>
      </c>
      <c r="S134" s="65" t="n">
        <f aca="false">IF(ISNUMBER(VLOOKUP($A134,VOLCURVES,HLOOKUP(R$28,VOLCURVES,2,FALSE()),FALSE())),VLOOKUP($A134,VOLCURVES,HLOOKUP(R$28,VOLCURVES,2,FALSE()),FALSE()),1)</f>
        <v>1</v>
      </c>
      <c r="T134" s="64" t="n">
        <f aca="false">IF(R$28="NYMEX",$AG134,$AF134)</f>
        <v>-5540</v>
      </c>
      <c r="U134" s="184" t="e">
        <f aca="false">(($C134+V134)*$S134)+F$15</f>
        <v>#DIV/0!</v>
      </c>
      <c r="V134" s="4" t="e">
        <f aca="false">IF(F$16=1,xCalcSkew($A134,W134-BK134,b)/100,0)</f>
        <v>#DIV/0!</v>
      </c>
      <c r="W134" s="66" t="n">
        <f aca="false">IF($F$19=4,$BK134,$F$18)</f>
        <v>2.55</v>
      </c>
      <c r="X134" s="64"/>
      <c r="Y134" s="63" t="n">
        <f aca="false">IF(Y$28="nymex",0,VLOOKUP($A134,curvesettle,HLOOKUP(Y$28,curvesettle,2,FALSE())))</f>
        <v>0</v>
      </c>
      <c r="Z134" s="65" t="n">
        <f aca="false">IF(ISNUMBER(VLOOKUP($A134,VOLCURVES,HLOOKUP(Y$28,VOLCURVES,2,FALSE()),FALSE())),VLOOKUP($A134,VOLCURVES,HLOOKUP(Y$28,VOLCURVES,2,FALSE()),FALSE()),1)</f>
        <v>1</v>
      </c>
      <c r="AA134" s="64" t="n">
        <f aca="false">IF(Y$28="NYMEX",$AG134,$AF134)</f>
        <v>-5541</v>
      </c>
      <c r="AB134" s="4" t="e">
        <f aca="false">(($C134+AC134)*$Z134)+H$15</f>
        <v>#DIV/0!</v>
      </c>
      <c r="AC134" s="4" t="e">
        <f aca="false">IF(H$16=1,xCalcSkew($A134,AD134-BV134,b)/100,0)</f>
        <v>#DIV/0!</v>
      </c>
      <c r="AD134" s="66" t="n">
        <f aca="false">IF($H$19=4,$BV134,$H$18)</f>
        <v>2.9</v>
      </c>
      <c r="AF134" s="64" t="n">
        <f aca="false">VLOOKUP($A134,expiration,2,FALSE())-$B$2</f>
        <v>-5540</v>
      </c>
      <c r="AG134" s="64" t="n">
        <f aca="false">VLOOKUP($A134,expiration,3,FALSE())-$B$2</f>
        <v>-5541</v>
      </c>
      <c r="AH134" s="4" t="n">
        <f aca="false">VLOOKUP($A134,STRADDLE,14,FALSE())</f>
        <v>0.0575556917913746</v>
      </c>
      <c r="AI134" s="72" t="n">
        <f aca="false">A135-A134</f>
        <v>31</v>
      </c>
      <c r="AL134" s="64"/>
      <c r="AM134" s="73"/>
      <c r="AN134" s="73" t="n">
        <f aca="false">IF($A134&gt;=AO$25,IF($A134&lt;=AO$26,$AI134,0),0)</f>
        <v>0</v>
      </c>
      <c r="AO134" s="196" t="e">
        <f aca="false">AQ134/AN134</f>
        <v>#DIV/0!</v>
      </c>
      <c r="AP134" s="1" t="n">
        <f aca="false">AN134*($B134+B$13)</f>
        <v>0</v>
      </c>
      <c r="AQ134" s="47" t="n">
        <f aca="false">IF(ISNUMBER(((AP134/AN134)+B$14+$D134)*AN134),((AP134/AN134)+B$14+$D134)*AN134,0)</f>
        <v>0</v>
      </c>
      <c r="AR134" s="76" t="n">
        <f aca="false">IF(AN134=0,0,bsd(1,AS$27,AO134,$I134,$F134,$G134,$AH134,0.1))</f>
        <v>0</v>
      </c>
      <c r="AS134" s="76" t="n">
        <f aca="false">IF(AN134=0,0,bsd(2,AS$27,AO134,$I134,$F134,$G134,$AH134,0.1))</f>
        <v>0</v>
      </c>
      <c r="AT134" s="76" t="n">
        <f aca="false">IF(AN134=0,0,bsd(AS$28,AS$27,AO134,$I134,$F134,$G134,$AH134,0.1))</f>
        <v>0</v>
      </c>
      <c r="AU134" s="37" t="n">
        <f aca="false">AN134*AR134</f>
        <v>0</v>
      </c>
      <c r="AV134" s="37" t="n">
        <f aca="false">AN134*AS134</f>
        <v>0</v>
      </c>
      <c r="AW134" s="37" t="n">
        <f aca="false">AN134*AT134</f>
        <v>0</v>
      </c>
      <c r="AY134" s="73" t="n">
        <f aca="false">IF($A134&gt;=AZ$25,IF($A134&lt;=AZ$26,$AI134,0),0)</f>
        <v>0</v>
      </c>
      <c r="AZ134" s="196" t="e">
        <f aca="false">BB134/AY134</f>
        <v>#DIV/0!</v>
      </c>
      <c r="BA134" s="1" t="n">
        <f aca="false">AY134*($B134+D$13)</f>
        <v>0</v>
      </c>
      <c r="BB134" s="47" t="n">
        <f aca="false">IF(ISNUMBER(((BA134/AY134)+D$14+$K134)*AY134),((BA134/AY134)+D$14+$K134)*AY134,0)</f>
        <v>0</v>
      </c>
      <c r="BC134" s="76" t="n">
        <f aca="false">IF(AY134=0,0,bsd(1,BD$27,AZ134,$P134,$M134,$N134,$AH134,0.1))</f>
        <v>0</v>
      </c>
      <c r="BD134" s="76" t="n">
        <f aca="false">IF(AY134=0,0,bsd(2,BD$27,AZ134,$P134,$M134,$N134,$AH134,0.1))</f>
        <v>0</v>
      </c>
      <c r="BE134" s="76" t="n">
        <f aca="false">IF(AY134=0,0,bsd(BD$28,BD$27,AZ134,$P134,$M134,$N134,$AH134,0.1))</f>
        <v>0</v>
      </c>
      <c r="BF134" s="37" t="n">
        <f aca="false">AY134*BC134</f>
        <v>0</v>
      </c>
      <c r="BG134" s="37" t="n">
        <f aca="false">AY134*BD134</f>
        <v>0</v>
      </c>
      <c r="BH134" s="37" t="n">
        <f aca="false">AY134*BE134</f>
        <v>0</v>
      </c>
      <c r="BJ134" s="73" t="n">
        <f aca="false">IF($A134&gt;=BK$25,IF($A134&lt;=BK$26,$AI134,0),0)</f>
        <v>0</v>
      </c>
      <c r="BK134" s="196" t="e">
        <f aca="false">BM134/BJ134</f>
        <v>#DIV/0!</v>
      </c>
      <c r="BL134" s="1" t="n">
        <f aca="false">BJ134*($B134+F$13)</f>
        <v>0</v>
      </c>
      <c r="BM134" s="47" t="n">
        <f aca="false">IF(ISNUMBER(((BL134/BJ134)+F$14+$R134)*BJ134),((BL134/BJ134)+F$14+$R134)*BJ134,0)</f>
        <v>0</v>
      </c>
      <c r="BN134" s="76" t="n">
        <f aca="false">IF(BJ134=0,0,bsd(1,BO$27,BK134,$W134,$T134,$U134,$AH134,0.1))</f>
        <v>0</v>
      </c>
      <c r="BO134" s="76" t="n">
        <f aca="false">IF(BJ134=0,0,bsd(2,BO$27,BK134,$W134,$T134,$U134,$AH134,0.1))</f>
        <v>0</v>
      </c>
      <c r="BP134" s="76" t="n">
        <f aca="false">IF(BJ134=0,0,bsd(BO$28,BO$27,BK134,$W134,$T134,$U134,$AH134,0.1))</f>
        <v>0</v>
      </c>
      <c r="BQ134" s="37" t="n">
        <f aca="false">BJ134*BN134</f>
        <v>0</v>
      </c>
      <c r="BR134" s="37" t="n">
        <f aca="false">BJ134*BO134</f>
        <v>0</v>
      </c>
      <c r="BS134" s="37" t="n">
        <f aca="false">BJ134*BP134</f>
        <v>0</v>
      </c>
      <c r="BU134" s="73" t="n">
        <f aca="false">IF($A134&gt;=BV$25,IF($A134&lt;=BV$26,$AI134,0),0)</f>
        <v>0</v>
      </c>
      <c r="BV134" s="196" t="e">
        <f aca="false">BX134/BU134</f>
        <v>#DIV/0!</v>
      </c>
      <c r="BW134" s="1" t="n">
        <f aca="false">BU134*($B134+H$13)</f>
        <v>0</v>
      </c>
      <c r="BX134" s="47" t="n">
        <f aca="false">IF(ISNUMBER(((BW134/BU134)+H$14+$Y134)*BU134),((BW134/BU134)+H$14+$Y134)*BU134,0)</f>
        <v>0</v>
      </c>
      <c r="BY134" s="76" t="n">
        <f aca="false">IF(BU134=0,0,bsd(1,BZ$27,BV134,$AD134,$AA134,$AB134,$AH134,0.1))</f>
        <v>0</v>
      </c>
      <c r="BZ134" s="76" t="n">
        <f aca="false">IF(BU134=0,0,bsd(2,BZ$27,BV134,$AD134,$AA134,$AB134,$AH134,0.1))</f>
        <v>0</v>
      </c>
      <c r="CA134" s="76" t="n">
        <f aca="false">IF(BU134=0,0,bsd(BZ$28,BZ$27,BV134,$AD134,$AA134,$AB134,$AH134,0.1))</f>
        <v>0</v>
      </c>
      <c r="CB134" s="37" t="n">
        <f aca="false">BU134*BY134</f>
        <v>0</v>
      </c>
      <c r="CC134" s="37" t="n">
        <f aca="false">BU134*BZ134</f>
        <v>0</v>
      </c>
      <c r="CD134" s="37" t="n">
        <f aca="false">BU134*CA134</f>
        <v>0</v>
      </c>
    </row>
    <row r="135" customFormat="false" ht="12.75" hidden="false" customHeight="false" outlineLevel="0" collapsed="false">
      <c r="A135" s="62" t="n">
        <f aca="false">DATE(YEAR(A134),MONTH(A134)+1,1)</f>
        <v>40422</v>
      </c>
      <c r="B135" s="63" t="n">
        <f aca="false">VLOOKUP(A135,STRADDLE,5,FALSE())</f>
        <v>3.75</v>
      </c>
      <c r="C135" s="4" t="n">
        <f aca="false">VLOOKUP(A135,STRADDLE,8,FALSE())</f>
        <v>0.185</v>
      </c>
      <c r="D135" s="63" t="n">
        <f aca="false">IF(D$28="nymex",0,VLOOKUP($A135,curvesettle,HLOOKUP(D$28,curvesettle,2,FALSE())))</f>
        <v>-0.0725</v>
      </c>
      <c r="E135" s="65" t="n">
        <f aca="false">IF(ISNUMBER(VLOOKUP($A135,VOLCURVES,HLOOKUP(D$28,VOLCURVES,2,FALSE()),FALSE())),VLOOKUP($A135,VOLCURVES,HLOOKUP(D$28,VOLCURVES,2,FALSE()),FALSE()),1)</f>
        <v>1</v>
      </c>
      <c r="F135" s="64" t="n">
        <f aca="false">IF(D$28="NYMEX",$AG135,$AF135)</f>
        <v>-5510</v>
      </c>
      <c r="G135" s="4" t="e">
        <f aca="false">(($C135+H135)*$E135)+B$15</f>
        <v>#DIV/0!</v>
      </c>
      <c r="H135" s="4" t="e">
        <f aca="false">IF(B$16=1,xCalcSkew(A135,I135-AO135,b)/100,0)</f>
        <v>#DIV/0!</v>
      </c>
      <c r="I135" s="66" t="n">
        <f aca="false">IF($B$19=4,$AO135,$B$18)</f>
        <v>5</v>
      </c>
      <c r="K135" s="63" t="n">
        <f aca="false">IF(K$28="nymex",0,VLOOKUP($A135,curvesettle,HLOOKUP(K$28,curvesettle,2,FALSE())))</f>
        <v>-0.0725</v>
      </c>
      <c r="L135" s="65" t="n">
        <f aca="false">IF(ISNUMBER(VLOOKUP($A135,VOLCURVES,HLOOKUP(K$28,VOLCURVES,2,FALSE()),FALSE())),VLOOKUP($A135,VOLCURVES,HLOOKUP(K$28,VOLCURVES,2,FALSE()),FALSE()),1)</f>
        <v>1</v>
      </c>
      <c r="M135" s="64" t="n">
        <f aca="false">IF(K$28="NYMEX",$AG135,$AF135)</f>
        <v>-5510</v>
      </c>
      <c r="N135" s="184" t="e">
        <f aca="false">(($C135+O135)*$L135)+D$15</f>
        <v>#DIV/0!</v>
      </c>
      <c r="O135" s="4" t="e">
        <f aca="false">IF(D$16=1,xCalcSkew($A135,P135-AZ135,b)/100,0)</f>
        <v>#DIV/0!</v>
      </c>
      <c r="P135" s="66" t="n">
        <f aca="false">IF($D$19=4,$AZ135,$D$18)</f>
        <v>3</v>
      </c>
      <c r="R135" s="63" t="n">
        <f aca="false">IF(R$28="nymex",0,VLOOKUP($A135,curvesettle,HLOOKUP(R$28,curvesettle,2,FALSE())))</f>
        <v>-0.37</v>
      </c>
      <c r="S135" s="65" t="n">
        <f aca="false">IF(ISNUMBER(VLOOKUP($A135,VOLCURVES,HLOOKUP(R$28,VOLCURVES,2,FALSE()),FALSE())),VLOOKUP($A135,VOLCURVES,HLOOKUP(R$28,VOLCURVES,2,FALSE()),FALSE()),1)</f>
        <v>1</v>
      </c>
      <c r="T135" s="64" t="n">
        <f aca="false">IF(R$28="NYMEX",$AG135,$AF135)</f>
        <v>-5510</v>
      </c>
      <c r="U135" s="184" t="e">
        <f aca="false">(($C135+V135)*$S135)+F$15</f>
        <v>#DIV/0!</v>
      </c>
      <c r="V135" s="4" t="e">
        <f aca="false">IF(F$16=1,xCalcSkew($A135,W135-BK135,b)/100,0)</f>
        <v>#DIV/0!</v>
      </c>
      <c r="W135" s="66" t="n">
        <f aca="false">IF($F$19=4,$BK135,$F$18)</f>
        <v>2.55</v>
      </c>
      <c r="X135" s="64"/>
      <c r="Y135" s="63" t="n">
        <f aca="false">IF(Y$28="nymex",0,VLOOKUP($A135,curvesettle,HLOOKUP(Y$28,curvesettle,2,FALSE())))</f>
        <v>0</v>
      </c>
      <c r="Z135" s="65" t="n">
        <f aca="false">IF(ISNUMBER(VLOOKUP($A135,VOLCURVES,HLOOKUP(Y$28,VOLCURVES,2,FALSE()),FALSE())),VLOOKUP($A135,VOLCURVES,HLOOKUP(Y$28,VOLCURVES,2,FALSE()),FALSE()),1)</f>
        <v>1</v>
      </c>
      <c r="AA135" s="64" t="n">
        <f aca="false">IF(Y$28="NYMEX",$AG135,$AF135)</f>
        <v>-5511</v>
      </c>
      <c r="AB135" s="4" t="e">
        <f aca="false">(($C135+AC135)*$Z135)+H$15</f>
        <v>#DIV/0!</v>
      </c>
      <c r="AC135" s="4" t="e">
        <f aca="false">IF(H$16=1,xCalcSkew($A135,AD135-BV135,b)/100,0)</f>
        <v>#DIV/0!</v>
      </c>
      <c r="AD135" s="66" t="n">
        <f aca="false">IF($H$19=4,$BV135,$H$18)</f>
        <v>2.9</v>
      </c>
      <c r="AF135" s="64" t="n">
        <f aca="false">VLOOKUP($A135,expiration,2,FALSE())-$B$2</f>
        <v>-5510</v>
      </c>
      <c r="AG135" s="64" t="n">
        <f aca="false">VLOOKUP($A135,expiration,3,FALSE())-$B$2</f>
        <v>-5511</v>
      </c>
      <c r="AH135" s="4" t="n">
        <f aca="false">VLOOKUP($A135,STRADDLE,14,FALSE())</f>
        <v>0.0576591902413206</v>
      </c>
      <c r="AI135" s="72" t="n">
        <f aca="false">A136-A135</f>
        <v>30</v>
      </c>
      <c r="AL135" s="64"/>
      <c r="AM135" s="73"/>
      <c r="AN135" s="73" t="n">
        <f aca="false">IF($A135&gt;=AO$25,IF($A135&lt;=AO$26,$AI135,0),0)</f>
        <v>0</v>
      </c>
      <c r="AO135" s="196" t="e">
        <f aca="false">AQ135/AN135</f>
        <v>#DIV/0!</v>
      </c>
      <c r="AP135" s="1" t="n">
        <f aca="false">AN135*($B135+B$13)</f>
        <v>0</v>
      </c>
      <c r="AQ135" s="47" t="n">
        <f aca="false">IF(ISNUMBER(((AP135/AN135)+B$14+$D135)*AN135),((AP135/AN135)+B$14+$D135)*AN135,0)</f>
        <v>0</v>
      </c>
      <c r="AR135" s="76" t="n">
        <f aca="false">IF(AN135=0,0,bsd(1,AS$27,AO135,$I135,$F135,$G135,$AH135,0.1))</f>
        <v>0</v>
      </c>
      <c r="AS135" s="76" t="n">
        <f aca="false">IF(AN135=0,0,bsd(2,AS$27,AO135,$I135,$F135,$G135,$AH135,0.1))</f>
        <v>0</v>
      </c>
      <c r="AT135" s="76" t="n">
        <f aca="false">IF(AN135=0,0,bsd(AS$28,AS$27,AO135,$I135,$F135,$G135,$AH135,0.1))</f>
        <v>0</v>
      </c>
      <c r="AU135" s="37" t="n">
        <f aca="false">AN135*AR135</f>
        <v>0</v>
      </c>
      <c r="AV135" s="37" t="n">
        <f aca="false">AN135*AS135</f>
        <v>0</v>
      </c>
      <c r="AW135" s="37" t="n">
        <f aca="false">AN135*AT135</f>
        <v>0</v>
      </c>
      <c r="AY135" s="73" t="n">
        <f aca="false">IF($A135&gt;=AZ$25,IF($A135&lt;=AZ$26,$AI135,0),0)</f>
        <v>0</v>
      </c>
      <c r="AZ135" s="196" t="e">
        <f aca="false">BB135/AY135</f>
        <v>#DIV/0!</v>
      </c>
      <c r="BA135" s="1" t="n">
        <f aca="false">AY135*($B135+D$13)</f>
        <v>0</v>
      </c>
      <c r="BB135" s="47" t="n">
        <f aca="false">IF(ISNUMBER(((BA135/AY135)+D$14+$K135)*AY135),((BA135/AY135)+D$14+$K135)*AY135,0)</f>
        <v>0</v>
      </c>
      <c r="BC135" s="76" t="n">
        <f aca="false">IF(AY135=0,0,bsd(1,BD$27,AZ135,$P135,$M135,$N135,$AH135,0.1))</f>
        <v>0</v>
      </c>
      <c r="BD135" s="76" t="n">
        <f aca="false">IF(AY135=0,0,bsd(2,BD$27,AZ135,$P135,$M135,$N135,$AH135,0.1))</f>
        <v>0</v>
      </c>
      <c r="BE135" s="76" t="n">
        <f aca="false">IF(AY135=0,0,bsd(BD$28,BD$27,AZ135,$P135,$M135,$N135,$AH135,0.1))</f>
        <v>0</v>
      </c>
      <c r="BF135" s="37" t="n">
        <f aca="false">AY135*BC135</f>
        <v>0</v>
      </c>
      <c r="BG135" s="37" t="n">
        <f aca="false">AY135*BD135</f>
        <v>0</v>
      </c>
      <c r="BH135" s="37" t="n">
        <f aca="false">AY135*BE135</f>
        <v>0</v>
      </c>
      <c r="BJ135" s="73" t="n">
        <f aca="false">IF($A135&gt;=BK$25,IF($A135&lt;=BK$26,$AI135,0),0)</f>
        <v>0</v>
      </c>
      <c r="BK135" s="196" t="e">
        <f aca="false">BM135/BJ135</f>
        <v>#DIV/0!</v>
      </c>
      <c r="BL135" s="1" t="n">
        <f aca="false">BJ135*($B135+F$13)</f>
        <v>0</v>
      </c>
      <c r="BM135" s="47" t="n">
        <f aca="false">IF(ISNUMBER(((BL135/BJ135)+F$14+$R135)*BJ135),((BL135/BJ135)+F$14+$R135)*BJ135,0)</f>
        <v>0</v>
      </c>
      <c r="BN135" s="76" t="n">
        <f aca="false">IF(BJ135=0,0,bsd(1,BO$27,BK135,$W135,$T135,$U135,$AH135,0.1))</f>
        <v>0</v>
      </c>
      <c r="BO135" s="76" t="n">
        <f aca="false">IF(BJ135=0,0,bsd(2,BO$27,BK135,$W135,$T135,$U135,$AH135,0.1))</f>
        <v>0</v>
      </c>
      <c r="BP135" s="76" t="n">
        <f aca="false">IF(BJ135=0,0,bsd(BO$28,BO$27,BK135,$W135,$T135,$U135,$AH135,0.1))</f>
        <v>0</v>
      </c>
      <c r="BQ135" s="37" t="n">
        <f aca="false">BJ135*BN135</f>
        <v>0</v>
      </c>
      <c r="BR135" s="37" t="n">
        <f aca="false">BJ135*BO135</f>
        <v>0</v>
      </c>
      <c r="BS135" s="37" t="n">
        <f aca="false">BJ135*BP135</f>
        <v>0</v>
      </c>
      <c r="BU135" s="73" t="n">
        <f aca="false">IF($A135&gt;=BV$25,IF($A135&lt;=BV$26,$AI135,0),0)</f>
        <v>0</v>
      </c>
      <c r="BV135" s="196" t="e">
        <f aca="false">BX135/BU135</f>
        <v>#DIV/0!</v>
      </c>
      <c r="BW135" s="1" t="n">
        <f aca="false">BU135*($B135+H$13)</f>
        <v>0</v>
      </c>
      <c r="BX135" s="47" t="n">
        <f aca="false">IF(ISNUMBER(((BW135/BU135)+H$14+$Y135)*BU135),((BW135/BU135)+H$14+$Y135)*BU135,0)</f>
        <v>0</v>
      </c>
      <c r="BY135" s="76" t="n">
        <f aca="false">IF(BU135=0,0,bsd(1,BZ$27,BV135,$AD135,$AA135,$AB135,$AH135,0.1))</f>
        <v>0</v>
      </c>
      <c r="BZ135" s="76" t="n">
        <f aca="false">IF(BU135=0,0,bsd(2,BZ$27,BV135,$AD135,$AA135,$AB135,$AH135,0.1))</f>
        <v>0</v>
      </c>
      <c r="CA135" s="76" t="n">
        <f aca="false">IF(BU135=0,0,bsd(BZ$28,BZ$27,BV135,$AD135,$AA135,$AB135,$AH135,0.1))</f>
        <v>0</v>
      </c>
      <c r="CB135" s="37" t="n">
        <f aca="false">BU135*BY135</f>
        <v>0</v>
      </c>
      <c r="CC135" s="37" t="n">
        <f aca="false">BU135*BZ135</f>
        <v>0</v>
      </c>
      <c r="CD135" s="37" t="n">
        <f aca="false">BU135*CA135</f>
        <v>0</v>
      </c>
    </row>
    <row r="136" customFormat="false" ht="12.75" hidden="false" customHeight="false" outlineLevel="0" collapsed="false">
      <c r="A136" s="62" t="n">
        <f aca="false">DATE(YEAR(A135),MONTH(A135)+1,1)</f>
        <v>40452</v>
      </c>
      <c r="B136" s="63" t="n">
        <f aca="false">VLOOKUP(A136,STRADDLE,5,FALSE())</f>
        <v>3.775</v>
      </c>
      <c r="C136" s="4" t="n">
        <f aca="false">VLOOKUP(A136,STRADDLE,8,FALSE())</f>
        <v>0.185</v>
      </c>
      <c r="D136" s="63" t="n">
        <f aca="false">IF(D$28="nymex",0,VLOOKUP($A136,curvesettle,HLOOKUP(D$28,curvesettle,2,FALSE())))</f>
        <v>-0.0725</v>
      </c>
      <c r="E136" s="65" t="n">
        <f aca="false">IF(ISNUMBER(VLOOKUP($A136,VOLCURVES,HLOOKUP(D$28,VOLCURVES,2,FALSE()),FALSE())),VLOOKUP($A136,VOLCURVES,HLOOKUP(D$28,VOLCURVES,2,FALSE()),FALSE()),1)</f>
        <v>1</v>
      </c>
      <c r="F136" s="64" t="n">
        <f aca="false">IF(D$28="NYMEX",$AG136,$AF136)</f>
        <v>-5478</v>
      </c>
      <c r="G136" s="4" t="e">
        <f aca="false">(($C136+H136)*$E136)+B$15</f>
        <v>#DIV/0!</v>
      </c>
      <c r="H136" s="4" t="e">
        <f aca="false">IF(B$16=1,xCalcSkew(A136,I136-AO136,b)/100,0)</f>
        <v>#DIV/0!</v>
      </c>
      <c r="I136" s="66" t="n">
        <f aca="false">IF($B$19=4,$AO136,$B$18)</f>
        <v>5</v>
      </c>
      <c r="K136" s="63" t="n">
        <f aca="false">IF(K$28="nymex",0,VLOOKUP($A136,curvesettle,HLOOKUP(K$28,curvesettle,2,FALSE())))</f>
        <v>-0.0725</v>
      </c>
      <c r="L136" s="65" t="n">
        <f aca="false">IF(ISNUMBER(VLOOKUP($A136,VOLCURVES,HLOOKUP(K$28,VOLCURVES,2,FALSE()),FALSE())),VLOOKUP($A136,VOLCURVES,HLOOKUP(K$28,VOLCURVES,2,FALSE()),FALSE()),1)</f>
        <v>1</v>
      </c>
      <c r="M136" s="64" t="n">
        <f aca="false">IF(K$28="NYMEX",$AG136,$AF136)</f>
        <v>-5478</v>
      </c>
      <c r="N136" s="184" t="e">
        <f aca="false">(($C136+O136)*$L136)+D$15</f>
        <v>#DIV/0!</v>
      </c>
      <c r="O136" s="4" t="e">
        <f aca="false">IF(D$16=1,xCalcSkew($A136,P136-AZ136,b)/100,0)</f>
        <v>#DIV/0!</v>
      </c>
      <c r="P136" s="66" t="n">
        <f aca="false">IF($D$19=4,$AZ136,$D$18)</f>
        <v>3</v>
      </c>
      <c r="R136" s="63" t="n">
        <f aca="false">IF(R$28="nymex",0,VLOOKUP($A136,curvesettle,HLOOKUP(R$28,curvesettle,2,FALSE())))</f>
        <v>-0.37</v>
      </c>
      <c r="S136" s="65" t="n">
        <f aca="false">IF(ISNUMBER(VLOOKUP($A136,VOLCURVES,HLOOKUP(R$28,VOLCURVES,2,FALSE()),FALSE())),VLOOKUP($A136,VOLCURVES,HLOOKUP(R$28,VOLCURVES,2,FALSE()),FALSE()),1)</f>
        <v>1</v>
      </c>
      <c r="T136" s="64" t="n">
        <f aca="false">IF(R$28="NYMEX",$AG136,$AF136)</f>
        <v>-5478</v>
      </c>
      <c r="U136" s="184" t="e">
        <f aca="false">(($C136+V136)*$S136)+F$15</f>
        <v>#DIV/0!</v>
      </c>
      <c r="V136" s="4" t="e">
        <f aca="false">IF(F$16=1,xCalcSkew($A136,W136-BK136,b)/100,0)</f>
        <v>#DIV/0!</v>
      </c>
      <c r="W136" s="66" t="n">
        <f aca="false">IF($F$19=4,$BK136,$F$18)</f>
        <v>2.55</v>
      </c>
      <c r="X136" s="64"/>
      <c r="Y136" s="63" t="n">
        <f aca="false">IF(Y$28="nymex",0,VLOOKUP($A136,curvesettle,HLOOKUP(Y$28,curvesettle,2,FALSE())))</f>
        <v>0</v>
      </c>
      <c r="Z136" s="65" t="n">
        <f aca="false">IF(ISNUMBER(VLOOKUP($A136,VOLCURVES,HLOOKUP(Y$28,VOLCURVES,2,FALSE()),FALSE())),VLOOKUP($A136,VOLCURVES,HLOOKUP(Y$28,VOLCURVES,2,FALSE()),FALSE()),1)</f>
        <v>1</v>
      </c>
      <c r="AA136" s="64" t="n">
        <f aca="false">IF(Y$28="NYMEX",$AG136,$AF136)</f>
        <v>-5479</v>
      </c>
      <c r="AB136" s="4" t="e">
        <f aca="false">(($C136+AC136)*$Z136)+H$15</f>
        <v>#DIV/0!</v>
      </c>
      <c r="AC136" s="4" t="e">
        <f aca="false">IF(H$16=1,xCalcSkew($A136,AD136-BV136,b)/100,0)</f>
        <v>#DIV/0!</v>
      </c>
      <c r="AD136" s="66" t="n">
        <f aca="false">IF($H$19=4,$BV136,$H$18)</f>
        <v>2.9</v>
      </c>
      <c r="AF136" s="64" t="n">
        <f aca="false">VLOOKUP($A136,expiration,2,FALSE())-$B$2</f>
        <v>-5478</v>
      </c>
      <c r="AG136" s="64" t="n">
        <f aca="false">VLOOKUP($A136,expiration,3,FALSE())-$B$2</f>
        <v>-5479</v>
      </c>
      <c r="AH136" s="4" t="n">
        <f aca="false">VLOOKUP($A136,STRADDLE,14,FALSE())</f>
        <v>0.057759350034984</v>
      </c>
      <c r="AI136" s="72" t="n">
        <f aca="false">A137-A136</f>
        <v>31</v>
      </c>
      <c r="AL136" s="64"/>
      <c r="AM136" s="73"/>
      <c r="AN136" s="73" t="n">
        <f aca="false">IF($A136&gt;=AO$25,IF($A136&lt;=AO$26,$AI136,0),0)</f>
        <v>0</v>
      </c>
      <c r="AO136" s="196" t="e">
        <f aca="false">AQ136/AN136</f>
        <v>#DIV/0!</v>
      </c>
      <c r="AP136" s="1" t="n">
        <f aca="false">AN136*($B136+B$13)</f>
        <v>0</v>
      </c>
      <c r="AQ136" s="47" t="n">
        <f aca="false">IF(ISNUMBER(((AP136/AN136)+B$14+$D136)*AN136),((AP136/AN136)+B$14+$D136)*AN136,0)</f>
        <v>0</v>
      </c>
      <c r="AR136" s="76" t="n">
        <f aca="false">IF(AN136=0,0,bsd(1,AS$27,AO136,$I136,$F136,$G136,$AH136,0.1))</f>
        <v>0</v>
      </c>
      <c r="AS136" s="76" t="n">
        <f aca="false">IF(AN136=0,0,bsd(2,AS$27,AO136,$I136,$F136,$G136,$AH136,0.1))</f>
        <v>0</v>
      </c>
      <c r="AT136" s="76" t="n">
        <f aca="false">IF(AN136=0,0,bsd(AS$28,AS$27,AO136,$I136,$F136,$G136,$AH136,0.1))</f>
        <v>0</v>
      </c>
      <c r="AU136" s="37" t="n">
        <f aca="false">AN136*AR136</f>
        <v>0</v>
      </c>
      <c r="AV136" s="37" t="n">
        <f aca="false">AN136*AS136</f>
        <v>0</v>
      </c>
      <c r="AW136" s="37" t="n">
        <f aca="false">AN136*AT136</f>
        <v>0</v>
      </c>
      <c r="AY136" s="73" t="n">
        <f aca="false">IF($A136&gt;=AZ$25,IF($A136&lt;=AZ$26,$AI136,0),0)</f>
        <v>0</v>
      </c>
      <c r="AZ136" s="196" t="e">
        <f aca="false">BB136/AY136</f>
        <v>#DIV/0!</v>
      </c>
      <c r="BA136" s="1" t="n">
        <f aca="false">AY136*($B136+D$13)</f>
        <v>0</v>
      </c>
      <c r="BB136" s="47" t="n">
        <f aca="false">IF(ISNUMBER(((BA136/AY136)+D$14+$K136)*AY136),((BA136/AY136)+D$14+$K136)*AY136,0)</f>
        <v>0</v>
      </c>
      <c r="BC136" s="76" t="n">
        <f aca="false">IF(AY136=0,0,bsd(1,BD$27,AZ136,$P136,$M136,$N136,$AH136,0.1))</f>
        <v>0</v>
      </c>
      <c r="BD136" s="76" t="n">
        <f aca="false">IF(AY136=0,0,bsd(2,BD$27,AZ136,$P136,$M136,$N136,$AH136,0.1))</f>
        <v>0</v>
      </c>
      <c r="BE136" s="76" t="n">
        <f aca="false">IF(AY136=0,0,bsd(BD$28,BD$27,AZ136,$P136,$M136,$N136,$AH136,0.1))</f>
        <v>0</v>
      </c>
      <c r="BF136" s="37" t="n">
        <f aca="false">AY136*BC136</f>
        <v>0</v>
      </c>
      <c r="BG136" s="37" t="n">
        <f aca="false">AY136*BD136</f>
        <v>0</v>
      </c>
      <c r="BH136" s="37" t="n">
        <f aca="false">AY136*BE136</f>
        <v>0</v>
      </c>
      <c r="BJ136" s="73" t="n">
        <f aca="false">IF($A136&gt;=BK$25,IF($A136&lt;=BK$26,$AI136,0),0)</f>
        <v>0</v>
      </c>
      <c r="BK136" s="196" t="e">
        <f aca="false">BM136/BJ136</f>
        <v>#DIV/0!</v>
      </c>
      <c r="BL136" s="1" t="n">
        <f aca="false">BJ136*($B136+F$13)</f>
        <v>0</v>
      </c>
      <c r="BM136" s="47" t="n">
        <f aca="false">IF(ISNUMBER(((BL136/BJ136)+F$14+$R136)*BJ136),((BL136/BJ136)+F$14+$R136)*BJ136,0)</f>
        <v>0</v>
      </c>
      <c r="BN136" s="76" t="n">
        <f aca="false">IF(BJ136=0,0,bsd(1,BO$27,BK136,$W136,$T136,$U136,$AH136,0.1))</f>
        <v>0</v>
      </c>
      <c r="BO136" s="76" t="n">
        <f aca="false">IF(BJ136=0,0,bsd(2,BO$27,BK136,$W136,$T136,$U136,$AH136,0.1))</f>
        <v>0</v>
      </c>
      <c r="BP136" s="76" t="n">
        <f aca="false">IF(BJ136=0,0,bsd(BO$28,BO$27,BK136,$W136,$T136,$U136,$AH136,0.1))</f>
        <v>0</v>
      </c>
      <c r="BQ136" s="37" t="n">
        <f aca="false">BJ136*BN136</f>
        <v>0</v>
      </c>
      <c r="BR136" s="37" t="n">
        <f aca="false">BJ136*BO136</f>
        <v>0</v>
      </c>
      <c r="BS136" s="37" t="n">
        <f aca="false">BJ136*BP136</f>
        <v>0</v>
      </c>
      <c r="BU136" s="73" t="n">
        <f aca="false">IF($A136&gt;=BV$25,IF($A136&lt;=BV$26,$AI136,0),0)</f>
        <v>0</v>
      </c>
      <c r="BV136" s="196" t="e">
        <f aca="false">BX136/BU136</f>
        <v>#DIV/0!</v>
      </c>
      <c r="BW136" s="1" t="n">
        <f aca="false">BU136*($B136+H$13)</f>
        <v>0</v>
      </c>
      <c r="BX136" s="47" t="n">
        <f aca="false">IF(ISNUMBER(((BW136/BU136)+H$14+$Y136)*BU136),((BW136/BU136)+H$14+$Y136)*BU136,0)</f>
        <v>0</v>
      </c>
      <c r="BY136" s="76" t="n">
        <f aca="false">IF(BU136=0,0,bsd(1,BZ$27,BV136,$AD136,$AA136,$AB136,$AH136,0.1))</f>
        <v>0</v>
      </c>
      <c r="BZ136" s="76" t="n">
        <f aca="false">IF(BU136=0,0,bsd(2,BZ$27,BV136,$AD136,$AA136,$AB136,$AH136,0.1))</f>
        <v>0</v>
      </c>
      <c r="CA136" s="76" t="n">
        <f aca="false">IF(BU136=0,0,bsd(BZ$28,BZ$27,BV136,$AD136,$AA136,$AB136,$AH136,0.1))</f>
        <v>0</v>
      </c>
      <c r="CB136" s="37" t="n">
        <f aca="false">BU136*BY136</f>
        <v>0</v>
      </c>
      <c r="CC136" s="37" t="n">
        <f aca="false">BU136*BZ136</f>
        <v>0</v>
      </c>
      <c r="CD136" s="37" t="n">
        <f aca="false">BU136*CA136</f>
        <v>0</v>
      </c>
    </row>
    <row r="137" customFormat="false" ht="12.75" hidden="false" customHeight="false" outlineLevel="0" collapsed="false">
      <c r="A137" s="62" t="n">
        <f aca="false">DATE(YEAR(A136),MONTH(A136)+1,1)</f>
        <v>40483</v>
      </c>
      <c r="B137" s="63" t="n">
        <f aca="false">VLOOKUP(A137,STRADDLE,5,FALSE())</f>
        <v>3.927</v>
      </c>
      <c r="C137" s="4" t="n">
        <f aca="false">VLOOKUP(A137,STRADDLE,8,FALSE())</f>
        <v>0.185</v>
      </c>
      <c r="D137" s="63" t="n">
        <f aca="false">IF(D$28="nymex",0,VLOOKUP($A137,curvesettle,HLOOKUP(D$28,curvesettle,2,FALSE())))</f>
        <v>-0.075</v>
      </c>
      <c r="E137" s="65" t="n">
        <f aca="false">IF(ISNUMBER(VLOOKUP($A137,VOLCURVES,HLOOKUP(D$28,VOLCURVES,2,FALSE()),FALSE())),VLOOKUP($A137,VOLCURVES,HLOOKUP(D$28,VOLCURVES,2,FALSE()),FALSE()),1)</f>
        <v>1</v>
      </c>
      <c r="F137" s="64" t="n">
        <f aca="false">IF(D$28="NYMEX",$AG137,$AF137)</f>
        <v>-5449</v>
      </c>
      <c r="G137" s="4" t="e">
        <f aca="false">(($C137+H137)*$E137)+B$15</f>
        <v>#DIV/0!</v>
      </c>
      <c r="H137" s="4" t="e">
        <f aca="false">IF(B$16=1,xCalcSkew(A137,I137-AO137,b)/100,0)</f>
        <v>#DIV/0!</v>
      </c>
      <c r="I137" s="66" t="n">
        <f aca="false">IF($B$19=4,$AO137,$B$18)</f>
        <v>5</v>
      </c>
      <c r="K137" s="63" t="n">
        <f aca="false">IF(K$28="nymex",0,VLOOKUP($A137,curvesettle,HLOOKUP(K$28,curvesettle,2,FALSE())))</f>
        <v>-0.075</v>
      </c>
      <c r="L137" s="65" t="n">
        <f aca="false">IF(ISNUMBER(VLOOKUP($A137,VOLCURVES,HLOOKUP(K$28,VOLCURVES,2,FALSE()),FALSE())),VLOOKUP($A137,VOLCURVES,HLOOKUP(K$28,VOLCURVES,2,FALSE()),FALSE()),1)</f>
        <v>1</v>
      </c>
      <c r="M137" s="64" t="n">
        <f aca="false">IF(K$28="NYMEX",$AG137,$AF137)</f>
        <v>-5449</v>
      </c>
      <c r="N137" s="184" t="e">
        <f aca="false">(($C137+O137)*$L137)+D$15</f>
        <v>#DIV/0!</v>
      </c>
      <c r="O137" s="4" t="e">
        <f aca="false">IF(D$16=1,xCalcSkew($A137,P137-AZ137,b)/100,0)</f>
        <v>#DIV/0!</v>
      </c>
      <c r="P137" s="66" t="n">
        <f aca="false">IF($D$19=4,$AZ137,$D$18)</f>
        <v>3</v>
      </c>
      <c r="R137" s="63" t="n">
        <f aca="false">IF(R$28="nymex",0,VLOOKUP($A137,curvesettle,HLOOKUP(R$28,curvesettle,2,FALSE())))</f>
        <v>-0.26</v>
      </c>
      <c r="S137" s="65" t="n">
        <f aca="false">IF(ISNUMBER(VLOOKUP($A137,VOLCURVES,HLOOKUP(R$28,VOLCURVES,2,FALSE()),FALSE())),VLOOKUP($A137,VOLCURVES,HLOOKUP(R$28,VOLCURVES,2,FALSE()),FALSE()),1)</f>
        <v>1</v>
      </c>
      <c r="T137" s="64" t="n">
        <f aca="false">IF(R$28="NYMEX",$AG137,$AF137)</f>
        <v>-5449</v>
      </c>
      <c r="U137" s="184" t="e">
        <f aca="false">(($C137+V137)*$S137)+F$15</f>
        <v>#DIV/0!</v>
      </c>
      <c r="V137" s="4" t="e">
        <f aca="false">IF(F$16=1,xCalcSkew($A137,W137-BK137,b)/100,0)</f>
        <v>#DIV/0!</v>
      </c>
      <c r="W137" s="66" t="n">
        <f aca="false">IF($F$19=4,$BK137,$F$18)</f>
        <v>2.55</v>
      </c>
      <c r="X137" s="64"/>
      <c r="Y137" s="63" t="n">
        <f aca="false">IF(Y$28="nymex",0,VLOOKUP($A137,curvesettle,HLOOKUP(Y$28,curvesettle,2,FALSE())))</f>
        <v>0</v>
      </c>
      <c r="Z137" s="65" t="n">
        <f aca="false">IF(ISNUMBER(VLOOKUP($A137,VOLCURVES,HLOOKUP(Y$28,VOLCURVES,2,FALSE()),FALSE())),VLOOKUP($A137,VOLCURVES,HLOOKUP(Y$28,VOLCURVES,2,FALSE()),FALSE()),1)</f>
        <v>1</v>
      </c>
      <c r="AA137" s="64" t="n">
        <f aca="false">IF(Y$28="NYMEX",$AG137,$AF137)</f>
        <v>-5450</v>
      </c>
      <c r="AB137" s="4" t="e">
        <f aca="false">(($C137+AC137)*$Z137)+H$15</f>
        <v>#DIV/0!</v>
      </c>
      <c r="AC137" s="4" t="e">
        <f aca="false">IF(H$16=1,xCalcSkew($A137,AD137-BV137,b)/100,0)</f>
        <v>#DIV/0!</v>
      </c>
      <c r="AD137" s="66" t="n">
        <f aca="false">IF($H$19=4,$BV137,$H$18)</f>
        <v>2.9</v>
      </c>
      <c r="AF137" s="64" t="n">
        <f aca="false">VLOOKUP($A137,expiration,2,FALSE())-$B$2</f>
        <v>-5449</v>
      </c>
      <c r="AG137" s="64" t="n">
        <f aca="false">VLOOKUP($A137,expiration,3,FALSE())-$B$2</f>
        <v>-5450</v>
      </c>
      <c r="AH137" s="4" t="n">
        <f aca="false">VLOOKUP($A137,STRADDLE,14,FALSE())</f>
        <v>0.0578628484919417</v>
      </c>
      <c r="AI137" s="72" t="n">
        <f aca="false">A138-A137</f>
        <v>30</v>
      </c>
      <c r="AL137" s="64"/>
      <c r="AM137" s="73"/>
      <c r="AN137" s="73" t="n">
        <f aca="false">IF($A137&gt;=AO$25,IF($A137&lt;=AO$26,$AI137,0),0)</f>
        <v>0</v>
      </c>
      <c r="AO137" s="196" t="e">
        <f aca="false">AQ137/AN137</f>
        <v>#DIV/0!</v>
      </c>
      <c r="AP137" s="1" t="n">
        <f aca="false">AN137*($B137+B$13)</f>
        <v>0</v>
      </c>
      <c r="AQ137" s="47" t="n">
        <f aca="false">IF(ISNUMBER(((AP137/AN137)+B$14+$D137)*AN137),((AP137/AN137)+B$14+$D137)*AN137,0)</f>
        <v>0</v>
      </c>
      <c r="AR137" s="76" t="n">
        <f aca="false">IF(AN137=0,0,bsd(1,AS$27,AO137,$I137,$F137,$G137,$AH137,0.1))</f>
        <v>0</v>
      </c>
      <c r="AS137" s="76" t="n">
        <f aca="false">IF(AN137=0,0,bsd(2,AS$27,AO137,$I137,$F137,$G137,$AH137,0.1))</f>
        <v>0</v>
      </c>
      <c r="AT137" s="76" t="n">
        <f aca="false">IF(AN137=0,0,bsd(AS$28,AS$27,AO137,$I137,$F137,$G137,$AH137,0.1))</f>
        <v>0</v>
      </c>
      <c r="AU137" s="37" t="n">
        <f aca="false">AN137*AR137</f>
        <v>0</v>
      </c>
      <c r="AV137" s="37" t="n">
        <f aca="false">AN137*AS137</f>
        <v>0</v>
      </c>
      <c r="AW137" s="37" t="n">
        <f aca="false">AN137*AT137</f>
        <v>0</v>
      </c>
      <c r="AY137" s="73" t="n">
        <f aca="false">IF($A137&gt;=AZ$25,IF($A137&lt;=AZ$26,$AI137,0),0)</f>
        <v>0</v>
      </c>
      <c r="AZ137" s="196" t="e">
        <f aca="false">BB137/AY137</f>
        <v>#DIV/0!</v>
      </c>
      <c r="BA137" s="1" t="n">
        <f aca="false">AY137*($B137+D$13)</f>
        <v>0</v>
      </c>
      <c r="BB137" s="47" t="n">
        <f aca="false">IF(ISNUMBER(((BA137/AY137)+D$14+$K137)*AY137),((BA137/AY137)+D$14+$K137)*AY137,0)</f>
        <v>0</v>
      </c>
      <c r="BC137" s="76" t="n">
        <f aca="false">IF(AY137=0,0,bsd(1,BD$27,AZ137,$P137,$M137,$N137,$AH137,0.1))</f>
        <v>0</v>
      </c>
      <c r="BD137" s="76" t="n">
        <f aca="false">IF(AY137=0,0,bsd(2,BD$27,AZ137,$P137,$M137,$N137,$AH137,0.1))</f>
        <v>0</v>
      </c>
      <c r="BE137" s="76" t="n">
        <f aca="false">IF(AY137=0,0,bsd(BD$28,BD$27,AZ137,$P137,$M137,$N137,$AH137,0.1))</f>
        <v>0</v>
      </c>
      <c r="BF137" s="37" t="n">
        <f aca="false">AY137*BC137</f>
        <v>0</v>
      </c>
      <c r="BG137" s="37" t="n">
        <f aca="false">AY137*BD137</f>
        <v>0</v>
      </c>
      <c r="BH137" s="37" t="n">
        <f aca="false">AY137*BE137</f>
        <v>0</v>
      </c>
      <c r="BJ137" s="73" t="n">
        <f aca="false">IF($A137&gt;=BK$25,IF($A137&lt;=BK$26,$AI137,0),0)</f>
        <v>0</v>
      </c>
      <c r="BK137" s="196" t="e">
        <f aca="false">BM137/BJ137</f>
        <v>#DIV/0!</v>
      </c>
      <c r="BL137" s="1" t="n">
        <f aca="false">BJ137*($B137+F$13)</f>
        <v>0</v>
      </c>
      <c r="BM137" s="47" t="n">
        <f aca="false">IF(ISNUMBER(((BL137/BJ137)+F$14+$R137)*BJ137),((BL137/BJ137)+F$14+$R137)*BJ137,0)</f>
        <v>0</v>
      </c>
      <c r="BN137" s="76" t="n">
        <f aca="false">IF(BJ137=0,0,bsd(1,BO$27,BK137,$W137,$T137,$U137,$AH137,0.1))</f>
        <v>0</v>
      </c>
      <c r="BO137" s="76" t="n">
        <f aca="false">IF(BJ137=0,0,bsd(2,BO$27,BK137,$W137,$T137,$U137,$AH137,0.1))</f>
        <v>0</v>
      </c>
      <c r="BP137" s="76" t="n">
        <f aca="false">IF(BJ137=0,0,bsd(BO$28,BO$27,BK137,$W137,$T137,$U137,$AH137,0.1))</f>
        <v>0</v>
      </c>
      <c r="BQ137" s="37" t="n">
        <f aca="false">BJ137*BN137</f>
        <v>0</v>
      </c>
      <c r="BR137" s="37" t="n">
        <f aca="false">BJ137*BO137</f>
        <v>0</v>
      </c>
      <c r="BS137" s="37" t="n">
        <f aca="false">BJ137*BP137</f>
        <v>0</v>
      </c>
      <c r="BU137" s="73" t="n">
        <f aca="false">IF($A137&gt;=BV$25,IF($A137&lt;=BV$26,$AI137,0),0)</f>
        <v>0</v>
      </c>
      <c r="BV137" s="196" t="e">
        <f aca="false">BX137/BU137</f>
        <v>#DIV/0!</v>
      </c>
      <c r="BW137" s="1" t="n">
        <f aca="false">BU137*($B137+H$13)</f>
        <v>0</v>
      </c>
      <c r="BX137" s="47" t="n">
        <f aca="false">IF(ISNUMBER(((BW137/BU137)+H$14+$Y137)*BU137),((BW137/BU137)+H$14+$Y137)*BU137,0)</f>
        <v>0</v>
      </c>
      <c r="BY137" s="76" t="n">
        <f aca="false">IF(BU137=0,0,bsd(1,BZ$27,BV137,$AD137,$AA137,$AB137,$AH137,0.1))</f>
        <v>0</v>
      </c>
      <c r="BZ137" s="76" t="n">
        <f aca="false">IF(BU137=0,0,bsd(2,BZ$27,BV137,$AD137,$AA137,$AB137,$AH137,0.1))</f>
        <v>0</v>
      </c>
      <c r="CA137" s="76" t="n">
        <f aca="false">IF(BU137=0,0,bsd(BZ$28,BZ$27,BV137,$AD137,$AA137,$AB137,$AH137,0.1))</f>
        <v>0</v>
      </c>
      <c r="CB137" s="37" t="n">
        <f aca="false">BU137*BY137</f>
        <v>0</v>
      </c>
      <c r="CC137" s="37" t="n">
        <f aca="false">BU137*BZ137</f>
        <v>0</v>
      </c>
      <c r="CD137" s="37" t="n">
        <f aca="false">BU137*CA137</f>
        <v>0</v>
      </c>
    </row>
    <row r="138" customFormat="false" ht="12.75" hidden="false" customHeight="false" outlineLevel="0" collapsed="false">
      <c r="A138" s="62" t="n">
        <f aca="false">DATE(YEAR(A137),MONTH(A137)+1,1)</f>
        <v>40513</v>
      </c>
      <c r="B138" s="63" t="n">
        <f aca="false">VLOOKUP(A138,STRADDLE,5,FALSE())</f>
        <v>4.07</v>
      </c>
      <c r="C138" s="4" t="n">
        <f aca="false">VLOOKUP(A138,STRADDLE,8,FALSE())</f>
        <v>0.185</v>
      </c>
      <c r="D138" s="63" t="n">
        <f aca="false">IF(D$28="nymex",0,VLOOKUP($A138,curvesettle,HLOOKUP(D$28,curvesettle,2,FALSE())))</f>
        <v>-0.075</v>
      </c>
      <c r="E138" s="65" t="n">
        <f aca="false">IF(ISNUMBER(VLOOKUP($A138,VOLCURVES,HLOOKUP(D$28,VOLCURVES,2,FALSE()),FALSE())),VLOOKUP($A138,VOLCURVES,HLOOKUP(D$28,VOLCURVES,2,FALSE()),FALSE()),1)</f>
        <v>1</v>
      </c>
      <c r="F138" s="64" t="n">
        <f aca="false">IF(D$28="NYMEX",$AG138,$AF138)</f>
        <v>-5419</v>
      </c>
      <c r="G138" s="4" t="e">
        <f aca="false">(($C138+H138)*$E138)+B$15</f>
        <v>#DIV/0!</v>
      </c>
      <c r="H138" s="4" t="e">
        <f aca="false">IF(B$16=1,xCalcSkew(A138,I138-AO138,b)/100,0)</f>
        <v>#DIV/0!</v>
      </c>
      <c r="I138" s="66" t="n">
        <f aca="false">IF($B$19=4,$AO138,$B$18)</f>
        <v>5</v>
      </c>
      <c r="K138" s="63" t="n">
        <f aca="false">IF(K$28="nymex",0,VLOOKUP($A138,curvesettle,HLOOKUP(K$28,curvesettle,2,FALSE())))</f>
        <v>-0.075</v>
      </c>
      <c r="L138" s="65" t="n">
        <f aca="false">IF(ISNUMBER(VLOOKUP($A138,VOLCURVES,HLOOKUP(K$28,VOLCURVES,2,FALSE()),FALSE())),VLOOKUP($A138,VOLCURVES,HLOOKUP(K$28,VOLCURVES,2,FALSE()),FALSE()),1)</f>
        <v>1</v>
      </c>
      <c r="M138" s="64" t="n">
        <f aca="false">IF(K$28="NYMEX",$AG138,$AF138)</f>
        <v>-5419</v>
      </c>
      <c r="N138" s="184" t="e">
        <f aca="false">(($C138+O138)*$L138)+D$15</f>
        <v>#DIV/0!</v>
      </c>
      <c r="O138" s="4" t="e">
        <f aca="false">IF(D$16=1,xCalcSkew($A138,P138-AZ138,b)/100,0)</f>
        <v>#DIV/0!</v>
      </c>
      <c r="P138" s="66" t="n">
        <f aca="false">IF($D$19=4,$AZ138,$D$18)</f>
        <v>3</v>
      </c>
      <c r="R138" s="63" t="n">
        <f aca="false">IF(R$28="nymex",0,VLOOKUP($A138,curvesettle,HLOOKUP(R$28,curvesettle,2,FALSE())))</f>
        <v>-0.26</v>
      </c>
      <c r="S138" s="65" t="n">
        <f aca="false">IF(ISNUMBER(VLOOKUP($A138,VOLCURVES,HLOOKUP(R$28,VOLCURVES,2,FALSE()),FALSE())),VLOOKUP($A138,VOLCURVES,HLOOKUP(R$28,VOLCURVES,2,FALSE()),FALSE()),1)</f>
        <v>1</v>
      </c>
      <c r="T138" s="64" t="n">
        <f aca="false">IF(R$28="NYMEX",$AG138,$AF138)</f>
        <v>-5419</v>
      </c>
      <c r="U138" s="184" t="e">
        <f aca="false">(($C138+V138)*$S138)+F$15</f>
        <v>#DIV/0!</v>
      </c>
      <c r="V138" s="4" t="e">
        <f aca="false">IF(F$16=1,xCalcSkew($A138,W138-BK138,b)/100,0)</f>
        <v>#DIV/0!</v>
      </c>
      <c r="W138" s="66" t="n">
        <f aca="false">IF($F$19=4,$BK138,$F$18)</f>
        <v>2.55</v>
      </c>
      <c r="X138" s="64"/>
      <c r="Y138" s="63" t="n">
        <f aca="false">IF(Y$28="nymex",0,VLOOKUP($A138,curvesettle,HLOOKUP(Y$28,curvesettle,2,FALSE())))</f>
        <v>0</v>
      </c>
      <c r="Z138" s="65" t="n">
        <f aca="false">IF(ISNUMBER(VLOOKUP($A138,VOLCURVES,HLOOKUP(Y$28,VOLCURVES,2,FALSE()),FALSE())),VLOOKUP($A138,VOLCURVES,HLOOKUP(Y$28,VOLCURVES,2,FALSE()),FALSE()),1)</f>
        <v>1</v>
      </c>
      <c r="AA138" s="64" t="n">
        <f aca="false">IF(Y$28="NYMEX",$AG138,$AF138)</f>
        <v>-5421</v>
      </c>
      <c r="AB138" s="4" t="e">
        <f aca="false">(($C138+AC138)*$Z138)+H$15</f>
        <v>#DIV/0!</v>
      </c>
      <c r="AC138" s="4" t="e">
        <f aca="false">IF(H$16=1,xCalcSkew($A138,AD138-BV138,b)/100,0)</f>
        <v>#DIV/0!</v>
      </c>
      <c r="AD138" s="66" t="n">
        <f aca="false">IF($H$19=4,$BV138,$H$18)</f>
        <v>2.9</v>
      </c>
      <c r="AF138" s="64" t="n">
        <f aca="false">VLOOKUP($A138,expiration,2,FALSE())-$B$2</f>
        <v>-5419</v>
      </c>
      <c r="AG138" s="64" t="n">
        <f aca="false">VLOOKUP($A138,expiration,3,FALSE())-$B$2</f>
        <v>-5421</v>
      </c>
      <c r="AH138" s="4" t="n">
        <f aca="false">VLOOKUP($A138,STRADDLE,14,FALSE())</f>
        <v>0.0579630082923899</v>
      </c>
      <c r="AI138" s="72" t="n">
        <f aca="false">A139-A138</f>
        <v>31</v>
      </c>
      <c r="AL138" s="64"/>
      <c r="AM138" s="73"/>
      <c r="AN138" s="73" t="n">
        <f aca="false">IF($A138&gt;=AO$25,IF($A138&lt;=AO$26,$AI138,0),0)</f>
        <v>0</v>
      </c>
      <c r="AO138" s="196" t="e">
        <f aca="false">AQ138/AN138</f>
        <v>#DIV/0!</v>
      </c>
      <c r="AP138" s="1" t="n">
        <f aca="false">AN138*($B138+B$13)</f>
        <v>0</v>
      </c>
      <c r="AQ138" s="47" t="n">
        <f aca="false">IF(ISNUMBER(((AP138/AN138)+B$14+$D138)*AN138),((AP138/AN138)+B$14+$D138)*AN138,0)</f>
        <v>0</v>
      </c>
      <c r="AR138" s="76" t="n">
        <f aca="false">IF(AN138=0,0,bsd(1,AS$27,AO138,$I138,$F138,$G138,$AH138,0.1))</f>
        <v>0</v>
      </c>
      <c r="AS138" s="76" t="n">
        <f aca="false">IF(AN138=0,0,bsd(2,AS$27,AO138,$I138,$F138,$G138,$AH138,0.1))</f>
        <v>0</v>
      </c>
      <c r="AT138" s="76" t="n">
        <f aca="false">IF(AN138=0,0,bsd(AS$28,AS$27,AO138,$I138,$F138,$G138,$AH138,0.1))</f>
        <v>0</v>
      </c>
      <c r="AU138" s="37" t="n">
        <f aca="false">AN138*AR138</f>
        <v>0</v>
      </c>
      <c r="AV138" s="37" t="n">
        <f aca="false">AN138*AS138</f>
        <v>0</v>
      </c>
      <c r="AW138" s="37" t="n">
        <f aca="false">AN138*AT138</f>
        <v>0</v>
      </c>
      <c r="AY138" s="73" t="n">
        <f aca="false">IF($A138&gt;=AZ$25,IF($A138&lt;=AZ$26,$AI138,0),0)</f>
        <v>0</v>
      </c>
      <c r="AZ138" s="196" t="e">
        <f aca="false">BB138/AY138</f>
        <v>#DIV/0!</v>
      </c>
      <c r="BA138" s="1" t="n">
        <f aca="false">AY138*($B138+D$13)</f>
        <v>0</v>
      </c>
      <c r="BB138" s="47" t="n">
        <f aca="false">IF(ISNUMBER(((BA138/AY138)+D$14+$K138)*AY138),((BA138/AY138)+D$14+$K138)*AY138,0)</f>
        <v>0</v>
      </c>
      <c r="BC138" s="76" t="n">
        <f aca="false">IF(AY138=0,0,bsd(1,BD$27,AZ138,$P138,$M138,$N138,$AH138,0.1))</f>
        <v>0</v>
      </c>
      <c r="BD138" s="76" t="n">
        <f aca="false">IF(AY138=0,0,bsd(2,BD$27,AZ138,$P138,$M138,$N138,$AH138,0.1))</f>
        <v>0</v>
      </c>
      <c r="BE138" s="76" t="n">
        <f aca="false">IF(AY138=0,0,bsd(BD$28,BD$27,AZ138,$P138,$M138,$N138,$AH138,0.1))</f>
        <v>0</v>
      </c>
      <c r="BF138" s="37" t="n">
        <f aca="false">AY138*BC138</f>
        <v>0</v>
      </c>
      <c r="BG138" s="37" t="n">
        <f aca="false">AY138*BD138</f>
        <v>0</v>
      </c>
      <c r="BH138" s="37" t="n">
        <f aca="false">AY138*BE138</f>
        <v>0</v>
      </c>
      <c r="BJ138" s="73" t="n">
        <f aca="false">IF($A138&gt;=BK$25,IF($A138&lt;=BK$26,$AI138,0),0)</f>
        <v>0</v>
      </c>
      <c r="BK138" s="196" t="e">
        <f aca="false">BM138/BJ138</f>
        <v>#DIV/0!</v>
      </c>
      <c r="BL138" s="1" t="n">
        <f aca="false">BJ138*($B138+F$13)</f>
        <v>0</v>
      </c>
      <c r="BM138" s="47" t="n">
        <f aca="false">IF(ISNUMBER(((BL138/BJ138)+F$14+$R138)*BJ138),((BL138/BJ138)+F$14+$R138)*BJ138,0)</f>
        <v>0</v>
      </c>
      <c r="BN138" s="76" t="n">
        <f aca="false">IF(BJ138=0,0,bsd(1,BO$27,BK138,$W138,$T138,$U138,$AH138,0.1))</f>
        <v>0</v>
      </c>
      <c r="BO138" s="76" t="n">
        <f aca="false">IF(BJ138=0,0,bsd(2,BO$27,BK138,$W138,$T138,$U138,$AH138,0.1))</f>
        <v>0</v>
      </c>
      <c r="BP138" s="76" t="n">
        <f aca="false">IF(BJ138=0,0,bsd(BO$28,BO$27,BK138,$W138,$T138,$U138,$AH138,0.1))</f>
        <v>0</v>
      </c>
      <c r="BQ138" s="37" t="n">
        <f aca="false">BJ138*BN138</f>
        <v>0</v>
      </c>
      <c r="BR138" s="37" t="n">
        <f aca="false">BJ138*BO138</f>
        <v>0</v>
      </c>
      <c r="BS138" s="37" t="n">
        <f aca="false">BJ138*BP138</f>
        <v>0</v>
      </c>
      <c r="BU138" s="73" t="n">
        <f aca="false">IF($A138&gt;=BV$25,IF($A138&lt;=BV$26,$AI138,0),0)</f>
        <v>0</v>
      </c>
      <c r="BV138" s="196" t="e">
        <f aca="false">BX138/BU138</f>
        <v>#DIV/0!</v>
      </c>
      <c r="BW138" s="1" t="n">
        <f aca="false">BU138*($B138+H$13)</f>
        <v>0</v>
      </c>
      <c r="BX138" s="47" t="n">
        <f aca="false">IF(ISNUMBER(((BW138/BU138)+H$14+$Y138)*BU138),((BW138/BU138)+H$14+$Y138)*BU138,0)</f>
        <v>0</v>
      </c>
      <c r="BY138" s="76" t="n">
        <f aca="false">IF(BU138=0,0,bsd(1,BZ$27,BV138,$AD138,$AA138,$AB138,$AH138,0.1))</f>
        <v>0</v>
      </c>
      <c r="BZ138" s="76" t="n">
        <f aca="false">IF(BU138=0,0,bsd(2,BZ$27,BV138,$AD138,$AA138,$AB138,$AH138,0.1))</f>
        <v>0</v>
      </c>
      <c r="CA138" s="76" t="n">
        <f aca="false">IF(BU138=0,0,bsd(BZ$28,BZ$27,BV138,$AD138,$AA138,$AB138,$AH138,0.1))</f>
        <v>0</v>
      </c>
      <c r="CB138" s="37" t="n">
        <f aca="false">BU138*BY138</f>
        <v>0</v>
      </c>
      <c r="CC138" s="37" t="n">
        <f aca="false">BU138*BZ138</f>
        <v>0</v>
      </c>
      <c r="CD138" s="37" t="n">
        <f aca="false">BU138*CA138</f>
        <v>0</v>
      </c>
    </row>
    <row r="139" customFormat="false" ht="12.75" hidden="false" customHeight="false" outlineLevel="0" collapsed="false">
      <c r="A139" s="62" t="n">
        <f aca="false">DATE(YEAR(A138),MONTH(A138)+1,1)</f>
        <v>40544</v>
      </c>
      <c r="B139" s="63" t="n">
        <f aca="false">VLOOKUP(A139,STRADDLE,5,FALSE())</f>
        <v>4.1275</v>
      </c>
      <c r="C139" s="4" t="n">
        <f aca="false">VLOOKUP(A139,STRADDLE,8,FALSE())</f>
        <v>0.185</v>
      </c>
      <c r="D139" s="63" t="n">
        <f aca="false">IF(D$28="nymex",0,VLOOKUP($A139,curvesettle,HLOOKUP(D$28,curvesettle,2,FALSE())))</f>
        <v>-0.075</v>
      </c>
      <c r="E139" s="65" t="n">
        <f aca="false">IF(ISNUMBER(VLOOKUP($A139,VOLCURVES,HLOOKUP(D$28,VOLCURVES,2,FALSE()),FALSE())),VLOOKUP($A139,VOLCURVES,HLOOKUP(D$28,VOLCURVES,2,FALSE()),FALSE()),1)</f>
        <v>1</v>
      </c>
      <c r="F139" s="64" t="n">
        <f aca="false">IF(D$28="NYMEX",$AG139,$AF139)</f>
        <v>-5387</v>
      </c>
      <c r="G139" s="4" t="e">
        <f aca="false">(($C139+H139)*$E139)+B$15</f>
        <v>#DIV/0!</v>
      </c>
      <c r="H139" s="4" t="e">
        <f aca="false">IF(B$16=1,xCalcSkew(A139,I139-AO139,b)/100,0)</f>
        <v>#DIV/0!</v>
      </c>
      <c r="I139" s="66" t="n">
        <f aca="false">IF($B$19=4,$AO139,$B$18)</f>
        <v>5</v>
      </c>
      <c r="K139" s="63" t="n">
        <f aca="false">IF(K$28="nymex",0,VLOOKUP($A139,curvesettle,HLOOKUP(K$28,curvesettle,2,FALSE())))</f>
        <v>-0.075</v>
      </c>
      <c r="L139" s="65" t="n">
        <f aca="false">IF(ISNUMBER(VLOOKUP($A139,VOLCURVES,HLOOKUP(K$28,VOLCURVES,2,FALSE()),FALSE())),VLOOKUP($A139,VOLCURVES,HLOOKUP(K$28,VOLCURVES,2,FALSE()),FALSE()),1)</f>
        <v>1</v>
      </c>
      <c r="M139" s="64" t="n">
        <f aca="false">IF(K$28="NYMEX",$AG139,$AF139)</f>
        <v>-5387</v>
      </c>
      <c r="N139" s="184" t="e">
        <f aca="false">(($C139+O139)*$L139)+D$15</f>
        <v>#DIV/0!</v>
      </c>
      <c r="O139" s="4" t="e">
        <f aca="false">IF(D$16=1,xCalcSkew($A139,P139-AZ139,b)/100,0)</f>
        <v>#DIV/0!</v>
      </c>
      <c r="P139" s="66" t="n">
        <f aca="false">IF($D$19=4,$AZ139,$D$18)</f>
        <v>3</v>
      </c>
      <c r="R139" s="63" t="n">
        <f aca="false">IF(R$28="nymex",0,VLOOKUP($A139,curvesettle,HLOOKUP(R$28,curvesettle,2,FALSE())))</f>
        <v>-0.26</v>
      </c>
      <c r="S139" s="65" t="n">
        <f aca="false">IF(ISNUMBER(VLOOKUP($A139,VOLCURVES,HLOOKUP(R$28,VOLCURVES,2,FALSE()),FALSE())),VLOOKUP($A139,VOLCURVES,HLOOKUP(R$28,VOLCURVES,2,FALSE()),FALSE()),1)</f>
        <v>1</v>
      </c>
      <c r="T139" s="64" t="n">
        <f aca="false">IF(R$28="NYMEX",$AG139,$AF139)</f>
        <v>-5387</v>
      </c>
      <c r="U139" s="184" t="e">
        <f aca="false">(($C139+V139)*$S139)+F$15</f>
        <v>#DIV/0!</v>
      </c>
      <c r="V139" s="4" t="e">
        <f aca="false">IF(F$16=1,xCalcSkew($A139,W139-BK139,b)/100,0)</f>
        <v>#DIV/0!</v>
      </c>
      <c r="W139" s="66" t="n">
        <f aca="false">IF($F$19=4,$BK139,$F$18)</f>
        <v>2.55</v>
      </c>
      <c r="X139" s="64"/>
      <c r="Y139" s="63" t="n">
        <f aca="false">IF(Y$28="nymex",0,VLOOKUP($A139,curvesettle,HLOOKUP(Y$28,curvesettle,2,FALSE())))</f>
        <v>0</v>
      </c>
      <c r="Z139" s="65" t="n">
        <f aca="false">IF(ISNUMBER(VLOOKUP($A139,VOLCURVES,HLOOKUP(Y$28,VOLCURVES,2,FALSE()),FALSE())),VLOOKUP($A139,VOLCURVES,HLOOKUP(Y$28,VOLCURVES,2,FALSE()),FALSE()),1)</f>
        <v>1</v>
      </c>
      <c r="AA139" s="64" t="n">
        <f aca="false">IF(Y$28="NYMEX",$AG139,$AF139)</f>
        <v>-5388</v>
      </c>
      <c r="AB139" s="4" t="e">
        <f aca="false">(($C139+AC139)*$Z139)+H$15</f>
        <v>#DIV/0!</v>
      </c>
      <c r="AC139" s="4" t="e">
        <f aca="false">IF(H$16=1,xCalcSkew($A139,AD139-BV139,b)/100,0)</f>
        <v>#DIV/0!</v>
      </c>
      <c r="AD139" s="66" t="n">
        <f aca="false">IF($H$19=4,$BV139,$H$18)</f>
        <v>2.9</v>
      </c>
      <c r="AF139" s="64" t="n">
        <f aca="false">VLOOKUP($A139,expiration,2,FALSE())-$B$2</f>
        <v>-5387</v>
      </c>
      <c r="AG139" s="64" t="n">
        <f aca="false">VLOOKUP($A139,expiration,3,FALSE())-$B$2</f>
        <v>-5388</v>
      </c>
      <c r="AH139" s="4" t="n">
        <f aca="false">VLOOKUP($A139,STRADDLE,14,FALSE())</f>
        <v>0.0580665067563584</v>
      </c>
      <c r="AI139" s="72" t="n">
        <f aca="false">A140-A139</f>
        <v>31</v>
      </c>
      <c r="AL139" s="64"/>
      <c r="AM139" s="73"/>
      <c r="AN139" s="73" t="n">
        <f aca="false">IF($A139&gt;=AO$25,IF($A139&lt;=AO$26,$AI139,0),0)</f>
        <v>0</v>
      </c>
      <c r="AO139" s="196" t="e">
        <f aca="false">AQ139/AN139</f>
        <v>#DIV/0!</v>
      </c>
      <c r="AP139" s="1" t="n">
        <f aca="false">AN139*($B139+B$13)</f>
        <v>0</v>
      </c>
      <c r="AQ139" s="47" t="n">
        <f aca="false">IF(ISNUMBER(((AP139/AN139)+B$14+$D139)*AN139),((AP139/AN139)+B$14+$D139)*AN139,0)</f>
        <v>0</v>
      </c>
      <c r="AR139" s="76" t="n">
        <f aca="false">IF(AN139=0,0,bsd(1,AS$27,AO139,$I139,$F139,$G139,$AH139,0.1))</f>
        <v>0</v>
      </c>
      <c r="AS139" s="76" t="n">
        <f aca="false">IF(AN139=0,0,bsd(2,AS$27,AO139,$I139,$F139,$G139,$AH139,0.1))</f>
        <v>0</v>
      </c>
      <c r="AT139" s="76" t="n">
        <f aca="false">IF(AN139=0,0,bsd(AS$28,AS$27,AO139,$I139,$F139,$G139,$AH139,0.1))</f>
        <v>0</v>
      </c>
      <c r="AU139" s="37" t="n">
        <f aca="false">AN139*AR139</f>
        <v>0</v>
      </c>
      <c r="AV139" s="37" t="n">
        <f aca="false">AN139*AS139</f>
        <v>0</v>
      </c>
      <c r="AW139" s="37" t="n">
        <f aca="false">AN139*AT139</f>
        <v>0</v>
      </c>
      <c r="AY139" s="73" t="n">
        <f aca="false">IF($A139&gt;=AZ$25,IF($A139&lt;=AZ$26,$AI139,0),0)</f>
        <v>0</v>
      </c>
      <c r="AZ139" s="196" t="e">
        <f aca="false">BB139/AY139</f>
        <v>#DIV/0!</v>
      </c>
      <c r="BA139" s="1" t="n">
        <f aca="false">AY139*($B139+D$13)</f>
        <v>0</v>
      </c>
      <c r="BB139" s="47" t="n">
        <f aca="false">IF(ISNUMBER(((BA139/AY139)+D$14+$K139)*AY139),((BA139/AY139)+D$14+$K139)*AY139,0)</f>
        <v>0</v>
      </c>
      <c r="BC139" s="76" t="n">
        <f aca="false">IF(AY139=0,0,bsd(1,BD$27,AZ139,$P139,$M139,$N139,$AH139,0.1))</f>
        <v>0</v>
      </c>
      <c r="BD139" s="76" t="n">
        <f aca="false">IF(AY139=0,0,bsd(2,BD$27,AZ139,$P139,$M139,$N139,$AH139,0.1))</f>
        <v>0</v>
      </c>
      <c r="BE139" s="76" t="n">
        <f aca="false">IF(AY139=0,0,bsd(BD$28,BD$27,AZ139,$P139,$M139,$N139,$AH139,0.1))</f>
        <v>0</v>
      </c>
      <c r="BF139" s="37" t="n">
        <f aca="false">AY139*BC139</f>
        <v>0</v>
      </c>
      <c r="BG139" s="37" t="n">
        <f aca="false">AY139*BD139</f>
        <v>0</v>
      </c>
      <c r="BH139" s="37" t="n">
        <f aca="false">AY139*BE139</f>
        <v>0</v>
      </c>
      <c r="BJ139" s="73" t="n">
        <f aca="false">IF($A139&gt;=BK$25,IF($A139&lt;=BK$26,$AI139,0),0)</f>
        <v>0</v>
      </c>
      <c r="BK139" s="196" t="e">
        <f aca="false">BM139/BJ139</f>
        <v>#DIV/0!</v>
      </c>
      <c r="BL139" s="1" t="n">
        <f aca="false">BJ139*($B139+F$13)</f>
        <v>0</v>
      </c>
      <c r="BM139" s="47" t="n">
        <f aca="false">IF(ISNUMBER(((BL139/BJ139)+F$14+$R139)*BJ139),((BL139/BJ139)+F$14+$R139)*BJ139,0)</f>
        <v>0</v>
      </c>
      <c r="BN139" s="76" t="n">
        <f aca="false">IF(BJ139=0,0,bsd(1,BO$27,BK139,$W139,$T139,$U139,$AH139,0.1))</f>
        <v>0</v>
      </c>
      <c r="BO139" s="76" t="n">
        <f aca="false">IF(BJ139=0,0,bsd(2,BO$27,BK139,$W139,$T139,$U139,$AH139,0.1))</f>
        <v>0</v>
      </c>
      <c r="BP139" s="76" t="n">
        <f aca="false">IF(BJ139=0,0,bsd(BO$28,BO$27,BK139,$W139,$T139,$U139,$AH139,0.1))</f>
        <v>0</v>
      </c>
      <c r="BQ139" s="37" t="n">
        <f aca="false">BJ139*BN139</f>
        <v>0</v>
      </c>
      <c r="BR139" s="37" t="n">
        <f aca="false">BJ139*BO139</f>
        <v>0</v>
      </c>
      <c r="BS139" s="37" t="n">
        <f aca="false">BJ139*BP139</f>
        <v>0</v>
      </c>
      <c r="BU139" s="73" t="n">
        <f aca="false">IF($A139&gt;=BV$25,IF($A139&lt;=BV$26,$AI139,0),0)</f>
        <v>0</v>
      </c>
      <c r="BV139" s="196" t="e">
        <f aca="false">BX139/BU139</f>
        <v>#DIV/0!</v>
      </c>
      <c r="BW139" s="1" t="n">
        <f aca="false">BU139*($B139+H$13)</f>
        <v>0</v>
      </c>
      <c r="BX139" s="47" t="n">
        <f aca="false">IF(ISNUMBER(((BW139/BU139)+H$14+$Y139)*BU139),((BW139/BU139)+H$14+$Y139)*BU139,0)</f>
        <v>0</v>
      </c>
      <c r="BY139" s="76" t="n">
        <f aca="false">IF(BU139=0,0,bsd(1,BZ$27,BV139,$AD139,$AA139,$AB139,$AH139,0.1))</f>
        <v>0</v>
      </c>
      <c r="BZ139" s="76" t="n">
        <f aca="false">IF(BU139=0,0,bsd(2,BZ$27,BV139,$AD139,$AA139,$AB139,$AH139,0.1))</f>
        <v>0</v>
      </c>
      <c r="CA139" s="76" t="n">
        <f aca="false">IF(BU139=0,0,bsd(BZ$28,BZ$27,BV139,$AD139,$AA139,$AB139,$AH139,0.1))</f>
        <v>0</v>
      </c>
      <c r="CB139" s="37" t="n">
        <f aca="false">BU139*BY139</f>
        <v>0</v>
      </c>
      <c r="CC139" s="37" t="n">
        <f aca="false">BU139*BZ139</f>
        <v>0</v>
      </c>
      <c r="CD139" s="37" t="n">
        <f aca="false">BU139*CA139</f>
        <v>0</v>
      </c>
    </row>
    <row r="140" customFormat="false" ht="12.75" hidden="false" customHeight="false" outlineLevel="0" collapsed="false">
      <c r="A140" s="62" t="n">
        <f aca="false">DATE(YEAR(A139),MONTH(A139)+1,1)</f>
        <v>40575</v>
      </c>
      <c r="B140" s="63" t="n">
        <f aca="false">VLOOKUP(A140,STRADDLE,5,FALSE())</f>
        <v>4.0425</v>
      </c>
      <c r="C140" s="4" t="n">
        <f aca="false">VLOOKUP(A140,STRADDLE,8,FALSE())</f>
        <v>0.185</v>
      </c>
      <c r="D140" s="63" t="n">
        <f aca="false">IF(D$28="nymex",0,VLOOKUP($A140,curvesettle,HLOOKUP(D$28,curvesettle,2,FALSE())))</f>
        <v>-0.075</v>
      </c>
      <c r="E140" s="65" t="n">
        <f aca="false">IF(ISNUMBER(VLOOKUP($A140,VOLCURVES,HLOOKUP(D$28,VOLCURVES,2,FALSE()),FALSE())),VLOOKUP($A140,VOLCURVES,HLOOKUP(D$28,VOLCURVES,2,FALSE()),FALSE()),1)</f>
        <v>1</v>
      </c>
      <c r="F140" s="64" t="n">
        <f aca="false">IF(D$28="NYMEX",$AG140,$AF140)</f>
        <v>-5357</v>
      </c>
      <c r="G140" s="4" t="e">
        <f aca="false">(($C140+H140)*$E140)+B$15</f>
        <v>#DIV/0!</v>
      </c>
      <c r="H140" s="4" t="e">
        <f aca="false">IF(B$16=1,xCalcSkew(A140,I140-AO140,b)/100,0)</f>
        <v>#DIV/0!</v>
      </c>
      <c r="I140" s="66" t="n">
        <f aca="false">IF($B$19=4,$AO140,$B$18)</f>
        <v>5</v>
      </c>
      <c r="K140" s="63" t="n">
        <f aca="false">IF(K$28="nymex",0,VLOOKUP($A140,curvesettle,HLOOKUP(K$28,curvesettle,2,FALSE())))</f>
        <v>-0.075</v>
      </c>
      <c r="L140" s="65" t="n">
        <f aca="false">IF(ISNUMBER(VLOOKUP($A140,VOLCURVES,HLOOKUP(K$28,VOLCURVES,2,FALSE()),FALSE())),VLOOKUP($A140,VOLCURVES,HLOOKUP(K$28,VOLCURVES,2,FALSE()),FALSE()),1)</f>
        <v>1</v>
      </c>
      <c r="M140" s="64" t="n">
        <f aca="false">IF(K$28="NYMEX",$AG140,$AF140)</f>
        <v>-5357</v>
      </c>
      <c r="N140" s="184" t="e">
        <f aca="false">(($C140+O140)*$L140)+D$15</f>
        <v>#DIV/0!</v>
      </c>
      <c r="O140" s="4" t="e">
        <f aca="false">IF(D$16=1,xCalcSkew($A140,P140-AZ140,b)/100,0)</f>
        <v>#DIV/0!</v>
      </c>
      <c r="P140" s="66" t="n">
        <f aca="false">IF($D$19=4,$AZ140,$D$18)</f>
        <v>3</v>
      </c>
      <c r="R140" s="63" t="n">
        <f aca="false">IF(R$28="nymex",0,VLOOKUP($A140,curvesettle,HLOOKUP(R$28,curvesettle,2,FALSE())))</f>
        <v>-0.26</v>
      </c>
      <c r="S140" s="65" t="n">
        <f aca="false">IF(ISNUMBER(VLOOKUP($A140,VOLCURVES,HLOOKUP(R$28,VOLCURVES,2,FALSE()),FALSE())),VLOOKUP($A140,VOLCURVES,HLOOKUP(R$28,VOLCURVES,2,FALSE()),FALSE()),1)</f>
        <v>1</v>
      </c>
      <c r="T140" s="64" t="n">
        <f aca="false">IF(R$28="NYMEX",$AG140,$AF140)</f>
        <v>-5357</v>
      </c>
      <c r="U140" s="184" t="e">
        <f aca="false">(($C140+V140)*$S140)+F$15</f>
        <v>#DIV/0!</v>
      </c>
      <c r="V140" s="4" t="e">
        <f aca="false">IF(F$16=1,xCalcSkew($A140,W140-BK140,b)/100,0)</f>
        <v>#DIV/0!</v>
      </c>
      <c r="W140" s="66" t="n">
        <f aca="false">IF($F$19=4,$BK140,$F$18)</f>
        <v>2.55</v>
      </c>
      <c r="X140" s="64"/>
      <c r="Y140" s="63" t="n">
        <f aca="false">IF(Y$28="nymex",0,VLOOKUP($A140,curvesettle,HLOOKUP(Y$28,curvesettle,2,FALSE())))</f>
        <v>0</v>
      </c>
      <c r="Z140" s="65" t="n">
        <f aca="false">IF(ISNUMBER(VLOOKUP($A140,VOLCURVES,HLOOKUP(Y$28,VOLCURVES,2,FALSE()),FALSE())),VLOOKUP($A140,VOLCURVES,HLOOKUP(Y$28,VOLCURVES,2,FALSE()),FALSE()),1)</f>
        <v>1</v>
      </c>
      <c r="AA140" s="64" t="n">
        <f aca="false">IF(Y$28="NYMEX",$AG140,$AF140)</f>
        <v>-5358</v>
      </c>
      <c r="AB140" s="4" t="e">
        <f aca="false">(($C140+AC140)*$Z140)+H$15</f>
        <v>#DIV/0!</v>
      </c>
      <c r="AC140" s="4" t="e">
        <f aca="false">IF(H$16=1,xCalcSkew($A140,AD140-BV140,b)/100,0)</f>
        <v>#DIV/0!</v>
      </c>
      <c r="AD140" s="66" t="n">
        <f aca="false">IF($H$19=4,$BV140,$H$18)</f>
        <v>2.9</v>
      </c>
      <c r="AF140" s="64" t="n">
        <f aca="false">VLOOKUP($A140,expiration,2,FALSE())-$B$2</f>
        <v>-5357</v>
      </c>
      <c r="AG140" s="64" t="n">
        <f aca="false">VLOOKUP($A140,expiration,3,FALSE())-$B$2</f>
        <v>-5358</v>
      </c>
      <c r="AH140" s="4" t="n">
        <f aca="false">VLOOKUP($A140,STRADDLE,14,FALSE())</f>
        <v>0.0581700052238889</v>
      </c>
      <c r="AI140" s="72" t="n">
        <f aca="false">A141-A140</f>
        <v>28</v>
      </c>
      <c r="AL140" s="64"/>
      <c r="AM140" s="73"/>
      <c r="AN140" s="73" t="n">
        <f aca="false">IF($A140&gt;=AO$25,IF($A140&lt;=AO$26,$AI140,0),0)</f>
        <v>0</v>
      </c>
      <c r="AO140" s="196" t="e">
        <f aca="false">AQ140/AN140</f>
        <v>#DIV/0!</v>
      </c>
      <c r="AP140" s="1" t="n">
        <f aca="false">AN140*($B140+B$13)</f>
        <v>0</v>
      </c>
      <c r="AQ140" s="47" t="n">
        <f aca="false">IF(ISNUMBER(((AP140/AN140)+B$14+$D140)*AN140),((AP140/AN140)+B$14+$D140)*AN140,0)</f>
        <v>0</v>
      </c>
      <c r="AR140" s="76" t="n">
        <f aca="false">IF(AN140=0,0,bsd(1,AS$27,AO140,$I140,$F140,$G140,$AH140,0.1))</f>
        <v>0</v>
      </c>
      <c r="AS140" s="76" t="n">
        <f aca="false">IF(AN140=0,0,bsd(2,AS$27,AO140,$I140,$F140,$G140,$AH140,0.1))</f>
        <v>0</v>
      </c>
      <c r="AT140" s="76" t="n">
        <f aca="false">IF(AN140=0,0,bsd(AS$28,AS$27,AO140,$I140,$F140,$G140,$AH140,0.1))</f>
        <v>0</v>
      </c>
      <c r="AU140" s="37" t="n">
        <f aca="false">AN140*AR140</f>
        <v>0</v>
      </c>
      <c r="AV140" s="37" t="n">
        <f aca="false">AN140*AS140</f>
        <v>0</v>
      </c>
      <c r="AW140" s="37" t="n">
        <f aca="false">AN140*AT140</f>
        <v>0</v>
      </c>
      <c r="AY140" s="73" t="n">
        <f aca="false">IF($A140&gt;=AZ$25,IF($A140&lt;=AZ$26,$AI140,0),0)</f>
        <v>0</v>
      </c>
      <c r="AZ140" s="196" t="e">
        <f aca="false">BB140/AY140</f>
        <v>#DIV/0!</v>
      </c>
      <c r="BA140" s="1" t="n">
        <f aca="false">AY140*($B140+D$13)</f>
        <v>0</v>
      </c>
      <c r="BB140" s="47" t="n">
        <f aca="false">IF(ISNUMBER(((BA140/AY140)+D$14+$K140)*AY140),((BA140/AY140)+D$14+$K140)*AY140,0)</f>
        <v>0</v>
      </c>
      <c r="BC140" s="76" t="n">
        <f aca="false">IF(AY140=0,0,bsd(1,BD$27,AZ140,$P140,$M140,$N140,$AH140,0.1))</f>
        <v>0</v>
      </c>
      <c r="BD140" s="76" t="n">
        <f aca="false">IF(AY140=0,0,bsd(2,BD$27,AZ140,$P140,$M140,$N140,$AH140,0.1))</f>
        <v>0</v>
      </c>
      <c r="BE140" s="76" t="n">
        <f aca="false">IF(AY140=0,0,bsd(BD$28,BD$27,AZ140,$P140,$M140,$N140,$AH140,0.1))</f>
        <v>0</v>
      </c>
      <c r="BF140" s="37" t="n">
        <f aca="false">AY140*BC140</f>
        <v>0</v>
      </c>
      <c r="BG140" s="37" t="n">
        <f aca="false">AY140*BD140</f>
        <v>0</v>
      </c>
      <c r="BH140" s="37" t="n">
        <f aca="false">AY140*BE140</f>
        <v>0</v>
      </c>
      <c r="BJ140" s="73" t="n">
        <f aca="false">IF($A140&gt;=BK$25,IF($A140&lt;=BK$26,$AI140,0),0)</f>
        <v>0</v>
      </c>
      <c r="BK140" s="196" t="e">
        <f aca="false">BM140/BJ140</f>
        <v>#DIV/0!</v>
      </c>
      <c r="BL140" s="1" t="n">
        <f aca="false">BJ140*($B140+F$13)</f>
        <v>0</v>
      </c>
      <c r="BM140" s="47" t="n">
        <f aca="false">IF(ISNUMBER(((BL140/BJ140)+F$14+$R140)*BJ140),((BL140/BJ140)+F$14+$R140)*BJ140,0)</f>
        <v>0</v>
      </c>
      <c r="BN140" s="76" t="n">
        <f aca="false">IF(BJ140=0,0,bsd(1,BO$27,BK140,$W140,$T140,$U140,$AH140,0.1))</f>
        <v>0</v>
      </c>
      <c r="BO140" s="76" t="n">
        <f aca="false">IF(BJ140=0,0,bsd(2,BO$27,BK140,$W140,$T140,$U140,$AH140,0.1))</f>
        <v>0</v>
      </c>
      <c r="BP140" s="76" t="n">
        <f aca="false">IF(BJ140=0,0,bsd(BO$28,BO$27,BK140,$W140,$T140,$U140,$AH140,0.1))</f>
        <v>0</v>
      </c>
      <c r="BQ140" s="37" t="n">
        <f aca="false">BJ140*BN140</f>
        <v>0</v>
      </c>
      <c r="BR140" s="37" t="n">
        <f aca="false">BJ140*BO140</f>
        <v>0</v>
      </c>
      <c r="BS140" s="37" t="n">
        <f aca="false">BJ140*BP140</f>
        <v>0</v>
      </c>
      <c r="BU140" s="73" t="n">
        <f aca="false">IF($A140&gt;=BV$25,IF($A140&lt;=BV$26,$AI140,0),0)</f>
        <v>0</v>
      </c>
      <c r="BV140" s="196" t="e">
        <f aca="false">BX140/BU140</f>
        <v>#DIV/0!</v>
      </c>
      <c r="BW140" s="1" t="n">
        <f aca="false">BU140*($B140+H$13)</f>
        <v>0</v>
      </c>
      <c r="BX140" s="47" t="n">
        <f aca="false">IF(ISNUMBER(((BW140/BU140)+H$14+$Y140)*BU140),((BW140/BU140)+H$14+$Y140)*BU140,0)</f>
        <v>0</v>
      </c>
      <c r="BY140" s="76" t="n">
        <f aca="false">IF(BU140=0,0,bsd(1,BZ$27,BV140,$AD140,$AA140,$AB140,$AH140,0.1))</f>
        <v>0</v>
      </c>
      <c r="BZ140" s="76" t="n">
        <f aca="false">IF(BU140=0,0,bsd(2,BZ$27,BV140,$AD140,$AA140,$AB140,$AH140,0.1))</f>
        <v>0</v>
      </c>
      <c r="CA140" s="76" t="n">
        <f aca="false">IF(BU140=0,0,bsd(BZ$28,BZ$27,BV140,$AD140,$AA140,$AB140,$AH140,0.1))</f>
        <v>0</v>
      </c>
      <c r="CB140" s="37" t="n">
        <f aca="false">BU140*BY140</f>
        <v>0</v>
      </c>
      <c r="CC140" s="37" t="n">
        <f aca="false">BU140*BZ140</f>
        <v>0</v>
      </c>
      <c r="CD140" s="37" t="n">
        <f aca="false">BU140*CA140</f>
        <v>0</v>
      </c>
    </row>
    <row r="141" customFormat="false" ht="12.75" hidden="false" customHeight="false" outlineLevel="0" collapsed="false">
      <c r="A141" s="62" t="n">
        <f aca="false">DATE(YEAR(A140),MONTH(A140)+1,1)</f>
        <v>40603</v>
      </c>
      <c r="B141" s="63" t="n">
        <f aca="false">VLOOKUP(A141,STRADDLE,5,FALSE())</f>
        <v>3.9125</v>
      </c>
      <c r="C141" s="4" t="n">
        <f aca="false">VLOOKUP(A141,STRADDLE,8,FALSE())</f>
        <v>0.18</v>
      </c>
      <c r="D141" s="63" t="n">
        <f aca="false">IF(D$28="nymex",0,VLOOKUP($A141,curvesettle,HLOOKUP(D$28,curvesettle,2,FALSE())))</f>
        <v>-0.075</v>
      </c>
      <c r="E141" s="65" t="n">
        <f aca="false">IF(ISNUMBER(VLOOKUP($A141,VOLCURVES,HLOOKUP(D$28,VOLCURVES,2,FALSE()),FALSE())),VLOOKUP($A141,VOLCURVES,HLOOKUP(D$28,VOLCURVES,2,FALSE()),FALSE()),1)</f>
        <v>1</v>
      </c>
      <c r="F141" s="64" t="n">
        <f aca="false">IF(D$28="NYMEX",$AG141,$AF141)</f>
        <v>-5329</v>
      </c>
      <c r="G141" s="4" t="e">
        <f aca="false">(($C141+H141)*$E141)+B$15</f>
        <v>#DIV/0!</v>
      </c>
      <c r="H141" s="4" t="e">
        <f aca="false">IF(B$16=1,xCalcSkew(A141,I141-AO141,b)/100,0)</f>
        <v>#DIV/0!</v>
      </c>
      <c r="I141" s="66" t="n">
        <f aca="false">IF($B$19=4,$AO141,$B$18)</f>
        <v>5</v>
      </c>
      <c r="K141" s="63" t="n">
        <f aca="false">IF(K$28="nymex",0,VLOOKUP($A141,curvesettle,HLOOKUP(K$28,curvesettle,2,FALSE())))</f>
        <v>-0.075</v>
      </c>
      <c r="L141" s="65" t="n">
        <f aca="false">IF(ISNUMBER(VLOOKUP($A141,VOLCURVES,HLOOKUP(K$28,VOLCURVES,2,FALSE()),FALSE())),VLOOKUP($A141,VOLCURVES,HLOOKUP(K$28,VOLCURVES,2,FALSE()),FALSE()),1)</f>
        <v>1</v>
      </c>
      <c r="M141" s="64" t="n">
        <f aca="false">IF(K$28="NYMEX",$AG141,$AF141)</f>
        <v>-5329</v>
      </c>
      <c r="N141" s="184" t="e">
        <f aca="false">(($C141+O141)*$L141)+D$15</f>
        <v>#DIV/0!</v>
      </c>
      <c r="O141" s="4" t="e">
        <f aca="false">IF(D$16=1,xCalcSkew($A141,P141-AZ141,b)/100,0)</f>
        <v>#DIV/0!</v>
      </c>
      <c r="P141" s="66" t="n">
        <f aca="false">IF($D$19=4,$AZ141,$D$18)</f>
        <v>3</v>
      </c>
      <c r="R141" s="63" t="n">
        <f aca="false">IF(R$28="nymex",0,VLOOKUP($A141,curvesettle,HLOOKUP(R$28,curvesettle,2,FALSE())))</f>
        <v>-0.26</v>
      </c>
      <c r="S141" s="65" t="n">
        <f aca="false">IF(ISNUMBER(VLOOKUP($A141,VOLCURVES,HLOOKUP(R$28,VOLCURVES,2,FALSE()),FALSE())),VLOOKUP($A141,VOLCURVES,HLOOKUP(R$28,VOLCURVES,2,FALSE()),FALSE()),1)</f>
        <v>1</v>
      </c>
      <c r="T141" s="64" t="n">
        <f aca="false">IF(R$28="NYMEX",$AG141,$AF141)</f>
        <v>-5329</v>
      </c>
      <c r="U141" s="184" t="e">
        <f aca="false">(($C141+V141)*$S141)+F$15</f>
        <v>#DIV/0!</v>
      </c>
      <c r="V141" s="4" t="e">
        <f aca="false">IF(F$16=1,xCalcSkew($A141,W141-BK141,b)/100,0)</f>
        <v>#DIV/0!</v>
      </c>
      <c r="W141" s="66" t="n">
        <f aca="false">IF($F$19=4,$BK141,$F$18)</f>
        <v>2.55</v>
      </c>
      <c r="X141" s="64"/>
      <c r="Y141" s="63" t="n">
        <f aca="false">IF(Y$28="nymex",0,VLOOKUP($A141,curvesettle,HLOOKUP(Y$28,curvesettle,2,FALSE())))</f>
        <v>0</v>
      </c>
      <c r="Z141" s="65" t="n">
        <f aca="false">IF(ISNUMBER(VLOOKUP($A141,VOLCURVES,HLOOKUP(Y$28,VOLCURVES,2,FALSE()),FALSE())),VLOOKUP($A141,VOLCURVES,HLOOKUP(Y$28,VOLCURVES,2,FALSE()),FALSE()),1)</f>
        <v>1</v>
      </c>
      <c r="AA141" s="64" t="n">
        <f aca="false">IF(Y$28="NYMEX",$AG141,$AF141)</f>
        <v>-5330</v>
      </c>
      <c r="AB141" s="4" t="e">
        <f aca="false">(($C141+AC141)*$Z141)+H$15</f>
        <v>#DIV/0!</v>
      </c>
      <c r="AC141" s="4" t="e">
        <f aca="false">IF(H$16=1,xCalcSkew($A141,AD141-BV141,b)/100,0)</f>
        <v>#DIV/0!</v>
      </c>
      <c r="AD141" s="66" t="n">
        <f aca="false">IF($H$19=4,$BV141,$H$18)</f>
        <v>2.9</v>
      </c>
      <c r="AF141" s="64" t="n">
        <f aca="false">VLOOKUP($A141,expiration,2,FALSE())-$B$2</f>
        <v>-5329</v>
      </c>
      <c r="AG141" s="64" t="n">
        <f aca="false">VLOOKUP($A141,expiration,3,FALSE())-$B$2</f>
        <v>-5330</v>
      </c>
      <c r="AH141" s="4" t="n">
        <f aca="false">VLOOKUP($A141,STRADDLE,14,FALSE())</f>
        <v>0.0582634877137527</v>
      </c>
      <c r="AI141" s="72" t="n">
        <f aca="false">A142-A141</f>
        <v>31</v>
      </c>
      <c r="AL141" s="64"/>
      <c r="AM141" s="73"/>
      <c r="AN141" s="73" t="n">
        <f aca="false">IF($A141&gt;=AO$25,IF($A141&lt;=AO$26,$AI141,0),0)</f>
        <v>0</v>
      </c>
      <c r="AO141" s="196" t="e">
        <f aca="false">AQ141/AN141</f>
        <v>#DIV/0!</v>
      </c>
      <c r="AP141" s="1" t="n">
        <f aca="false">AN141*($B141+B$13)</f>
        <v>0</v>
      </c>
      <c r="AQ141" s="47" t="n">
        <f aca="false">IF(ISNUMBER(((AP141/AN141)+B$14+$D141)*AN141),((AP141/AN141)+B$14+$D141)*AN141,0)</f>
        <v>0</v>
      </c>
      <c r="AR141" s="76" t="n">
        <f aca="false">IF(AN141=0,0,bsd(1,AS$27,AO141,$I141,$F141,$G141,$AH141,0.1))</f>
        <v>0</v>
      </c>
      <c r="AS141" s="76" t="n">
        <f aca="false">IF(AN141=0,0,bsd(2,AS$27,AO141,$I141,$F141,$G141,$AH141,0.1))</f>
        <v>0</v>
      </c>
      <c r="AT141" s="76" t="n">
        <f aca="false">IF(AN141=0,0,bsd(AS$28,AS$27,AO141,$I141,$F141,$G141,$AH141,0.1))</f>
        <v>0</v>
      </c>
      <c r="AU141" s="37" t="n">
        <f aca="false">AN141*AR141</f>
        <v>0</v>
      </c>
      <c r="AV141" s="37" t="n">
        <f aca="false">AN141*AS141</f>
        <v>0</v>
      </c>
      <c r="AW141" s="37" t="n">
        <f aca="false">AN141*AT141</f>
        <v>0</v>
      </c>
      <c r="AY141" s="73" t="n">
        <f aca="false">IF($A141&gt;=AZ$25,IF($A141&lt;=AZ$26,$AI141,0),0)</f>
        <v>0</v>
      </c>
      <c r="AZ141" s="196" t="e">
        <f aca="false">BB141/AY141</f>
        <v>#DIV/0!</v>
      </c>
      <c r="BA141" s="1" t="n">
        <f aca="false">AY141*($B141+D$13)</f>
        <v>0</v>
      </c>
      <c r="BB141" s="47" t="n">
        <f aca="false">IF(ISNUMBER(((BA141/AY141)+D$14+$K141)*AY141),((BA141/AY141)+D$14+$K141)*AY141,0)</f>
        <v>0</v>
      </c>
      <c r="BC141" s="76" t="n">
        <f aca="false">IF(AY141=0,0,bsd(1,BD$27,AZ141,$P141,$M141,$N141,$AH141,0.1))</f>
        <v>0</v>
      </c>
      <c r="BD141" s="76" t="n">
        <f aca="false">IF(AY141=0,0,bsd(2,BD$27,AZ141,$P141,$M141,$N141,$AH141,0.1))</f>
        <v>0</v>
      </c>
      <c r="BE141" s="76" t="n">
        <f aca="false">IF(AY141=0,0,bsd(BD$28,BD$27,AZ141,$P141,$M141,$N141,$AH141,0.1))</f>
        <v>0</v>
      </c>
      <c r="BF141" s="37" t="n">
        <f aca="false">AY141*BC141</f>
        <v>0</v>
      </c>
      <c r="BG141" s="37" t="n">
        <f aca="false">AY141*BD141</f>
        <v>0</v>
      </c>
      <c r="BH141" s="37" t="n">
        <f aca="false">AY141*BE141</f>
        <v>0</v>
      </c>
      <c r="BJ141" s="73" t="n">
        <f aca="false">IF($A141&gt;=BK$25,IF($A141&lt;=BK$26,$AI141,0),0)</f>
        <v>0</v>
      </c>
      <c r="BK141" s="196" t="e">
        <f aca="false">BM141/BJ141</f>
        <v>#DIV/0!</v>
      </c>
      <c r="BL141" s="1" t="n">
        <f aca="false">BJ141*($B141+F$13)</f>
        <v>0</v>
      </c>
      <c r="BM141" s="47" t="n">
        <f aca="false">IF(ISNUMBER(((BL141/BJ141)+F$14+$R141)*BJ141),((BL141/BJ141)+F$14+$R141)*BJ141,0)</f>
        <v>0</v>
      </c>
      <c r="BN141" s="76" t="n">
        <f aca="false">IF(BJ141=0,0,bsd(1,BO$27,BK141,$W141,$T141,$U141,$AH141,0.1))</f>
        <v>0</v>
      </c>
      <c r="BO141" s="76" t="n">
        <f aca="false">IF(BJ141=0,0,bsd(2,BO$27,BK141,$W141,$T141,$U141,$AH141,0.1))</f>
        <v>0</v>
      </c>
      <c r="BP141" s="76" t="n">
        <f aca="false">IF(BJ141=0,0,bsd(BO$28,BO$27,BK141,$W141,$T141,$U141,$AH141,0.1))</f>
        <v>0</v>
      </c>
      <c r="BQ141" s="37" t="n">
        <f aca="false">BJ141*BN141</f>
        <v>0</v>
      </c>
      <c r="BR141" s="37" t="n">
        <f aca="false">BJ141*BO141</f>
        <v>0</v>
      </c>
      <c r="BS141" s="37" t="n">
        <f aca="false">BJ141*BP141</f>
        <v>0</v>
      </c>
      <c r="BU141" s="73" t="n">
        <f aca="false">IF($A141&gt;=BV$25,IF($A141&lt;=BV$26,$AI141,0),0)</f>
        <v>0</v>
      </c>
      <c r="BV141" s="196" t="e">
        <f aca="false">BX141/BU141</f>
        <v>#DIV/0!</v>
      </c>
      <c r="BW141" s="1" t="n">
        <f aca="false">BU141*($B141+H$13)</f>
        <v>0</v>
      </c>
      <c r="BX141" s="47" t="n">
        <f aca="false">IF(ISNUMBER(((BW141/BU141)+H$14+$Y141)*BU141),((BW141/BU141)+H$14+$Y141)*BU141,0)</f>
        <v>0</v>
      </c>
      <c r="BY141" s="76" t="n">
        <f aca="false">IF(BU141=0,0,bsd(1,BZ$27,BV141,$AD141,$AA141,$AB141,$AH141,0.1))</f>
        <v>0</v>
      </c>
      <c r="BZ141" s="76" t="n">
        <f aca="false">IF(BU141=0,0,bsd(2,BZ$27,BV141,$AD141,$AA141,$AB141,$AH141,0.1))</f>
        <v>0</v>
      </c>
      <c r="CA141" s="76" t="n">
        <f aca="false">IF(BU141=0,0,bsd(BZ$28,BZ$27,BV141,$AD141,$AA141,$AB141,$AH141,0.1))</f>
        <v>0</v>
      </c>
      <c r="CB141" s="37" t="n">
        <f aca="false">BU141*BY141</f>
        <v>0</v>
      </c>
      <c r="CC141" s="37" t="n">
        <f aca="false">BU141*BZ141</f>
        <v>0</v>
      </c>
      <c r="CD141" s="37" t="n">
        <f aca="false">BU141*CA141</f>
        <v>0</v>
      </c>
    </row>
    <row r="142" customFormat="false" ht="12.75" hidden="false" customHeight="false" outlineLevel="0" collapsed="false">
      <c r="A142" s="62" t="n">
        <f aca="false">DATE(YEAR(A141),MONTH(A141)+1,1)</f>
        <v>40634</v>
      </c>
      <c r="B142" s="63" t="n">
        <f aca="false">VLOOKUP(A142,STRADDLE,5,FALSE())</f>
        <v>3.7275</v>
      </c>
      <c r="C142" s="4" t="n">
        <f aca="false">VLOOKUP(A142,STRADDLE,8,FALSE())</f>
        <v>0.18</v>
      </c>
      <c r="D142" s="63" t="n">
        <f aca="false">IF(D$28="nymex",0,VLOOKUP($A142,curvesettle,HLOOKUP(D$28,curvesettle,2,FALSE())))</f>
        <v>-0.0725</v>
      </c>
      <c r="E142" s="65" t="n">
        <f aca="false">IF(ISNUMBER(VLOOKUP($A142,VOLCURVES,HLOOKUP(D$28,VOLCURVES,2,FALSE()),FALSE())),VLOOKUP($A142,VOLCURVES,HLOOKUP(D$28,VOLCURVES,2,FALSE()),FALSE()),1)</f>
        <v>1</v>
      </c>
      <c r="F142" s="64" t="n">
        <f aca="false">IF(D$28="NYMEX",$AG142,$AF142)</f>
        <v>-5296</v>
      </c>
      <c r="G142" s="4" t="e">
        <f aca="false">(($C142+H142)*$E142)+B$15</f>
        <v>#DIV/0!</v>
      </c>
      <c r="H142" s="4" t="e">
        <f aca="false">IF(B$16=1,xCalcSkew(A142,I142-AO142,b)/100,0)</f>
        <v>#DIV/0!</v>
      </c>
      <c r="I142" s="66" t="n">
        <f aca="false">IF($B$19=4,$AO142,$B$18)</f>
        <v>5</v>
      </c>
      <c r="K142" s="63" t="n">
        <f aca="false">IF(K$28="nymex",0,VLOOKUP($A142,curvesettle,HLOOKUP(K$28,curvesettle,2,FALSE())))</f>
        <v>-0.0725</v>
      </c>
      <c r="L142" s="65" t="n">
        <f aca="false">IF(ISNUMBER(VLOOKUP($A142,VOLCURVES,HLOOKUP(K$28,VOLCURVES,2,FALSE()),FALSE())),VLOOKUP($A142,VOLCURVES,HLOOKUP(K$28,VOLCURVES,2,FALSE()),FALSE()),1)</f>
        <v>1</v>
      </c>
      <c r="M142" s="64" t="n">
        <f aca="false">IF(K$28="NYMEX",$AG142,$AF142)</f>
        <v>-5296</v>
      </c>
      <c r="N142" s="184" t="e">
        <f aca="false">(($C142+O142)*$L142)+D$15</f>
        <v>#DIV/0!</v>
      </c>
      <c r="O142" s="4" t="e">
        <f aca="false">IF(D$16=1,xCalcSkew($A142,P142-AZ142,b)/100,0)</f>
        <v>#DIV/0!</v>
      </c>
      <c r="P142" s="66" t="n">
        <f aca="false">IF($D$19=4,$AZ142,$D$18)</f>
        <v>3</v>
      </c>
      <c r="R142" s="63" t="n">
        <f aca="false">IF(R$28="nymex",0,VLOOKUP($A142,curvesettle,HLOOKUP(R$28,curvesettle,2,FALSE())))</f>
        <v>-0.37</v>
      </c>
      <c r="S142" s="65" t="n">
        <f aca="false">IF(ISNUMBER(VLOOKUP($A142,VOLCURVES,HLOOKUP(R$28,VOLCURVES,2,FALSE()),FALSE())),VLOOKUP($A142,VOLCURVES,HLOOKUP(R$28,VOLCURVES,2,FALSE()),FALSE()),1)</f>
        <v>1</v>
      </c>
      <c r="T142" s="64" t="n">
        <f aca="false">IF(R$28="NYMEX",$AG142,$AF142)</f>
        <v>-5296</v>
      </c>
      <c r="U142" s="184" t="e">
        <f aca="false">(($C142+V142)*$S142)+F$15</f>
        <v>#DIV/0!</v>
      </c>
      <c r="V142" s="4" t="e">
        <f aca="false">IF(F$16=1,xCalcSkew($A142,W142-BK142,b)/100,0)</f>
        <v>#DIV/0!</v>
      </c>
      <c r="W142" s="66" t="n">
        <f aca="false">IF($F$19=4,$BK142,$F$18)</f>
        <v>2.55</v>
      </c>
      <c r="X142" s="64"/>
      <c r="Y142" s="63" t="n">
        <f aca="false">IF(Y$28="nymex",0,VLOOKUP($A142,curvesettle,HLOOKUP(Y$28,curvesettle,2,FALSE())))</f>
        <v>0</v>
      </c>
      <c r="Z142" s="65" t="n">
        <f aca="false">IF(ISNUMBER(VLOOKUP($A142,VOLCURVES,HLOOKUP(Y$28,VOLCURVES,2,FALSE()),FALSE())),VLOOKUP($A142,VOLCURVES,HLOOKUP(Y$28,VOLCURVES,2,FALSE()),FALSE()),1)</f>
        <v>1</v>
      </c>
      <c r="AA142" s="64" t="n">
        <f aca="false">IF(Y$28="NYMEX",$AG142,$AF142)</f>
        <v>-5297</v>
      </c>
      <c r="AB142" s="4" t="e">
        <f aca="false">(($C142+AC142)*$Z142)+H$15</f>
        <v>#DIV/0!</v>
      </c>
      <c r="AC142" s="4" t="e">
        <f aca="false">IF(H$16=1,xCalcSkew($A142,AD142-BV142,b)/100,0)</f>
        <v>#DIV/0!</v>
      </c>
      <c r="AD142" s="66" t="n">
        <f aca="false">IF($H$19=4,$BV142,$H$18)</f>
        <v>2.9</v>
      </c>
      <c r="AF142" s="64" t="n">
        <f aca="false">VLOOKUP($A142,expiration,2,FALSE())-$B$2</f>
        <v>-5296</v>
      </c>
      <c r="AG142" s="64" t="n">
        <f aca="false">VLOOKUP($A142,expiration,3,FALSE())-$B$2</f>
        <v>-5297</v>
      </c>
      <c r="AH142" s="4" t="n">
        <f aca="false">VLOOKUP($A142,STRADDLE,14,FALSE())</f>
        <v>0.0583669861880636</v>
      </c>
      <c r="AI142" s="72" t="n">
        <f aca="false">A143-A142</f>
        <v>30</v>
      </c>
      <c r="AL142" s="64"/>
      <c r="AM142" s="73"/>
      <c r="AN142" s="73" t="n">
        <f aca="false">IF($A142&gt;=AO$25,IF($A142&lt;=AO$26,$AI142,0),0)</f>
        <v>0</v>
      </c>
      <c r="AO142" s="196" t="e">
        <f aca="false">AQ142/AN142</f>
        <v>#DIV/0!</v>
      </c>
      <c r="AP142" s="1" t="n">
        <f aca="false">AN142*($B142+B$13)</f>
        <v>0</v>
      </c>
      <c r="AQ142" s="47" t="n">
        <f aca="false">IF(ISNUMBER(((AP142/AN142)+B$14+$D142)*AN142),((AP142/AN142)+B$14+$D142)*AN142,0)</f>
        <v>0</v>
      </c>
      <c r="AR142" s="76" t="n">
        <f aca="false">IF(AN142=0,0,bsd(1,AS$27,AO142,$I142,$F142,$G142,$AH142,0.1))</f>
        <v>0</v>
      </c>
      <c r="AS142" s="76" t="n">
        <f aca="false">IF(AN142=0,0,bsd(2,AS$27,AO142,$I142,$F142,$G142,$AH142,0.1))</f>
        <v>0</v>
      </c>
      <c r="AT142" s="76" t="n">
        <f aca="false">IF(AN142=0,0,bsd(AS$28,AS$27,AO142,$I142,$F142,$G142,$AH142,0.1))</f>
        <v>0</v>
      </c>
      <c r="AU142" s="37" t="n">
        <f aca="false">AN142*AR142</f>
        <v>0</v>
      </c>
      <c r="AV142" s="37" t="n">
        <f aca="false">AN142*AS142</f>
        <v>0</v>
      </c>
      <c r="AW142" s="37" t="n">
        <f aca="false">AN142*AT142</f>
        <v>0</v>
      </c>
      <c r="AY142" s="73" t="n">
        <f aca="false">IF($A142&gt;=AZ$25,IF($A142&lt;=AZ$26,$AI142,0),0)</f>
        <v>0</v>
      </c>
      <c r="AZ142" s="196" t="e">
        <f aca="false">BB142/AY142</f>
        <v>#DIV/0!</v>
      </c>
      <c r="BA142" s="1" t="n">
        <f aca="false">AY142*($B142+D$13)</f>
        <v>0</v>
      </c>
      <c r="BB142" s="47" t="n">
        <f aca="false">IF(ISNUMBER(((BA142/AY142)+D$14+$K142)*AY142),((BA142/AY142)+D$14+$K142)*AY142,0)</f>
        <v>0</v>
      </c>
      <c r="BC142" s="76" t="n">
        <f aca="false">IF(AY142=0,0,bsd(1,BD$27,AZ142,$P142,$M142,$N142,$AH142,0.1))</f>
        <v>0</v>
      </c>
      <c r="BD142" s="76" t="n">
        <f aca="false">IF(AY142=0,0,bsd(2,BD$27,AZ142,$P142,$M142,$N142,$AH142,0.1))</f>
        <v>0</v>
      </c>
      <c r="BE142" s="76" t="n">
        <f aca="false">IF(AY142=0,0,bsd(BD$28,BD$27,AZ142,$P142,$M142,$N142,$AH142,0.1))</f>
        <v>0</v>
      </c>
      <c r="BF142" s="37" t="n">
        <f aca="false">AY142*BC142</f>
        <v>0</v>
      </c>
      <c r="BG142" s="37" t="n">
        <f aca="false">AY142*BD142</f>
        <v>0</v>
      </c>
      <c r="BH142" s="37" t="n">
        <f aca="false">AY142*BE142</f>
        <v>0</v>
      </c>
      <c r="BJ142" s="73" t="n">
        <f aca="false">IF($A142&gt;=BK$25,IF($A142&lt;=BK$26,$AI142,0),0)</f>
        <v>0</v>
      </c>
      <c r="BK142" s="196" t="e">
        <f aca="false">BM142/BJ142</f>
        <v>#DIV/0!</v>
      </c>
      <c r="BL142" s="1" t="n">
        <f aca="false">BJ142*($B142+F$13)</f>
        <v>0</v>
      </c>
      <c r="BM142" s="47" t="n">
        <f aca="false">IF(ISNUMBER(((BL142/BJ142)+F$14+$R142)*BJ142),((BL142/BJ142)+F$14+$R142)*BJ142,0)</f>
        <v>0</v>
      </c>
      <c r="BN142" s="76" t="n">
        <f aca="false">IF(BJ142=0,0,bsd(1,BO$27,BK142,$W142,$T142,$U142,$AH142,0.1))</f>
        <v>0</v>
      </c>
      <c r="BO142" s="76" t="n">
        <f aca="false">IF(BJ142=0,0,bsd(2,BO$27,BK142,$W142,$T142,$U142,$AH142,0.1))</f>
        <v>0</v>
      </c>
      <c r="BP142" s="76" t="n">
        <f aca="false">IF(BJ142=0,0,bsd(BO$28,BO$27,BK142,$W142,$T142,$U142,$AH142,0.1))</f>
        <v>0</v>
      </c>
      <c r="BQ142" s="37" t="n">
        <f aca="false">BJ142*BN142</f>
        <v>0</v>
      </c>
      <c r="BR142" s="37" t="n">
        <f aca="false">BJ142*BO142</f>
        <v>0</v>
      </c>
      <c r="BS142" s="37" t="n">
        <f aca="false">BJ142*BP142</f>
        <v>0</v>
      </c>
      <c r="BU142" s="73" t="n">
        <f aca="false">IF($A142&gt;=BV$25,IF($A142&lt;=BV$26,$AI142,0),0)</f>
        <v>0</v>
      </c>
      <c r="BV142" s="196" t="e">
        <f aca="false">BX142/BU142</f>
        <v>#DIV/0!</v>
      </c>
      <c r="BW142" s="1" t="n">
        <f aca="false">BU142*($B142+H$13)</f>
        <v>0</v>
      </c>
      <c r="BX142" s="47" t="n">
        <f aca="false">IF(ISNUMBER(((BW142/BU142)+H$14+$Y142)*BU142),((BW142/BU142)+H$14+$Y142)*BU142,0)</f>
        <v>0</v>
      </c>
      <c r="BY142" s="76" t="n">
        <f aca="false">IF(BU142=0,0,bsd(1,BZ$27,BV142,$AD142,$AA142,$AB142,$AH142,0.1))</f>
        <v>0</v>
      </c>
      <c r="BZ142" s="76" t="n">
        <f aca="false">IF(BU142=0,0,bsd(2,BZ$27,BV142,$AD142,$AA142,$AB142,$AH142,0.1))</f>
        <v>0</v>
      </c>
      <c r="CA142" s="76" t="n">
        <f aca="false">IF(BU142=0,0,bsd(BZ$28,BZ$27,BV142,$AD142,$AA142,$AB142,$AH142,0.1))</f>
        <v>0</v>
      </c>
      <c r="CB142" s="37" t="n">
        <f aca="false">BU142*BY142</f>
        <v>0</v>
      </c>
      <c r="CC142" s="37" t="n">
        <f aca="false">BU142*BZ142</f>
        <v>0</v>
      </c>
      <c r="CD142" s="37" t="n">
        <f aca="false">BU142*CA142</f>
        <v>0</v>
      </c>
    </row>
    <row r="143" customFormat="false" ht="12.75" hidden="false" customHeight="false" outlineLevel="0" collapsed="false">
      <c r="A143" s="62" t="n">
        <f aca="false">DATE(YEAR(A142),MONTH(A142)+1,1)</f>
        <v>40664</v>
      </c>
      <c r="B143" s="63" t="n">
        <f aca="false">VLOOKUP(A143,STRADDLE,5,FALSE())</f>
        <v>3.7225</v>
      </c>
      <c r="C143" s="4" t="n">
        <f aca="false">VLOOKUP(A143,STRADDLE,8,FALSE())</f>
        <v>0.18</v>
      </c>
      <c r="D143" s="63" t="n">
        <f aca="false">IF(D$28="nymex",0,VLOOKUP($A143,curvesettle,HLOOKUP(D$28,curvesettle,2,FALSE())))</f>
        <v>-0.0725</v>
      </c>
      <c r="E143" s="65" t="n">
        <f aca="false">IF(ISNUMBER(VLOOKUP($A143,VOLCURVES,HLOOKUP(D$28,VOLCURVES,2,FALSE()),FALSE())),VLOOKUP($A143,VOLCURVES,HLOOKUP(D$28,VOLCURVES,2,FALSE()),FALSE()),1)</f>
        <v>1</v>
      </c>
      <c r="F143" s="64" t="n">
        <f aca="false">IF(D$28="NYMEX",$AG143,$AF143)</f>
        <v>-5267</v>
      </c>
      <c r="G143" s="4" t="e">
        <f aca="false">(($C143+H143)*$E143)+B$15</f>
        <v>#DIV/0!</v>
      </c>
      <c r="H143" s="4" t="e">
        <f aca="false">IF(B$16=1,xCalcSkew(A143,I143-AO143,b)/100,0)</f>
        <v>#DIV/0!</v>
      </c>
      <c r="I143" s="66" t="n">
        <f aca="false">IF($B$19=4,$AO143,$B$18)</f>
        <v>5</v>
      </c>
      <c r="K143" s="63" t="n">
        <f aca="false">IF(K$28="nymex",0,VLOOKUP($A143,curvesettle,HLOOKUP(K$28,curvesettle,2,FALSE())))</f>
        <v>-0.0725</v>
      </c>
      <c r="L143" s="65" t="n">
        <f aca="false">IF(ISNUMBER(VLOOKUP($A143,VOLCURVES,HLOOKUP(K$28,VOLCURVES,2,FALSE()),FALSE())),VLOOKUP($A143,VOLCURVES,HLOOKUP(K$28,VOLCURVES,2,FALSE()),FALSE()),1)</f>
        <v>1</v>
      </c>
      <c r="M143" s="64" t="n">
        <f aca="false">IF(K$28="NYMEX",$AG143,$AF143)</f>
        <v>-5267</v>
      </c>
      <c r="N143" s="184" t="e">
        <f aca="false">(($C143+O143)*$L143)+D$15</f>
        <v>#DIV/0!</v>
      </c>
      <c r="O143" s="4" t="e">
        <f aca="false">IF(D$16=1,xCalcSkew($A143,P143-AZ143,b)/100,0)</f>
        <v>#DIV/0!</v>
      </c>
      <c r="P143" s="66" t="n">
        <f aca="false">IF($D$19=4,$AZ143,$D$18)</f>
        <v>3</v>
      </c>
      <c r="R143" s="63" t="n">
        <f aca="false">IF(R$28="nymex",0,VLOOKUP($A143,curvesettle,HLOOKUP(R$28,curvesettle,2,FALSE())))</f>
        <v>-0.37</v>
      </c>
      <c r="S143" s="65" t="n">
        <f aca="false">IF(ISNUMBER(VLOOKUP($A143,VOLCURVES,HLOOKUP(R$28,VOLCURVES,2,FALSE()),FALSE())),VLOOKUP($A143,VOLCURVES,HLOOKUP(R$28,VOLCURVES,2,FALSE()),FALSE()),1)</f>
        <v>1</v>
      </c>
      <c r="T143" s="64" t="n">
        <f aca="false">IF(R$28="NYMEX",$AG143,$AF143)</f>
        <v>-5267</v>
      </c>
      <c r="U143" s="184" t="e">
        <f aca="false">(($C143+V143)*$S143)+F$15</f>
        <v>#DIV/0!</v>
      </c>
      <c r="V143" s="4" t="e">
        <f aca="false">IF(F$16=1,xCalcSkew($A143,W143-BK143,b)/100,0)</f>
        <v>#DIV/0!</v>
      </c>
      <c r="W143" s="66" t="n">
        <f aca="false">IF($F$19=4,$BK143,$F$18)</f>
        <v>2.55</v>
      </c>
      <c r="X143" s="64"/>
      <c r="Y143" s="63" t="n">
        <f aca="false">IF(Y$28="nymex",0,VLOOKUP($A143,curvesettle,HLOOKUP(Y$28,curvesettle,2,FALSE())))</f>
        <v>0</v>
      </c>
      <c r="Z143" s="65" t="n">
        <f aca="false">IF(ISNUMBER(VLOOKUP($A143,VOLCURVES,HLOOKUP(Y$28,VOLCURVES,2,FALSE()),FALSE())),VLOOKUP($A143,VOLCURVES,HLOOKUP(Y$28,VOLCURVES,2,FALSE()),FALSE()),1)</f>
        <v>1</v>
      </c>
      <c r="AA143" s="64" t="n">
        <f aca="false">IF(Y$28="NYMEX",$AG143,$AF143)</f>
        <v>-5268</v>
      </c>
      <c r="AB143" s="4" t="e">
        <f aca="false">(($C143+AC143)*$Z143)+H$15</f>
        <v>#DIV/0!</v>
      </c>
      <c r="AC143" s="4" t="e">
        <f aca="false">IF(H$16=1,xCalcSkew($A143,AD143-BV143,b)/100,0)</f>
        <v>#DIV/0!</v>
      </c>
      <c r="AD143" s="66" t="n">
        <f aca="false">IF($H$19=4,$BV143,$H$18)</f>
        <v>2.9</v>
      </c>
      <c r="AF143" s="64" t="n">
        <f aca="false">VLOOKUP($A143,expiration,2,FALSE())-$B$2</f>
        <v>-5267</v>
      </c>
      <c r="AG143" s="64" t="n">
        <f aca="false">VLOOKUP($A143,expiration,3,FALSE())-$B$2</f>
        <v>-5268</v>
      </c>
      <c r="AH143" s="4" t="n">
        <f aca="false">VLOOKUP($A143,STRADDLE,14,FALSE())</f>
        <v>0.0584671460053037</v>
      </c>
      <c r="AI143" s="72" t="n">
        <f aca="false">A144-A143</f>
        <v>31</v>
      </c>
      <c r="AL143" s="64"/>
      <c r="AM143" s="73"/>
      <c r="AN143" s="73" t="n">
        <f aca="false">IF($A143&gt;=AO$25,IF($A143&lt;=AO$26,$AI143,0),0)</f>
        <v>0</v>
      </c>
      <c r="AO143" s="196" t="e">
        <f aca="false">AQ143/AN143</f>
        <v>#DIV/0!</v>
      </c>
      <c r="AP143" s="1" t="n">
        <f aca="false">AN143*($B143+B$13)</f>
        <v>0</v>
      </c>
      <c r="AQ143" s="47" t="n">
        <f aca="false">IF(ISNUMBER(((AP143/AN143)+B$14+$D143)*AN143),((AP143/AN143)+B$14+$D143)*AN143,0)</f>
        <v>0</v>
      </c>
      <c r="AR143" s="76" t="n">
        <f aca="false">IF(AN143=0,0,bsd(1,AS$27,AO143,$I143,$F143,$G143,$AH143,0.1))</f>
        <v>0</v>
      </c>
      <c r="AS143" s="76" t="n">
        <f aca="false">IF(AN143=0,0,bsd(2,AS$27,AO143,$I143,$F143,$G143,$AH143,0.1))</f>
        <v>0</v>
      </c>
      <c r="AT143" s="76" t="n">
        <f aca="false">IF(AN143=0,0,bsd(AS$28,AS$27,AO143,$I143,$F143,$G143,$AH143,0.1))</f>
        <v>0</v>
      </c>
      <c r="AU143" s="37" t="n">
        <f aca="false">AN143*AR143</f>
        <v>0</v>
      </c>
      <c r="AV143" s="37" t="n">
        <f aca="false">AN143*AS143</f>
        <v>0</v>
      </c>
      <c r="AW143" s="37" t="n">
        <f aca="false">AN143*AT143</f>
        <v>0</v>
      </c>
      <c r="AY143" s="73" t="n">
        <f aca="false">IF($A143&gt;=AZ$25,IF($A143&lt;=AZ$26,$AI143,0),0)</f>
        <v>0</v>
      </c>
      <c r="AZ143" s="196" t="e">
        <f aca="false">BB143/AY143</f>
        <v>#DIV/0!</v>
      </c>
      <c r="BA143" s="1" t="n">
        <f aca="false">AY143*($B143+D$13)</f>
        <v>0</v>
      </c>
      <c r="BB143" s="47" t="n">
        <f aca="false">IF(ISNUMBER(((BA143/AY143)+D$14+$K143)*AY143),((BA143/AY143)+D$14+$K143)*AY143,0)</f>
        <v>0</v>
      </c>
      <c r="BC143" s="76" t="n">
        <f aca="false">IF(AY143=0,0,bsd(1,BD$27,AZ143,$P143,$M143,$N143,$AH143,0.1))</f>
        <v>0</v>
      </c>
      <c r="BD143" s="76" t="n">
        <f aca="false">IF(AY143=0,0,bsd(2,BD$27,AZ143,$P143,$M143,$N143,$AH143,0.1))</f>
        <v>0</v>
      </c>
      <c r="BE143" s="76" t="n">
        <f aca="false">IF(AY143=0,0,bsd(BD$28,BD$27,AZ143,$P143,$M143,$N143,$AH143,0.1))</f>
        <v>0</v>
      </c>
      <c r="BF143" s="37" t="n">
        <f aca="false">AY143*BC143</f>
        <v>0</v>
      </c>
      <c r="BG143" s="37" t="n">
        <f aca="false">AY143*BD143</f>
        <v>0</v>
      </c>
      <c r="BH143" s="37" t="n">
        <f aca="false">AY143*BE143</f>
        <v>0</v>
      </c>
      <c r="BJ143" s="73" t="n">
        <f aca="false">IF($A143&gt;=BK$25,IF($A143&lt;=BK$26,$AI143,0),0)</f>
        <v>0</v>
      </c>
      <c r="BK143" s="196" t="e">
        <f aca="false">BM143/BJ143</f>
        <v>#DIV/0!</v>
      </c>
      <c r="BL143" s="1" t="n">
        <f aca="false">BJ143*($B143+F$13)</f>
        <v>0</v>
      </c>
      <c r="BM143" s="47" t="n">
        <f aca="false">IF(ISNUMBER(((BL143/BJ143)+F$14+$R143)*BJ143),((BL143/BJ143)+F$14+$R143)*BJ143,0)</f>
        <v>0</v>
      </c>
      <c r="BN143" s="76" t="n">
        <f aca="false">IF(BJ143=0,0,bsd(1,BO$27,BK143,$W143,$T143,$U143,$AH143,0.1))</f>
        <v>0</v>
      </c>
      <c r="BO143" s="76" t="n">
        <f aca="false">IF(BJ143=0,0,bsd(2,BO$27,BK143,$W143,$T143,$U143,$AH143,0.1))</f>
        <v>0</v>
      </c>
      <c r="BP143" s="76" t="n">
        <f aca="false">IF(BJ143=0,0,bsd(BO$28,BO$27,BK143,$W143,$T143,$U143,$AH143,0.1))</f>
        <v>0</v>
      </c>
      <c r="BQ143" s="37" t="n">
        <f aca="false">BJ143*BN143</f>
        <v>0</v>
      </c>
      <c r="BR143" s="37" t="n">
        <f aca="false">BJ143*BO143</f>
        <v>0</v>
      </c>
      <c r="BS143" s="37" t="n">
        <f aca="false">BJ143*BP143</f>
        <v>0</v>
      </c>
      <c r="BU143" s="73" t="n">
        <f aca="false">IF($A143&gt;=BV$25,IF($A143&lt;=BV$26,$AI143,0),0)</f>
        <v>0</v>
      </c>
      <c r="BV143" s="196" t="e">
        <f aca="false">BX143/BU143</f>
        <v>#DIV/0!</v>
      </c>
      <c r="BW143" s="1" t="n">
        <f aca="false">BU143*($B143+H$13)</f>
        <v>0</v>
      </c>
      <c r="BX143" s="47" t="n">
        <f aca="false">IF(ISNUMBER(((BW143/BU143)+H$14+$Y143)*BU143),((BW143/BU143)+H$14+$Y143)*BU143,0)</f>
        <v>0</v>
      </c>
      <c r="BY143" s="76" t="n">
        <f aca="false">IF(BU143=0,0,bsd(1,BZ$27,BV143,$AD143,$AA143,$AB143,$AH143,0.1))</f>
        <v>0</v>
      </c>
      <c r="BZ143" s="76" t="n">
        <f aca="false">IF(BU143=0,0,bsd(2,BZ$27,BV143,$AD143,$AA143,$AB143,$AH143,0.1))</f>
        <v>0</v>
      </c>
      <c r="CA143" s="76" t="n">
        <f aca="false">IF(BU143=0,0,bsd(BZ$28,BZ$27,BV143,$AD143,$AA143,$AB143,$AH143,0.1))</f>
        <v>0</v>
      </c>
      <c r="CB143" s="37" t="n">
        <f aca="false">BU143*BY143</f>
        <v>0</v>
      </c>
      <c r="CC143" s="37" t="n">
        <f aca="false">BU143*BZ143</f>
        <v>0</v>
      </c>
      <c r="CD143" s="37" t="n">
        <f aca="false">BU143*CA143</f>
        <v>0</v>
      </c>
    </row>
    <row r="144" customFormat="false" ht="12.75" hidden="false" customHeight="false" outlineLevel="0" collapsed="false">
      <c r="A144" s="62" t="n">
        <f aca="false">DATE(YEAR(A143),MONTH(A143)+1,1)</f>
        <v>40695</v>
      </c>
      <c r="B144" s="63" t="n">
        <f aca="false">VLOOKUP(A144,STRADDLE,5,FALSE())</f>
        <v>3.7575</v>
      </c>
      <c r="C144" s="4" t="n">
        <f aca="false">VLOOKUP(A144,STRADDLE,8,FALSE())</f>
        <v>0.18</v>
      </c>
      <c r="D144" s="63" t="n">
        <f aca="false">IF(D$28="nymex",0,VLOOKUP($A144,curvesettle,HLOOKUP(D$28,curvesettle,2,FALSE())))</f>
        <v>-0.0725</v>
      </c>
      <c r="E144" s="65" t="n">
        <f aca="false">IF(ISNUMBER(VLOOKUP($A144,VOLCURVES,HLOOKUP(D$28,VOLCURVES,2,FALSE()),FALSE())),VLOOKUP($A144,VOLCURVES,HLOOKUP(D$28,VOLCURVES,2,FALSE()),FALSE()),1)</f>
        <v>1</v>
      </c>
      <c r="F144" s="64" t="n">
        <f aca="false">IF(D$28="NYMEX",$AG144,$AF144)</f>
        <v>-5238</v>
      </c>
      <c r="G144" s="4" t="e">
        <f aca="false">(($C144+H144)*$E144)+B$15</f>
        <v>#DIV/0!</v>
      </c>
      <c r="H144" s="4" t="e">
        <f aca="false">IF(B$16=1,xCalcSkew(A144,I144-AO144,b)/100,0)</f>
        <v>#DIV/0!</v>
      </c>
      <c r="I144" s="66" t="n">
        <f aca="false">IF($B$19=4,$AO144,$B$18)</f>
        <v>5</v>
      </c>
      <c r="K144" s="63" t="n">
        <f aca="false">IF(K$28="nymex",0,VLOOKUP($A144,curvesettle,HLOOKUP(K$28,curvesettle,2,FALSE())))</f>
        <v>-0.0725</v>
      </c>
      <c r="L144" s="65" t="n">
        <f aca="false">IF(ISNUMBER(VLOOKUP($A144,VOLCURVES,HLOOKUP(K$28,VOLCURVES,2,FALSE()),FALSE())),VLOOKUP($A144,VOLCURVES,HLOOKUP(K$28,VOLCURVES,2,FALSE()),FALSE()),1)</f>
        <v>1</v>
      </c>
      <c r="M144" s="64" t="n">
        <f aca="false">IF(K$28="NYMEX",$AG144,$AF144)</f>
        <v>-5238</v>
      </c>
      <c r="N144" s="184" t="e">
        <f aca="false">(($C144+O144)*$L144)+D$15</f>
        <v>#DIV/0!</v>
      </c>
      <c r="O144" s="4" t="e">
        <f aca="false">IF(D$16=1,xCalcSkew($A144,P144-AZ144,b)/100,0)</f>
        <v>#DIV/0!</v>
      </c>
      <c r="P144" s="66" t="n">
        <f aca="false">IF($D$19=4,$AZ144,$D$18)</f>
        <v>3</v>
      </c>
      <c r="R144" s="63" t="n">
        <f aca="false">IF(R$28="nymex",0,VLOOKUP($A144,curvesettle,HLOOKUP(R$28,curvesettle,2,FALSE())))</f>
        <v>-0.37</v>
      </c>
      <c r="S144" s="65" t="n">
        <f aca="false">IF(ISNUMBER(VLOOKUP($A144,VOLCURVES,HLOOKUP(R$28,VOLCURVES,2,FALSE()),FALSE())),VLOOKUP($A144,VOLCURVES,HLOOKUP(R$28,VOLCURVES,2,FALSE()),FALSE()),1)</f>
        <v>1</v>
      </c>
      <c r="T144" s="64" t="n">
        <f aca="false">IF(R$28="NYMEX",$AG144,$AF144)</f>
        <v>-5238</v>
      </c>
      <c r="U144" s="184" t="e">
        <f aca="false">(($C144+V144)*$S144)+F$15</f>
        <v>#DIV/0!</v>
      </c>
      <c r="V144" s="4" t="e">
        <f aca="false">IF(F$16=1,xCalcSkew($A144,W144-BK144,b)/100,0)</f>
        <v>#DIV/0!</v>
      </c>
      <c r="W144" s="66" t="n">
        <f aca="false">IF($F$19=4,$BK144,$F$18)</f>
        <v>2.55</v>
      </c>
      <c r="X144" s="64"/>
      <c r="Y144" s="63" t="n">
        <f aca="false">IF(Y$28="nymex",0,VLOOKUP($A144,curvesettle,HLOOKUP(Y$28,curvesettle,2,FALSE())))</f>
        <v>0</v>
      </c>
      <c r="Z144" s="65" t="n">
        <f aca="false">IF(ISNUMBER(VLOOKUP($A144,VOLCURVES,HLOOKUP(Y$28,VOLCURVES,2,FALSE()),FALSE())),VLOOKUP($A144,VOLCURVES,HLOOKUP(Y$28,VOLCURVES,2,FALSE()),FALSE()),1)</f>
        <v>1</v>
      </c>
      <c r="AA144" s="64" t="n">
        <f aca="false">IF(Y$28="NYMEX",$AG144,$AF144)</f>
        <v>-5239</v>
      </c>
      <c r="AB144" s="4" t="e">
        <f aca="false">(($C144+AC144)*$Z144)+H$15</f>
        <v>#DIV/0!</v>
      </c>
      <c r="AC144" s="4" t="e">
        <f aca="false">IF(H$16=1,xCalcSkew($A144,AD144-BV144,b)/100,0)</f>
        <v>#DIV/0!</v>
      </c>
      <c r="AD144" s="66" t="n">
        <f aca="false">IF($H$19=4,$BV144,$H$18)</f>
        <v>2.9</v>
      </c>
      <c r="AF144" s="64" t="n">
        <f aca="false">VLOOKUP($A144,expiration,2,FALSE())-$B$2</f>
        <v>-5238</v>
      </c>
      <c r="AG144" s="64" t="n">
        <f aca="false">VLOOKUP($A144,expiration,3,FALSE())-$B$2</f>
        <v>-5239</v>
      </c>
      <c r="AH144" s="4" t="n">
        <f aca="false">VLOOKUP($A144,STRADDLE,14,FALSE())</f>
        <v>0.0585706444866236</v>
      </c>
      <c r="AI144" s="72" t="n">
        <f aca="false">A145-A144</f>
        <v>30</v>
      </c>
      <c r="AL144" s="64"/>
      <c r="AM144" s="73"/>
      <c r="AN144" s="73" t="n">
        <f aca="false">IF($A144&gt;=AO$25,IF($A144&lt;=AO$26,$AI144,0),0)</f>
        <v>0</v>
      </c>
      <c r="AO144" s="196" t="e">
        <f aca="false">AQ144/AN144</f>
        <v>#DIV/0!</v>
      </c>
      <c r="AP144" s="1" t="n">
        <f aca="false">AN144*($B144+B$13)</f>
        <v>0</v>
      </c>
      <c r="AQ144" s="47" t="n">
        <f aca="false">IF(ISNUMBER(((AP144/AN144)+B$14+$D144)*AN144),((AP144/AN144)+B$14+$D144)*AN144,0)</f>
        <v>0</v>
      </c>
      <c r="AR144" s="76" t="n">
        <f aca="false">IF(AN144=0,0,bsd(1,AS$27,AO144,$I144,$F144,$G144,$AH144,0.1))</f>
        <v>0</v>
      </c>
      <c r="AS144" s="76" t="n">
        <f aca="false">IF(AN144=0,0,bsd(2,AS$27,AO144,$I144,$F144,$G144,$AH144,0.1))</f>
        <v>0</v>
      </c>
      <c r="AT144" s="76" t="n">
        <f aca="false">IF(AN144=0,0,bsd(AS$28,AS$27,AO144,$I144,$F144,$G144,$AH144,0.1))</f>
        <v>0</v>
      </c>
      <c r="AU144" s="37" t="n">
        <f aca="false">AN144*AR144</f>
        <v>0</v>
      </c>
      <c r="AV144" s="37" t="n">
        <f aca="false">AN144*AS144</f>
        <v>0</v>
      </c>
      <c r="AW144" s="37" t="n">
        <f aca="false">AN144*AT144</f>
        <v>0</v>
      </c>
      <c r="AY144" s="73" t="n">
        <f aca="false">IF($A144&gt;=AZ$25,IF($A144&lt;=AZ$26,$AI144,0),0)</f>
        <v>0</v>
      </c>
      <c r="AZ144" s="196" t="e">
        <f aca="false">BB144/AY144</f>
        <v>#DIV/0!</v>
      </c>
      <c r="BA144" s="1" t="n">
        <f aca="false">AY144*($B144+D$13)</f>
        <v>0</v>
      </c>
      <c r="BB144" s="47" t="n">
        <f aca="false">IF(ISNUMBER(((BA144/AY144)+D$14+$K144)*AY144),((BA144/AY144)+D$14+$K144)*AY144,0)</f>
        <v>0</v>
      </c>
      <c r="BC144" s="76" t="n">
        <f aca="false">IF(AY144=0,0,bsd(1,BD$27,AZ144,$P144,$M144,$N144,$AH144,0.1))</f>
        <v>0</v>
      </c>
      <c r="BD144" s="76" t="n">
        <f aca="false">IF(AY144=0,0,bsd(2,BD$27,AZ144,$P144,$M144,$N144,$AH144,0.1))</f>
        <v>0</v>
      </c>
      <c r="BE144" s="76" t="n">
        <f aca="false">IF(AY144=0,0,bsd(BD$28,BD$27,AZ144,$P144,$M144,$N144,$AH144,0.1))</f>
        <v>0</v>
      </c>
      <c r="BF144" s="37" t="n">
        <f aca="false">AY144*BC144</f>
        <v>0</v>
      </c>
      <c r="BG144" s="37" t="n">
        <f aca="false">AY144*BD144</f>
        <v>0</v>
      </c>
      <c r="BH144" s="37" t="n">
        <f aca="false">AY144*BE144</f>
        <v>0</v>
      </c>
      <c r="BJ144" s="73" t="n">
        <f aca="false">IF($A144&gt;=BK$25,IF($A144&lt;=BK$26,$AI144,0),0)</f>
        <v>0</v>
      </c>
      <c r="BK144" s="196" t="e">
        <f aca="false">BM144/BJ144</f>
        <v>#DIV/0!</v>
      </c>
      <c r="BL144" s="1" t="n">
        <f aca="false">BJ144*($B144+F$13)</f>
        <v>0</v>
      </c>
      <c r="BM144" s="47" t="n">
        <f aca="false">IF(ISNUMBER(((BL144/BJ144)+F$14+$R144)*BJ144),((BL144/BJ144)+F$14+$R144)*BJ144,0)</f>
        <v>0</v>
      </c>
      <c r="BN144" s="76" t="n">
        <f aca="false">IF(BJ144=0,0,bsd(1,BO$27,BK144,$W144,$T144,$U144,$AH144,0.1))</f>
        <v>0</v>
      </c>
      <c r="BO144" s="76" t="n">
        <f aca="false">IF(BJ144=0,0,bsd(2,BO$27,BK144,$W144,$T144,$U144,$AH144,0.1))</f>
        <v>0</v>
      </c>
      <c r="BP144" s="76" t="n">
        <f aca="false">IF(BJ144=0,0,bsd(BO$28,BO$27,BK144,$W144,$T144,$U144,$AH144,0.1))</f>
        <v>0</v>
      </c>
      <c r="BQ144" s="37" t="n">
        <f aca="false">BJ144*BN144</f>
        <v>0</v>
      </c>
      <c r="BR144" s="37" t="n">
        <f aca="false">BJ144*BO144</f>
        <v>0</v>
      </c>
      <c r="BS144" s="37" t="n">
        <f aca="false">BJ144*BP144</f>
        <v>0</v>
      </c>
      <c r="BU144" s="73" t="n">
        <f aca="false">IF($A144&gt;=BV$25,IF($A144&lt;=BV$26,$AI144,0),0)</f>
        <v>0</v>
      </c>
      <c r="BV144" s="196" t="e">
        <f aca="false">BX144/BU144</f>
        <v>#DIV/0!</v>
      </c>
      <c r="BW144" s="1" t="n">
        <f aca="false">BU144*($B144+H$13)</f>
        <v>0</v>
      </c>
      <c r="BX144" s="47" t="n">
        <f aca="false">IF(ISNUMBER(((BW144/BU144)+H$14+$Y144)*BU144),((BW144/BU144)+H$14+$Y144)*BU144,0)</f>
        <v>0</v>
      </c>
      <c r="BY144" s="76" t="n">
        <f aca="false">IF(BU144=0,0,bsd(1,BZ$27,BV144,$AD144,$AA144,$AB144,$AH144,0.1))</f>
        <v>0</v>
      </c>
      <c r="BZ144" s="76" t="n">
        <f aca="false">IF(BU144=0,0,bsd(2,BZ$27,BV144,$AD144,$AA144,$AB144,$AH144,0.1))</f>
        <v>0</v>
      </c>
      <c r="CA144" s="76" t="n">
        <f aca="false">IF(BU144=0,0,bsd(BZ$28,BZ$27,BV144,$AD144,$AA144,$AB144,$AH144,0.1))</f>
        <v>0</v>
      </c>
      <c r="CB144" s="37" t="n">
        <f aca="false">BU144*BY144</f>
        <v>0</v>
      </c>
      <c r="CC144" s="37" t="n">
        <f aca="false">BU144*BZ144</f>
        <v>0</v>
      </c>
      <c r="CD144" s="37" t="n">
        <f aca="false">BU144*CA144</f>
        <v>0</v>
      </c>
    </row>
    <row r="145" customFormat="false" ht="12.75" hidden="false" customHeight="false" outlineLevel="0" collapsed="false">
      <c r="A145" s="62" t="n">
        <f aca="false">DATE(YEAR(A144),MONTH(A144)+1,1)</f>
        <v>40725</v>
      </c>
      <c r="B145" s="63" t="n">
        <f aca="false">VLOOKUP(A145,STRADDLE,5,FALSE())</f>
        <v>3.7975</v>
      </c>
      <c r="C145" s="4" t="n">
        <f aca="false">VLOOKUP(A145,STRADDLE,8,FALSE())</f>
        <v>0.18</v>
      </c>
      <c r="D145" s="63" t="n">
        <f aca="false">IF(D$28="nymex",0,VLOOKUP($A145,curvesettle,HLOOKUP(D$28,curvesettle,2,FALSE())))</f>
        <v>-0.0725</v>
      </c>
      <c r="E145" s="65" t="n">
        <f aca="false">IF(ISNUMBER(VLOOKUP($A145,VOLCURVES,HLOOKUP(D$28,VOLCURVES,2,FALSE()),FALSE())),VLOOKUP($A145,VOLCURVES,HLOOKUP(D$28,VOLCURVES,2,FALSE()),FALSE()),1)</f>
        <v>1</v>
      </c>
      <c r="F145" s="64" t="n">
        <f aca="false">IF(D$28="NYMEX",$AG145,$AF145)</f>
        <v>-5205</v>
      </c>
      <c r="G145" s="4" t="e">
        <f aca="false">(($C145+H145)*$E145)+B$15</f>
        <v>#DIV/0!</v>
      </c>
      <c r="H145" s="4" t="e">
        <f aca="false">IF(B$16=1,xCalcSkew(A145,I145-AO145,b)/100,0)</f>
        <v>#DIV/0!</v>
      </c>
      <c r="I145" s="66" t="n">
        <f aca="false">IF($B$19=4,$AO145,$B$18)</f>
        <v>5</v>
      </c>
      <c r="K145" s="63" t="n">
        <f aca="false">IF(K$28="nymex",0,VLOOKUP($A145,curvesettle,HLOOKUP(K$28,curvesettle,2,FALSE())))</f>
        <v>-0.0725</v>
      </c>
      <c r="L145" s="65" t="n">
        <f aca="false">IF(ISNUMBER(VLOOKUP($A145,VOLCURVES,HLOOKUP(K$28,VOLCURVES,2,FALSE()),FALSE())),VLOOKUP($A145,VOLCURVES,HLOOKUP(K$28,VOLCURVES,2,FALSE()),FALSE()),1)</f>
        <v>1</v>
      </c>
      <c r="M145" s="64" t="n">
        <f aca="false">IF(K$28="NYMEX",$AG145,$AF145)</f>
        <v>-5205</v>
      </c>
      <c r="N145" s="184" t="e">
        <f aca="false">(($C145+O145)*$L145)+D$15</f>
        <v>#DIV/0!</v>
      </c>
      <c r="O145" s="4" t="e">
        <f aca="false">IF(D$16=1,xCalcSkew($A145,P145-AZ145,b)/100,0)</f>
        <v>#DIV/0!</v>
      </c>
      <c r="P145" s="66" t="n">
        <f aca="false">IF($D$19=4,$AZ145,$D$18)</f>
        <v>3</v>
      </c>
      <c r="R145" s="63" t="n">
        <f aca="false">IF(R$28="nymex",0,VLOOKUP($A145,curvesettle,HLOOKUP(R$28,curvesettle,2,FALSE())))</f>
        <v>-0.37</v>
      </c>
      <c r="S145" s="65" t="n">
        <f aca="false">IF(ISNUMBER(VLOOKUP($A145,VOLCURVES,HLOOKUP(R$28,VOLCURVES,2,FALSE()),FALSE())),VLOOKUP($A145,VOLCURVES,HLOOKUP(R$28,VOLCURVES,2,FALSE()),FALSE()),1)</f>
        <v>1</v>
      </c>
      <c r="T145" s="64" t="n">
        <f aca="false">IF(R$28="NYMEX",$AG145,$AF145)</f>
        <v>-5205</v>
      </c>
      <c r="U145" s="184" t="e">
        <f aca="false">(($C145+V145)*$S145)+F$15</f>
        <v>#DIV/0!</v>
      </c>
      <c r="V145" s="4" t="e">
        <f aca="false">IF(F$16=1,xCalcSkew($A145,W145-BK145,b)/100,0)</f>
        <v>#DIV/0!</v>
      </c>
      <c r="W145" s="66" t="n">
        <f aca="false">IF($F$19=4,$BK145,$F$18)</f>
        <v>2.55</v>
      </c>
      <c r="X145" s="64"/>
      <c r="Y145" s="63" t="n">
        <f aca="false">IF(Y$28="nymex",0,VLOOKUP($A145,curvesettle,HLOOKUP(Y$28,curvesettle,2,FALSE())))</f>
        <v>0</v>
      </c>
      <c r="Z145" s="65" t="n">
        <f aca="false">IF(ISNUMBER(VLOOKUP($A145,VOLCURVES,HLOOKUP(Y$28,VOLCURVES,2,FALSE()),FALSE())),VLOOKUP($A145,VOLCURVES,HLOOKUP(Y$28,VOLCURVES,2,FALSE()),FALSE()),1)</f>
        <v>1</v>
      </c>
      <c r="AA145" s="64" t="n">
        <f aca="false">IF(Y$28="NYMEX",$AG145,$AF145)</f>
        <v>-5206</v>
      </c>
      <c r="AB145" s="4" t="e">
        <f aca="false">(($C145+AC145)*$Z145)+H$15</f>
        <v>#DIV/0!</v>
      </c>
      <c r="AC145" s="4" t="e">
        <f aca="false">IF(H$16=1,xCalcSkew($A145,AD145-BV145,b)/100,0)</f>
        <v>#DIV/0!</v>
      </c>
      <c r="AD145" s="66" t="n">
        <f aca="false">IF($H$19=4,$BV145,$H$18)</f>
        <v>2.9</v>
      </c>
      <c r="AF145" s="64" t="n">
        <f aca="false">VLOOKUP($A145,expiration,2,FALSE())-$B$2</f>
        <v>-5205</v>
      </c>
      <c r="AG145" s="64" t="n">
        <f aca="false">VLOOKUP($A145,expiration,3,FALSE())-$B$2</f>
        <v>-5206</v>
      </c>
      <c r="AH145" s="4" t="n">
        <f aca="false">VLOOKUP($A145,STRADDLE,14,FALSE())</f>
        <v>0.0586708043106468</v>
      </c>
      <c r="AI145" s="72" t="n">
        <f aca="false">A146-A145</f>
        <v>31</v>
      </c>
      <c r="AL145" s="64"/>
      <c r="AM145" s="73"/>
      <c r="AN145" s="73" t="n">
        <f aca="false">IF($A145&gt;=AO$25,IF($A145&lt;=AO$26,$AI145,0),0)</f>
        <v>0</v>
      </c>
      <c r="AO145" s="196" t="e">
        <f aca="false">AQ145/AN145</f>
        <v>#DIV/0!</v>
      </c>
      <c r="AP145" s="1" t="n">
        <f aca="false">AN145*($B145+B$13)</f>
        <v>0</v>
      </c>
      <c r="AQ145" s="47" t="n">
        <f aca="false">IF(ISNUMBER(((AP145/AN145)+B$14+$D145)*AN145),((AP145/AN145)+B$14+$D145)*AN145,0)</f>
        <v>0</v>
      </c>
      <c r="AR145" s="76" t="n">
        <f aca="false">IF(AN145=0,0,bsd(1,AS$27,AO145,$I145,$F145,$G145,$AH145,0.1))</f>
        <v>0</v>
      </c>
      <c r="AS145" s="76" t="n">
        <f aca="false">IF(AN145=0,0,bsd(2,AS$27,AO145,$I145,$F145,$G145,$AH145,0.1))</f>
        <v>0</v>
      </c>
      <c r="AT145" s="76" t="n">
        <f aca="false">IF(AN145=0,0,bsd(AS$28,AS$27,AO145,$I145,$F145,$G145,$AH145,0.1))</f>
        <v>0</v>
      </c>
      <c r="AU145" s="37" t="n">
        <f aca="false">AN145*AR145</f>
        <v>0</v>
      </c>
      <c r="AV145" s="37" t="n">
        <f aca="false">AN145*AS145</f>
        <v>0</v>
      </c>
      <c r="AW145" s="37" t="n">
        <f aca="false">AN145*AT145</f>
        <v>0</v>
      </c>
      <c r="AY145" s="73" t="n">
        <f aca="false">IF($A145&gt;=AZ$25,IF($A145&lt;=AZ$26,$AI145,0),0)</f>
        <v>0</v>
      </c>
      <c r="AZ145" s="196" t="e">
        <f aca="false">BB145/AY145</f>
        <v>#DIV/0!</v>
      </c>
      <c r="BA145" s="1" t="n">
        <f aca="false">AY145*($B145+D$13)</f>
        <v>0</v>
      </c>
      <c r="BB145" s="47" t="n">
        <f aca="false">IF(ISNUMBER(((BA145/AY145)+D$14+$K145)*AY145),((BA145/AY145)+D$14+$K145)*AY145,0)</f>
        <v>0</v>
      </c>
      <c r="BC145" s="76" t="n">
        <f aca="false">IF(AY145=0,0,bsd(1,BD$27,AZ145,$P145,$M145,$N145,$AH145,0.1))</f>
        <v>0</v>
      </c>
      <c r="BD145" s="76" t="n">
        <f aca="false">IF(AY145=0,0,bsd(2,BD$27,AZ145,$P145,$M145,$N145,$AH145,0.1))</f>
        <v>0</v>
      </c>
      <c r="BE145" s="76" t="n">
        <f aca="false">IF(AY145=0,0,bsd(BD$28,BD$27,AZ145,$P145,$M145,$N145,$AH145,0.1))</f>
        <v>0</v>
      </c>
      <c r="BF145" s="37" t="n">
        <f aca="false">AY145*BC145</f>
        <v>0</v>
      </c>
      <c r="BG145" s="37" t="n">
        <f aca="false">AY145*BD145</f>
        <v>0</v>
      </c>
      <c r="BH145" s="37" t="n">
        <f aca="false">AY145*BE145</f>
        <v>0</v>
      </c>
      <c r="BJ145" s="73" t="n">
        <f aca="false">IF($A145&gt;=BK$25,IF($A145&lt;=BK$26,$AI145,0),0)</f>
        <v>0</v>
      </c>
      <c r="BK145" s="196" t="e">
        <f aca="false">BM145/BJ145</f>
        <v>#DIV/0!</v>
      </c>
      <c r="BL145" s="1" t="n">
        <f aca="false">BJ145*($B145+F$13)</f>
        <v>0</v>
      </c>
      <c r="BM145" s="47" t="n">
        <f aca="false">IF(ISNUMBER(((BL145/BJ145)+F$14+$R145)*BJ145),((BL145/BJ145)+F$14+$R145)*BJ145,0)</f>
        <v>0</v>
      </c>
      <c r="BN145" s="76" t="n">
        <f aca="false">IF(BJ145=0,0,bsd(1,BO$27,BK145,$W145,$T145,$U145,$AH145,0.1))</f>
        <v>0</v>
      </c>
      <c r="BO145" s="76" t="n">
        <f aca="false">IF(BJ145=0,0,bsd(2,BO$27,BK145,$W145,$T145,$U145,$AH145,0.1))</f>
        <v>0</v>
      </c>
      <c r="BP145" s="76" t="n">
        <f aca="false">IF(BJ145=0,0,bsd(BO$28,BO$27,BK145,$W145,$T145,$U145,$AH145,0.1))</f>
        <v>0</v>
      </c>
      <c r="BQ145" s="37" t="n">
        <f aca="false">BJ145*BN145</f>
        <v>0</v>
      </c>
      <c r="BR145" s="37" t="n">
        <f aca="false">BJ145*BO145</f>
        <v>0</v>
      </c>
      <c r="BS145" s="37" t="n">
        <f aca="false">BJ145*BP145</f>
        <v>0</v>
      </c>
      <c r="BU145" s="73" t="n">
        <f aca="false">IF($A145&gt;=BV$25,IF($A145&lt;=BV$26,$AI145,0),0)</f>
        <v>0</v>
      </c>
      <c r="BV145" s="196" t="e">
        <f aca="false">BX145/BU145</f>
        <v>#DIV/0!</v>
      </c>
      <c r="BW145" s="1" t="n">
        <f aca="false">BU145*($B145+H$13)</f>
        <v>0</v>
      </c>
      <c r="BX145" s="47" t="n">
        <f aca="false">IF(ISNUMBER(((BW145/BU145)+H$14+$Y145)*BU145),((BW145/BU145)+H$14+$Y145)*BU145,0)</f>
        <v>0</v>
      </c>
      <c r="BY145" s="76" t="n">
        <f aca="false">IF(BU145=0,0,bsd(1,BZ$27,BV145,$AD145,$AA145,$AB145,$AH145,0.1))</f>
        <v>0</v>
      </c>
      <c r="BZ145" s="76" t="n">
        <f aca="false">IF(BU145=0,0,bsd(2,BZ$27,BV145,$AD145,$AA145,$AB145,$AH145,0.1))</f>
        <v>0</v>
      </c>
      <c r="CA145" s="76" t="n">
        <f aca="false">IF(BU145=0,0,bsd(BZ$28,BZ$27,BV145,$AD145,$AA145,$AB145,$AH145,0.1))</f>
        <v>0</v>
      </c>
      <c r="CB145" s="37" t="n">
        <f aca="false">BU145*BY145</f>
        <v>0</v>
      </c>
      <c r="CC145" s="37" t="n">
        <f aca="false">BU145*BZ145</f>
        <v>0</v>
      </c>
      <c r="CD145" s="37" t="n">
        <f aca="false">BU145*CA145</f>
        <v>0</v>
      </c>
    </row>
    <row r="146" customFormat="false" ht="12.75" hidden="false" customHeight="false" outlineLevel="0" collapsed="false">
      <c r="A146" s="62" t="n">
        <f aca="false">DATE(YEAR(A145),MONTH(A145)+1,1)</f>
        <v>40756</v>
      </c>
      <c r="B146" s="63" t="n">
        <f aca="false">VLOOKUP(A146,STRADDLE,5,FALSE())</f>
        <v>3.8375</v>
      </c>
      <c r="C146" s="4" t="n">
        <f aca="false">VLOOKUP(A146,STRADDLE,8,FALSE())</f>
        <v>0.18</v>
      </c>
      <c r="D146" s="63" t="n">
        <f aca="false">IF(D$28="nymex",0,VLOOKUP($A146,curvesettle,HLOOKUP(D$28,curvesettle,2,FALSE())))</f>
        <v>-0.0725</v>
      </c>
      <c r="E146" s="65" t="n">
        <f aca="false">IF(ISNUMBER(VLOOKUP($A146,VOLCURVES,HLOOKUP(D$28,VOLCURVES,2,FALSE()),FALSE())),VLOOKUP($A146,VOLCURVES,HLOOKUP(D$28,VOLCURVES,2,FALSE()),FALSE()),1)</f>
        <v>1</v>
      </c>
      <c r="F146" s="64" t="n">
        <f aca="false">IF(D$28="NYMEX",$AG146,$AF146)</f>
        <v>-5176</v>
      </c>
      <c r="G146" s="4" t="e">
        <f aca="false">(($C146+H146)*$E146)+B$15</f>
        <v>#DIV/0!</v>
      </c>
      <c r="H146" s="4" t="e">
        <f aca="false">IF(B$16=1,xCalcSkew(A146,I146-AO146,b)/100,0)</f>
        <v>#DIV/0!</v>
      </c>
      <c r="I146" s="66" t="n">
        <f aca="false">IF($B$19=4,$AO146,$B$18)</f>
        <v>5</v>
      </c>
      <c r="K146" s="63" t="n">
        <f aca="false">IF(K$28="nymex",0,VLOOKUP($A146,curvesettle,HLOOKUP(K$28,curvesettle,2,FALSE())))</f>
        <v>-0.0725</v>
      </c>
      <c r="L146" s="65" t="n">
        <f aca="false">IF(ISNUMBER(VLOOKUP($A146,VOLCURVES,HLOOKUP(K$28,VOLCURVES,2,FALSE()),FALSE())),VLOOKUP($A146,VOLCURVES,HLOOKUP(K$28,VOLCURVES,2,FALSE()),FALSE()),1)</f>
        <v>1</v>
      </c>
      <c r="M146" s="64" t="n">
        <f aca="false">IF(K$28="NYMEX",$AG146,$AF146)</f>
        <v>-5176</v>
      </c>
      <c r="N146" s="184" t="e">
        <f aca="false">(($C146+O146)*$L146)+D$15</f>
        <v>#DIV/0!</v>
      </c>
      <c r="O146" s="4" t="e">
        <f aca="false">IF(D$16=1,xCalcSkew($A146,P146-AZ146,b)/100,0)</f>
        <v>#DIV/0!</v>
      </c>
      <c r="P146" s="66" t="n">
        <f aca="false">IF($D$19=4,$AZ146,$D$18)</f>
        <v>3</v>
      </c>
      <c r="R146" s="63" t="n">
        <f aca="false">IF(R$28="nymex",0,VLOOKUP($A146,curvesettle,HLOOKUP(R$28,curvesettle,2,FALSE())))</f>
        <v>-0.37</v>
      </c>
      <c r="S146" s="65" t="n">
        <f aca="false">IF(ISNUMBER(VLOOKUP($A146,VOLCURVES,HLOOKUP(R$28,VOLCURVES,2,FALSE()),FALSE())),VLOOKUP($A146,VOLCURVES,HLOOKUP(R$28,VOLCURVES,2,FALSE()),FALSE()),1)</f>
        <v>1</v>
      </c>
      <c r="T146" s="64" t="n">
        <f aca="false">IF(R$28="NYMEX",$AG146,$AF146)</f>
        <v>-5176</v>
      </c>
      <c r="U146" s="184" t="e">
        <f aca="false">(($C146+V146)*$S146)+F$15</f>
        <v>#DIV/0!</v>
      </c>
      <c r="V146" s="4" t="e">
        <f aca="false">IF(F$16=1,xCalcSkew($A146,W146-BK146,b)/100,0)</f>
        <v>#DIV/0!</v>
      </c>
      <c r="W146" s="66" t="n">
        <f aca="false">IF($F$19=4,$BK146,$F$18)</f>
        <v>2.55</v>
      </c>
      <c r="X146" s="64"/>
      <c r="Y146" s="63" t="n">
        <f aca="false">IF(Y$28="nymex",0,VLOOKUP($A146,curvesettle,HLOOKUP(Y$28,curvesettle,2,FALSE())))</f>
        <v>0</v>
      </c>
      <c r="Z146" s="65" t="n">
        <f aca="false">IF(ISNUMBER(VLOOKUP($A146,VOLCURVES,HLOOKUP(Y$28,VOLCURVES,2,FALSE()),FALSE())),VLOOKUP($A146,VOLCURVES,HLOOKUP(Y$28,VOLCURVES,2,FALSE()),FALSE()),1)</f>
        <v>1</v>
      </c>
      <c r="AA146" s="64" t="n">
        <f aca="false">IF(Y$28="NYMEX",$AG146,$AF146)</f>
        <v>-5177</v>
      </c>
      <c r="AB146" s="4" t="e">
        <f aca="false">(($C146+AC146)*$Z146)+H$15</f>
        <v>#DIV/0!</v>
      </c>
      <c r="AC146" s="4" t="e">
        <f aca="false">IF(H$16=1,xCalcSkew($A146,AD146-BV146,b)/100,0)</f>
        <v>#DIV/0!</v>
      </c>
      <c r="AD146" s="66" t="n">
        <f aca="false">IF($H$19=4,$BV146,$H$18)</f>
        <v>2.9</v>
      </c>
      <c r="AF146" s="64" t="n">
        <f aca="false">VLOOKUP($A146,expiration,2,FALSE())-$B$2</f>
        <v>-5176</v>
      </c>
      <c r="AG146" s="64" t="n">
        <f aca="false">VLOOKUP($A146,expiration,3,FALSE())-$B$2</f>
        <v>-5177</v>
      </c>
      <c r="AH146" s="4" t="n">
        <f aca="false">VLOOKUP($A146,STRADDLE,14,FALSE())</f>
        <v>0.0587743027989744</v>
      </c>
      <c r="AI146" s="72" t="n">
        <f aca="false">A147-A146</f>
        <v>31</v>
      </c>
      <c r="AL146" s="64"/>
      <c r="AM146" s="73"/>
      <c r="AN146" s="73" t="n">
        <f aca="false">IF($A146&gt;=AO$25,IF($A146&lt;=AO$26,$AI146,0),0)</f>
        <v>0</v>
      </c>
      <c r="AO146" s="196" t="e">
        <f aca="false">AQ146/AN146</f>
        <v>#DIV/0!</v>
      </c>
      <c r="AP146" s="1" t="n">
        <f aca="false">AN146*($B146+B$13)</f>
        <v>0</v>
      </c>
      <c r="AQ146" s="47" t="n">
        <f aca="false">IF(ISNUMBER(((AP146/AN146)+B$14+$D146)*AN146),((AP146/AN146)+B$14+$D146)*AN146,0)</f>
        <v>0</v>
      </c>
      <c r="AR146" s="76" t="n">
        <f aca="false">IF(AN146=0,0,bsd(1,AS$27,AO146,$I146,$F146,$G146,$AH146,0.1))</f>
        <v>0</v>
      </c>
      <c r="AS146" s="76" t="n">
        <f aca="false">IF(AN146=0,0,bsd(2,AS$27,AO146,$I146,$F146,$G146,$AH146,0.1))</f>
        <v>0</v>
      </c>
      <c r="AT146" s="76" t="n">
        <f aca="false">IF(AN146=0,0,bsd(AS$28,AS$27,AO146,$I146,$F146,$G146,$AH146,0.1))</f>
        <v>0</v>
      </c>
      <c r="AU146" s="37" t="n">
        <f aca="false">AN146*AR146</f>
        <v>0</v>
      </c>
      <c r="AV146" s="37" t="n">
        <f aca="false">AN146*AS146</f>
        <v>0</v>
      </c>
      <c r="AW146" s="37" t="n">
        <f aca="false">AN146*AT146</f>
        <v>0</v>
      </c>
      <c r="AY146" s="73" t="n">
        <f aca="false">IF($A146&gt;=AZ$25,IF($A146&lt;=AZ$26,$AI146,0),0)</f>
        <v>0</v>
      </c>
      <c r="AZ146" s="196" t="e">
        <f aca="false">BB146/AY146</f>
        <v>#DIV/0!</v>
      </c>
      <c r="BA146" s="1" t="n">
        <f aca="false">AY146*($B146+D$13)</f>
        <v>0</v>
      </c>
      <c r="BB146" s="47" t="n">
        <f aca="false">IF(ISNUMBER(((BA146/AY146)+D$14+$K146)*AY146),((BA146/AY146)+D$14+$K146)*AY146,0)</f>
        <v>0</v>
      </c>
      <c r="BC146" s="76" t="n">
        <f aca="false">IF(AY146=0,0,bsd(1,BD$27,AZ146,$P146,$M146,$N146,$AH146,0.1))</f>
        <v>0</v>
      </c>
      <c r="BD146" s="76" t="n">
        <f aca="false">IF(AY146=0,0,bsd(2,BD$27,AZ146,$P146,$M146,$N146,$AH146,0.1))</f>
        <v>0</v>
      </c>
      <c r="BE146" s="76" t="n">
        <f aca="false">IF(AY146=0,0,bsd(BD$28,BD$27,AZ146,$P146,$M146,$N146,$AH146,0.1))</f>
        <v>0</v>
      </c>
      <c r="BF146" s="37" t="n">
        <f aca="false">AY146*BC146</f>
        <v>0</v>
      </c>
      <c r="BG146" s="37" t="n">
        <f aca="false">AY146*BD146</f>
        <v>0</v>
      </c>
      <c r="BH146" s="37" t="n">
        <f aca="false">AY146*BE146</f>
        <v>0</v>
      </c>
      <c r="BJ146" s="73" t="n">
        <f aca="false">IF($A146&gt;=BK$25,IF($A146&lt;=BK$26,$AI146,0),0)</f>
        <v>0</v>
      </c>
      <c r="BK146" s="196" t="e">
        <f aca="false">BM146/BJ146</f>
        <v>#DIV/0!</v>
      </c>
      <c r="BL146" s="1" t="n">
        <f aca="false">BJ146*($B146+F$13)</f>
        <v>0</v>
      </c>
      <c r="BM146" s="47" t="n">
        <f aca="false">IF(ISNUMBER(((BL146/BJ146)+F$14+$R146)*BJ146),((BL146/BJ146)+F$14+$R146)*BJ146,0)</f>
        <v>0</v>
      </c>
      <c r="BN146" s="76" t="n">
        <f aca="false">IF(BJ146=0,0,bsd(1,BO$27,BK146,$W146,$T146,$U146,$AH146,0.1))</f>
        <v>0</v>
      </c>
      <c r="BO146" s="76" t="n">
        <f aca="false">IF(BJ146=0,0,bsd(2,BO$27,BK146,$W146,$T146,$U146,$AH146,0.1))</f>
        <v>0</v>
      </c>
      <c r="BP146" s="76" t="n">
        <f aca="false">IF(BJ146=0,0,bsd(BO$28,BO$27,BK146,$W146,$T146,$U146,$AH146,0.1))</f>
        <v>0</v>
      </c>
      <c r="BQ146" s="37" t="n">
        <f aca="false">BJ146*BN146</f>
        <v>0</v>
      </c>
      <c r="BR146" s="37" t="n">
        <f aca="false">BJ146*BO146</f>
        <v>0</v>
      </c>
      <c r="BS146" s="37" t="n">
        <f aca="false">BJ146*BP146</f>
        <v>0</v>
      </c>
      <c r="BU146" s="73" t="n">
        <f aca="false">IF($A146&gt;=BV$25,IF($A146&lt;=BV$26,$AI146,0),0)</f>
        <v>0</v>
      </c>
      <c r="BV146" s="196" t="e">
        <f aca="false">BX146/BU146</f>
        <v>#DIV/0!</v>
      </c>
      <c r="BW146" s="1" t="n">
        <f aca="false">BU146*($B146+H$13)</f>
        <v>0</v>
      </c>
      <c r="BX146" s="47" t="n">
        <f aca="false">IF(ISNUMBER(((BW146/BU146)+H$14+$Y146)*BU146),((BW146/BU146)+H$14+$Y146)*BU146,0)</f>
        <v>0</v>
      </c>
      <c r="BY146" s="76" t="n">
        <f aca="false">IF(BU146=0,0,bsd(1,BZ$27,BV146,$AD146,$AA146,$AB146,$AH146,0.1))</f>
        <v>0</v>
      </c>
      <c r="BZ146" s="76" t="n">
        <f aca="false">IF(BU146=0,0,bsd(2,BZ$27,BV146,$AD146,$AA146,$AB146,$AH146,0.1))</f>
        <v>0</v>
      </c>
      <c r="CA146" s="76" t="n">
        <f aca="false">IF(BU146=0,0,bsd(BZ$28,BZ$27,BV146,$AD146,$AA146,$AB146,$AH146,0.1))</f>
        <v>0</v>
      </c>
      <c r="CB146" s="37" t="n">
        <f aca="false">BU146*BY146</f>
        <v>0</v>
      </c>
      <c r="CC146" s="37" t="n">
        <f aca="false">BU146*BZ146</f>
        <v>0</v>
      </c>
      <c r="CD146" s="37" t="n">
        <f aca="false">BU146*CA146</f>
        <v>0</v>
      </c>
    </row>
    <row r="147" customFormat="false" ht="12.75" hidden="false" customHeight="false" outlineLevel="0" collapsed="false">
      <c r="A147" s="62" t="n">
        <f aca="false">DATE(YEAR(A146),MONTH(A146)+1,1)</f>
        <v>40787</v>
      </c>
      <c r="B147" s="63" t="n">
        <f aca="false">VLOOKUP(A147,STRADDLE,5,FALSE())</f>
        <v>3.8325</v>
      </c>
      <c r="C147" s="4" t="n">
        <f aca="false">VLOOKUP(A147,STRADDLE,8,FALSE())</f>
        <v>0.18</v>
      </c>
      <c r="D147" s="63" t="n">
        <f aca="false">IF(D$28="nymex",0,VLOOKUP($A147,curvesettle,HLOOKUP(D$28,curvesettle,2,FALSE())))</f>
        <v>-0.0725</v>
      </c>
      <c r="E147" s="65" t="n">
        <f aca="false">IF(ISNUMBER(VLOOKUP($A147,VOLCURVES,HLOOKUP(D$28,VOLCURVES,2,FALSE()),FALSE())),VLOOKUP($A147,VOLCURVES,HLOOKUP(D$28,VOLCURVES,2,FALSE()),FALSE()),1)</f>
        <v>1</v>
      </c>
      <c r="F147" s="64" t="n">
        <f aca="false">IF(D$28="NYMEX",$AG147,$AF147)</f>
        <v>-5143</v>
      </c>
      <c r="G147" s="4" t="e">
        <f aca="false">(($C147+H147)*$E147)+B$15</f>
        <v>#DIV/0!</v>
      </c>
      <c r="H147" s="4" t="e">
        <f aca="false">IF(B$16=1,xCalcSkew(A147,I147-AO147,b)/100,0)</f>
        <v>#DIV/0!</v>
      </c>
      <c r="I147" s="66" t="n">
        <f aca="false">IF($B$19=4,$AO147,$B$18)</f>
        <v>5</v>
      </c>
      <c r="K147" s="63" t="n">
        <f aca="false">IF(K$28="nymex",0,VLOOKUP($A147,curvesettle,HLOOKUP(K$28,curvesettle,2,FALSE())))</f>
        <v>-0.0725</v>
      </c>
      <c r="L147" s="65" t="n">
        <f aca="false">IF(ISNUMBER(VLOOKUP($A147,VOLCURVES,HLOOKUP(K$28,VOLCURVES,2,FALSE()),FALSE())),VLOOKUP($A147,VOLCURVES,HLOOKUP(K$28,VOLCURVES,2,FALSE()),FALSE()),1)</f>
        <v>1</v>
      </c>
      <c r="M147" s="64" t="n">
        <f aca="false">IF(K$28="NYMEX",$AG147,$AF147)</f>
        <v>-5143</v>
      </c>
      <c r="N147" s="184" t="e">
        <f aca="false">(($C147+O147)*$L147)+D$15</f>
        <v>#DIV/0!</v>
      </c>
      <c r="O147" s="4" t="e">
        <f aca="false">IF(D$16=1,xCalcSkew($A147,P147-AZ147,b)/100,0)</f>
        <v>#DIV/0!</v>
      </c>
      <c r="P147" s="66" t="n">
        <f aca="false">IF($D$19=4,$AZ147,$D$18)</f>
        <v>3</v>
      </c>
      <c r="R147" s="63" t="n">
        <f aca="false">IF(R$28="nymex",0,VLOOKUP($A147,curvesettle,HLOOKUP(R$28,curvesettle,2,FALSE())))</f>
        <v>-0.37</v>
      </c>
      <c r="S147" s="65" t="n">
        <f aca="false">IF(ISNUMBER(VLOOKUP($A147,VOLCURVES,HLOOKUP(R$28,VOLCURVES,2,FALSE()),FALSE())),VLOOKUP($A147,VOLCURVES,HLOOKUP(R$28,VOLCURVES,2,FALSE()),FALSE()),1)</f>
        <v>1</v>
      </c>
      <c r="T147" s="64" t="n">
        <f aca="false">IF(R$28="NYMEX",$AG147,$AF147)</f>
        <v>-5143</v>
      </c>
      <c r="U147" s="184" t="e">
        <f aca="false">(($C147+V147)*$S147)+F$15</f>
        <v>#DIV/0!</v>
      </c>
      <c r="V147" s="4" t="e">
        <f aca="false">IF(F$16=1,xCalcSkew($A147,W147-BK147,b)/100,0)</f>
        <v>#DIV/0!</v>
      </c>
      <c r="W147" s="66" t="n">
        <f aca="false">IF($F$19=4,$BK147,$F$18)</f>
        <v>2.55</v>
      </c>
      <c r="X147" s="64"/>
      <c r="Y147" s="63" t="n">
        <f aca="false">IF(Y$28="nymex",0,VLOOKUP($A147,curvesettle,HLOOKUP(Y$28,curvesettle,2,FALSE())))</f>
        <v>0</v>
      </c>
      <c r="Z147" s="65" t="n">
        <f aca="false">IF(ISNUMBER(VLOOKUP($A147,VOLCURVES,HLOOKUP(Y$28,VOLCURVES,2,FALSE()),FALSE())),VLOOKUP($A147,VOLCURVES,HLOOKUP(Y$28,VOLCURVES,2,FALSE()),FALSE()),1)</f>
        <v>1</v>
      </c>
      <c r="AA147" s="64" t="n">
        <f aca="false">IF(Y$28="NYMEX",$AG147,$AF147)</f>
        <v>-5146</v>
      </c>
      <c r="AB147" s="4" t="e">
        <f aca="false">(($C147+AC147)*$Z147)+H$15</f>
        <v>#DIV/0!</v>
      </c>
      <c r="AC147" s="4" t="e">
        <f aca="false">IF(H$16=1,xCalcSkew($A147,AD147-BV147,b)/100,0)</f>
        <v>#DIV/0!</v>
      </c>
      <c r="AD147" s="66" t="n">
        <f aca="false">IF($H$19=4,$BV147,$H$18)</f>
        <v>2.9</v>
      </c>
      <c r="AF147" s="64" t="n">
        <f aca="false">VLOOKUP($A147,expiration,2,FALSE())-$B$2</f>
        <v>-5143</v>
      </c>
      <c r="AG147" s="64" t="n">
        <f aca="false">VLOOKUP($A147,expiration,3,FALSE())-$B$2</f>
        <v>-5146</v>
      </c>
      <c r="AH147" s="4" t="n">
        <f aca="false">VLOOKUP($A147,STRADDLE,14,FALSE())</f>
        <v>0.0588778012908637</v>
      </c>
      <c r="AI147" s="72" t="n">
        <f aca="false">A148-A147</f>
        <v>30</v>
      </c>
      <c r="AL147" s="64"/>
      <c r="AM147" s="73"/>
      <c r="AN147" s="73" t="n">
        <f aca="false">IF($A147&gt;=AO$25,IF($A147&lt;=AO$26,$AI147,0),0)</f>
        <v>0</v>
      </c>
      <c r="AO147" s="196" t="e">
        <f aca="false">AQ147/AN147</f>
        <v>#DIV/0!</v>
      </c>
      <c r="AP147" s="1" t="n">
        <f aca="false">AN147*($B147+B$13)</f>
        <v>0</v>
      </c>
      <c r="AQ147" s="47" t="n">
        <f aca="false">IF(ISNUMBER(((AP147/AN147)+B$14+$D147)*AN147),((AP147/AN147)+B$14+$D147)*AN147,0)</f>
        <v>0</v>
      </c>
      <c r="AR147" s="76" t="n">
        <f aca="false">IF(AN147=0,0,bsd(1,AS$27,AO147,$I147,$F147,$G147,$AH147,0.1))</f>
        <v>0</v>
      </c>
      <c r="AS147" s="76" t="n">
        <f aca="false">IF(AN147=0,0,bsd(2,AS$27,AO147,$I147,$F147,$G147,$AH147,0.1))</f>
        <v>0</v>
      </c>
      <c r="AT147" s="76" t="n">
        <f aca="false">IF(AN147=0,0,bsd(AS$28,AS$27,AO147,$I147,$F147,$G147,$AH147,0.1))</f>
        <v>0</v>
      </c>
      <c r="AU147" s="37" t="n">
        <f aca="false">AN147*AR147</f>
        <v>0</v>
      </c>
      <c r="AV147" s="37" t="n">
        <f aca="false">AN147*AS147</f>
        <v>0</v>
      </c>
      <c r="AW147" s="37" t="n">
        <f aca="false">AN147*AT147</f>
        <v>0</v>
      </c>
      <c r="AY147" s="73" t="n">
        <f aca="false">IF($A147&gt;=AZ$25,IF($A147&lt;=AZ$26,$AI147,0),0)</f>
        <v>0</v>
      </c>
      <c r="AZ147" s="196" t="e">
        <f aca="false">BB147/AY147</f>
        <v>#DIV/0!</v>
      </c>
      <c r="BA147" s="1" t="n">
        <f aca="false">AY147*($B147+D$13)</f>
        <v>0</v>
      </c>
      <c r="BB147" s="47" t="n">
        <f aca="false">IF(ISNUMBER(((BA147/AY147)+D$14+$K147)*AY147),((BA147/AY147)+D$14+$K147)*AY147,0)</f>
        <v>0</v>
      </c>
      <c r="BC147" s="76" t="n">
        <f aca="false">IF(AY147=0,0,bsd(1,BD$27,AZ147,$P147,$M147,$N147,$AH147,0.1))</f>
        <v>0</v>
      </c>
      <c r="BD147" s="76" t="n">
        <f aca="false">IF(AY147=0,0,bsd(2,BD$27,AZ147,$P147,$M147,$N147,$AH147,0.1))</f>
        <v>0</v>
      </c>
      <c r="BE147" s="76" t="n">
        <f aca="false">IF(AY147=0,0,bsd(BD$28,BD$27,AZ147,$P147,$M147,$N147,$AH147,0.1))</f>
        <v>0</v>
      </c>
      <c r="BF147" s="37" t="n">
        <f aca="false">AY147*BC147</f>
        <v>0</v>
      </c>
      <c r="BG147" s="37" t="n">
        <f aca="false">AY147*BD147</f>
        <v>0</v>
      </c>
      <c r="BH147" s="37" t="n">
        <f aca="false">AY147*BE147</f>
        <v>0</v>
      </c>
      <c r="BJ147" s="73" t="n">
        <f aca="false">IF($A147&gt;=BK$25,IF($A147&lt;=BK$26,$AI147,0),0)</f>
        <v>0</v>
      </c>
      <c r="BK147" s="196" t="e">
        <f aca="false">BM147/BJ147</f>
        <v>#DIV/0!</v>
      </c>
      <c r="BL147" s="1" t="n">
        <f aca="false">BJ147*($B147+F$13)</f>
        <v>0</v>
      </c>
      <c r="BM147" s="47" t="n">
        <f aca="false">IF(ISNUMBER(((BL147/BJ147)+F$14+$R147)*BJ147),((BL147/BJ147)+F$14+$R147)*BJ147,0)</f>
        <v>0</v>
      </c>
      <c r="BN147" s="76" t="n">
        <f aca="false">IF(BJ147=0,0,bsd(1,BO$27,BK147,$W147,$T147,$U147,$AH147,0.1))</f>
        <v>0</v>
      </c>
      <c r="BO147" s="76" t="n">
        <f aca="false">IF(BJ147=0,0,bsd(2,BO$27,BK147,$W147,$T147,$U147,$AH147,0.1))</f>
        <v>0</v>
      </c>
      <c r="BP147" s="76" t="n">
        <f aca="false">IF(BJ147=0,0,bsd(BO$28,BO$27,BK147,$W147,$T147,$U147,$AH147,0.1))</f>
        <v>0</v>
      </c>
      <c r="BQ147" s="37" t="n">
        <f aca="false">BJ147*BN147</f>
        <v>0</v>
      </c>
      <c r="BR147" s="37" t="n">
        <f aca="false">BJ147*BO147</f>
        <v>0</v>
      </c>
      <c r="BS147" s="37" t="n">
        <f aca="false">BJ147*BP147</f>
        <v>0</v>
      </c>
      <c r="BU147" s="73" t="n">
        <f aca="false">IF($A147&gt;=BV$25,IF($A147&lt;=BV$26,$AI147,0),0)</f>
        <v>0</v>
      </c>
      <c r="BV147" s="196" t="e">
        <f aca="false">BX147/BU147</f>
        <v>#DIV/0!</v>
      </c>
      <c r="BW147" s="1" t="n">
        <f aca="false">BU147*($B147+H$13)</f>
        <v>0</v>
      </c>
      <c r="BX147" s="47" t="n">
        <f aca="false">IF(ISNUMBER(((BW147/BU147)+H$14+$Y147)*BU147),((BW147/BU147)+H$14+$Y147)*BU147,0)</f>
        <v>0</v>
      </c>
      <c r="BY147" s="76" t="n">
        <f aca="false">IF(BU147=0,0,bsd(1,BZ$27,BV147,$AD147,$AA147,$AB147,$AH147,0.1))</f>
        <v>0</v>
      </c>
      <c r="BZ147" s="76" t="n">
        <f aca="false">IF(BU147=0,0,bsd(2,BZ$27,BV147,$AD147,$AA147,$AB147,$AH147,0.1))</f>
        <v>0</v>
      </c>
      <c r="CA147" s="76" t="n">
        <f aca="false">IF(BU147=0,0,bsd(BZ$28,BZ$27,BV147,$AD147,$AA147,$AB147,$AH147,0.1))</f>
        <v>0</v>
      </c>
      <c r="CB147" s="37" t="n">
        <f aca="false">BU147*BY147</f>
        <v>0</v>
      </c>
      <c r="CC147" s="37" t="n">
        <f aca="false">BU147*BZ147</f>
        <v>0</v>
      </c>
      <c r="CD147" s="37" t="n">
        <f aca="false">BU147*CA147</f>
        <v>0</v>
      </c>
    </row>
    <row r="148" customFormat="false" ht="12.75" hidden="false" customHeight="false" outlineLevel="0" collapsed="false">
      <c r="A148" s="62" t="n">
        <f aca="false">DATE(YEAR(A147),MONTH(A147)+1,1)</f>
        <v>40817</v>
      </c>
      <c r="B148" s="63" t="n">
        <f aca="false">VLOOKUP(A148,STRADDLE,5,FALSE())</f>
        <v>3.8575</v>
      </c>
      <c r="C148" s="4" t="n">
        <f aca="false">VLOOKUP(A148,STRADDLE,8,FALSE())</f>
        <v>0.18</v>
      </c>
      <c r="D148" s="63" t="n">
        <f aca="false">IF(D$28="nymex",0,VLOOKUP($A148,curvesettle,HLOOKUP(D$28,curvesettle,2,FALSE())))</f>
        <v>-0.0725</v>
      </c>
      <c r="E148" s="65" t="n">
        <f aca="false">IF(ISNUMBER(VLOOKUP($A148,VOLCURVES,HLOOKUP(D$28,VOLCURVES,2,FALSE()),FALSE())),VLOOKUP($A148,VOLCURVES,HLOOKUP(D$28,VOLCURVES,2,FALSE()),FALSE()),1)</f>
        <v>1</v>
      </c>
      <c r="F148" s="64" t="n">
        <f aca="false">IF(D$28="NYMEX",$AG148,$AF148)</f>
        <v>-5113</v>
      </c>
      <c r="G148" s="4" t="e">
        <f aca="false">(($C148+H148)*$E148)+B$15</f>
        <v>#DIV/0!</v>
      </c>
      <c r="H148" s="4" t="e">
        <f aca="false">IF(B$16=1,xCalcSkew(A148,I148-AO148,b)/100,0)</f>
        <v>#DIV/0!</v>
      </c>
      <c r="I148" s="66" t="n">
        <f aca="false">IF($B$19=4,$AO148,$B$18)</f>
        <v>5</v>
      </c>
      <c r="K148" s="63" t="n">
        <f aca="false">IF(K$28="nymex",0,VLOOKUP($A148,curvesettle,HLOOKUP(K$28,curvesettle,2,FALSE())))</f>
        <v>-0.0725</v>
      </c>
      <c r="L148" s="65" t="n">
        <f aca="false">IF(ISNUMBER(VLOOKUP($A148,VOLCURVES,HLOOKUP(K$28,VOLCURVES,2,FALSE()),FALSE())),VLOOKUP($A148,VOLCURVES,HLOOKUP(K$28,VOLCURVES,2,FALSE()),FALSE()),1)</f>
        <v>1</v>
      </c>
      <c r="M148" s="64" t="n">
        <f aca="false">IF(K$28="NYMEX",$AG148,$AF148)</f>
        <v>-5113</v>
      </c>
      <c r="N148" s="184" t="e">
        <f aca="false">(($C148+O148)*$L148)+D$15</f>
        <v>#DIV/0!</v>
      </c>
      <c r="O148" s="4" t="e">
        <f aca="false">IF(D$16=1,xCalcSkew($A148,P148-AZ148,b)/100,0)</f>
        <v>#DIV/0!</v>
      </c>
      <c r="P148" s="66" t="n">
        <f aca="false">IF($D$19=4,$AZ148,$D$18)</f>
        <v>3</v>
      </c>
      <c r="R148" s="63" t="n">
        <f aca="false">IF(R$28="nymex",0,VLOOKUP($A148,curvesettle,HLOOKUP(R$28,curvesettle,2,FALSE())))</f>
        <v>-0.37</v>
      </c>
      <c r="S148" s="65" t="n">
        <f aca="false">IF(ISNUMBER(VLOOKUP($A148,VOLCURVES,HLOOKUP(R$28,VOLCURVES,2,FALSE()),FALSE())),VLOOKUP($A148,VOLCURVES,HLOOKUP(R$28,VOLCURVES,2,FALSE()),FALSE()),1)</f>
        <v>1</v>
      </c>
      <c r="T148" s="64" t="n">
        <f aca="false">IF(R$28="NYMEX",$AG148,$AF148)</f>
        <v>-5113</v>
      </c>
      <c r="U148" s="184" t="e">
        <f aca="false">(($C148+V148)*$S148)+F$15</f>
        <v>#DIV/0!</v>
      </c>
      <c r="V148" s="4" t="e">
        <f aca="false">IF(F$16=1,xCalcSkew($A148,W148-BK148,b)/100,0)</f>
        <v>#DIV/0!</v>
      </c>
      <c r="W148" s="66" t="n">
        <f aca="false">IF($F$19=4,$BK148,$F$18)</f>
        <v>2.55</v>
      </c>
      <c r="X148" s="64"/>
      <c r="Y148" s="63" t="n">
        <f aca="false">IF(Y$28="nymex",0,VLOOKUP($A148,curvesettle,HLOOKUP(Y$28,curvesettle,2,FALSE())))</f>
        <v>0</v>
      </c>
      <c r="Z148" s="65" t="n">
        <f aca="false">IF(ISNUMBER(VLOOKUP($A148,VOLCURVES,HLOOKUP(Y$28,VOLCURVES,2,FALSE()),FALSE())),VLOOKUP($A148,VOLCURVES,HLOOKUP(Y$28,VOLCURVES,2,FALSE()),FALSE()),1)</f>
        <v>1</v>
      </c>
      <c r="AA148" s="64" t="n">
        <f aca="false">IF(Y$28="NYMEX",$AG148,$AF148)</f>
        <v>-5114</v>
      </c>
      <c r="AB148" s="4" t="e">
        <f aca="false">(($C148+AC148)*$Z148)+H$15</f>
        <v>#DIV/0!</v>
      </c>
      <c r="AC148" s="4" t="e">
        <f aca="false">IF(H$16=1,xCalcSkew($A148,AD148-BV148,b)/100,0)</f>
        <v>#DIV/0!</v>
      </c>
      <c r="AD148" s="66" t="n">
        <f aca="false">IF($H$19=4,$BV148,$H$18)</f>
        <v>2.9</v>
      </c>
      <c r="AF148" s="64" t="n">
        <f aca="false">VLOOKUP($A148,expiration,2,FALSE())-$B$2</f>
        <v>-5113</v>
      </c>
      <c r="AG148" s="64" t="n">
        <f aca="false">VLOOKUP($A148,expiration,3,FALSE())-$B$2</f>
        <v>-5114</v>
      </c>
      <c r="AH148" s="4" t="n">
        <f aca="false">VLOOKUP($A148,STRADDLE,14,FALSE())</f>
        <v>0.0589779611251142</v>
      </c>
      <c r="AI148" s="72" t="n">
        <f aca="false">A149-A148</f>
        <v>31</v>
      </c>
      <c r="AL148" s="64"/>
      <c r="AM148" s="73"/>
      <c r="AN148" s="73" t="n">
        <f aca="false">IF($A148&gt;=AO$25,IF($A148&lt;=AO$26,$AI148,0),0)</f>
        <v>0</v>
      </c>
      <c r="AO148" s="196" t="e">
        <f aca="false">AQ148/AN148</f>
        <v>#DIV/0!</v>
      </c>
      <c r="AP148" s="1" t="n">
        <f aca="false">AN148*($B148+B$13)</f>
        <v>0</v>
      </c>
      <c r="AQ148" s="47" t="n">
        <f aca="false">IF(ISNUMBER(((AP148/AN148)+B$14+$D148)*AN148),((AP148/AN148)+B$14+$D148)*AN148,0)</f>
        <v>0</v>
      </c>
      <c r="AR148" s="76" t="n">
        <f aca="false">IF(AN148=0,0,bsd(1,AS$27,AO148,$I148,$F148,$G148,$AH148,0.1))</f>
        <v>0</v>
      </c>
      <c r="AS148" s="76" t="n">
        <f aca="false">IF(AN148=0,0,bsd(2,AS$27,AO148,$I148,$F148,$G148,$AH148,0.1))</f>
        <v>0</v>
      </c>
      <c r="AT148" s="76" t="n">
        <f aca="false">IF(AN148=0,0,bsd(AS$28,AS$27,AO148,$I148,$F148,$G148,$AH148,0.1))</f>
        <v>0</v>
      </c>
      <c r="AU148" s="37" t="n">
        <f aca="false">AN148*AR148</f>
        <v>0</v>
      </c>
      <c r="AV148" s="37" t="n">
        <f aca="false">AN148*AS148</f>
        <v>0</v>
      </c>
      <c r="AW148" s="37" t="n">
        <f aca="false">AN148*AT148</f>
        <v>0</v>
      </c>
      <c r="AY148" s="73" t="n">
        <f aca="false">IF($A148&gt;=AZ$25,IF($A148&lt;=AZ$26,$AI148,0),0)</f>
        <v>0</v>
      </c>
      <c r="AZ148" s="196" t="e">
        <f aca="false">BB148/AY148</f>
        <v>#DIV/0!</v>
      </c>
      <c r="BA148" s="1" t="n">
        <f aca="false">AY148*($B148+D$13)</f>
        <v>0</v>
      </c>
      <c r="BB148" s="47" t="n">
        <f aca="false">IF(ISNUMBER(((BA148/AY148)+D$14+$K148)*AY148),((BA148/AY148)+D$14+$K148)*AY148,0)</f>
        <v>0</v>
      </c>
      <c r="BC148" s="76" t="n">
        <f aca="false">IF(AY148=0,0,bsd(1,BD$27,AZ148,$P148,$M148,$N148,$AH148,0.1))</f>
        <v>0</v>
      </c>
      <c r="BD148" s="76" t="n">
        <f aca="false">IF(AY148=0,0,bsd(2,BD$27,AZ148,$P148,$M148,$N148,$AH148,0.1))</f>
        <v>0</v>
      </c>
      <c r="BE148" s="76" t="n">
        <f aca="false">IF(AY148=0,0,bsd(BD$28,BD$27,AZ148,$P148,$M148,$N148,$AH148,0.1))</f>
        <v>0</v>
      </c>
      <c r="BF148" s="37" t="n">
        <f aca="false">AY148*BC148</f>
        <v>0</v>
      </c>
      <c r="BG148" s="37" t="n">
        <f aca="false">AY148*BD148</f>
        <v>0</v>
      </c>
      <c r="BH148" s="37" t="n">
        <f aca="false">AY148*BE148</f>
        <v>0</v>
      </c>
      <c r="BJ148" s="73" t="n">
        <f aca="false">IF($A148&gt;=BK$25,IF($A148&lt;=BK$26,$AI148,0),0)</f>
        <v>0</v>
      </c>
      <c r="BK148" s="196" t="e">
        <f aca="false">BM148/BJ148</f>
        <v>#DIV/0!</v>
      </c>
      <c r="BL148" s="1" t="n">
        <f aca="false">BJ148*($B148+F$13)</f>
        <v>0</v>
      </c>
      <c r="BM148" s="47" t="n">
        <f aca="false">IF(ISNUMBER(((BL148/BJ148)+F$14+$R148)*BJ148),((BL148/BJ148)+F$14+$R148)*BJ148,0)</f>
        <v>0</v>
      </c>
      <c r="BN148" s="76" t="n">
        <f aca="false">IF(BJ148=0,0,bsd(1,BO$27,BK148,$W148,$T148,$U148,$AH148,0.1))</f>
        <v>0</v>
      </c>
      <c r="BO148" s="76" t="n">
        <f aca="false">IF(BJ148=0,0,bsd(2,BO$27,BK148,$W148,$T148,$U148,$AH148,0.1))</f>
        <v>0</v>
      </c>
      <c r="BP148" s="76" t="n">
        <f aca="false">IF(BJ148=0,0,bsd(BO$28,BO$27,BK148,$W148,$T148,$U148,$AH148,0.1))</f>
        <v>0</v>
      </c>
      <c r="BQ148" s="37" t="n">
        <f aca="false">BJ148*BN148</f>
        <v>0</v>
      </c>
      <c r="BR148" s="37" t="n">
        <f aca="false">BJ148*BO148</f>
        <v>0</v>
      </c>
      <c r="BS148" s="37" t="n">
        <f aca="false">BJ148*BP148</f>
        <v>0</v>
      </c>
      <c r="BU148" s="73" t="n">
        <f aca="false">IF($A148&gt;=BV$25,IF($A148&lt;=BV$26,$AI148,0),0)</f>
        <v>0</v>
      </c>
      <c r="BV148" s="196" t="e">
        <f aca="false">BX148/BU148</f>
        <v>#DIV/0!</v>
      </c>
      <c r="BW148" s="1" t="n">
        <f aca="false">BU148*($B148+H$13)</f>
        <v>0</v>
      </c>
      <c r="BX148" s="47" t="n">
        <f aca="false">IF(ISNUMBER(((BW148/BU148)+H$14+$Y148)*BU148),((BW148/BU148)+H$14+$Y148)*BU148,0)</f>
        <v>0</v>
      </c>
      <c r="BY148" s="76" t="n">
        <f aca="false">IF(BU148=0,0,bsd(1,BZ$27,BV148,$AD148,$AA148,$AB148,$AH148,0.1))</f>
        <v>0</v>
      </c>
      <c r="BZ148" s="76" t="n">
        <f aca="false">IF(BU148=0,0,bsd(2,BZ$27,BV148,$AD148,$AA148,$AB148,$AH148,0.1))</f>
        <v>0</v>
      </c>
      <c r="CA148" s="76" t="n">
        <f aca="false">IF(BU148=0,0,bsd(BZ$28,BZ$27,BV148,$AD148,$AA148,$AB148,$AH148,0.1))</f>
        <v>0</v>
      </c>
      <c r="CB148" s="37" t="n">
        <f aca="false">BU148*BY148</f>
        <v>0</v>
      </c>
      <c r="CC148" s="37" t="n">
        <f aca="false">BU148*BZ148</f>
        <v>0</v>
      </c>
      <c r="CD148" s="37" t="n">
        <f aca="false">BU148*CA148</f>
        <v>0</v>
      </c>
    </row>
    <row r="149" customFormat="false" ht="12.75" hidden="false" customHeight="false" outlineLevel="0" collapsed="false">
      <c r="A149" s="62" t="n">
        <f aca="false">DATE(YEAR(A148),MONTH(A148)+1,1)</f>
        <v>40848</v>
      </c>
      <c r="B149" s="63" t="n">
        <f aca="false">VLOOKUP(A149,STRADDLE,5,FALSE())</f>
        <v>4.0095</v>
      </c>
      <c r="C149" s="4" t="n">
        <f aca="false">VLOOKUP(A149,STRADDLE,8,FALSE())</f>
        <v>0.18</v>
      </c>
      <c r="D149" s="63" t="n">
        <f aca="false">IF(D$28="nymex",0,VLOOKUP($A149,curvesettle,HLOOKUP(D$28,curvesettle,2,FALSE())))</f>
        <v>-0.075</v>
      </c>
      <c r="E149" s="65" t="n">
        <f aca="false">IF(ISNUMBER(VLOOKUP($A149,VOLCURVES,HLOOKUP(D$28,VOLCURVES,2,FALSE()),FALSE())),VLOOKUP($A149,VOLCURVES,HLOOKUP(D$28,VOLCURVES,2,FALSE()),FALSE()),1)</f>
        <v>1</v>
      </c>
      <c r="F149" s="64" t="n">
        <f aca="false">IF(D$28="NYMEX",$AG149,$AF149)</f>
        <v>-5084</v>
      </c>
      <c r="G149" s="4" t="e">
        <f aca="false">(($C149+H149)*$E149)+B$15</f>
        <v>#DIV/0!</v>
      </c>
      <c r="H149" s="4" t="e">
        <f aca="false">IF(B$16=1,xCalcSkew(A149,I149-AO149,b)/100,0)</f>
        <v>#DIV/0!</v>
      </c>
      <c r="I149" s="66" t="n">
        <f aca="false">IF($B$19=4,$AO149,$B$18)</f>
        <v>5</v>
      </c>
      <c r="K149" s="63" t="n">
        <f aca="false">IF(K$28="nymex",0,VLOOKUP($A149,curvesettle,HLOOKUP(K$28,curvesettle,2,FALSE())))</f>
        <v>-0.075</v>
      </c>
      <c r="L149" s="65" t="n">
        <f aca="false">IF(ISNUMBER(VLOOKUP($A149,VOLCURVES,HLOOKUP(K$28,VOLCURVES,2,FALSE()),FALSE())),VLOOKUP($A149,VOLCURVES,HLOOKUP(K$28,VOLCURVES,2,FALSE()),FALSE()),1)</f>
        <v>1</v>
      </c>
      <c r="M149" s="64" t="n">
        <f aca="false">IF(K$28="NYMEX",$AG149,$AF149)</f>
        <v>-5084</v>
      </c>
      <c r="N149" s="184" t="e">
        <f aca="false">(($C149+O149)*$L149)+D$15</f>
        <v>#DIV/0!</v>
      </c>
      <c r="O149" s="4" t="e">
        <f aca="false">IF(D$16=1,xCalcSkew($A149,P149-AZ149,b)/100,0)</f>
        <v>#DIV/0!</v>
      </c>
      <c r="P149" s="66" t="n">
        <f aca="false">IF($D$19=4,$AZ149,$D$18)</f>
        <v>3</v>
      </c>
      <c r="R149" s="63" t="n">
        <f aca="false">IF(R$28="nymex",0,VLOOKUP($A149,curvesettle,HLOOKUP(R$28,curvesettle,2,FALSE())))</f>
        <v>-0.26</v>
      </c>
      <c r="S149" s="65" t="n">
        <f aca="false">IF(ISNUMBER(VLOOKUP($A149,VOLCURVES,HLOOKUP(R$28,VOLCURVES,2,FALSE()),FALSE())),VLOOKUP($A149,VOLCURVES,HLOOKUP(R$28,VOLCURVES,2,FALSE()),FALSE()),1)</f>
        <v>1</v>
      </c>
      <c r="T149" s="64" t="n">
        <f aca="false">IF(R$28="NYMEX",$AG149,$AF149)</f>
        <v>-5084</v>
      </c>
      <c r="U149" s="184" t="e">
        <f aca="false">(($C149+V149)*$S149)+F$15</f>
        <v>#DIV/0!</v>
      </c>
      <c r="V149" s="4" t="e">
        <f aca="false">IF(F$16=1,xCalcSkew($A149,W149-BK149,b)/100,0)</f>
        <v>#DIV/0!</v>
      </c>
      <c r="W149" s="66" t="n">
        <f aca="false">IF($F$19=4,$BK149,$F$18)</f>
        <v>2.55</v>
      </c>
      <c r="X149" s="64"/>
      <c r="Y149" s="63" t="n">
        <f aca="false">IF(Y$28="nymex",0,VLOOKUP($A149,curvesettle,HLOOKUP(Y$28,curvesettle,2,FALSE())))</f>
        <v>0</v>
      </c>
      <c r="Z149" s="65" t="n">
        <f aca="false">IF(ISNUMBER(VLOOKUP($A149,VOLCURVES,HLOOKUP(Y$28,VOLCURVES,2,FALSE()),FALSE())),VLOOKUP($A149,VOLCURVES,HLOOKUP(Y$28,VOLCURVES,2,FALSE()),FALSE()),1)</f>
        <v>1</v>
      </c>
      <c r="AA149" s="64" t="n">
        <f aca="false">IF(Y$28="NYMEX",$AG149,$AF149)</f>
        <v>-5085</v>
      </c>
      <c r="AB149" s="4" t="e">
        <f aca="false">(($C149+AC149)*$Z149)+H$15</f>
        <v>#DIV/0!</v>
      </c>
      <c r="AC149" s="4" t="e">
        <f aca="false">IF(H$16=1,xCalcSkew($A149,AD149-BV149,b)/100,0)</f>
        <v>#DIV/0!</v>
      </c>
      <c r="AD149" s="66" t="n">
        <f aca="false">IF($H$19=4,$BV149,$H$18)</f>
        <v>2.9</v>
      </c>
      <c r="AF149" s="64" t="n">
        <f aca="false">VLOOKUP($A149,expiration,2,FALSE())-$B$2</f>
        <v>-5084</v>
      </c>
      <c r="AG149" s="64" t="n">
        <f aca="false">VLOOKUP($A149,expiration,3,FALSE())-$B$2</f>
        <v>-5085</v>
      </c>
      <c r="AH149" s="4" t="n">
        <f aca="false">VLOOKUP($A149,STRADDLE,14,FALSE())</f>
        <v>0.0590814596240108</v>
      </c>
      <c r="AI149" s="72" t="e">
        <f aca="false">#REF!-A149</f>
        <v>#REF!</v>
      </c>
      <c r="AL149" s="64"/>
      <c r="AM149" s="73"/>
      <c r="AN149" s="73" t="n">
        <f aca="false">IF($A149&gt;=AO$25,IF($A149&lt;=AO$26,$AI149,0),0)</f>
        <v>0</v>
      </c>
      <c r="AO149" s="196" t="e">
        <f aca="false">AQ149/AN149</f>
        <v>#DIV/0!</v>
      </c>
      <c r="AP149" s="1" t="n">
        <f aca="false">AN149*($B149+B$13)</f>
        <v>0</v>
      </c>
      <c r="AQ149" s="47" t="n">
        <f aca="false">IF(ISNUMBER(((AP149/AN149)+B$14+$D149)*AN149),((AP149/AN149)+B$14+$D149)*AN149,0)</f>
        <v>0</v>
      </c>
      <c r="AR149" s="76" t="n">
        <f aca="false">IF(AN149=0,0,bsd(1,AS$27,AO149,$I149,$F149,$G149,$AH149,0.1))</f>
        <v>0</v>
      </c>
      <c r="AS149" s="76" t="n">
        <f aca="false">IF(AN149=0,0,bsd(2,AS$27,AO149,$I149,$F149,$G149,$AH149,0.1))</f>
        <v>0</v>
      </c>
      <c r="AT149" s="76" t="n">
        <f aca="false">IF(AN149=0,0,bsd(AS$28,AS$27,AO149,$I149,$F149,$G149,$AH149,0.1))</f>
        <v>0</v>
      </c>
      <c r="AU149" s="37" t="n">
        <f aca="false">AN149*AR149</f>
        <v>0</v>
      </c>
      <c r="AV149" s="37" t="n">
        <f aca="false">AN149*AS149</f>
        <v>0</v>
      </c>
      <c r="AW149" s="37" t="n">
        <f aca="false">AN149*AT149</f>
        <v>0</v>
      </c>
      <c r="AY149" s="73" t="n">
        <f aca="false">IF($A149&gt;=AZ$25,IF($A149&lt;=AZ$26,$AI149,0),0)</f>
        <v>0</v>
      </c>
      <c r="AZ149" s="196" t="e">
        <f aca="false">BB149/AY149</f>
        <v>#DIV/0!</v>
      </c>
      <c r="BA149" s="1" t="n">
        <f aca="false">AY149*($B149+D$13)</f>
        <v>0</v>
      </c>
      <c r="BB149" s="47" t="n">
        <f aca="false">IF(ISNUMBER(((BA149/AY149)+D$14+$K149)*AY149),((BA149/AY149)+D$14+$K149)*AY149,0)</f>
        <v>0</v>
      </c>
      <c r="BC149" s="76" t="n">
        <f aca="false">IF(AY149=0,0,bsd(1,BD$27,AZ149,$P149,$M149,$N149,$AH149,0.1))</f>
        <v>0</v>
      </c>
      <c r="BD149" s="76" t="n">
        <f aca="false">IF(AY149=0,0,bsd(2,BD$27,AZ149,$P149,$M149,$N149,$AH149,0.1))</f>
        <v>0</v>
      </c>
      <c r="BE149" s="76" t="n">
        <f aca="false">IF(AY149=0,0,bsd(BD$28,BD$27,AZ149,$P149,$M149,$N149,$AH149,0.1))</f>
        <v>0</v>
      </c>
      <c r="BF149" s="37" t="n">
        <f aca="false">AY149*BC149</f>
        <v>0</v>
      </c>
      <c r="BG149" s="37" t="n">
        <f aca="false">AY149*BD149</f>
        <v>0</v>
      </c>
      <c r="BH149" s="37" t="n">
        <f aca="false">AY149*BE149</f>
        <v>0</v>
      </c>
      <c r="BJ149" s="73" t="n">
        <f aca="false">IF($A149&gt;=BK$25,IF($A149&lt;=BK$26,$AI149,0),0)</f>
        <v>0</v>
      </c>
      <c r="BK149" s="196" t="e">
        <f aca="false">BM149/BJ149</f>
        <v>#DIV/0!</v>
      </c>
      <c r="BL149" s="1" t="n">
        <f aca="false">BJ149*($B149+F$13)</f>
        <v>0</v>
      </c>
      <c r="BM149" s="47" t="n">
        <f aca="false">IF(ISNUMBER(((BL149/BJ149)+F$14+$R149)*BJ149),((BL149/BJ149)+F$14+$R149)*BJ149,0)</f>
        <v>0</v>
      </c>
      <c r="BN149" s="76" t="n">
        <f aca="false">IF(BJ149=0,0,bsd(1,BO$27,BK149,$W149,$T149,$U149,$AH149,0.1))</f>
        <v>0</v>
      </c>
      <c r="BO149" s="76" t="n">
        <f aca="false">IF(BJ149=0,0,bsd(2,BO$27,BK149,$W149,$T149,$U149,$AH149,0.1))</f>
        <v>0</v>
      </c>
      <c r="BP149" s="76" t="n">
        <f aca="false">IF(BJ149=0,0,bsd(BO$28,BO$27,BK149,$W149,$T149,$U149,$AH149,0.1))</f>
        <v>0</v>
      </c>
      <c r="BQ149" s="37" t="n">
        <f aca="false">BJ149*BN149</f>
        <v>0</v>
      </c>
      <c r="BR149" s="37" t="n">
        <f aca="false">BJ149*BO149</f>
        <v>0</v>
      </c>
      <c r="BS149" s="37" t="n">
        <f aca="false">BJ149*BP149</f>
        <v>0</v>
      </c>
      <c r="BU149" s="73" t="n">
        <f aca="false">IF($A149&gt;=BV$25,IF($A149&lt;=BV$26,$AI149,0),0)</f>
        <v>0</v>
      </c>
      <c r="BV149" s="196" t="e">
        <f aca="false">BX149/BU149</f>
        <v>#DIV/0!</v>
      </c>
      <c r="BW149" s="1" t="n">
        <f aca="false">BU149*($B149+H$13)</f>
        <v>0</v>
      </c>
      <c r="BX149" s="47" t="n">
        <f aca="false">IF(ISNUMBER(((BW149/BU149)+H$14+$Y149)*BU149),((BW149/BU149)+H$14+$Y149)*BU149,0)</f>
        <v>0</v>
      </c>
      <c r="BY149" s="76" t="n">
        <f aca="false">IF(BU149=0,0,bsd(1,BZ$27,BV149,$AD149,$AA149,$AB149,$AH149,0.1))</f>
        <v>0</v>
      </c>
      <c r="BZ149" s="76" t="n">
        <f aca="false">IF(BU149=0,0,bsd(2,BZ$27,BV149,$AD149,$AA149,$AB149,$AH149,0.1))</f>
        <v>0</v>
      </c>
      <c r="CA149" s="76" t="n">
        <f aca="false">IF(BU149=0,0,bsd(BZ$28,BZ$27,BV149,$AD149,$AA149,$AB149,$AH149,0.1))</f>
        <v>0</v>
      </c>
      <c r="CB149" s="37" t="n">
        <f aca="false">BU149*BY149</f>
        <v>0</v>
      </c>
      <c r="CC149" s="37" t="n">
        <f aca="false">BU149*BZ149</f>
        <v>0</v>
      </c>
      <c r="CD149" s="37" t="n">
        <f aca="false">BU149*CA149</f>
        <v>0</v>
      </c>
    </row>
    <row r="150" customFormat="false" ht="12.75" hidden="false" customHeight="false" outlineLevel="0" collapsed="false">
      <c r="A150" s="62" t="e">
        <f aca="false">DATE(YEAR(#REF!),MONTH(#REF!)+1,1)</f>
        <v>#REF!</v>
      </c>
      <c r="B150" s="78"/>
      <c r="C150" s="79"/>
      <c r="E150" s="80"/>
      <c r="F150" s="80"/>
      <c r="G150" s="80"/>
      <c r="H150" s="81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38"/>
      <c r="AN150" s="8"/>
      <c r="AO150" s="193"/>
      <c r="AY150" s="8"/>
      <c r="AZ150" s="193"/>
      <c r="BJ150" s="8"/>
      <c r="BK150" s="193"/>
      <c r="BU150" s="8"/>
      <c r="BV150" s="193"/>
    </row>
    <row r="151" customFormat="false" ht="12.75" hidden="false" customHeight="false" outlineLevel="0" collapsed="false">
      <c r="A151" s="82"/>
      <c r="B151" s="78"/>
      <c r="C151" s="79"/>
      <c r="E151" s="80"/>
      <c r="F151" s="80"/>
      <c r="G151" s="80"/>
      <c r="H151" s="81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38"/>
      <c r="AN151" s="8"/>
      <c r="AO151" s="193"/>
      <c r="AY151" s="8"/>
      <c r="AZ151" s="193"/>
      <c r="BJ151" s="8"/>
      <c r="BK151" s="193"/>
      <c r="BU151" s="8"/>
      <c r="BV151" s="193"/>
    </row>
    <row r="152" customFormat="false" ht="12.75" hidden="false" customHeight="false" outlineLevel="0" collapsed="false">
      <c r="A152" s="82"/>
      <c r="B152" s="78"/>
      <c r="C152" s="79"/>
      <c r="E152" s="80"/>
      <c r="F152" s="80"/>
      <c r="G152" s="80"/>
      <c r="H152" s="81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38"/>
      <c r="AN152" s="8"/>
      <c r="AO152" s="193"/>
      <c r="AY152" s="8"/>
      <c r="AZ152" s="193"/>
      <c r="BJ152" s="8"/>
      <c r="BK152" s="193"/>
      <c r="BU152" s="8"/>
      <c r="BV152" s="193"/>
    </row>
    <row r="153" customFormat="false" ht="12.75" hidden="false" customHeight="false" outlineLevel="0" collapsed="false">
      <c r="A153" s="82"/>
      <c r="B153" s="78"/>
      <c r="C153" s="79"/>
      <c r="E153" s="80"/>
      <c r="F153" s="80"/>
      <c r="G153" s="80"/>
      <c r="H153" s="81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38"/>
      <c r="AN153" s="8"/>
      <c r="AO153" s="193"/>
      <c r="AY153" s="8"/>
      <c r="AZ153" s="193"/>
      <c r="BJ153" s="8"/>
      <c r="BK153" s="193"/>
      <c r="BU153" s="8"/>
      <c r="BV153" s="193"/>
    </row>
    <row r="154" customFormat="false" ht="12.75" hidden="false" customHeight="false" outlineLevel="0" collapsed="false">
      <c r="A154" s="82"/>
      <c r="B154" s="78"/>
      <c r="C154" s="79"/>
      <c r="E154" s="80"/>
      <c r="F154" s="80"/>
      <c r="G154" s="80"/>
      <c r="H154" s="81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38"/>
      <c r="AN154" s="8"/>
      <c r="AO154" s="193"/>
      <c r="AY154" s="8"/>
      <c r="AZ154" s="193"/>
      <c r="BJ154" s="8"/>
      <c r="BK154" s="193"/>
      <c r="BU154" s="8"/>
      <c r="BV154" s="193"/>
    </row>
    <row r="155" customFormat="false" ht="12.75" hidden="false" customHeight="false" outlineLevel="0" collapsed="false">
      <c r="A155" s="82"/>
      <c r="B155" s="78"/>
      <c r="C155" s="79"/>
      <c r="E155" s="80"/>
      <c r="F155" s="80"/>
      <c r="G155" s="80"/>
      <c r="H155" s="81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38"/>
      <c r="AN155" s="8"/>
      <c r="AO155" s="193"/>
      <c r="AY155" s="8"/>
      <c r="AZ155" s="193"/>
      <c r="BJ155" s="8"/>
      <c r="BK155" s="193"/>
      <c r="BU155" s="8"/>
      <c r="BV155" s="193"/>
    </row>
    <row r="156" customFormat="false" ht="12.75" hidden="false" customHeight="false" outlineLevel="0" collapsed="false">
      <c r="A156" s="82"/>
      <c r="B156" s="78"/>
      <c r="C156" s="79"/>
      <c r="E156" s="80"/>
      <c r="F156" s="80"/>
      <c r="G156" s="80"/>
      <c r="H156" s="81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38"/>
      <c r="AN156" s="8"/>
      <c r="AO156" s="193"/>
      <c r="AY156" s="8"/>
      <c r="AZ156" s="193"/>
      <c r="BJ156" s="8"/>
      <c r="BK156" s="193"/>
      <c r="BU156" s="8"/>
      <c r="BV156" s="193"/>
    </row>
    <row r="157" customFormat="false" ht="12.75" hidden="false" customHeight="false" outlineLevel="0" collapsed="false">
      <c r="A157" s="82"/>
      <c r="B157" s="78"/>
      <c r="C157" s="79"/>
      <c r="E157" s="80"/>
      <c r="F157" s="80"/>
      <c r="G157" s="80"/>
      <c r="H157" s="81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38"/>
      <c r="AN157" s="8"/>
      <c r="AO157" s="193"/>
      <c r="AY157" s="8"/>
      <c r="AZ157" s="193"/>
      <c r="BJ157" s="8"/>
      <c r="BK157" s="193"/>
      <c r="BU157" s="8"/>
      <c r="BV157" s="193"/>
    </row>
    <row r="158" customFormat="false" ht="12.75" hidden="false" customHeight="false" outlineLevel="0" collapsed="false">
      <c r="A158" s="82"/>
      <c r="B158" s="78"/>
      <c r="C158" s="79"/>
      <c r="E158" s="80"/>
      <c r="F158" s="80"/>
      <c r="G158" s="80"/>
      <c r="H158" s="81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38"/>
      <c r="AN158" s="8"/>
      <c r="AO158" s="193"/>
      <c r="AY158" s="8"/>
      <c r="AZ158" s="193"/>
      <c r="BJ158" s="8"/>
      <c r="BK158" s="193"/>
      <c r="BU158" s="8"/>
      <c r="BV158" s="193"/>
    </row>
    <row r="159" customFormat="false" ht="12.75" hidden="false" customHeight="false" outlineLevel="0" collapsed="false">
      <c r="A159" s="82"/>
      <c r="B159" s="78"/>
      <c r="C159" s="79"/>
      <c r="E159" s="80"/>
      <c r="F159" s="80"/>
      <c r="G159" s="80"/>
      <c r="H159" s="81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38"/>
      <c r="AN159" s="8"/>
      <c r="AO159" s="193"/>
      <c r="AY159" s="8"/>
      <c r="AZ159" s="193"/>
      <c r="BJ159" s="8"/>
      <c r="BK159" s="193"/>
      <c r="BU159" s="8"/>
      <c r="BV159" s="193"/>
    </row>
    <row r="160" customFormat="false" ht="12.75" hidden="false" customHeight="false" outlineLevel="0" collapsed="false">
      <c r="A160" s="82"/>
      <c r="B160" s="78"/>
      <c r="C160" s="79"/>
      <c r="E160" s="80"/>
      <c r="F160" s="80"/>
      <c r="G160" s="80"/>
      <c r="H160" s="81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38"/>
      <c r="AN160" s="8"/>
      <c r="AO160" s="193"/>
      <c r="AY160" s="8"/>
      <c r="AZ160" s="193"/>
      <c r="BJ160" s="8"/>
      <c r="BK160" s="193"/>
      <c r="BU160" s="8"/>
      <c r="BV160" s="193"/>
    </row>
    <row r="161" customFormat="false" ht="12.75" hidden="false" customHeight="false" outlineLevel="0" collapsed="false">
      <c r="A161" s="83"/>
      <c r="E161" s="84"/>
      <c r="F161" s="84"/>
      <c r="G161" s="84"/>
      <c r="H161" s="81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38"/>
      <c r="AN161" s="8"/>
      <c r="AO161" s="193"/>
      <c r="AY161" s="8"/>
      <c r="AZ161" s="193"/>
      <c r="BJ161" s="8"/>
      <c r="BK161" s="193"/>
      <c r="BU161" s="8"/>
      <c r="BV161" s="193"/>
    </row>
    <row r="162" customFormat="false" ht="12.75" hidden="false" customHeight="false" outlineLevel="0" collapsed="false">
      <c r="A162" s="82"/>
      <c r="B162" s="78"/>
      <c r="C162" s="79"/>
      <c r="E162" s="80"/>
      <c r="F162" s="80"/>
      <c r="G162" s="80"/>
      <c r="H162" s="81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38"/>
      <c r="AN162" s="8"/>
      <c r="AO162" s="193"/>
      <c r="AY162" s="8"/>
      <c r="AZ162" s="193"/>
      <c r="BJ162" s="8"/>
      <c r="BK162" s="193"/>
      <c r="BU162" s="8"/>
      <c r="BV162" s="193"/>
    </row>
    <row r="163" customFormat="false" ht="12.75" hidden="false" customHeight="false" outlineLevel="0" collapsed="false">
      <c r="B163" s="82"/>
      <c r="C163" s="85"/>
      <c r="D163" s="86"/>
      <c r="E163" s="58"/>
      <c r="F163" s="58"/>
      <c r="G163" s="58"/>
      <c r="H163" s="80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"/>
      <c r="AI163" s="58"/>
      <c r="AJ163" s="58"/>
      <c r="AK163" s="8"/>
      <c r="AL163" s="8"/>
      <c r="AM163" s="38"/>
      <c r="AN163" s="8"/>
      <c r="AO163" s="193"/>
      <c r="AY163" s="8"/>
      <c r="AZ163" s="193"/>
      <c r="BJ163" s="8"/>
      <c r="BK163" s="193"/>
      <c r="BU163" s="8"/>
      <c r="BV163" s="193"/>
    </row>
    <row r="164" customFormat="false" ht="12.75" hidden="false" customHeight="false" outlineLevel="0" collapsed="false">
      <c r="B164" s="82"/>
      <c r="C164" s="85"/>
      <c r="D164" s="86"/>
      <c r="E164" s="58"/>
      <c r="F164" s="58"/>
      <c r="G164" s="58"/>
      <c r="H164" s="80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"/>
      <c r="AI164" s="58"/>
      <c r="AJ164" s="58"/>
      <c r="AK164" s="8"/>
      <c r="AL164" s="8"/>
      <c r="AM164" s="38"/>
      <c r="AN164" s="8"/>
      <c r="AO164" s="193"/>
      <c r="AY164" s="8"/>
      <c r="AZ164" s="193"/>
      <c r="BJ164" s="8"/>
      <c r="BK164" s="193"/>
      <c r="BU164" s="8"/>
      <c r="BV164" s="193"/>
    </row>
    <row r="165" customFormat="false" ht="12.75" hidden="false" customHeight="false" outlineLevel="0" collapsed="false">
      <c r="B165" s="82"/>
      <c r="C165" s="85"/>
      <c r="D165" s="86"/>
      <c r="E165" s="58"/>
      <c r="F165" s="58"/>
      <c r="G165" s="58"/>
      <c r="H165" s="80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"/>
      <c r="AI165" s="58"/>
      <c r="AJ165" s="58"/>
      <c r="AK165" s="8"/>
      <c r="AL165" s="8"/>
      <c r="AM165" s="38"/>
      <c r="AN165" s="8"/>
      <c r="AO165" s="193"/>
      <c r="AY165" s="8"/>
      <c r="AZ165" s="193"/>
      <c r="BJ165" s="8"/>
      <c r="BK165" s="193"/>
      <c r="BU165" s="8"/>
      <c r="BV165" s="193"/>
    </row>
    <row r="166" customFormat="false" ht="12.75" hidden="false" customHeight="false" outlineLevel="0" collapsed="false">
      <c r="B166" s="82"/>
      <c r="C166" s="85"/>
      <c r="D166" s="86"/>
      <c r="E166" s="58"/>
      <c r="F166" s="58"/>
      <c r="G166" s="58"/>
      <c r="H166" s="80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"/>
      <c r="AI166" s="58"/>
      <c r="AJ166" s="58"/>
      <c r="AK166" s="8"/>
      <c r="AL166" s="8"/>
      <c r="AM166" s="38"/>
      <c r="AN166" s="8"/>
      <c r="AO166" s="193"/>
      <c r="AY166" s="8"/>
      <c r="AZ166" s="193"/>
      <c r="BJ166" s="8"/>
      <c r="BK166" s="193"/>
      <c r="BU166" s="8"/>
      <c r="BV166" s="193"/>
    </row>
    <row r="167" customFormat="false" ht="12.75" hidden="false" customHeight="false" outlineLevel="0" collapsed="false">
      <c r="B167" s="82"/>
      <c r="C167" s="85"/>
      <c r="D167" s="86"/>
      <c r="E167" s="58"/>
      <c r="F167" s="58"/>
      <c r="G167" s="58"/>
      <c r="H167" s="80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"/>
      <c r="AI167" s="58"/>
      <c r="AJ167" s="58"/>
      <c r="AK167" s="8"/>
      <c r="AL167" s="8"/>
      <c r="AM167" s="38"/>
      <c r="AN167" s="8"/>
      <c r="AO167" s="193"/>
      <c r="AY167" s="8"/>
      <c r="AZ167" s="193"/>
      <c r="BJ167" s="8"/>
      <c r="BK167" s="193"/>
      <c r="BU167" s="8"/>
      <c r="BV167" s="193"/>
    </row>
    <row r="168" customFormat="false" ht="12.75" hidden="false" customHeight="false" outlineLevel="0" collapsed="false">
      <c r="B168" s="82"/>
      <c r="C168" s="85"/>
      <c r="D168" s="86"/>
      <c r="E168" s="58"/>
      <c r="F168" s="58"/>
      <c r="G168" s="58"/>
      <c r="H168" s="80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"/>
      <c r="AI168" s="58"/>
      <c r="AJ168" s="58"/>
      <c r="AK168" s="8"/>
      <c r="AL168" s="8"/>
      <c r="AM168" s="38"/>
      <c r="AN168" s="8"/>
      <c r="AO168" s="193"/>
      <c r="AY168" s="8"/>
      <c r="AZ168" s="193"/>
      <c r="BJ168" s="8"/>
      <c r="BK168" s="193"/>
      <c r="BU168" s="8"/>
      <c r="BV168" s="193"/>
    </row>
    <row r="169" customFormat="false" ht="12.75" hidden="false" customHeight="false" outlineLevel="0" collapsed="false">
      <c r="B169" s="82"/>
      <c r="C169" s="85"/>
      <c r="D169" s="86"/>
      <c r="E169" s="58"/>
      <c r="F169" s="58"/>
      <c r="G169" s="58"/>
      <c r="H169" s="80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"/>
      <c r="AI169" s="58"/>
      <c r="AJ169" s="58"/>
      <c r="AK169" s="8"/>
      <c r="AL169" s="8"/>
      <c r="AM169" s="38"/>
      <c r="AN169" s="8"/>
      <c r="AO169" s="193"/>
      <c r="AY169" s="8"/>
      <c r="AZ169" s="193"/>
      <c r="BJ169" s="8"/>
      <c r="BK169" s="193"/>
      <c r="BU169" s="8"/>
      <c r="BV169" s="193"/>
    </row>
    <row r="170" customFormat="false" ht="12.75" hidden="false" customHeight="false" outlineLevel="0" collapsed="false">
      <c r="B170" s="82"/>
      <c r="C170" s="85"/>
      <c r="D170" s="86"/>
      <c r="E170" s="58"/>
      <c r="F170" s="58"/>
      <c r="G170" s="58"/>
      <c r="H170" s="80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"/>
      <c r="AI170" s="58"/>
      <c r="AJ170" s="58"/>
      <c r="AK170" s="8"/>
      <c r="AL170" s="8"/>
      <c r="AM170" s="38"/>
      <c r="AN170" s="8"/>
      <c r="AO170" s="193"/>
      <c r="AY170" s="8"/>
      <c r="AZ170" s="193"/>
      <c r="BJ170" s="8"/>
      <c r="BK170" s="193"/>
      <c r="BU170" s="8"/>
      <c r="BV170" s="193"/>
    </row>
    <row r="171" customFormat="false" ht="12.75" hidden="false" customHeight="false" outlineLevel="0" collapsed="false">
      <c r="B171" s="82"/>
      <c r="C171" s="85"/>
      <c r="D171" s="86"/>
      <c r="E171" s="58"/>
      <c r="F171" s="58"/>
      <c r="G171" s="58"/>
      <c r="H171" s="80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"/>
      <c r="AI171" s="58"/>
      <c r="AJ171" s="58"/>
      <c r="AK171" s="8"/>
      <c r="AL171" s="8"/>
      <c r="AM171" s="38"/>
      <c r="AN171" s="8"/>
      <c r="AO171" s="193"/>
      <c r="AY171" s="8"/>
      <c r="AZ171" s="193"/>
      <c r="BJ171" s="8"/>
      <c r="BK171" s="193"/>
      <c r="BU171" s="8"/>
      <c r="BV171" s="193"/>
    </row>
    <row r="172" customFormat="false" ht="12.75" hidden="false" customHeight="false" outlineLevel="0" collapsed="false">
      <c r="B172" s="82"/>
      <c r="C172" s="85"/>
      <c r="D172" s="86"/>
      <c r="E172" s="58"/>
      <c r="F172" s="58"/>
      <c r="G172" s="58"/>
      <c r="H172" s="80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"/>
      <c r="AI172" s="58"/>
      <c r="AJ172" s="58"/>
      <c r="AK172" s="8"/>
      <c r="AL172" s="8"/>
      <c r="AM172" s="38"/>
      <c r="AN172" s="8"/>
      <c r="AO172" s="193"/>
      <c r="AY172" s="8"/>
      <c r="AZ172" s="193"/>
      <c r="BJ172" s="8"/>
      <c r="BK172" s="193"/>
      <c r="BU172" s="8"/>
      <c r="BV172" s="193"/>
    </row>
    <row r="173" customFormat="false" ht="12.75" hidden="false" customHeight="false" outlineLevel="0" collapsed="false">
      <c r="B173" s="82"/>
      <c r="C173" s="85"/>
      <c r="D173" s="86"/>
      <c r="E173" s="58"/>
      <c r="F173" s="58"/>
      <c r="G173" s="58"/>
      <c r="H173" s="80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"/>
      <c r="AI173" s="58"/>
      <c r="AJ173" s="58"/>
      <c r="AK173" s="8"/>
      <c r="AL173" s="8"/>
      <c r="AM173" s="38"/>
      <c r="AN173" s="8"/>
      <c r="AO173" s="193"/>
      <c r="AY173" s="8"/>
      <c r="AZ173" s="193"/>
      <c r="BJ173" s="8"/>
      <c r="BK173" s="193"/>
      <c r="BU173" s="8"/>
      <c r="BV173" s="193"/>
    </row>
    <row r="174" customFormat="false" ht="12.75" hidden="false" customHeight="false" outlineLevel="0" collapsed="false">
      <c r="B174" s="82"/>
      <c r="C174" s="85"/>
      <c r="D174" s="86"/>
      <c r="E174" s="58"/>
      <c r="F174" s="58"/>
      <c r="G174" s="58"/>
      <c r="H174" s="80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"/>
      <c r="AI174" s="58"/>
      <c r="AJ174" s="58"/>
      <c r="AK174" s="8"/>
      <c r="AL174" s="8"/>
      <c r="AM174" s="38"/>
      <c r="AN174" s="8"/>
      <c r="AO174" s="193"/>
      <c r="AY174" s="8"/>
      <c r="AZ174" s="193"/>
      <c r="BJ174" s="8"/>
      <c r="BK174" s="193"/>
      <c r="BU174" s="8"/>
      <c r="BV174" s="193"/>
    </row>
    <row r="175" customFormat="false" ht="13.5" hidden="false" customHeight="false" outlineLevel="0" collapsed="false">
      <c r="B175" s="82"/>
      <c r="C175" s="85"/>
      <c r="D175" s="88"/>
      <c r="E175" s="58"/>
      <c r="F175" s="58"/>
      <c r="G175" s="58"/>
      <c r="H175" s="80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"/>
      <c r="AI175" s="8"/>
      <c r="AJ175" s="8"/>
      <c r="AK175" s="8"/>
      <c r="AL175" s="8"/>
      <c r="AM175" s="38"/>
      <c r="AN175" s="8"/>
      <c r="AO175" s="193"/>
      <c r="AY175" s="8"/>
      <c r="AZ175" s="193"/>
      <c r="BJ175" s="8"/>
      <c r="BK175" s="193"/>
      <c r="BU175" s="8"/>
      <c r="BV175" s="193"/>
    </row>
    <row r="176" customFormat="false" ht="12.75" hidden="false" customHeight="false" outlineLevel="0" collapsed="false">
      <c r="B176" s="82"/>
      <c r="C176" s="85"/>
      <c r="D176" s="89"/>
      <c r="E176" s="58"/>
      <c r="F176" s="58"/>
      <c r="G176" s="58"/>
      <c r="H176" s="80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"/>
      <c r="AI176" s="8"/>
      <c r="AJ176" s="8"/>
      <c r="AK176" s="8"/>
      <c r="AL176" s="8"/>
      <c r="AM176" s="38"/>
      <c r="AN176" s="8"/>
      <c r="AO176" s="193"/>
      <c r="AY176" s="8"/>
      <c r="AZ176" s="193"/>
      <c r="BJ176" s="8"/>
      <c r="BK176" s="193"/>
      <c r="BU176" s="8"/>
      <c r="BV176" s="193"/>
    </row>
    <row r="177" customFormat="false" ht="13.5" hidden="false" customHeight="false" outlineLevel="0" collapsed="false">
      <c r="B177" s="82"/>
      <c r="C177" s="85"/>
      <c r="D177" s="90"/>
      <c r="E177" s="58"/>
      <c r="F177" s="58"/>
      <c r="G177" s="58"/>
      <c r="H177" s="80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"/>
      <c r="AI177" s="8"/>
      <c r="AJ177" s="8"/>
      <c r="AK177" s="8"/>
      <c r="AL177" s="8"/>
      <c r="AM177" s="38"/>
      <c r="AN177" s="8"/>
      <c r="AO177" s="193"/>
      <c r="AY177" s="8"/>
      <c r="AZ177" s="193"/>
      <c r="BJ177" s="8"/>
      <c r="BK177" s="193"/>
      <c r="BU177" s="8"/>
      <c r="BV177" s="193"/>
    </row>
    <row r="178" customFormat="false" ht="13.5" hidden="false" customHeight="false" outlineLevel="0" collapsed="false">
      <c r="B178" s="82"/>
      <c r="C178" s="85"/>
      <c r="D178" s="90"/>
      <c r="E178" s="58"/>
      <c r="F178" s="58"/>
      <c r="G178" s="58"/>
      <c r="H178" s="80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"/>
      <c r="AI178" s="8"/>
      <c r="AJ178" s="8"/>
      <c r="AK178" s="8"/>
      <c r="AL178" s="8"/>
      <c r="AM178" s="38"/>
      <c r="AN178" s="8"/>
      <c r="AO178" s="193"/>
      <c r="AY178" s="8"/>
      <c r="AZ178" s="193"/>
      <c r="BJ178" s="8"/>
      <c r="BK178" s="193"/>
      <c r="BU178" s="8"/>
      <c r="BV178" s="193"/>
    </row>
    <row r="179" customFormat="false" ht="12.75" hidden="false" customHeight="false" outlineLevel="0" collapsed="false">
      <c r="B179" s="82"/>
      <c r="C179" s="85"/>
      <c r="D179" s="91"/>
      <c r="E179" s="58"/>
      <c r="F179" s="58"/>
      <c r="G179" s="58"/>
      <c r="H179" s="80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"/>
      <c r="AI179" s="8"/>
      <c r="AJ179" s="8"/>
      <c r="AK179" s="8"/>
      <c r="AL179" s="8"/>
      <c r="AM179" s="38"/>
      <c r="AN179" s="8"/>
      <c r="AO179" s="193"/>
      <c r="AY179" s="8"/>
      <c r="AZ179" s="193"/>
      <c r="BJ179" s="8"/>
      <c r="BK179" s="193"/>
      <c r="BU179" s="8"/>
      <c r="BV179" s="193"/>
    </row>
    <row r="180" customFormat="false" ht="12.75" hidden="false" customHeight="false" outlineLevel="0" collapsed="false">
      <c r="B180" s="82"/>
      <c r="C180" s="85"/>
      <c r="D180" s="91"/>
      <c r="E180" s="58"/>
      <c r="F180" s="58"/>
      <c r="G180" s="58"/>
      <c r="H180" s="80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"/>
      <c r="AI180" s="8"/>
      <c r="AJ180" s="8"/>
      <c r="AK180" s="8"/>
      <c r="AL180" s="8"/>
      <c r="AM180" s="38"/>
      <c r="AN180" s="8"/>
      <c r="AO180" s="193"/>
      <c r="AY180" s="8"/>
      <c r="AZ180" s="193"/>
      <c r="BJ180" s="8"/>
      <c r="BK180" s="193"/>
      <c r="BU180" s="8"/>
      <c r="BV180" s="193"/>
    </row>
    <row r="181" customFormat="false" ht="12.75" hidden="false" customHeight="false" outlineLevel="0" collapsed="false">
      <c r="B181" s="82"/>
      <c r="C181" s="85"/>
      <c r="D181" s="91"/>
      <c r="E181" s="58"/>
      <c r="F181" s="58"/>
      <c r="G181" s="58"/>
      <c r="H181" s="80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"/>
      <c r="AI181" s="8"/>
      <c r="AJ181" s="8"/>
      <c r="AK181" s="8"/>
      <c r="AL181" s="8"/>
      <c r="AM181" s="38"/>
      <c r="AN181" s="8"/>
      <c r="AO181" s="193"/>
      <c r="AY181" s="8"/>
      <c r="AZ181" s="193"/>
      <c r="BJ181" s="8"/>
      <c r="BK181" s="193"/>
      <c r="BU181" s="8"/>
      <c r="BV181" s="193"/>
    </row>
    <row r="182" customFormat="false" ht="12.75" hidden="false" customHeight="false" outlineLevel="0" collapsed="false">
      <c r="B182" s="82"/>
      <c r="C182" s="85"/>
      <c r="D182" s="91"/>
      <c r="E182" s="58"/>
      <c r="F182" s="58"/>
      <c r="G182" s="58"/>
      <c r="H182" s="80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"/>
      <c r="AI182" s="8"/>
      <c r="AJ182" s="8"/>
      <c r="AK182" s="8"/>
      <c r="AL182" s="8"/>
      <c r="AM182" s="38"/>
      <c r="AN182" s="8"/>
      <c r="AO182" s="193"/>
      <c r="AY182" s="8"/>
      <c r="AZ182" s="193"/>
      <c r="BJ182" s="8"/>
      <c r="BK182" s="193"/>
      <c r="BU182" s="8"/>
      <c r="BV182" s="193"/>
    </row>
    <row r="183" customFormat="false" ht="12.75" hidden="false" customHeight="false" outlineLevel="0" collapsed="false">
      <c r="B183" s="82"/>
      <c r="C183" s="85"/>
      <c r="D183" s="91"/>
      <c r="E183" s="58"/>
      <c r="F183" s="58"/>
      <c r="G183" s="58"/>
      <c r="H183" s="80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"/>
      <c r="AI183" s="8"/>
      <c r="AJ183" s="8"/>
      <c r="AK183" s="8"/>
      <c r="AL183" s="8"/>
      <c r="AM183" s="38"/>
      <c r="AN183" s="8"/>
      <c r="AO183" s="193"/>
      <c r="AY183" s="8"/>
      <c r="AZ183" s="193"/>
      <c r="BJ183" s="8"/>
      <c r="BK183" s="193"/>
      <c r="BU183" s="8"/>
      <c r="BV183" s="193"/>
    </row>
    <row r="184" customFormat="false" ht="12.75" hidden="false" customHeight="false" outlineLevel="0" collapsed="false">
      <c r="B184" s="82"/>
      <c r="C184" s="85"/>
      <c r="D184" s="91"/>
      <c r="E184" s="58"/>
      <c r="F184" s="58"/>
      <c r="G184" s="58"/>
      <c r="H184" s="80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"/>
      <c r="AK184" s="8"/>
      <c r="AL184" s="8"/>
      <c r="AM184" s="38"/>
      <c r="AN184" s="8"/>
      <c r="AO184" s="193"/>
      <c r="AY184" s="8"/>
      <c r="AZ184" s="193"/>
      <c r="BJ184" s="8"/>
      <c r="BK184" s="193"/>
      <c r="BU184" s="8"/>
      <c r="BV184" s="193"/>
    </row>
    <row r="185" customFormat="false" ht="12.75" hidden="false" customHeight="false" outlineLevel="0" collapsed="false">
      <c r="B185" s="82"/>
      <c r="C185" s="85"/>
      <c r="D185" s="91"/>
      <c r="E185" s="58"/>
      <c r="F185" s="58"/>
      <c r="G185" s="58"/>
      <c r="H185" s="80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"/>
      <c r="AI185" s="8"/>
      <c r="AJ185" s="8"/>
      <c r="AK185" s="8"/>
      <c r="AL185" s="8"/>
      <c r="AM185" s="38"/>
      <c r="AN185" s="8"/>
      <c r="AO185" s="193"/>
      <c r="AY185" s="8"/>
      <c r="AZ185" s="193"/>
      <c r="BJ185" s="8"/>
      <c r="BK185" s="193"/>
      <c r="BU185" s="8"/>
      <c r="BV185" s="193"/>
    </row>
    <row r="186" customFormat="false" ht="12.75" hidden="false" customHeight="false" outlineLevel="0" collapsed="false">
      <c r="B186" s="82"/>
      <c r="C186" s="85"/>
      <c r="D186" s="91"/>
      <c r="E186" s="58"/>
      <c r="F186" s="58"/>
      <c r="G186" s="58"/>
      <c r="H186" s="80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"/>
      <c r="AI186" s="8"/>
      <c r="AJ186" s="8"/>
      <c r="AK186" s="8"/>
      <c r="AL186" s="8"/>
      <c r="AM186" s="38"/>
      <c r="AN186" s="8"/>
      <c r="AO186" s="193"/>
      <c r="AY186" s="8"/>
      <c r="AZ186" s="193"/>
      <c r="BJ186" s="8"/>
      <c r="BK186" s="193"/>
      <c r="BU186" s="8"/>
      <c r="BV186" s="193"/>
    </row>
    <row r="187" customFormat="false" ht="12.75" hidden="false" customHeight="false" outlineLevel="0" collapsed="false">
      <c r="B187" s="82"/>
      <c r="C187" s="85"/>
      <c r="D187" s="91"/>
      <c r="E187" s="58"/>
      <c r="F187" s="58"/>
      <c r="G187" s="58"/>
      <c r="H187" s="80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"/>
      <c r="AI187" s="8"/>
      <c r="AJ187" s="8"/>
      <c r="AK187" s="8"/>
      <c r="AL187" s="8"/>
      <c r="AM187" s="38"/>
      <c r="AN187" s="8"/>
      <c r="AO187" s="193"/>
      <c r="AY187" s="8"/>
      <c r="AZ187" s="193"/>
      <c r="BJ187" s="8"/>
      <c r="BK187" s="193"/>
      <c r="BU187" s="8"/>
      <c r="BV187" s="193"/>
    </row>
    <row r="188" customFormat="false" ht="12.75" hidden="false" customHeight="false" outlineLevel="0" collapsed="false">
      <c r="B188" s="82"/>
      <c r="C188" s="85"/>
      <c r="D188" s="91"/>
      <c r="E188" s="58"/>
      <c r="F188" s="58"/>
      <c r="G188" s="58"/>
      <c r="H188" s="80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"/>
      <c r="AI188" s="8"/>
      <c r="AJ188" s="8"/>
      <c r="AK188" s="8"/>
      <c r="AL188" s="8"/>
      <c r="AM188" s="38"/>
      <c r="AN188" s="8"/>
      <c r="AO188" s="193"/>
      <c r="AY188" s="8"/>
      <c r="AZ188" s="193"/>
      <c r="BJ188" s="8"/>
      <c r="BK188" s="193"/>
      <c r="BU188" s="8"/>
      <c r="BV188" s="193"/>
    </row>
    <row r="189" customFormat="false" ht="12.75" hidden="false" customHeight="false" outlineLevel="0" collapsed="false">
      <c r="B189" s="82"/>
      <c r="C189" s="85"/>
      <c r="D189" s="91"/>
      <c r="E189" s="58"/>
      <c r="F189" s="58"/>
      <c r="G189" s="58"/>
      <c r="H189" s="80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"/>
      <c r="AI189" s="8"/>
      <c r="AJ189" s="8"/>
      <c r="AK189" s="8"/>
      <c r="AL189" s="8"/>
      <c r="AM189" s="38"/>
      <c r="AN189" s="8"/>
      <c r="AO189" s="193"/>
      <c r="AY189" s="8"/>
      <c r="AZ189" s="193"/>
      <c r="BJ189" s="8"/>
      <c r="BK189" s="193"/>
      <c r="BU189" s="8"/>
      <c r="BV189" s="193"/>
    </row>
    <row r="190" customFormat="false" ht="12.75" hidden="false" customHeight="false" outlineLevel="0" collapsed="false">
      <c r="B190" s="82"/>
      <c r="C190" s="85"/>
      <c r="D190" s="91"/>
      <c r="E190" s="58"/>
      <c r="F190" s="58"/>
      <c r="G190" s="58"/>
      <c r="H190" s="80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"/>
      <c r="AI190" s="8"/>
      <c r="AJ190" s="8"/>
      <c r="AK190" s="8"/>
      <c r="AL190" s="8"/>
      <c r="AM190" s="38"/>
      <c r="AN190" s="8"/>
      <c r="AO190" s="193"/>
      <c r="AY190" s="8"/>
      <c r="AZ190" s="193"/>
      <c r="BJ190" s="8"/>
      <c r="BK190" s="193"/>
      <c r="BU190" s="8"/>
      <c r="BV190" s="193"/>
    </row>
    <row r="191" customFormat="false" ht="12.75" hidden="false" customHeight="false" outlineLevel="0" collapsed="false">
      <c r="B191" s="82"/>
      <c r="C191" s="85"/>
      <c r="D191" s="91"/>
      <c r="E191" s="58"/>
      <c r="F191" s="58"/>
      <c r="G191" s="58"/>
      <c r="H191" s="80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"/>
      <c r="AI191" s="8"/>
      <c r="AJ191" s="8"/>
      <c r="AK191" s="8"/>
      <c r="AL191" s="8"/>
      <c r="AM191" s="38"/>
      <c r="AN191" s="8"/>
      <c r="AO191" s="193"/>
      <c r="AY191" s="8"/>
      <c r="AZ191" s="193"/>
      <c r="BJ191" s="8"/>
      <c r="BK191" s="193"/>
      <c r="BU191" s="8"/>
      <c r="BV191" s="193"/>
    </row>
    <row r="192" customFormat="false" ht="12.75" hidden="false" customHeight="false" outlineLevel="0" collapsed="false">
      <c r="B192" s="82"/>
      <c r="C192" s="85"/>
      <c r="D192" s="91"/>
      <c r="E192" s="58"/>
      <c r="F192" s="58"/>
      <c r="G192" s="58"/>
      <c r="H192" s="80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"/>
      <c r="AI192" s="8"/>
      <c r="AJ192" s="8"/>
      <c r="AK192" s="8"/>
      <c r="AL192" s="8"/>
      <c r="AM192" s="38"/>
      <c r="AN192" s="8"/>
      <c r="AO192" s="193"/>
      <c r="AY192" s="8"/>
      <c r="AZ192" s="193"/>
      <c r="BJ192" s="8"/>
      <c r="BK192" s="193"/>
      <c r="BU192" s="8"/>
      <c r="BV192" s="193"/>
    </row>
    <row r="193" customFormat="false" ht="12.75" hidden="false" customHeight="false" outlineLevel="0" collapsed="false">
      <c r="B193" s="82"/>
      <c r="C193" s="85"/>
      <c r="D193" s="91"/>
      <c r="E193" s="58"/>
      <c r="F193" s="58"/>
      <c r="G193" s="58"/>
      <c r="H193" s="80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"/>
      <c r="AI193" s="8"/>
      <c r="AJ193" s="8"/>
      <c r="AK193" s="8"/>
      <c r="AL193" s="8"/>
      <c r="AM193" s="38"/>
      <c r="AN193" s="8"/>
      <c r="AO193" s="193"/>
      <c r="AY193" s="8"/>
      <c r="AZ193" s="193"/>
      <c r="BJ193" s="8"/>
      <c r="BK193" s="193"/>
      <c r="BU193" s="8"/>
      <c r="BV193" s="193"/>
    </row>
    <row r="194" customFormat="false" ht="12.75" hidden="false" customHeight="false" outlineLevel="0" collapsed="false">
      <c r="B194" s="82"/>
      <c r="C194" s="85"/>
      <c r="D194" s="91"/>
      <c r="E194" s="58"/>
      <c r="F194" s="58"/>
      <c r="G194" s="58"/>
      <c r="H194" s="80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"/>
      <c r="AI194" s="8"/>
      <c r="AJ194" s="8"/>
      <c r="AK194" s="8"/>
      <c r="AL194" s="8"/>
      <c r="AM194" s="38"/>
      <c r="AN194" s="8"/>
      <c r="AO194" s="193"/>
      <c r="AY194" s="8"/>
      <c r="AZ194" s="193"/>
      <c r="BJ194" s="8"/>
      <c r="BK194" s="193"/>
      <c r="BU194" s="8"/>
      <c r="BV194" s="193"/>
    </row>
    <row r="195" customFormat="false" ht="12.75" hidden="false" customHeight="false" outlineLevel="0" collapsed="false">
      <c r="B195" s="82"/>
      <c r="C195" s="85"/>
      <c r="D195" s="91"/>
      <c r="E195" s="58"/>
      <c r="F195" s="58"/>
      <c r="G195" s="58"/>
      <c r="H195" s="80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"/>
      <c r="AI195" s="8"/>
      <c r="AJ195" s="8"/>
      <c r="AK195" s="8"/>
      <c r="AL195" s="8"/>
      <c r="AM195" s="38"/>
      <c r="AN195" s="8"/>
      <c r="AO195" s="193"/>
      <c r="AY195" s="8"/>
      <c r="AZ195" s="193"/>
      <c r="BJ195" s="8"/>
      <c r="BK195" s="193"/>
      <c r="BU195" s="8"/>
      <c r="BV195" s="193"/>
    </row>
    <row r="196" customFormat="false" ht="12.75" hidden="false" customHeight="false" outlineLevel="0" collapsed="false">
      <c r="B196" s="82"/>
      <c r="C196" s="85"/>
      <c r="D196" s="91"/>
      <c r="E196" s="58"/>
      <c r="F196" s="58"/>
      <c r="G196" s="58"/>
      <c r="H196" s="80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"/>
      <c r="AI196" s="8"/>
      <c r="AJ196" s="8"/>
      <c r="AK196" s="8"/>
      <c r="AL196" s="8"/>
      <c r="AM196" s="38"/>
      <c r="AN196" s="8"/>
      <c r="AO196" s="193"/>
      <c r="AY196" s="8"/>
      <c r="AZ196" s="193"/>
      <c r="BJ196" s="8"/>
      <c r="BK196" s="193"/>
      <c r="BU196" s="8"/>
      <c r="BV196" s="193"/>
    </row>
    <row r="197" customFormat="false" ht="12.75" hidden="false" customHeight="false" outlineLevel="0" collapsed="false">
      <c r="B197" s="82"/>
      <c r="C197" s="85"/>
      <c r="D197" s="91"/>
      <c r="E197" s="58"/>
      <c r="F197" s="58"/>
      <c r="G197" s="58"/>
      <c r="H197" s="80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"/>
      <c r="AI197" s="8"/>
      <c r="AJ197" s="8"/>
      <c r="AK197" s="8"/>
      <c r="AL197" s="8"/>
      <c r="AM197" s="38"/>
      <c r="AN197" s="8"/>
      <c r="AO197" s="193"/>
      <c r="AY197" s="8"/>
      <c r="AZ197" s="193"/>
      <c r="BJ197" s="8"/>
      <c r="BK197" s="193"/>
      <c r="BU197" s="8"/>
      <c r="BV197" s="193"/>
    </row>
    <row r="198" customFormat="false" ht="12.75" hidden="false" customHeight="false" outlineLevel="0" collapsed="false">
      <c r="B198" s="82"/>
      <c r="C198" s="85"/>
      <c r="D198" s="91"/>
      <c r="E198" s="58"/>
      <c r="F198" s="58"/>
      <c r="G198" s="58"/>
      <c r="H198" s="80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"/>
      <c r="AI198" s="8"/>
      <c r="AJ198" s="8"/>
      <c r="AK198" s="8"/>
      <c r="AL198" s="8"/>
      <c r="AM198" s="38"/>
      <c r="AN198" s="8"/>
      <c r="AO198" s="193"/>
      <c r="AY198" s="8"/>
      <c r="AZ198" s="193"/>
      <c r="BJ198" s="8"/>
      <c r="BK198" s="193"/>
      <c r="BU198" s="8"/>
      <c r="BV198" s="193"/>
    </row>
    <row r="199" customFormat="false" ht="12.75" hidden="false" customHeight="false" outlineLevel="0" collapsed="false">
      <c r="B199" s="82"/>
      <c r="C199" s="85"/>
      <c r="D199" s="91"/>
      <c r="E199" s="58"/>
      <c r="F199" s="58"/>
      <c r="G199" s="58"/>
      <c r="H199" s="80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"/>
      <c r="AI199" s="8"/>
      <c r="AJ199" s="8"/>
      <c r="AK199" s="8"/>
      <c r="AL199" s="8"/>
      <c r="AM199" s="38"/>
      <c r="AN199" s="8"/>
      <c r="AO199" s="193"/>
      <c r="AY199" s="8"/>
      <c r="AZ199" s="193"/>
      <c r="BJ199" s="8"/>
      <c r="BK199" s="193"/>
      <c r="BU199" s="8"/>
      <c r="BV199" s="193"/>
    </row>
    <row r="200" customFormat="false" ht="12.75" hidden="false" customHeight="false" outlineLevel="0" collapsed="false">
      <c r="B200" s="82"/>
      <c r="C200" s="85"/>
      <c r="D200" s="91"/>
      <c r="E200" s="58"/>
      <c r="F200" s="58"/>
      <c r="G200" s="58"/>
      <c r="H200" s="80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"/>
      <c r="AI200" s="8"/>
      <c r="AJ200" s="8"/>
      <c r="AK200" s="8"/>
      <c r="AL200" s="8"/>
      <c r="AM200" s="38"/>
      <c r="AN200" s="8"/>
      <c r="AO200" s="193"/>
      <c r="AY200" s="8"/>
      <c r="AZ200" s="193"/>
      <c r="BJ200" s="8"/>
      <c r="BK200" s="193"/>
      <c r="BU200" s="8"/>
      <c r="BV200" s="193"/>
    </row>
    <row r="201" customFormat="false" ht="12.75" hidden="false" customHeight="false" outlineLevel="0" collapsed="false">
      <c r="B201" s="82"/>
      <c r="C201" s="85"/>
      <c r="D201" s="91"/>
      <c r="E201" s="58"/>
      <c r="F201" s="58"/>
      <c r="G201" s="58"/>
      <c r="H201" s="80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"/>
      <c r="AI201" s="8"/>
      <c r="AJ201" s="8"/>
      <c r="AK201" s="8"/>
      <c r="AL201" s="8"/>
      <c r="AM201" s="38"/>
      <c r="AN201" s="8"/>
      <c r="AO201" s="193"/>
      <c r="AY201" s="8"/>
      <c r="AZ201" s="193"/>
      <c r="BJ201" s="8"/>
      <c r="BK201" s="193"/>
      <c r="BU201" s="8"/>
      <c r="BV201" s="193"/>
    </row>
    <row r="202" customFormat="false" ht="12.75" hidden="false" customHeight="false" outlineLevel="0" collapsed="false">
      <c r="B202" s="82"/>
      <c r="C202" s="85"/>
      <c r="D202" s="91"/>
      <c r="E202" s="58"/>
      <c r="F202" s="58"/>
      <c r="G202" s="58"/>
      <c r="H202" s="80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"/>
      <c r="AI202" s="8"/>
      <c r="AJ202" s="8"/>
      <c r="AK202" s="8"/>
      <c r="AL202" s="8"/>
      <c r="AM202" s="38"/>
      <c r="AN202" s="8"/>
      <c r="AO202" s="193"/>
      <c r="AY202" s="8"/>
      <c r="AZ202" s="193"/>
      <c r="BJ202" s="8"/>
      <c r="BK202" s="193"/>
      <c r="BU202" s="8"/>
      <c r="BV202" s="193"/>
    </row>
    <row r="203" customFormat="false" ht="12.75" hidden="false" customHeight="false" outlineLevel="0" collapsed="false">
      <c r="B203" s="82"/>
      <c r="C203" s="85"/>
      <c r="D203" s="91"/>
      <c r="E203" s="58"/>
      <c r="F203" s="58"/>
      <c r="G203" s="58"/>
      <c r="H203" s="80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"/>
      <c r="AI203" s="8"/>
      <c r="AJ203" s="8"/>
      <c r="AK203" s="8"/>
      <c r="AL203" s="8"/>
      <c r="AM203" s="38"/>
      <c r="AN203" s="8"/>
      <c r="AO203" s="193"/>
      <c r="AY203" s="8"/>
      <c r="AZ203" s="193"/>
      <c r="BJ203" s="8"/>
      <c r="BK203" s="193"/>
      <c r="BU203" s="8"/>
      <c r="BV203" s="193"/>
    </row>
    <row r="204" customFormat="false" ht="12.75" hidden="false" customHeight="false" outlineLevel="0" collapsed="false">
      <c r="B204" s="82"/>
      <c r="C204" s="85"/>
      <c r="D204" s="91"/>
      <c r="E204" s="58"/>
      <c r="F204" s="58"/>
      <c r="G204" s="58"/>
      <c r="H204" s="80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"/>
      <c r="AI204" s="8"/>
      <c r="AJ204" s="8"/>
      <c r="AK204" s="8"/>
      <c r="AL204" s="8"/>
      <c r="AM204" s="38"/>
      <c r="AN204" s="8"/>
      <c r="AO204" s="193"/>
      <c r="AY204" s="8"/>
      <c r="AZ204" s="193"/>
      <c r="BJ204" s="8"/>
      <c r="BK204" s="193"/>
      <c r="BU204" s="8"/>
      <c r="BV204" s="193"/>
    </row>
    <row r="205" customFormat="false" ht="12.75" hidden="false" customHeight="false" outlineLevel="0" collapsed="false">
      <c r="B205" s="82"/>
      <c r="C205" s="85"/>
      <c r="D205" s="91"/>
      <c r="E205" s="58"/>
      <c r="F205" s="58"/>
      <c r="G205" s="58"/>
      <c r="H205" s="80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"/>
      <c r="AI205" s="8"/>
      <c r="AJ205" s="8"/>
      <c r="AK205" s="8"/>
      <c r="AL205" s="8"/>
      <c r="AM205" s="38"/>
      <c r="AN205" s="8"/>
      <c r="AO205" s="193"/>
      <c r="AY205" s="8"/>
      <c r="AZ205" s="193"/>
      <c r="BJ205" s="8"/>
      <c r="BK205" s="193"/>
      <c r="BU205" s="8"/>
      <c r="BV205" s="193"/>
    </row>
    <row r="206" customFormat="false" ht="12.75" hidden="false" customHeight="false" outlineLevel="0" collapsed="false">
      <c r="B206" s="82"/>
      <c r="C206" s="85"/>
      <c r="D206" s="91"/>
      <c r="E206" s="58"/>
      <c r="F206" s="58"/>
      <c r="G206" s="58"/>
      <c r="H206" s="80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"/>
      <c r="AI206" s="8"/>
      <c r="AJ206" s="8"/>
      <c r="AK206" s="8"/>
      <c r="AL206" s="8"/>
      <c r="AM206" s="38"/>
      <c r="AN206" s="8"/>
      <c r="AO206" s="193"/>
      <c r="AY206" s="8"/>
      <c r="AZ206" s="193"/>
      <c r="BJ206" s="8"/>
      <c r="BK206" s="193"/>
      <c r="BU206" s="8"/>
      <c r="BV206" s="193"/>
    </row>
    <row r="207" customFormat="false" ht="12.75" hidden="false" customHeight="false" outlineLevel="0" collapsed="false">
      <c r="B207" s="82"/>
      <c r="C207" s="85"/>
      <c r="D207" s="91"/>
      <c r="E207" s="58"/>
      <c r="F207" s="58"/>
      <c r="G207" s="58"/>
      <c r="H207" s="80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"/>
      <c r="AI207" s="8"/>
      <c r="AJ207" s="8"/>
      <c r="AK207" s="8"/>
      <c r="AL207" s="8"/>
      <c r="AM207" s="38"/>
      <c r="AN207" s="8"/>
      <c r="AO207" s="193"/>
      <c r="AY207" s="8"/>
      <c r="AZ207" s="193"/>
      <c r="BJ207" s="8"/>
      <c r="BK207" s="193"/>
      <c r="BU207" s="8"/>
      <c r="BV207" s="193"/>
    </row>
    <row r="208" customFormat="false" ht="12.75" hidden="false" customHeight="false" outlineLevel="0" collapsed="false">
      <c r="B208" s="82"/>
      <c r="C208" s="85"/>
      <c r="D208" s="91"/>
      <c r="E208" s="58"/>
      <c r="F208" s="58"/>
      <c r="G208" s="58"/>
      <c r="H208" s="80"/>
      <c r="I208" s="87"/>
      <c r="J208" s="87"/>
      <c r="K208" s="87"/>
      <c r="L208" s="87"/>
      <c r="M208" s="87"/>
      <c r="N208" s="87"/>
      <c r="O208" s="87"/>
      <c r="P208" s="87"/>
      <c r="Q208" s="87"/>
      <c r="R208" s="87"/>
      <c r="S208" s="87"/>
      <c r="T208" s="87"/>
      <c r="U208" s="87"/>
      <c r="V208" s="87"/>
      <c r="W208" s="87"/>
      <c r="X208" s="87"/>
      <c r="Y208" s="87"/>
      <c r="Z208" s="87"/>
      <c r="AA208" s="87"/>
      <c r="AB208" s="87"/>
      <c r="AC208" s="87"/>
      <c r="AD208" s="87"/>
      <c r="AE208" s="87"/>
      <c r="AF208" s="87"/>
      <c r="AG208" s="87"/>
      <c r="AH208" s="8"/>
      <c r="AI208" s="8"/>
      <c r="AJ208" s="8"/>
      <c r="AK208" s="8"/>
      <c r="AL208" s="8"/>
      <c r="AM208" s="38"/>
      <c r="AN208" s="8"/>
      <c r="AO208" s="193"/>
      <c r="AY208" s="8"/>
      <c r="AZ208" s="193"/>
      <c r="BJ208" s="8"/>
      <c r="BK208" s="193"/>
      <c r="BU208" s="8"/>
      <c r="BV208" s="193"/>
    </row>
    <row r="209" customFormat="false" ht="12.75" hidden="false" customHeight="false" outlineLevel="0" collapsed="false">
      <c r="B209" s="92"/>
      <c r="C209" s="91"/>
      <c r="D209" s="91"/>
      <c r="E209" s="58"/>
      <c r="F209" s="58"/>
      <c r="G209" s="58"/>
      <c r="H209" s="80"/>
      <c r="I209" s="87"/>
      <c r="J209" s="87"/>
      <c r="K209" s="87"/>
      <c r="L209" s="87"/>
      <c r="M209" s="87"/>
      <c r="N209" s="87"/>
      <c r="O209" s="87"/>
      <c r="P209" s="87"/>
      <c r="Q209" s="87"/>
      <c r="R209" s="87"/>
      <c r="S209" s="87"/>
      <c r="T209" s="87"/>
      <c r="U209" s="87"/>
      <c r="V209" s="87"/>
      <c r="W209" s="87"/>
      <c r="X209" s="87"/>
      <c r="Y209" s="87"/>
      <c r="Z209" s="87"/>
      <c r="AA209" s="87"/>
      <c r="AB209" s="87"/>
      <c r="AC209" s="87"/>
      <c r="AD209" s="87"/>
      <c r="AE209" s="87"/>
      <c r="AF209" s="87"/>
      <c r="AG209" s="87"/>
      <c r="AH209" s="8"/>
      <c r="AI209" s="8"/>
      <c r="AJ209" s="8"/>
      <c r="AK209" s="8"/>
      <c r="AL209" s="8"/>
      <c r="AM209" s="38"/>
      <c r="AN209" s="8"/>
      <c r="AO209" s="193"/>
      <c r="AY209" s="8"/>
      <c r="AZ209" s="193"/>
      <c r="BJ209" s="8"/>
      <c r="BK209" s="193"/>
      <c r="BU209" s="8"/>
      <c r="BV209" s="193"/>
    </row>
    <row r="210" customFormat="false" ht="12.75" hidden="false" customHeight="false" outlineLevel="0" collapsed="false">
      <c r="B210" s="92"/>
      <c r="C210" s="91"/>
      <c r="D210" s="91"/>
      <c r="E210" s="58"/>
      <c r="F210" s="58"/>
      <c r="G210" s="58"/>
      <c r="H210" s="80"/>
      <c r="I210" s="87"/>
      <c r="J210" s="87"/>
      <c r="K210" s="87"/>
      <c r="L210" s="87"/>
      <c r="M210" s="87"/>
      <c r="N210" s="87"/>
      <c r="O210" s="87"/>
      <c r="P210" s="87"/>
      <c r="Q210" s="87"/>
      <c r="R210" s="87"/>
      <c r="S210" s="87"/>
      <c r="T210" s="87"/>
      <c r="U210" s="87"/>
      <c r="V210" s="87"/>
      <c r="W210" s="87"/>
      <c r="X210" s="87"/>
      <c r="Y210" s="87"/>
      <c r="Z210" s="87"/>
      <c r="AA210" s="87"/>
      <c r="AB210" s="87"/>
      <c r="AC210" s="87"/>
      <c r="AD210" s="87"/>
      <c r="AE210" s="87"/>
      <c r="AF210" s="87"/>
      <c r="AG210" s="87"/>
      <c r="AH210" s="8"/>
      <c r="AI210" s="8"/>
      <c r="AJ210" s="8"/>
      <c r="AK210" s="8"/>
      <c r="AL210" s="8"/>
      <c r="AM210" s="38"/>
      <c r="AN210" s="8"/>
      <c r="AO210" s="193"/>
      <c r="AY210" s="8"/>
      <c r="AZ210" s="193"/>
      <c r="BJ210" s="8"/>
      <c r="BK210" s="193"/>
      <c r="BU210" s="8"/>
      <c r="BV210" s="193"/>
    </row>
    <row r="211" customFormat="false" ht="12.75" hidden="false" customHeight="false" outlineLevel="0" collapsed="false">
      <c r="B211" s="92"/>
      <c r="C211" s="91"/>
      <c r="D211" s="91"/>
      <c r="E211" s="58"/>
      <c r="F211" s="58"/>
      <c r="G211" s="58"/>
      <c r="H211" s="80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  <c r="Z211" s="87"/>
      <c r="AA211" s="87"/>
      <c r="AB211" s="87"/>
      <c r="AC211" s="87"/>
      <c r="AD211" s="87"/>
      <c r="AE211" s="87"/>
      <c r="AF211" s="87"/>
      <c r="AG211" s="87"/>
      <c r="AH211" s="8"/>
      <c r="AI211" s="8"/>
      <c r="AJ211" s="8"/>
      <c r="AK211" s="8"/>
      <c r="AL211" s="8"/>
      <c r="AM211" s="38"/>
      <c r="AN211" s="8"/>
      <c r="AO211" s="193"/>
      <c r="AY211" s="8"/>
      <c r="AZ211" s="193"/>
      <c r="BJ211" s="8"/>
      <c r="BK211" s="193"/>
      <c r="BU211" s="8"/>
      <c r="BV211" s="193"/>
    </row>
    <row r="212" customFormat="false" ht="12.75" hidden="false" customHeight="false" outlineLevel="0" collapsed="false">
      <c r="B212" s="92"/>
      <c r="C212" s="91"/>
      <c r="D212" s="91"/>
      <c r="E212" s="58"/>
      <c r="F212" s="58"/>
      <c r="G212" s="58"/>
      <c r="H212" s="80"/>
      <c r="I212" s="87"/>
      <c r="J212" s="87"/>
      <c r="K212" s="87"/>
      <c r="L212" s="87"/>
      <c r="M212" s="87"/>
      <c r="N212" s="87"/>
      <c r="O212" s="87"/>
      <c r="P212" s="87"/>
      <c r="Q212" s="87"/>
      <c r="R212" s="87"/>
      <c r="S212" s="87"/>
      <c r="T212" s="87"/>
      <c r="U212" s="87"/>
      <c r="V212" s="87"/>
      <c r="W212" s="87"/>
      <c r="X212" s="87"/>
      <c r="Y212" s="87"/>
      <c r="Z212" s="87"/>
      <c r="AA212" s="87"/>
      <c r="AB212" s="87"/>
      <c r="AC212" s="87"/>
      <c r="AD212" s="87"/>
      <c r="AE212" s="87"/>
      <c r="AF212" s="87"/>
      <c r="AG212" s="87"/>
      <c r="AH212" s="8"/>
      <c r="AI212" s="8"/>
      <c r="AJ212" s="8"/>
      <c r="AK212" s="8"/>
      <c r="AL212" s="8"/>
      <c r="AM212" s="38"/>
      <c r="AN212" s="8"/>
      <c r="AO212" s="193"/>
      <c r="AY212" s="8"/>
      <c r="AZ212" s="193"/>
      <c r="BJ212" s="8"/>
      <c r="BK212" s="193"/>
      <c r="BU212" s="8"/>
      <c r="BV212" s="193"/>
    </row>
    <row r="213" customFormat="false" ht="12.75" hidden="false" customHeight="false" outlineLevel="0" collapsed="false">
      <c r="B213" s="92"/>
      <c r="C213" s="91"/>
      <c r="D213" s="91"/>
      <c r="E213" s="58"/>
      <c r="F213" s="58"/>
      <c r="G213" s="58"/>
      <c r="H213" s="80"/>
      <c r="I213" s="87"/>
      <c r="J213" s="87"/>
      <c r="K213" s="87"/>
      <c r="L213" s="87"/>
      <c r="M213" s="87"/>
      <c r="N213" s="87"/>
      <c r="O213" s="87"/>
      <c r="P213" s="87"/>
      <c r="Q213" s="87"/>
      <c r="R213" s="87"/>
      <c r="S213" s="87"/>
      <c r="T213" s="87"/>
      <c r="U213" s="87"/>
      <c r="V213" s="87"/>
      <c r="W213" s="87"/>
      <c r="X213" s="87"/>
      <c r="Y213" s="87"/>
      <c r="Z213" s="87"/>
      <c r="AA213" s="87"/>
      <c r="AB213" s="87"/>
      <c r="AC213" s="87"/>
      <c r="AD213" s="87"/>
      <c r="AE213" s="87"/>
      <c r="AF213" s="87"/>
      <c r="AG213" s="87"/>
      <c r="AH213" s="8"/>
      <c r="AI213" s="8"/>
      <c r="AJ213" s="8"/>
      <c r="AK213" s="8"/>
      <c r="AL213" s="8"/>
      <c r="AM213" s="38"/>
      <c r="AN213" s="8"/>
      <c r="AO213" s="193"/>
      <c r="AY213" s="8"/>
      <c r="AZ213" s="193"/>
      <c r="BJ213" s="8"/>
      <c r="BK213" s="193"/>
      <c r="BU213" s="8"/>
      <c r="BV213" s="193"/>
    </row>
    <row r="214" customFormat="false" ht="12.75" hidden="false" customHeight="false" outlineLevel="0" collapsed="false">
      <c r="B214" s="92"/>
      <c r="C214" s="91"/>
      <c r="D214" s="91"/>
      <c r="E214" s="58"/>
      <c r="F214" s="58"/>
      <c r="G214" s="58"/>
      <c r="H214" s="80"/>
      <c r="I214" s="87"/>
      <c r="J214" s="87"/>
      <c r="K214" s="87"/>
      <c r="L214" s="87"/>
      <c r="M214" s="87"/>
      <c r="N214" s="87"/>
      <c r="O214" s="87"/>
      <c r="P214" s="87"/>
      <c r="Q214" s="87"/>
      <c r="R214" s="87"/>
      <c r="S214" s="87"/>
      <c r="T214" s="87"/>
      <c r="U214" s="87"/>
      <c r="V214" s="87"/>
      <c r="W214" s="87"/>
      <c r="X214" s="87"/>
      <c r="Y214" s="87"/>
      <c r="Z214" s="87"/>
      <c r="AA214" s="87"/>
      <c r="AB214" s="87"/>
      <c r="AC214" s="87"/>
      <c r="AD214" s="87"/>
      <c r="AE214" s="87"/>
      <c r="AF214" s="87"/>
      <c r="AG214" s="87"/>
      <c r="AH214" s="8"/>
      <c r="AI214" s="8"/>
      <c r="AJ214" s="8"/>
      <c r="AK214" s="8"/>
      <c r="AL214" s="8"/>
      <c r="AM214" s="38"/>
      <c r="AN214" s="8"/>
      <c r="AO214" s="193"/>
      <c r="AY214" s="8"/>
      <c r="AZ214" s="193"/>
      <c r="BJ214" s="8"/>
      <c r="BK214" s="193"/>
      <c r="BU214" s="8"/>
      <c r="BV214" s="193"/>
    </row>
    <row r="215" customFormat="false" ht="12.75" hidden="false" customHeight="false" outlineLevel="0" collapsed="false">
      <c r="B215" s="92"/>
      <c r="C215" s="91"/>
      <c r="D215" s="91"/>
      <c r="E215" s="58"/>
      <c r="F215" s="58"/>
      <c r="G215" s="58"/>
      <c r="H215" s="80"/>
      <c r="I215" s="87"/>
      <c r="J215" s="87"/>
      <c r="K215" s="87"/>
      <c r="L215" s="87"/>
      <c r="M215" s="87"/>
      <c r="N215" s="87"/>
      <c r="O215" s="87"/>
      <c r="P215" s="87"/>
      <c r="Q215" s="87"/>
      <c r="R215" s="87"/>
      <c r="S215" s="87"/>
      <c r="T215" s="87"/>
      <c r="U215" s="87"/>
      <c r="V215" s="87"/>
      <c r="W215" s="87"/>
      <c r="X215" s="87"/>
      <c r="Y215" s="87"/>
      <c r="Z215" s="87"/>
      <c r="AA215" s="87"/>
      <c r="AB215" s="87"/>
      <c r="AC215" s="87"/>
      <c r="AD215" s="87"/>
      <c r="AE215" s="87"/>
      <c r="AF215" s="87"/>
      <c r="AG215" s="87"/>
      <c r="AH215" s="8"/>
      <c r="AI215" s="8"/>
      <c r="AJ215" s="8"/>
      <c r="AK215" s="8"/>
      <c r="AL215" s="8"/>
      <c r="AM215" s="38"/>
      <c r="AN215" s="8"/>
      <c r="AO215" s="193"/>
      <c r="AY215" s="8"/>
      <c r="AZ215" s="193"/>
      <c r="BJ215" s="8"/>
      <c r="BK215" s="193"/>
      <c r="BU215" s="8"/>
      <c r="BV215" s="193"/>
    </row>
    <row r="216" customFormat="false" ht="12.75" hidden="false" customHeight="false" outlineLevel="0" collapsed="false">
      <c r="B216" s="92"/>
      <c r="C216" s="91"/>
      <c r="D216" s="91"/>
      <c r="E216" s="58"/>
      <c r="F216" s="58"/>
      <c r="G216" s="58"/>
      <c r="H216" s="80"/>
      <c r="I216" s="87"/>
      <c r="J216" s="87"/>
      <c r="K216" s="87"/>
      <c r="L216" s="87"/>
      <c r="M216" s="87"/>
      <c r="N216" s="87"/>
      <c r="O216" s="87"/>
      <c r="P216" s="87"/>
      <c r="Q216" s="87"/>
      <c r="R216" s="87"/>
      <c r="S216" s="87"/>
      <c r="T216" s="87"/>
      <c r="U216" s="87"/>
      <c r="V216" s="87"/>
      <c r="W216" s="87"/>
      <c r="X216" s="87"/>
      <c r="Y216" s="87"/>
      <c r="Z216" s="87"/>
      <c r="AA216" s="87"/>
      <c r="AB216" s="87"/>
      <c r="AC216" s="87"/>
      <c r="AD216" s="87"/>
      <c r="AE216" s="87"/>
      <c r="AF216" s="87"/>
      <c r="AG216" s="87"/>
      <c r="AH216" s="8"/>
      <c r="AI216" s="8"/>
      <c r="AJ216" s="8"/>
      <c r="AK216" s="8"/>
      <c r="AL216" s="8"/>
      <c r="AM216" s="38"/>
      <c r="AN216" s="8"/>
      <c r="AO216" s="193"/>
      <c r="AY216" s="8"/>
      <c r="AZ216" s="193"/>
      <c r="BJ216" s="8"/>
      <c r="BK216" s="193"/>
      <c r="BU216" s="8"/>
      <c r="BV216" s="193"/>
    </row>
    <row r="217" customFormat="false" ht="12.75" hidden="false" customHeight="false" outlineLevel="0" collapsed="false">
      <c r="B217" s="92"/>
      <c r="C217" s="91"/>
      <c r="D217" s="91"/>
      <c r="E217" s="58"/>
      <c r="F217" s="58"/>
      <c r="G217" s="58"/>
      <c r="H217" s="80"/>
      <c r="I217" s="87"/>
      <c r="J217" s="87"/>
      <c r="K217" s="87"/>
      <c r="L217" s="87"/>
      <c r="M217" s="87"/>
      <c r="N217" s="87"/>
      <c r="O217" s="87"/>
      <c r="P217" s="87"/>
      <c r="Q217" s="87"/>
      <c r="R217" s="87"/>
      <c r="S217" s="87"/>
      <c r="T217" s="87"/>
      <c r="U217" s="87"/>
      <c r="V217" s="87"/>
      <c r="W217" s="87"/>
      <c r="X217" s="87"/>
      <c r="Y217" s="87"/>
      <c r="Z217" s="87"/>
      <c r="AA217" s="87"/>
      <c r="AB217" s="87"/>
      <c r="AC217" s="87"/>
      <c r="AD217" s="87"/>
      <c r="AE217" s="87"/>
      <c r="AF217" s="87"/>
      <c r="AG217" s="87"/>
      <c r="AH217" s="8"/>
      <c r="AI217" s="8"/>
      <c r="AJ217" s="8"/>
      <c r="AK217" s="8"/>
      <c r="AL217" s="8"/>
      <c r="AM217" s="38"/>
      <c r="AN217" s="8"/>
      <c r="AO217" s="193"/>
      <c r="AY217" s="8"/>
      <c r="AZ217" s="193"/>
      <c r="BJ217" s="8"/>
      <c r="BK217" s="193"/>
      <c r="BU217" s="8"/>
      <c r="BV217" s="193"/>
    </row>
    <row r="218" customFormat="false" ht="12.75" hidden="false" customHeight="false" outlineLevel="0" collapsed="false">
      <c r="B218" s="92"/>
      <c r="C218" s="91"/>
      <c r="D218" s="91"/>
      <c r="E218" s="58"/>
      <c r="F218" s="58"/>
      <c r="G218" s="58"/>
      <c r="H218" s="80"/>
      <c r="I218" s="87"/>
      <c r="J218" s="87"/>
      <c r="K218" s="87"/>
      <c r="L218" s="87"/>
      <c r="M218" s="87"/>
      <c r="N218" s="87"/>
      <c r="O218" s="87"/>
      <c r="P218" s="87"/>
      <c r="Q218" s="87"/>
      <c r="R218" s="87"/>
      <c r="S218" s="87"/>
      <c r="T218" s="87"/>
      <c r="U218" s="87"/>
      <c r="V218" s="87"/>
      <c r="W218" s="87"/>
      <c r="X218" s="87"/>
      <c r="Y218" s="87"/>
      <c r="Z218" s="87"/>
      <c r="AA218" s="87"/>
      <c r="AB218" s="87"/>
      <c r="AC218" s="87"/>
      <c r="AD218" s="87"/>
      <c r="AE218" s="87"/>
      <c r="AF218" s="87"/>
      <c r="AG218" s="87"/>
      <c r="AH218" s="8"/>
      <c r="AI218" s="8"/>
      <c r="AJ218" s="8"/>
      <c r="AK218" s="8"/>
      <c r="AL218" s="8"/>
      <c r="AM218" s="38"/>
      <c r="AN218" s="8"/>
      <c r="AO218" s="193"/>
      <c r="AY218" s="8"/>
      <c r="AZ218" s="193"/>
      <c r="BJ218" s="8"/>
      <c r="BK218" s="193"/>
      <c r="BU218" s="8"/>
      <c r="BV218" s="193"/>
    </row>
    <row r="219" customFormat="false" ht="12.75" hidden="false" customHeight="false" outlineLevel="0" collapsed="false">
      <c r="B219" s="92"/>
      <c r="C219" s="91"/>
      <c r="D219" s="91"/>
      <c r="E219" s="58"/>
      <c r="F219" s="58"/>
      <c r="G219" s="58"/>
      <c r="H219" s="80"/>
      <c r="I219" s="87"/>
      <c r="J219" s="87"/>
      <c r="K219" s="87"/>
      <c r="L219" s="87"/>
      <c r="M219" s="87"/>
      <c r="N219" s="87"/>
      <c r="O219" s="87"/>
      <c r="P219" s="87"/>
      <c r="Q219" s="87"/>
      <c r="R219" s="87"/>
      <c r="S219" s="87"/>
      <c r="T219" s="87"/>
      <c r="U219" s="87"/>
      <c r="V219" s="87"/>
      <c r="W219" s="87"/>
      <c r="X219" s="87"/>
      <c r="Y219" s="87"/>
      <c r="Z219" s="87"/>
      <c r="AA219" s="87"/>
      <c r="AB219" s="87"/>
      <c r="AC219" s="87"/>
      <c r="AD219" s="87"/>
      <c r="AE219" s="87"/>
      <c r="AF219" s="87"/>
      <c r="AG219" s="87"/>
      <c r="AH219" s="8"/>
      <c r="AI219" s="8"/>
      <c r="AJ219" s="8"/>
      <c r="AK219" s="8"/>
      <c r="AL219" s="8"/>
      <c r="AM219" s="38"/>
      <c r="AN219" s="8"/>
      <c r="AO219" s="193"/>
      <c r="AY219" s="8"/>
      <c r="AZ219" s="193"/>
      <c r="BJ219" s="8"/>
      <c r="BK219" s="193"/>
      <c r="BU219" s="8"/>
      <c r="BV219" s="193"/>
    </row>
    <row r="220" customFormat="false" ht="12.75" hidden="false" customHeight="false" outlineLevel="0" collapsed="false">
      <c r="B220" s="92"/>
      <c r="C220" s="91"/>
      <c r="D220" s="91"/>
      <c r="E220" s="58"/>
      <c r="F220" s="58"/>
      <c r="G220" s="58"/>
      <c r="H220" s="80"/>
      <c r="I220" s="87"/>
      <c r="J220" s="87"/>
      <c r="K220" s="87"/>
      <c r="L220" s="87"/>
      <c r="M220" s="87"/>
      <c r="N220" s="87"/>
      <c r="O220" s="87"/>
      <c r="P220" s="87"/>
      <c r="Q220" s="87"/>
      <c r="R220" s="87"/>
      <c r="S220" s="87"/>
      <c r="T220" s="87"/>
      <c r="U220" s="87"/>
      <c r="V220" s="87"/>
      <c r="W220" s="87"/>
      <c r="X220" s="87"/>
      <c r="Y220" s="87"/>
      <c r="Z220" s="87"/>
      <c r="AA220" s="87"/>
      <c r="AB220" s="87"/>
      <c r="AC220" s="87"/>
      <c r="AD220" s="87"/>
      <c r="AE220" s="87"/>
      <c r="AF220" s="87"/>
      <c r="AG220" s="87"/>
      <c r="AH220" s="8"/>
      <c r="AI220" s="8"/>
      <c r="AJ220" s="8"/>
      <c r="AK220" s="8"/>
      <c r="AL220" s="8"/>
      <c r="AM220" s="38"/>
      <c r="AN220" s="8"/>
      <c r="AO220" s="193"/>
      <c r="AY220" s="8"/>
      <c r="AZ220" s="193"/>
      <c r="BJ220" s="8"/>
      <c r="BK220" s="193"/>
      <c r="BU220" s="8"/>
      <c r="BV220" s="193"/>
    </row>
    <row r="221" customFormat="false" ht="12.75" hidden="false" customHeight="false" outlineLevel="0" collapsed="false">
      <c r="B221" s="92"/>
      <c r="C221" s="91"/>
      <c r="D221" s="91"/>
      <c r="E221" s="58"/>
      <c r="F221" s="58"/>
      <c r="G221" s="58"/>
      <c r="H221" s="80"/>
      <c r="I221" s="87"/>
      <c r="J221" s="87"/>
      <c r="K221" s="87"/>
      <c r="L221" s="87"/>
      <c r="M221" s="87"/>
      <c r="N221" s="87"/>
      <c r="O221" s="87"/>
      <c r="P221" s="87"/>
      <c r="Q221" s="87"/>
      <c r="R221" s="87"/>
      <c r="S221" s="87"/>
      <c r="T221" s="87"/>
      <c r="U221" s="87"/>
      <c r="V221" s="87"/>
      <c r="W221" s="87"/>
      <c r="X221" s="87"/>
      <c r="Y221" s="87"/>
      <c r="Z221" s="87"/>
      <c r="AA221" s="87"/>
      <c r="AB221" s="87"/>
      <c r="AC221" s="87"/>
      <c r="AD221" s="87"/>
      <c r="AE221" s="87"/>
      <c r="AF221" s="87"/>
      <c r="AG221" s="87"/>
      <c r="AH221" s="8"/>
      <c r="AI221" s="8"/>
      <c r="AJ221" s="8"/>
      <c r="AK221" s="8"/>
      <c r="AL221" s="8"/>
      <c r="AM221" s="38"/>
      <c r="AN221" s="8"/>
      <c r="AO221" s="193"/>
      <c r="AY221" s="8"/>
      <c r="AZ221" s="193"/>
      <c r="BJ221" s="8"/>
      <c r="BK221" s="193"/>
      <c r="BU221" s="8"/>
      <c r="BV221" s="19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" activeCellId="0" sqref="N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" width="8.41"/>
    <col collapsed="false" customWidth="true" hidden="false" outlineLevel="0" max="3" min="2" style="8" width="5.28"/>
    <col collapsed="false" customWidth="true" hidden="false" outlineLevel="0" max="4" min="4" style="8" width="4.99"/>
    <col collapsed="false" customWidth="true" hidden="false" outlineLevel="0" max="5" min="5" style="8" width="5.28"/>
    <col collapsed="false" customWidth="true" hidden="false" outlineLevel="0" max="6" min="6" style="8" width="4.99"/>
    <col collapsed="false" customWidth="true" hidden="false" outlineLevel="0" max="7" min="7" style="8" width="5.28"/>
    <col collapsed="false" customWidth="true" hidden="false" outlineLevel="0" max="8" min="8" style="8" width="5.99"/>
    <col collapsed="false" customWidth="true" hidden="false" outlineLevel="0" max="9" min="9" style="8" width="5.41"/>
    <col collapsed="false" customWidth="true" hidden="false" outlineLevel="0" max="10" min="10" style="8" width="5.99"/>
    <col collapsed="false" customWidth="true" hidden="false" outlineLevel="0" max="12" min="11" style="8" width="5.28"/>
    <col collapsed="false" customWidth="true" hidden="false" outlineLevel="0" max="14" min="13" style="8" width="4.85"/>
    <col collapsed="false" customWidth="true" hidden="false" outlineLevel="0" max="15" min="15" style="8" width="5.28"/>
    <col collapsed="false" customWidth="true" hidden="false" outlineLevel="0" max="16" min="16" style="8" width="5.56"/>
    <col collapsed="false" customWidth="true" hidden="false" outlineLevel="0" max="17" min="17" style="8" width="6.41"/>
    <col collapsed="false" customWidth="true" hidden="false" outlineLevel="0" max="18" min="18" style="8" width="5.56"/>
    <col collapsed="false" customWidth="true" hidden="false" outlineLevel="0" max="21" min="19" style="8" width="6.41"/>
    <col collapsed="false" customWidth="false" hidden="false" outlineLevel="0" max="257" min="22" style="197" width="9.14"/>
  </cols>
  <sheetData>
    <row r="1" customFormat="false" ht="13.5" hidden="false" customHeight="false" outlineLevel="0" collapsed="false">
      <c r="A1" s="198" t="s">
        <v>207</v>
      </c>
      <c r="B1" s="199" t="n">
        <v>-5</v>
      </c>
      <c r="C1" s="200" t="n">
        <v>-4</v>
      </c>
      <c r="D1" s="201" t="n">
        <v>-3.5</v>
      </c>
      <c r="E1" s="201" t="n">
        <v>-3</v>
      </c>
      <c r="F1" s="201" t="n">
        <v>-2.5</v>
      </c>
      <c r="G1" s="201" t="n">
        <v>-2</v>
      </c>
      <c r="H1" s="201" t="n">
        <v>-1.5</v>
      </c>
      <c r="I1" s="201" t="n">
        <v>-1</v>
      </c>
      <c r="J1" s="201" t="n">
        <v>-0.5</v>
      </c>
      <c r="K1" s="201" t="n">
        <v>0</v>
      </c>
      <c r="L1" s="201" t="n">
        <v>0.5</v>
      </c>
      <c r="M1" s="201" t="n">
        <v>1</v>
      </c>
      <c r="N1" s="201" t="n">
        <v>1.5</v>
      </c>
      <c r="O1" s="201" t="n">
        <v>2</v>
      </c>
      <c r="P1" s="201" t="n">
        <v>2.5</v>
      </c>
      <c r="Q1" s="201" t="n">
        <v>3</v>
      </c>
      <c r="R1" s="201" t="n">
        <v>4</v>
      </c>
      <c r="S1" s="201" t="n">
        <v>5</v>
      </c>
      <c r="T1" s="202" t="n">
        <v>10</v>
      </c>
      <c r="U1" s="203" t="n">
        <v>40</v>
      </c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12.75" hidden="false" customHeight="false" outlineLevel="0" collapsed="false">
      <c r="A2" s="204" t="n">
        <v>37226</v>
      </c>
      <c r="B2" s="205" t="n">
        <v>4.5</v>
      </c>
      <c r="C2" s="206" t="n">
        <v>3.5</v>
      </c>
      <c r="D2" s="207" t="n">
        <v>2.25</v>
      </c>
      <c r="E2" s="208" t="n">
        <v>1.25</v>
      </c>
      <c r="F2" s="209" t="n">
        <v>0.5</v>
      </c>
      <c r="G2" s="209" t="n">
        <v>0.25</v>
      </c>
      <c r="H2" s="208" t="n">
        <v>0</v>
      </c>
      <c r="I2" s="209" t="n">
        <v>-0.25</v>
      </c>
      <c r="J2" s="208" t="n">
        <v>-0.25</v>
      </c>
      <c r="K2" s="208" t="n">
        <v>0</v>
      </c>
      <c r="L2" s="208" t="n">
        <v>2.25</v>
      </c>
      <c r="M2" s="209" t="n">
        <v>4.5</v>
      </c>
      <c r="N2" s="209" t="n">
        <v>6.75</v>
      </c>
      <c r="O2" s="208" t="n">
        <v>9</v>
      </c>
      <c r="P2" s="209" t="n">
        <v>11.25</v>
      </c>
      <c r="Q2" s="208" t="n">
        <v>13.5</v>
      </c>
      <c r="R2" s="209" t="n">
        <v>18</v>
      </c>
      <c r="S2" s="210" t="n">
        <v>20.25</v>
      </c>
      <c r="T2" s="211" t="n">
        <v>25</v>
      </c>
      <c r="U2" s="206" t="n">
        <v>50</v>
      </c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2.75" hidden="false" customHeight="false" outlineLevel="0" collapsed="false">
      <c r="A3" s="204" t="n">
        <v>37257</v>
      </c>
      <c r="B3" s="212" t="n">
        <v>4.5</v>
      </c>
      <c r="C3" s="213" t="n">
        <v>3.5</v>
      </c>
      <c r="D3" s="207" t="n">
        <v>2.25</v>
      </c>
      <c r="E3" s="208" t="n">
        <v>1.25</v>
      </c>
      <c r="F3" s="209" t="n">
        <v>0.25</v>
      </c>
      <c r="G3" s="209" t="n">
        <v>-0.25</v>
      </c>
      <c r="H3" s="214" t="n">
        <v>-0.75</v>
      </c>
      <c r="I3" s="209" t="n">
        <v>-1.5</v>
      </c>
      <c r="J3" s="214" t="n">
        <v>-0.75</v>
      </c>
      <c r="K3" s="214" t="n">
        <v>0</v>
      </c>
      <c r="L3" s="214" t="n">
        <v>2.25</v>
      </c>
      <c r="M3" s="209" t="n">
        <v>4.5</v>
      </c>
      <c r="N3" s="209" t="n">
        <v>6.75</v>
      </c>
      <c r="O3" s="214" t="n">
        <v>9</v>
      </c>
      <c r="P3" s="209" t="n">
        <v>11.25</v>
      </c>
      <c r="Q3" s="214" t="n">
        <v>13.5</v>
      </c>
      <c r="R3" s="209" t="n">
        <v>18</v>
      </c>
      <c r="S3" s="215" t="n">
        <v>20.25</v>
      </c>
      <c r="T3" s="216" t="n">
        <v>25</v>
      </c>
      <c r="U3" s="213" t="n">
        <v>50</v>
      </c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.75" hidden="false" customHeight="false" outlineLevel="0" collapsed="false">
      <c r="A4" s="204" t="n">
        <v>37288</v>
      </c>
      <c r="B4" s="212" t="n">
        <v>4.5</v>
      </c>
      <c r="C4" s="213" t="n">
        <v>3.5</v>
      </c>
      <c r="D4" s="207" t="n">
        <v>2.25</v>
      </c>
      <c r="E4" s="208" t="n">
        <v>1.25</v>
      </c>
      <c r="F4" s="209" t="n">
        <v>0.25</v>
      </c>
      <c r="G4" s="209" t="n">
        <v>-0.25</v>
      </c>
      <c r="H4" s="214" t="n">
        <v>-0.75</v>
      </c>
      <c r="I4" s="209" t="n">
        <v>-1.5</v>
      </c>
      <c r="J4" s="214" t="n">
        <v>-0.75</v>
      </c>
      <c r="K4" s="214" t="n">
        <v>0</v>
      </c>
      <c r="L4" s="214" t="n">
        <v>2.25</v>
      </c>
      <c r="M4" s="209" t="n">
        <v>4.5</v>
      </c>
      <c r="N4" s="209" t="n">
        <v>6.75</v>
      </c>
      <c r="O4" s="214" t="n">
        <v>9</v>
      </c>
      <c r="P4" s="209" t="n">
        <v>11.25</v>
      </c>
      <c r="Q4" s="214" t="n">
        <v>13.5</v>
      </c>
      <c r="R4" s="209" t="n">
        <v>18</v>
      </c>
      <c r="S4" s="215" t="n">
        <v>20.25</v>
      </c>
      <c r="T4" s="216" t="n">
        <v>25</v>
      </c>
      <c r="U4" s="213" t="n">
        <v>50</v>
      </c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2.75" hidden="false" customHeight="false" outlineLevel="0" collapsed="false">
      <c r="A5" s="204" t="n">
        <v>37316</v>
      </c>
      <c r="B5" s="212" t="n">
        <v>4.5</v>
      </c>
      <c r="C5" s="213" t="n">
        <v>3.5</v>
      </c>
      <c r="D5" s="207" t="n">
        <v>2.25</v>
      </c>
      <c r="E5" s="208" t="n">
        <v>1.25</v>
      </c>
      <c r="F5" s="209" t="n">
        <v>0.25</v>
      </c>
      <c r="G5" s="209" t="n">
        <v>-0.25</v>
      </c>
      <c r="H5" s="214" t="n">
        <v>-0.75</v>
      </c>
      <c r="I5" s="209" t="n">
        <v>-1.5</v>
      </c>
      <c r="J5" s="214" t="n">
        <v>-0.75</v>
      </c>
      <c r="K5" s="214" t="n">
        <v>0</v>
      </c>
      <c r="L5" s="214" t="n">
        <v>2.25</v>
      </c>
      <c r="M5" s="209" t="n">
        <v>4.5</v>
      </c>
      <c r="N5" s="209" t="n">
        <v>6.75</v>
      </c>
      <c r="O5" s="214" t="n">
        <v>9</v>
      </c>
      <c r="P5" s="209" t="n">
        <v>11.25</v>
      </c>
      <c r="Q5" s="214" t="n">
        <v>13.5</v>
      </c>
      <c r="R5" s="209" t="n">
        <v>18</v>
      </c>
      <c r="S5" s="215" t="n">
        <v>20.25</v>
      </c>
      <c r="T5" s="216" t="n">
        <v>25</v>
      </c>
      <c r="U5" s="213" t="n">
        <v>50</v>
      </c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false" outlineLevel="0" collapsed="false">
      <c r="A6" s="204" t="n">
        <v>37347</v>
      </c>
      <c r="B6" s="212" t="n">
        <v>4</v>
      </c>
      <c r="C6" s="213" t="n">
        <v>3</v>
      </c>
      <c r="D6" s="207" t="n">
        <v>1.5</v>
      </c>
      <c r="E6" s="208" t="n">
        <v>0.5</v>
      </c>
      <c r="F6" s="209" t="n">
        <v>0.1</v>
      </c>
      <c r="G6" s="209" t="n">
        <v>-0.25</v>
      </c>
      <c r="H6" s="214" t="n">
        <v>-0.75</v>
      </c>
      <c r="I6" s="209" t="n">
        <v>-1.25</v>
      </c>
      <c r="J6" s="214" t="n">
        <v>-0.75</v>
      </c>
      <c r="K6" s="214" t="n">
        <v>0</v>
      </c>
      <c r="L6" s="214" t="n">
        <v>2</v>
      </c>
      <c r="M6" s="209" t="n">
        <v>2.75</v>
      </c>
      <c r="N6" s="209" t="n">
        <v>3.5</v>
      </c>
      <c r="O6" s="214" t="n">
        <v>4.5</v>
      </c>
      <c r="P6" s="209" t="n">
        <v>5.5</v>
      </c>
      <c r="Q6" s="214" t="n">
        <v>6.5</v>
      </c>
      <c r="R6" s="209" t="n">
        <v>7.5</v>
      </c>
      <c r="S6" s="215" t="n">
        <v>8.5</v>
      </c>
      <c r="T6" s="217" t="n">
        <v>11</v>
      </c>
      <c r="U6" s="218" t="n">
        <v>29</v>
      </c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2.75" hidden="false" customHeight="false" outlineLevel="0" collapsed="false">
      <c r="A7" s="204" t="n">
        <v>37377</v>
      </c>
      <c r="B7" s="212" t="n">
        <v>3</v>
      </c>
      <c r="C7" s="213" t="n">
        <v>2</v>
      </c>
      <c r="D7" s="207" t="n">
        <v>1</v>
      </c>
      <c r="E7" s="208" t="n">
        <v>0.75</v>
      </c>
      <c r="F7" s="209" t="n">
        <v>0.25</v>
      </c>
      <c r="G7" s="209" t="n">
        <v>-0.25</v>
      </c>
      <c r="H7" s="214" t="n">
        <v>-0.75</v>
      </c>
      <c r="I7" s="209" t="n">
        <v>-1</v>
      </c>
      <c r="J7" s="214" t="n">
        <v>-0.7</v>
      </c>
      <c r="K7" s="214" t="n">
        <v>0</v>
      </c>
      <c r="L7" s="214" t="n">
        <v>1.75</v>
      </c>
      <c r="M7" s="209" t="n">
        <v>2.5</v>
      </c>
      <c r="N7" s="209" t="n">
        <v>3.25</v>
      </c>
      <c r="O7" s="214" t="n">
        <v>4.25</v>
      </c>
      <c r="P7" s="209" t="n">
        <v>5.25</v>
      </c>
      <c r="Q7" s="214" t="n">
        <v>6</v>
      </c>
      <c r="R7" s="209" t="n">
        <v>7</v>
      </c>
      <c r="S7" s="215" t="n">
        <v>8</v>
      </c>
      <c r="T7" s="216" t="n">
        <v>9</v>
      </c>
      <c r="U7" s="213" t="n">
        <v>29</v>
      </c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2.75" hidden="false" customHeight="false" outlineLevel="0" collapsed="false">
      <c r="A8" s="204" t="n">
        <v>37408</v>
      </c>
      <c r="B8" s="212" t="n">
        <v>3</v>
      </c>
      <c r="C8" s="213" t="n">
        <v>2</v>
      </c>
      <c r="D8" s="207" t="n">
        <v>1</v>
      </c>
      <c r="E8" s="208" t="n">
        <v>0.75</v>
      </c>
      <c r="F8" s="209" t="n">
        <v>0.25</v>
      </c>
      <c r="G8" s="209" t="n">
        <v>-0.25</v>
      </c>
      <c r="H8" s="214" t="n">
        <v>-0.75</v>
      </c>
      <c r="I8" s="209" t="n">
        <v>-1</v>
      </c>
      <c r="J8" s="214" t="n">
        <v>-0.7</v>
      </c>
      <c r="K8" s="214" t="n">
        <v>0</v>
      </c>
      <c r="L8" s="214" t="n">
        <v>1.75</v>
      </c>
      <c r="M8" s="209" t="n">
        <v>2.5</v>
      </c>
      <c r="N8" s="209" t="n">
        <v>3.25</v>
      </c>
      <c r="O8" s="214" t="n">
        <v>4.25</v>
      </c>
      <c r="P8" s="209" t="n">
        <v>5.25</v>
      </c>
      <c r="Q8" s="214" t="n">
        <v>6</v>
      </c>
      <c r="R8" s="209" t="n">
        <v>7</v>
      </c>
      <c r="S8" s="215" t="n">
        <v>8</v>
      </c>
      <c r="T8" s="216" t="n">
        <v>9</v>
      </c>
      <c r="U8" s="213" t="n">
        <v>29</v>
      </c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false" outlineLevel="0" collapsed="false">
      <c r="A9" s="204" t="n">
        <v>37438</v>
      </c>
      <c r="B9" s="212" t="n">
        <v>3</v>
      </c>
      <c r="C9" s="213" t="n">
        <v>2</v>
      </c>
      <c r="D9" s="207" t="n">
        <v>1</v>
      </c>
      <c r="E9" s="208" t="n">
        <v>0.75</v>
      </c>
      <c r="F9" s="209" t="n">
        <v>0.25</v>
      </c>
      <c r="G9" s="209" t="n">
        <v>-0.25</v>
      </c>
      <c r="H9" s="214" t="n">
        <v>-0.75</v>
      </c>
      <c r="I9" s="209" t="n">
        <v>-1</v>
      </c>
      <c r="J9" s="214" t="n">
        <v>-0.7</v>
      </c>
      <c r="K9" s="214" t="n">
        <v>0</v>
      </c>
      <c r="L9" s="214" t="n">
        <v>1.75</v>
      </c>
      <c r="M9" s="209" t="n">
        <v>2.5</v>
      </c>
      <c r="N9" s="209" t="n">
        <v>3.25</v>
      </c>
      <c r="O9" s="214" t="n">
        <v>4.25</v>
      </c>
      <c r="P9" s="209" t="n">
        <v>5.25</v>
      </c>
      <c r="Q9" s="214" t="n">
        <v>6</v>
      </c>
      <c r="R9" s="209" t="n">
        <v>7</v>
      </c>
      <c r="S9" s="215" t="n">
        <v>8</v>
      </c>
      <c r="T9" s="216" t="n">
        <v>9</v>
      </c>
      <c r="U9" s="213" t="n">
        <v>29</v>
      </c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3.5" hidden="false" customHeight="false" outlineLevel="0" collapsed="false">
      <c r="A10" s="204" t="n">
        <v>37469</v>
      </c>
      <c r="B10" s="212" t="n">
        <v>3</v>
      </c>
      <c r="C10" s="213" t="n">
        <v>2</v>
      </c>
      <c r="D10" s="207" t="n">
        <v>1</v>
      </c>
      <c r="E10" s="208" t="n">
        <v>0.75</v>
      </c>
      <c r="F10" s="209" t="n">
        <v>0.25</v>
      </c>
      <c r="G10" s="209" t="n">
        <v>-0.25</v>
      </c>
      <c r="H10" s="214" t="n">
        <v>-0.75</v>
      </c>
      <c r="I10" s="209" t="n">
        <v>-1</v>
      </c>
      <c r="J10" s="214" t="n">
        <v>-0.7</v>
      </c>
      <c r="K10" s="214" t="n">
        <v>0</v>
      </c>
      <c r="L10" s="214" t="n">
        <v>1.75</v>
      </c>
      <c r="M10" s="209" t="n">
        <v>2.5</v>
      </c>
      <c r="N10" s="209" t="n">
        <v>3.25</v>
      </c>
      <c r="O10" s="214" t="n">
        <v>4.25</v>
      </c>
      <c r="P10" s="209" t="n">
        <v>5.25</v>
      </c>
      <c r="Q10" s="214" t="n">
        <v>6</v>
      </c>
      <c r="R10" s="209" t="n">
        <v>7</v>
      </c>
      <c r="S10" s="215" t="n">
        <v>8</v>
      </c>
      <c r="T10" s="216" t="n">
        <v>9</v>
      </c>
      <c r="U10" s="213" t="n">
        <v>29</v>
      </c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3.5" hidden="false" customHeight="true" outlineLevel="0" collapsed="false">
      <c r="A11" s="219" t="n">
        <v>37500</v>
      </c>
      <c r="B11" s="220" t="n">
        <v>3</v>
      </c>
      <c r="C11" s="221" t="n">
        <v>2</v>
      </c>
      <c r="D11" s="222" t="n">
        <v>1</v>
      </c>
      <c r="E11" s="223" t="n">
        <v>0.75</v>
      </c>
      <c r="F11" s="224" t="n">
        <v>0.25</v>
      </c>
      <c r="G11" s="224" t="n">
        <v>-0.25</v>
      </c>
      <c r="H11" s="223" t="n">
        <v>-0.75</v>
      </c>
      <c r="I11" s="224" t="n">
        <v>-1</v>
      </c>
      <c r="J11" s="223" t="n">
        <v>-0.7</v>
      </c>
      <c r="K11" s="223" t="n">
        <v>0</v>
      </c>
      <c r="L11" s="223" t="n">
        <v>1.75</v>
      </c>
      <c r="M11" s="224" t="n">
        <v>2.5</v>
      </c>
      <c r="N11" s="224" t="n">
        <v>3.25</v>
      </c>
      <c r="O11" s="223" t="n">
        <v>4.25</v>
      </c>
      <c r="P11" s="224" t="n">
        <v>5.25</v>
      </c>
      <c r="Q11" s="223" t="n">
        <v>6</v>
      </c>
      <c r="R11" s="224" t="n">
        <v>7</v>
      </c>
      <c r="S11" s="221" t="n">
        <v>8</v>
      </c>
      <c r="T11" s="225" t="n">
        <v>9</v>
      </c>
      <c r="U11" s="226" t="n">
        <v>29</v>
      </c>
      <c r="V11" s="0"/>
      <c r="W11" s="0"/>
      <c r="X11" s="0"/>
      <c r="Y11" s="0"/>
      <c r="Z11" s="0"/>
      <c r="AA11" s="0"/>
      <c r="AB11" s="0"/>
      <c r="AC11" s="0"/>
      <c r="AD11" s="227" t="n">
        <v>36982</v>
      </c>
      <c r="AE11" s="227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219" t="n">
        <v>37530</v>
      </c>
      <c r="B12" s="220" t="n">
        <v>3</v>
      </c>
      <c r="C12" s="221" t="n">
        <v>2</v>
      </c>
      <c r="D12" s="222" t="n">
        <v>1</v>
      </c>
      <c r="E12" s="223" t="n">
        <v>0.75</v>
      </c>
      <c r="F12" s="224" t="n">
        <v>0.25</v>
      </c>
      <c r="G12" s="224" t="n">
        <v>-0.25</v>
      </c>
      <c r="H12" s="223" t="n">
        <v>-0.75</v>
      </c>
      <c r="I12" s="224" t="n">
        <v>-1</v>
      </c>
      <c r="J12" s="223" t="n">
        <v>-0.7</v>
      </c>
      <c r="K12" s="223" t="n">
        <v>0</v>
      </c>
      <c r="L12" s="223" t="n">
        <v>1.75</v>
      </c>
      <c r="M12" s="224" t="n">
        <v>2.5</v>
      </c>
      <c r="N12" s="224" t="n">
        <v>3.25</v>
      </c>
      <c r="O12" s="223" t="n">
        <v>4.25</v>
      </c>
      <c r="P12" s="224" t="n">
        <v>5.25</v>
      </c>
      <c r="Q12" s="223" t="n">
        <v>6</v>
      </c>
      <c r="R12" s="224" t="n">
        <v>7</v>
      </c>
      <c r="S12" s="221" t="n">
        <v>8</v>
      </c>
      <c r="T12" s="225" t="n">
        <v>9</v>
      </c>
      <c r="U12" s="226" t="n">
        <v>29</v>
      </c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219" t="n">
        <v>37561</v>
      </c>
      <c r="B13" s="220" t="n">
        <v>3</v>
      </c>
      <c r="C13" s="221" t="n">
        <v>2</v>
      </c>
      <c r="D13" s="222" t="n">
        <v>1</v>
      </c>
      <c r="E13" s="223" t="n">
        <v>0.75</v>
      </c>
      <c r="F13" s="224" t="n">
        <v>0.25</v>
      </c>
      <c r="G13" s="224" t="n">
        <v>-0.25</v>
      </c>
      <c r="H13" s="223" t="n">
        <v>-0.75</v>
      </c>
      <c r="I13" s="224" t="n">
        <v>-1</v>
      </c>
      <c r="J13" s="223" t="n">
        <v>-0.7</v>
      </c>
      <c r="K13" s="223" t="n">
        <v>0</v>
      </c>
      <c r="L13" s="223" t="n">
        <v>1.25</v>
      </c>
      <c r="M13" s="224" t="n">
        <v>1.75</v>
      </c>
      <c r="N13" s="224" t="n">
        <v>2.5</v>
      </c>
      <c r="O13" s="223" t="n">
        <v>3.25</v>
      </c>
      <c r="P13" s="224" t="n">
        <v>3.75</v>
      </c>
      <c r="Q13" s="223" t="n">
        <v>4.25</v>
      </c>
      <c r="R13" s="224" t="n">
        <v>4.75</v>
      </c>
      <c r="S13" s="221" t="n">
        <v>5.75</v>
      </c>
      <c r="T13" s="225" t="n">
        <v>8.2</v>
      </c>
      <c r="U13" s="226" t="n">
        <v>29</v>
      </c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219" t="n">
        <v>37591</v>
      </c>
      <c r="B14" s="220" t="n">
        <v>3</v>
      </c>
      <c r="C14" s="221" t="n">
        <v>2</v>
      </c>
      <c r="D14" s="222" t="n">
        <v>1</v>
      </c>
      <c r="E14" s="223" t="n">
        <v>0.75</v>
      </c>
      <c r="F14" s="224" t="n">
        <v>0.25</v>
      </c>
      <c r="G14" s="224" t="n">
        <v>-0.25</v>
      </c>
      <c r="H14" s="223" t="n">
        <v>-0.75</v>
      </c>
      <c r="I14" s="224" t="n">
        <v>-1</v>
      </c>
      <c r="J14" s="223" t="n">
        <v>-0.7</v>
      </c>
      <c r="K14" s="223" t="n">
        <v>0</v>
      </c>
      <c r="L14" s="223" t="n">
        <v>1.25</v>
      </c>
      <c r="M14" s="224" t="n">
        <v>1.75</v>
      </c>
      <c r="N14" s="224" t="n">
        <v>2.5</v>
      </c>
      <c r="O14" s="223" t="n">
        <v>3.25</v>
      </c>
      <c r="P14" s="224" t="n">
        <v>3.75</v>
      </c>
      <c r="Q14" s="223" t="n">
        <v>4.25</v>
      </c>
      <c r="R14" s="224" t="n">
        <v>4.75</v>
      </c>
      <c r="S14" s="221" t="n">
        <v>5.75</v>
      </c>
      <c r="T14" s="225" t="n">
        <v>8.2</v>
      </c>
      <c r="U14" s="226" t="n">
        <v>29</v>
      </c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219" t="n">
        <v>37622</v>
      </c>
      <c r="B15" s="220" t="n">
        <v>3</v>
      </c>
      <c r="C15" s="221" t="n">
        <v>2</v>
      </c>
      <c r="D15" s="222" t="n">
        <v>1</v>
      </c>
      <c r="E15" s="223" t="n">
        <v>0.75</v>
      </c>
      <c r="F15" s="224" t="n">
        <v>0.25</v>
      </c>
      <c r="G15" s="224" t="n">
        <v>-0.25</v>
      </c>
      <c r="H15" s="223" t="n">
        <v>-0.75</v>
      </c>
      <c r="I15" s="224" t="n">
        <v>-1</v>
      </c>
      <c r="J15" s="223" t="n">
        <v>-0.7</v>
      </c>
      <c r="K15" s="223" t="n">
        <v>0</v>
      </c>
      <c r="L15" s="223" t="n">
        <v>1.25</v>
      </c>
      <c r="M15" s="224" t="n">
        <v>1.75</v>
      </c>
      <c r="N15" s="224" t="n">
        <v>2.5</v>
      </c>
      <c r="O15" s="223" t="n">
        <v>3.25</v>
      </c>
      <c r="P15" s="224" t="n">
        <v>3.75</v>
      </c>
      <c r="Q15" s="223" t="n">
        <v>4.25</v>
      </c>
      <c r="R15" s="224" t="n">
        <v>4.75</v>
      </c>
      <c r="S15" s="221" t="n">
        <v>5.75</v>
      </c>
      <c r="T15" s="225" t="n">
        <v>8.2</v>
      </c>
      <c r="U15" s="226" t="n">
        <v>29</v>
      </c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219" t="n">
        <v>37653</v>
      </c>
      <c r="B16" s="220" t="n">
        <v>3</v>
      </c>
      <c r="C16" s="221" t="n">
        <v>2</v>
      </c>
      <c r="D16" s="222" t="n">
        <v>1</v>
      </c>
      <c r="E16" s="223" t="n">
        <v>0.75</v>
      </c>
      <c r="F16" s="224" t="n">
        <v>0.25</v>
      </c>
      <c r="G16" s="224" t="n">
        <v>-0.25</v>
      </c>
      <c r="H16" s="223" t="n">
        <v>-0.75</v>
      </c>
      <c r="I16" s="224" t="n">
        <v>-1</v>
      </c>
      <c r="J16" s="223" t="n">
        <v>-0.7</v>
      </c>
      <c r="K16" s="223" t="n">
        <v>0</v>
      </c>
      <c r="L16" s="223" t="n">
        <v>1.25</v>
      </c>
      <c r="M16" s="224" t="n">
        <v>1.75</v>
      </c>
      <c r="N16" s="224" t="n">
        <v>2.5</v>
      </c>
      <c r="O16" s="223" t="n">
        <v>3.25</v>
      </c>
      <c r="P16" s="224" t="n">
        <v>3.75</v>
      </c>
      <c r="Q16" s="223" t="n">
        <v>4.25</v>
      </c>
      <c r="R16" s="224" t="n">
        <v>4.75</v>
      </c>
      <c r="S16" s="221" t="n">
        <v>5.75</v>
      </c>
      <c r="T16" s="225" t="n">
        <v>8.2</v>
      </c>
      <c r="U16" s="226" t="n">
        <v>29</v>
      </c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219" t="n">
        <v>37681</v>
      </c>
      <c r="B17" s="220" t="n">
        <v>3</v>
      </c>
      <c r="C17" s="221" t="n">
        <v>2</v>
      </c>
      <c r="D17" s="222" t="n">
        <v>1</v>
      </c>
      <c r="E17" s="223" t="n">
        <v>0.75</v>
      </c>
      <c r="F17" s="224" t="n">
        <v>0.25</v>
      </c>
      <c r="G17" s="224" t="n">
        <v>-0.25</v>
      </c>
      <c r="H17" s="223" t="n">
        <v>-0.75</v>
      </c>
      <c r="I17" s="224" t="n">
        <v>-1</v>
      </c>
      <c r="J17" s="223" t="n">
        <v>-0.7</v>
      </c>
      <c r="K17" s="223" t="n">
        <v>0</v>
      </c>
      <c r="L17" s="223" t="n">
        <v>1.25</v>
      </c>
      <c r="M17" s="224" t="n">
        <v>1.75</v>
      </c>
      <c r="N17" s="224" t="n">
        <v>2.5</v>
      </c>
      <c r="O17" s="223" t="n">
        <v>3.25</v>
      </c>
      <c r="P17" s="224" t="n">
        <v>3.75</v>
      </c>
      <c r="Q17" s="223" t="n">
        <v>4.25</v>
      </c>
      <c r="R17" s="224" t="n">
        <v>4.75</v>
      </c>
      <c r="S17" s="221" t="n">
        <v>5.75</v>
      </c>
      <c r="T17" s="225" t="n">
        <v>8.2</v>
      </c>
      <c r="U17" s="226" t="n">
        <v>29</v>
      </c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219" t="n">
        <v>37712</v>
      </c>
      <c r="B18" s="220" t="n">
        <v>3</v>
      </c>
      <c r="C18" s="221" t="n">
        <v>2</v>
      </c>
      <c r="D18" s="222" t="n">
        <v>0.75</v>
      </c>
      <c r="E18" s="223" t="n">
        <v>0.5</v>
      </c>
      <c r="F18" s="224" t="n">
        <v>0.25</v>
      </c>
      <c r="G18" s="224" t="n">
        <v>-0.25</v>
      </c>
      <c r="H18" s="223" t="n">
        <v>-0.65</v>
      </c>
      <c r="I18" s="224" t="n">
        <v>-0.85</v>
      </c>
      <c r="J18" s="223" t="n">
        <v>-0.65</v>
      </c>
      <c r="K18" s="223" t="n">
        <v>0</v>
      </c>
      <c r="L18" s="223" t="n">
        <v>1</v>
      </c>
      <c r="M18" s="224" t="n">
        <v>1.5</v>
      </c>
      <c r="N18" s="224" t="n">
        <v>2.25</v>
      </c>
      <c r="O18" s="223" t="n">
        <v>3</v>
      </c>
      <c r="P18" s="224" t="n">
        <v>3.5</v>
      </c>
      <c r="Q18" s="223" t="n">
        <v>4</v>
      </c>
      <c r="R18" s="224" t="n">
        <v>4.5</v>
      </c>
      <c r="S18" s="221" t="n">
        <v>5.5</v>
      </c>
      <c r="T18" s="225" t="n">
        <v>8.2</v>
      </c>
      <c r="U18" s="226" t="n">
        <v>29</v>
      </c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219" t="n">
        <v>37742</v>
      </c>
      <c r="B19" s="220" t="n">
        <v>3</v>
      </c>
      <c r="C19" s="221" t="n">
        <v>2</v>
      </c>
      <c r="D19" s="222" t="n">
        <v>0.75</v>
      </c>
      <c r="E19" s="223" t="n">
        <v>0.5</v>
      </c>
      <c r="F19" s="224" t="n">
        <v>0.25</v>
      </c>
      <c r="G19" s="224" t="n">
        <v>-0.25</v>
      </c>
      <c r="H19" s="223" t="n">
        <v>-0.65</v>
      </c>
      <c r="I19" s="224" t="n">
        <v>-0.85</v>
      </c>
      <c r="J19" s="223" t="n">
        <v>-0.65</v>
      </c>
      <c r="K19" s="223" t="n">
        <v>0</v>
      </c>
      <c r="L19" s="223" t="n">
        <v>1</v>
      </c>
      <c r="M19" s="224" t="n">
        <v>1.5</v>
      </c>
      <c r="N19" s="224" t="n">
        <v>2.25</v>
      </c>
      <c r="O19" s="223" t="n">
        <v>3</v>
      </c>
      <c r="P19" s="224" t="n">
        <v>3.5</v>
      </c>
      <c r="Q19" s="223" t="n">
        <v>4</v>
      </c>
      <c r="R19" s="224" t="n">
        <v>4.5</v>
      </c>
      <c r="S19" s="221" t="n">
        <v>5.5</v>
      </c>
      <c r="T19" s="225" t="n">
        <v>8.2</v>
      </c>
      <c r="U19" s="226" t="n">
        <v>29</v>
      </c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false" outlineLevel="0" collapsed="false">
      <c r="A20" s="219" t="n">
        <v>37773</v>
      </c>
      <c r="B20" s="220" t="n">
        <v>3</v>
      </c>
      <c r="C20" s="221" t="n">
        <v>2</v>
      </c>
      <c r="D20" s="222" t="n">
        <v>0.75</v>
      </c>
      <c r="E20" s="223" t="n">
        <v>0.5</v>
      </c>
      <c r="F20" s="224" t="n">
        <v>0.25</v>
      </c>
      <c r="G20" s="224" t="n">
        <v>-0.25</v>
      </c>
      <c r="H20" s="223" t="n">
        <v>-0.65</v>
      </c>
      <c r="I20" s="224" t="n">
        <v>-0.85</v>
      </c>
      <c r="J20" s="223" t="n">
        <v>-0.65</v>
      </c>
      <c r="K20" s="223" t="n">
        <v>0</v>
      </c>
      <c r="L20" s="223" t="n">
        <v>1</v>
      </c>
      <c r="M20" s="224" t="n">
        <v>1.5</v>
      </c>
      <c r="N20" s="224" t="n">
        <v>2.25</v>
      </c>
      <c r="O20" s="223" t="n">
        <v>3</v>
      </c>
      <c r="P20" s="224" t="n">
        <v>3.5</v>
      </c>
      <c r="Q20" s="223" t="n">
        <v>4</v>
      </c>
      <c r="R20" s="224" t="n">
        <v>4.5</v>
      </c>
      <c r="S20" s="221" t="n">
        <v>5.5</v>
      </c>
      <c r="T20" s="225" t="n">
        <v>8.2</v>
      </c>
      <c r="U20" s="226" t="n">
        <v>29</v>
      </c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false" outlineLevel="0" collapsed="false">
      <c r="A21" s="219" t="n">
        <v>37803</v>
      </c>
      <c r="B21" s="220" t="n">
        <v>3</v>
      </c>
      <c r="C21" s="221" t="n">
        <v>2</v>
      </c>
      <c r="D21" s="222" t="n">
        <v>0.75</v>
      </c>
      <c r="E21" s="223" t="n">
        <v>0.5</v>
      </c>
      <c r="F21" s="224" t="n">
        <v>0.25</v>
      </c>
      <c r="G21" s="224" t="n">
        <v>-0.25</v>
      </c>
      <c r="H21" s="223" t="n">
        <v>-0.65</v>
      </c>
      <c r="I21" s="224" t="n">
        <v>-0.85</v>
      </c>
      <c r="J21" s="223" t="n">
        <v>-0.65</v>
      </c>
      <c r="K21" s="223" t="n">
        <v>0</v>
      </c>
      <c r="L21" s="223" t="n">
        <v>1</v>
      </c>
      <c r="M21" s="224" t="n">
        <v>1.5</v>
      </c>
      <c r="N21" s="224" t="n">
        <v>2.25</v>
      </c>
      <c r="O21" s="223" t="n">
        <v>3</v>
      </c>
      <c r="P21" s="224" t="n">
        <v>3.5</v>
      </c>
      <c r="Q21" s="223" t="n">
        <v>4</v>
      </c>
      <c r="R21" s="224" t="n">
        <v>4.5</v>
      </c>
      <c r="S21" s="221" t="n">
        <v>5.5</v>
      </c>
      <c r="T21" s="225" t="n">
        <v>8.2</v>
      </c>
      <c r="U21" s="226" t="n">
        <v>29</v>
      </c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219" t="n">
        <v>37834</v>
      </c>
      <c r="B22" s="220" t="n">
        <v>3</v>
      </c>
      <c r="C22" s="221" t="n">
        <v>2</v>
      </c>
      <c r="D22" s="222" t="n">
        <v>0.75</v>
      </c>
      <c r="E22" s="223" t="n">
        <v>0.5</v>
      </c>
      <c r="F22" s="224" t="n">
        <v>0.25</v>
      </c>
      <c r="G22" s="224" t="n">
        <v>-0.25</v>
      </c>
      <c r="H22" s="223" t="n">
        <v>-0.65</v>
      </c>
      <c r="I22" s="224" t="n">
        <v>-0.85</v>
      </c>
      <c r="J22" s="223" t="n">
        <v>-0.65</v>
      </c>
      <c r="K22" s="223" t="n">
        <v>0</v>
      </c>
      <c r="L22" s="223" t="n">
        <v>1</v>
      </c>
      <c r="M22" s="224" t="n">
        <v>1.5</v>
      </c>
      <c r="N22" s="224" t="n">
        <v>2.25</v>
      </c>
      <c r="O22" s="223" t="n">
        <v>3</v>
      </c>
      <c r="P22" s="224" t="n">
        <v>3.5</v>
      </c>
      <c r="Q22" s="223" t="n">
        <v>4</v>
      </c>
      <c r="R22" s="224" t="n">
        <v>4.5</v>
      </c>
      <c r="S22" s="221" t="n">
        <v>5.5</v>
      </c>
      <c r="T22" s="225" t="n">
        <v>8.2</v>
      </c>
      <c r="U22" s="226" t="n">
        <v>29</v>
      </c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false" customHeight="false" outlineLevel="0" collapsed="false">
      <c r="A23" s="219" t="n">
        <v>37865</v>
      </c>
      <c r="B23" s="220" t="n">
        <v>3</v>
      </c>
      <c r="C23" s="221" t="n">
        <v>2</v>
      </c>
      <c r="D23" s="222" t="n">
        <v>0.75</v>
      </c>
      <c r="E23" s="223" t="n">
        <v>0.5</v>
      </c>
      <c r="F23" s="224" t="n">
        <v>0.25</v>
      </c>
      <c r="G23" s="224" t="n">
        <v>-0.25</v>
      </c>
      <c r="H23" s="223" t="n">
        <v>-0.65</v>
      </c>
      <c r="I23" s="224" t="n">
        <v>-0.85</v>
      </c>
      <c r="J23" s="223" t="n">
        <v>-0.65</v>
      </c>
      <c r="K23" s="223" t="n">
        <v>0</v>
      </c>
      <c r="L23" s="223" t="n">
        <v>1</v>
      </c>
      <c r="M23" s="224" t="n">
        <v>1.5</v>
      </c>
      <c r="N23" s="224" t="n">
        <v>2.25</v>
      </c>
      <c r="O23" s="223" t="n">
        <v>3</v>
      </c>
      <c r="P23" s="224" t="n">
        <v>3.5</v>
      </c>
      <c r="Q23" s="223" t="n">
        <v>4</v>
      </c>
      <c r="R23" s="224" t="n">
        <v>4.5</v>
      </c>
      <c r="S23" s="221" t="n">
        <v>5.5</v>
      </c>
      <c r="T23" s="225" t="n">
        <v>8.2</v>
      </c>
      <c r="U23" s="226" t="n">
        <v>29</v>
      </c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2.75" hidden="false" customHeight="false" outlineLevel="0" collapsed="false">
      <c r="A24" s="219" t="n">
        <v>37895</v>
      </c>
      <c r="B24" s="220" t="n">
        <v>3</v>
      </c>
      <c r="C24" s="221" t="n">
        <v>2</v>
      </c>
      <c r="D24" s="222" t="n">
        <v>0.75</v>
      </c>
      <c r="E24" s="223" t="n">
        <v>0.5</v>
      </c>
      <c r="F24" s="224" t="n">
        <v>0.25</v>
      </c>
      <c r="G24" s="224" t="n">
        <v>-0.25</v>
      </c>
      <c r="H24" s="223" t="n">
        <v>-0.65</v>
      </c>
      <c r="I24" s="224" t="n">
        <v>-0.85</v>
      </c>
      <c r="J24" s="223" t="n">
        <v>-0.65</v>
      </c>
      <c r="K24" s="223" t="n">
        <v>0</v>
      </c>
      <c r="L24" s="223" t="n">
        <v>1</v>
      </c>
      <c r="M24" s="224" t="n">
        <v>1.5</v>
      </c>
      <c r="N24" s="224" t="n">
        <v>2.25</v>
      </c>
      <c r="O24" s="223" t="n">
        <v>3</v>
      </c>
      <c r="P24" s="224" t="n">
        <v>3.5</v>
      </c>
      <c r="Q24" s="223" t="n">
        <v>4</v>
      </c>
      <c r="R24" s="224" t="n">
        <v>4.5</v>
      </c>
      <c r="S24" s="221" t="n">
        <v>5.5</v>
      </c>
      <c r="T24" s="225" t="n">
        <v>8.2</v>
      </c>
      <c r="U24" s="226" t="n">
        <v>29</v>
      </c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2.75" hidden="false" customHeight="false" outlineLevel="0" collapsed="false">
      <c r="A25" s="219" t="n">
        <v>37926</v>
      </c>
      <c r="B25" s="220" t="n">
        <v>3</v>
      </c>
      <c r="C25" s="221" t="n">
        <v>2</v>
      </c>
      <c r="D25" s="222" t="n">
        <v>0.75</v>
      </c>
      <c r="E25" s="223" t="n">
        <v>0.5</v>
      </c>
      <c r="F25" s="224" t="n">
        <v>0.25</v>
      </c>
      <c r="G25" s="224" t="n">
        <v>-0.25</v>
      </c>
      <c r="H25" s="223" t="n">
        <v>-0.65</v>
      </c>
      <c r="I25" s="224" t="n">
        <v>-0.85</v>
      </c>
      <c r="J25" s="223" t="n">
        <v>-0.65</v>
      </c>
      <c r="K25" s="223" t="n">
        <v>0</v>
      </c>
      <c r="L25" s="223" t="n">
        <v>1</v>
      </c>
      <c r="M25" s="224" t="n">
        <v>1.5</v>
      </c>
      <c r="N25" s="224" t="n">
        <v>2.25</v>
      </c>
      <c r="O25" s="223" t="n">
        <v>3</v>
      </c>
      <c r="P25" s="224" t="n">
        <v>3.5</v>
      </c>
      <c r="Q25" s="223" t="n">
        <v>4</v>
      </c>
      <c r="R25" s="224" t="n">
        <v>4.5</v>
      </c>
      <c r="S25" s="221" t="n">
        <v>5.5</v>
      </c>
      <c r="T25" s="225" t="n">
        <v>8.2</v>
      </c>
      <c r="U25" s="226" t="n">
        <v>29</v>
      </c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2.75" hidden="false" customHeight="false" outlineLevel="0" collapsed="false">
      <c r="A26" s="219" t="n">
        <v>37956</v>
      </c>
      <c r="B26" s="220" t="n">
        <v>3</v>
      </c>
      <c r="C26" s="221" t="n">
        <v>2</v>
      </c>
      <c r="D26" s="222" t="n">
        <v>0.75</v>
      </c>
      <c r="E26" s="223" t="n">
        <v>0.5</v>
      </c>
      <c r="F26" s="224" t="n">
        <v>0.25</v>
      </c>
      <c r="G26" s="224" t="n">
        <v>-0.25</v>
      </c>
      <c r="H26" s="223" t="n">
        <v>-0.65</v>
      </c>
      <c r="I26" s="224" t="n">
        <v>-0.85</v>
      </c>
      <c r="J26" s="223" t="n">
        <v>-0.65</v>
      </c>
      <c r="K26" s="223" t="n">
        <v>0</v>
      </c>
      <c r="L26" s="223" t="n">
        <v>1</v>
      </c>
      <c r="M26" s="224" t="n">
        <v>1.5</v>
      </c>
      <c r="N26" s="224" t="n">
        <v>2.25</v>
      </c>
      <c r="O26" s="223" t="n">
        <v>3</v>
      </c>
      <c r="P26" s="224" t="n">
        <v>3.5</v>
      </c>
      <c r="Q26" s="223" t="n">
        <v>4</v>
      </c>
      <c r="R26" s="224" t="n">
        <v>4.5</v>
      </c>
      <c r="S26" s="221" t="n">
        <v>5.5</v>
      </c>
      <c r="T26" s="225" t="n">
        <v>8.2</v>
      </c>
      <c r="U26" s="226" t="n">
        <v>29</v>
      </c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2.75" hidden="false" customHeight="false" outlineLevel="0" collapsed="false">
      <c r="A27" s="219" t="n">
        <v>37987</v>
      </c>
      <c r="B27" s="220" t="n">
        <v>3</v>
      </c>
      <c r="C27" s="221" t="n">
        <v>2</v>
      </c>
      <c r="D27" s="222" t="n">
        <v>0.75</v>
      </c>
      <c r="E27" s="223" t="n">
        <v>0.5</v>
      </c>
      <c r="F27" s="224" t="n">
        <v>0.25</v>
      </c>
      <c r="G27" s="224" t="n">
        <v>-0.25</v>
      </c>
      <c r="H27" s="223" t="n">
        <v>-0.65</v>
      </c>
      <c r="I27" s="224" t="n">
        <v>-0.85</v>
      </c>
      <c r="J27" s="223" t="n">
        <v>-0.65</v>
      </c>
      <c r="K27" s="223" t="n">
        <v>0</v>
      </c>
      <c r="L27" s="223" t="n">
        <v>1</v>
      </c>
      <c r="M27" s="224" t="n">
        <v>1.5</v>
      </c>
      <c r="N27" s="224" t="n">
        <v>2.25</v>
      </c>
      <c r="O27" s="223" t="n">
        <v>3</v>
      </c>
      <c r="P27" s="224" t="n">
        <v>3.5</v>
      </c>
      <c r="Q27" s="223" t="n">
        <v>4</v>
      </c>
      <c r="R27" s="224" t="n">
        <v>4.5</v>
      </c>
      <c r="S27" s="221" t="n">
        <v>5.5</v>
      </c>
      <c r="T27" s="225" t="n">
        <v>8.2</v>
      </c>
      <c r="U27" s="226" t="n">
        <v>29</v>
      </c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2.75" hidden="false" customHeight="false" outlineLevel="0" collapsed="false">
      <c r="A28" s="219" t="n">
        <v>38018</v>
      </c>
      <c r="B28" s="220" t="n">
        <v>3</v>
      </c>
      <c r="C28" s="221" t="n">
        <v>2</v>
      </c>
      <c r="D28" s="222" t="n">
        <v>0.75</v>
      </c>
      <c r="E28" s="223" t="n">
        <v>0.5</v>
      </c>
      <c r="F28" s="224" t="n">
        <v>0.25</v>
      </c>
      <c r="G28" s="224" t="n">
        <v>-0.25</v>
      </c>
      <c r="H28" s="223" t="n">
        <v>-0.65</v>
      </c>
      <c r="I28" s="224" t="n">
        <v>-0.85</v>
      </c>
      <c r="J28" s="223" t="n">
        <v>-0.65</v>
      </c>
      <c r="K28" s="223" t="n">
        <v>0</v>
      </c>
      <c r="L28" s="223" t="n">
        <v>1</v>
      </c>
      <c r="M28" s="224" t="n">
        <v>1.5</v>
      </c>
      <c r="N28" s="224" t="n">
        <v>2.25</v>
      </c>
      <c r="O28" s="223" t="n">
        <v>3</v>
      </c>
      <c r="P28" s="224" t="n">
        <v>3.5</v>
      </c>
      <c r="Q28" s="223" t="n">
        <v>4</v>
      </c>
      <c r="R28" s="224" t="n">
        <v>4.5</v>
      </c>
      <c r="S28" s="221" t="n">
        <v>5.5</v>
      </c>
      <c r="T28" s="225" t="n">
        <v>8.2</v>
      </c>
      <c r="U28" s="226" t="n">
        <v>29</v>
      </c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.75" hidden="false" customHeight="false" outlineLevel="0" collapsed="false">
      <c r="A29" s="219" t="n">
        <v>38047</v>
      </c>
      <c r="B29" s="220" t="n">
        <v>3</v>
      </c>
      <c r="C29" s="221" t="n">
        <v>2</v>
      </c>
      <c r="D29" s="222" t="n">
        <v>0.75</v>
      </c>
      <c r="E29" s="223" t="n">
        <v>0.5</v>
      </c>
      <c r="F29" s="224" t="n">
        <v>0.25</v>
      </c>
      <c r="G29" s="224" t="n">
        <v>-0.25</v>
      </c>
      <c r="H29" s="223" t="n">
        <v>-0.65</v>
      </c>
      <c r="I29" s="224" t="n">
        <v>-0.85</v>
      </c>
      <c r="J29" s="223" t="n">
        <v>-0.65</v>
      </c>
      <c r="K29" s="223" t="n">
        <v>0</v>
      </c>
      <c r="L29" s="223" t="n">
        <v>1</v>
      </c>
      <c r="M29" s="224" t="n">
        <v>1.5</v>
      </c>
      <c r="N29" s="224" t="n">
        <v>2.25</v>
      </c>
      <c r="O29" s="223" t="n">
        <v>3</v>
      </c>
      <c r="P29" s="224" t="n">
        <v>3.5</v>
      </c>
      <c r="Q29" s="223" t="n">
        <v>4</v>
      </c>
      <c r="R29" s="224" t="n">
        <v>4.5</v>
      </c>
      <c r="S29" s="221" t="n">
        <v>5.5</v>
      </c>
      <c r="T29" s="225" t="n">
        <v>8.2</v>
      </c>
      <c r="U29" s="226" t="n">
        <v>29</v>
      </c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.75" hidden="false" customHeight="false" outlineLevel="0" collapsed="false">
      <c r="A30" s="219" t="n">
        <v>38078</v>
      </c>
      <c r="B30" s="220" t="n">
        <v>3</v>
      </c>
      <c r="C30" s="221" t="n">
        <v>2</v>
      </c>
      <c r="D30" s="222" t="n">
        <v>0.75</v>
      </c>
      <c r="E30" s="223" t="n">
        <v>0.5</v>
      </c>
      <c r="F30" s="224" t="n">
        <v>0.25</v>
      </c>
      <c r="G30" s="224" t="n">
        <v>-0.25</v>
      </c>
      <c r="H30" s="223" t="n">
        <v>-0.65</v>
      </c>
      <c r="I30" s="224" t="n">
        <v>-0.85</v>
      </c>
      <c r="J30" s="223" t="n">
        <v>-0.65</v>
      </c>
      <c r="K30" s="223" t="n">
        <v>0</v>
      </c>
      <c r="L30" s="223" t="n">
        <v>1</v>
      </c>
      <c r="M30" s="224" t="n">
        <v>1.5</v>
      </c>
      <c r="N30" s="224" t="n">
        <v>2.25</v>
      </c>
      <c r="O30" s="223" t="n">
        <v>3</v>
      </c>
      <c r="P30" s="224" t="n">
        <v>3.5</v>
      </c>
      <c r="Q30" s="223" t="n">
        <v>4</v>
      </c>
      <c r="R30" s="224" t="n">
        <v>4.5</v>
      </c>
      <c r="S30" s="221" t="n">
        <v>5.5</v>
      </c>
      <c r="T30" s="225" t="n">
        <v>8.2</v>
      </c>
      <c r="U30" s="226" t="n">
        <v>29</v>
      </c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A31" s="219" t="n">
        <v>38108</v>
      </c>
      <c r="B31" s="220" t="n">
        <v>3</v>
      </c>
      <c r="C31" s="221" t="n">
        <v>2</v>
      </c>
      <c r="D31" s="222" t="n">
        <v>0.75</v>
      </c>
      <c r="E31" s="223" t="n">
        <v>0.5</v>
      </c>
      <c r="F31" s="224" t="n">
        <v>0.25</v>
      </c>
      <c r="G31" s="224" t="n">
        <v>-0.25</v>
      </c>
      <c r="H31" s="223" t="n">
        <v>-0.65</v>
      </c>
      <c r="I31" s="224" t="n">
        <v>-0.85</v>
      </c>
      <c r="J31" s="223" t="n">
        <v>-0.65</v>
      </c>
      <c r="K31" s="223" t="n">
        <v>0</v>
      </c>
      <c r="L31" s="223" t="n">
        <v>1</v>
      </c>
      <c r="M31" s="224" t="n">
        <v>1.5</v>
      </c>
      <c r="N31" s="224" t="n">
        <v>2.25</v>
      </c>
      <c r="O31" s="223" t="n">
        <v>3</v>
      </c>
      <c r="P31" s="224" t="n">
        <v>3.5</v>
      </c>
      <c r="Q31" s="223" t="n">
        <v>4</v>
      </c>
      <c r="R31" s="224" t="n">
        <v>4.5</v>
      </c>
      <c r="S31" s="221" t="n">
        <v>5.5</v>
      </c>
      <c r="T31" s="225" t="n">
        <v>8.2</v>
      </c>
      <c r="U31" s="226" t="n">
        <v>29</v>
      </c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false" customHeight="false" outlineLevel="0" collapsed="false">
      <c r="A32" s="219" t="n">
        <v>38139</v>
      </c>
      <c r="B32" s="220" t="n">
        <v>3</v>
      </c>
      <c r="C32" s="221" t="n">
        <v>2</v>
      </c>
      <c r="D32" s="222" t="n">
        <v>0.75</v>
      </c>
      <c r="E32" s="223" t="n">
        <v>0.5</v>
      </c>
      <c r="F32" s="224" t="n">
        <v>0.25</v>
      </c>
      <c r="G32" s="224" t="n">
        <v>-0.25</v>
      </c>
      <c r="H32" s="223" t="n">
        <v>-0.65</v>
      </c>
      <c r="I32" s="224" t="n">
        <v>-0.85</v>
      </c>
      <c r="J32" s="223" t="n">
        <v>-0.65</v>
      </c>
      <c r="K32" s="223" t="n">
        <v>0</v>
      </c>
      <c r="L32" s="223" t="n">
        <v>1</v>
      </c>
      <c r="M32" s="224" t="n">
        <v>1.5</v>
      </c>
      <c r="N32" s="224" t="n">
        <v>2.25</v>
      </c>
      <c r="O32" s="223" t="n">
        <v>3</v>
      </c>
      <c r="P32" s="224" t="n">
        <v>3.5</v>
      </c>
      <c r="Q32" s="223" t="n">
        <v>4</v>
      </c>
      <c r="R32" s="224" t="n">
        <v>4.5</v>
      </c>
      <c r="S32" s="221" t="n">
        <v>5.5</v>
      </c>
      <c r="T32" s="225" t="n">
        <v>8.2</v>
      </c>
      <c r="U32" s="226" t="n">
        <v>29</v>
      </c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false" outlineLevel="0" collapsed="false">
      <c r="A33" s="219" t="n">
        <v>38169</v>
      </c>
      <c r="B33" s="220" t="n">
        <v>3</v>
      </c>
      <c r="C33" s="221" t="n">
        <v>2</v>
      </c>
      <c r="D33" s="222" t="n">
        <v>0.75</v>
      </c>
      <c r="E33" s="223" t="n">
        <v>0.5</v>
      </c>
      <c r="F33" s="224" t="n">
        <v>0.25</v>
      </c>
      <c r="G33" s="224" t="n">
        <v>-0.25</v>
      </c>
      <c r="H33" s="223" t="n">
        <v>-0.65</v>
      </c>
      <c r="I33" s="224" t="n">
        <v>-0.85</v>
      </c>
      <c r="J33" s="223" t="n">
        <v>-0.65</v>
      </c>
      <c r="K33" s="223" t="n">
        <v>0</v>
      </c>
      <c r="L33" s="223" t="n">
        <v>1</v>
      </c>
      <c r="M33" s="224" t="n">
        <v>1.5</v>
      </c>
      <c r="N33" s="224" t="n">
        <v>2.25</v>
      </c>
      <c r="O33" s="223" t="n">
        <v>3</v>
      </c>
      <c r="P33" s="224" t="n">
        <v>3.5</v>
      </c>
      <c r="Q33" s="223" t="n">
        <v>4</v>
      </c>
      <c r="R33" s="224" t="n">
        <v>4.5</v>
      </c>
      <c r="S33" s="221" t="n">
        <v>5.5</v>
      </c>
      <c r="T33" s="225" t="n">
        <v>8.2</v>
      </c>
      <c r="U33" s="226" t="n">
        <v>29</v>
      </c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.75" hidden="false" customHeight="false" outlineLevel="0" collapsed="false">
      <c r="A34" s="219" t="n">
        <v>38200</v>
      </c>
      <c r="B34" s="220" t="n">
        <v>3</v>
      </c>
      <c r="C34" s="221" t="n">
        <v>2</v>
      </c>
      <c r="D34" s="222" t="n">
        <v>0.75</v>
      </c>
      <c r="E34" s="223" t="n">
        <v>0.5</v>
      </c>
      <c r="F34" s="224" t="n">
        <v>0.25</v>
      </c>
      <c r="G34" s="224" t="n">
        <v>-0.25</v>
      </c>
      <c r="H34" s="223" t="n">
        <v>-0.65</v>
      </c>
      <c r="I34" s="224" t="n">
        <v>-0.85</v>
      </c>
      <c r="J34" s="223" t="n">
        <v>-0.65</v>
      </c>
      <c r="K34" s="223" t="n">
        <v>0</v>
      </c>
      <c r="L34" s="223" t="n">
        <v>1</v>
      </c>
      <c r="M34" s="224" t="n">
        <v>1.5</v>
      </c>
      <c r="N34" s="224" t="n">
        <v>2.25</v>
      </c>
      <c r="O34" s="223" t="n">
        <v>3</v>
      </c>
      <c r="P34" s="224" t="n">
        <v>3.5</v>
      </c>
      <c r="Q34" s="223" t="n">
        <v>4</v>
      </c>
      <c r="R34" s="224" t="n">
        <v>4.5</v>
      </c>
      <c r="S34" s="221" t="n">
        <v>5.5</v>
      </c>
      <c r="T34" s="225" t="n">
        <v>8.2</v>
      </c>
      <c r="U34" s="226" t="n">
        <v>29</v>
      </c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2.75" hidden="false" customHeight="false" outlineLevel="0" collapsed="false">
      <c r="A35" s="219" t="n">
        <v>38231</v>
      </c>
      <c r="B35" s="220" t="n">
        <v>3</v>
      </c>
      <c r="C35" s="221" t="n">
        <v>2</v>
      </c>
      <c r="D35" s="222" t="n">
        <v>0.75</v>
      </c>
      <c r="E35" s="223" t="n">
        <v>0.5</v>
      </c>
      <c r="F35" s="224" t="n">
        <v>0.25</v>
      </c>
      <c r="G35" s="224" t="n">
        <v>-0.25</v>
      </c>
      <c r="H35" s="223" t="n">
        <v>-0.65</v>
      </c>
      <c r="I35" s="224" t="n">
        <v>-0.85</v>
      </c>
      <c r="J35" s="223" t="n">
        <v>-0.65</v>
      </c>
      <c r="K35" s="223" t="n">
        <v>0</v>
      </c>
      <c r="L35" s="223" t="n">
        <v>1</v>
      </c>
      <c r="M35" s="224" t="n">
        <v>1.5</v>
      </c>
      <c r="N35" s="224" t="n">
        <v>2.25</v>
      </c>
      <c r="O35" s="223" t="n">
        <v>3</v>
      </c>
      <c r="P35" s="224" t="n">
        <v>3.5</v>
      </c>
      <c r="Q35" s="223" t="n">
        <v>4</v>
      </c>
      <c r="R35" s="224" t="n">
        <v>4.5</v>
      </c>
      <c r="S35" s="221" t="n">
        <v>5.5</v>
      </c>
      <c r="T35" s="225" t="n">
        <v>8.2</v>
      </c>
      <c r="U35" s="226" t="n">
        <v>29</v>
      </c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2.75" hidden="false" customHeight="false" outlineLevel="0" collapsed="false">
      <c r="A36" s="219" t="n">
        <v>38261</v>
      </c>
      <c r="B36" s="220" t="n">
        <v>3</v>
      </c>
      <c r="C36" s="221" t="n">
        <v>2</v>
      </c>
      <c r="D36" s="222" t="n">
        <v>0.75</v>
      </c>
      <c r="E36" s="223" t="n">
        <v>0.5</v>
      </c>
      <c r="F36" s="224" t="n">
        <v>0.25</v>
      </c>
      <c r="G36" s="224" t="n">
        <v>-0.25</v>
      </c>
      <c r="H36" s="223" t="n">
        <v>-0.65</v>
      </c>
      <c r="I36" s="224" t="n">
        <v>-0.85</v>
      </c>
      <c r="J36" s="223" t="n">
        <v>-0.65</v>
      </c>
      <c r="K36" s="223" t="n">
        <v>0</v>
      </c>
      <c r="L36" s="223" t="n">
        <v>1</v>
      </c>
      <c r="M36" s="224" t="n">
        <v>1.5</v>
      </c>
      <c r="N36" s="224" t="n">
        <v>2.25</v>
      </c>
      <c r="O36" s="223" t="n">
        <v>3</v>
      </c>
      <c r="P36" s="224" t="n">
        <v>3.5</v>
      </c>
      <c r="Q36" s="223" t="n">
        <v>4</v>
      </c>
      <c r="R36" s="224" t="n">
        <v>4.5</v>
      </c>
      <c r="S36" s="221" t="n">
        <v>5.5</v>
      </c>
      <c r="T36" s="225" t="n">
        <v>8.2</v>
      </c>
      <c r="U36" s="226" t="n">
        <v>29</v>
      </c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.75" hidden="false" customHeight="false" outlineLevel="0" collapsed="false">
      <c r="A37" s="219" t="n">
        <v>38292</v>
      </c>
      <c r="B37" s="220" t="n">
        <v>3</v>
      </c>
      <c r="C37" s="221" t="n">
        <v>2</v>
      </c>
      <c r="D37" s="222" t="n">
        <v>0.75</v>
      </c>
      <c r="E37" s="223" t="n">
        <v>0.5</v>
      </c>
      <c r="F37" s="224" t="n">
        <v>0.25</v>
      </c>
      <c r="G37" s="224" t="n">
        <v>-0.25</v>
      </c>
      <c r="H37" s="223" t="n">
        <v>-0.65</v>
      </c>
      <c r="I37" s="224" t="n">
        <v>-0.85</v>
      </c>
      <c r="J37" s="223" t="n">
        <v>-0.65</v>
      </c>
      <c r="K37" s="223" t="n">
        <v>0</v>
      </c>
      <c r="L37" s="223" t="n">
        <v>1</v>
      </c>
      <c r="M37" s="224" t="n">
        <v>1.5</v>
      </c>
      <c r="N37" s="224" t="n">
        <v>2.25</v>
      </c>
      <c r="O37" s="223" t="n">
        <v>3</v>
      </c>
      <c r="P37" s="224" t="n">
        <v>3.5</v>
      </c>
      <c r="Q37" s="223" t="n">
        <v>4</v>
      </c>
      <c r="R37" s="224" t="n">
        <v>4.5</v>
      </c>
      <c r="S37" s="221" t="n">
        <v>5.5</v>
      </c>
      <c r="T37" s="225" t="n">
        <v>8.2</v>
      </c>
      <c r="U37" s="226" t="n">
        <v>29</v>
      </c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.75" hidden="false" customHeight="false" outlineLevel="0" collapsed="false">
      <c r="A38" s="219" t="n">
        <v>40513</v>
      </c>
      <c r="B38" s="220" t="n">
        <v>3</v>
      </c>
      <c r="C38" s="221" t="n">
        <v>2</v>
      </c>
      <c r="D38" s="222" t="n">
        <v>0.75</v>
      </c>
      <c r="E38" s="223" t="n">
        <v>0.5</v>
      </c>
      <c r="F38" s="224" t="n">
        <v>0.25</v>
      </c>
      <c r="G38" s="224" t="n">
        <v>-0.25</v>
      </c>
      <c r="H38" s="223" t="n">
        <v>-0.65</v>
      </c>
      <c r="I38" s="224" t="n">
        <v>-0.85</v>
      </c>
      <c r="J38" s="223" t="n">
        <v>-0.65</v>
      </c>
      <c r="K38" s="223" t="n">
        <v>0</v>
      </c>
      <c r="L38" s="223" t="n">
        <v>1</v>
      </c>
      <c r="M38" s="224" t="n">
        <v>1.5</v>
      </c>
      <c r="N38" s="224" t="n">
        <v>2.25</v>
      </c>
      <c r="O38" s="223" t="n">
        <v>3</v>
      </c>
      <c r="P38" s="224" t="n">
        <v>3.5</v>
      </c>
      <c r="Q38" s="223" t="n">
        <v>4</v>
      </c>
      <c r="R38" s="224" t="n">
        <v>4.5</v>
      </c>
      <c r="S38" s="221" t="n">
        <v>5.5</v>
      </c>
      <c r="T38" s="225" t="n">
        <v>8.2</v>
      </c>
      <c r="U38" s="226" t="n">
        <v>29</v>
      </c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3.5" hidden="false" customHeight="false" outlineLevel="0" collapsed="false">
      <c r="A39" s="228" t="n">
        <v>44531</v>
      </c>
      <c r="B39" s="229" t="n">
        <v>3</v>
      </c>
      <c r="C39" s="230" t="n">
        <v>2</v>
      </c>
      <c r="D39" s="231" t="n">
        <v>0.75</v>
      </c>
      <c r="E39" s="232" t="n">
        <v>0.5</v>
      </c>
      <c r="F39" s="233" t="n">
        <v>0.25</v>
      </c>
      <c r="G39" s="234" t="n">
        <v>-0.25</v>
      </c>
      <c r="H39" s="232" t="n">
        <v>-0.65</v>
      </c>
      <c r="I39" s="233" t="n">
        <v>-0.85</v>
      </c>
      <c r="J39" s="232" t="n">
        <v>-0.65</v>
      </c>
      <c r="K39" s="232" t="n">
        <v>0</v>
      </c>
      <c r="L39" s="232" t="n">
        <v>1</v>
      </c>
      <c r="M39" s="233" t="n">
        <v>1.5</v>
      </c>
      <c r="N39" s="234" t="n">
        <v>2.25</v>
      </c>
      <c r="O39" s="232" t="n">
        <v>3</v>
      </c>
      <c r="P39" s="234" t="n">
        <v>3.4</v>
      </c>
      <c r="Q39" s="232" t="n">
        <v>4</v>
      </c>
      <c r="R39" s="234" t="n">
        <v>4.5</v>
      </c>
      <c r="S39" s="230" t="n">
        <v>5.5</v>
      </c>
      <c r="T39" s="235" t="n">
        <v>8.2</v>
      </c>
      <c r="U39" s="236" t="n">
        <v>29</v>
      </c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2.7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3.5" hidden="false" customHeight="false" outlineLevel="0" collapsed="false">
      <c r="A42" s="237"/>
      <c r="B42" s="237"/>
      <c r="C42" s="237"/>
      <c r="D42" s="237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37"/>
    </row>
    <row r="43" customFormat="false" ht="13.5" hidden="false" customHeight="false" outlineLevel="0" collapsed="false">
      <c r="A43" s="238"/>
      <c r="B43" s="239" t="n">
        <v>-5</v>
      </c>
      <c r="C43" s="240" t="n">
        <v>-4</v>
      </c>
      <c r="D43" s="241" t="n">
        <v>-3.5</v>
      </c>
      <c r="E43" s="241" t="n">
        <v>-3</v>
      </c>
      <c r="F43" s="241" t="n">
        <v>-2.5</v>
      </c>
      <c r="G43" s="241" t="n">
        <v>-2</v>
      </c>
      <c r="H43" s="241" t="n">
        <v>-1.5</v>
      </c>
      <c r="I43" s="241" t="n">
        <v>-1</v>
      </c>
      <c r="J43" s="241" t="n">
        <v>-0.5</v>
      </c>
      <c r="K43" s="241" t="n">
        <v>0</v>
      </c>
      <c r="L43" s="241" t="n">
        <v>0.5</v>
      </c>
      <c r="M43" s="241" t="n">
        <v>1</v>
      </c>
      <c r="N43" s="241" t="n">
        <v>1.5</v>
      </c>
      <c r="O43" s="241" t="n">
        <v>2</v>
      </c>
      <c r="P43" s="241" t="n">
        <v>2.5</v>
      </c>
      <c r="Q43" s="241" t="n">
        <v>3</v>
      </c>
      <c r="R43" s="241" t="n">
        <v>4</v>
      </c>
      <c r="S43" s="241" t="n">
        <v>5</v>
      </c>
      <c r="T43" s="242" t="n">
        <v>10</v>
      </c>
      <c r="U43" s="243" t="n">
        <v>40</v>
      </c>
    </row>
    <row r="44" customFormat="false" ht="12.75" hidden="false" customHeight="false" outlineLevel="0" collapsed="false">
      <c r="A44" s="244" t="n">
        <v>37165</v>
      </c>
      <c r="B44" s="245" t="n">
        <v>4.75</v>
      </c>
      <c r="C44" s="246" t="n">
        <v>3.75</v>
      </c>
      <c r="D44" s="247" t="n">
        <v>2.5</v>
      </c>
      <c r="E44" s="248" t="n">
        <v>1.5</v>
      </c>
      <c r="F44" s="249" t="n">
        <v>0.5</v>
      </c>
      <c r="G44" s="249" t="n">
        <v>0</v>
      </c>
      <c r="H44" s="248" t="n">
        <v>-0.5</v>
      </c>
      <c r="I44" s="249" t="n">
        <v>-0.75</v>
      </c>
      <c r="J44" s="248" t="n">
        <v>-0.5</v>
      </c>
      <c r="K44" s="248" t="n">
        <v>0</v>
      </c>
      <c r="L44" s="248" t="n">
        <v>1</v>
      </c>
      <c r="M44" s="249" t="n">
        <v>1.75</v>
      </c>
      <c r="N44" s="249" t="n">
        <v>2.5</v>
      </c>
      <c r="O44" s="248" t="n">
        <v>3.25</v>
      </c>
      <c r="P44" s="249" t="n">
        <v>4</v>
      </c>
      <c r="Q44" s="248" t="n">
        <v>4.75</v>
      </c>
      <c r="R44" s="249" t="n">
        <v>6</v>
      </c>
      <c r="S44" s="250" t="n">
        <v>7.25</v>
      </c>
      <c r="T44" s="251" t="n">
        <v>16.2609781548785</v>
      </c>
      <c r="U44" s="246" t="n">
        <v>58.4036350718027</v>
      </c>
    </row>
    <row r="45" customFormat="false" ht="12.75" hidden="false" customHeight="false" outlineLevel="0" collapsed="false">
      <c r="A45" s="252" t="n">
        <v>37196</v>
      </c>
      <c r="B45" s="253" t="n">
        <v>4.5</v>
      </c>
      <c r="C45" s="254" t="n">
        <v>3.5</v>
      </c>
      <c r="D45" s="255" t="n">
        <v>2.25</v>
      </c>
      <c r="E45" s="256" t="n">
        <v>1.25</v>
      </c>
      <c r="F45" s="257" t="n">
        <v>0.25</v>
      </c>
      <c r="G45" s="257" t="n">
        <v>-0.25</v>
      </c>
      <c r="H45" s="256" t="n">
        <v>-0.75</v>
      </c>
      <c r="I45" s="257" t="n">
        <v>-1</v>
      </c>
      <c r="J45" s="256" t="n">
        <v>-0.75</v>
      </c>
      <c r="K45" s="256" t="n">
        <v>0</v>
      </c>
      <c r="L45" s="256" t="n">
        <v>1.25</v>
      </c>
      <c r="M45" s="257" t="n">
        <v>2.5</v>
      </c>
      <c r="N45" s="257" t="n">
        <v>3</v>
      </c>
      <c r="O45" s="256" t="n">
        <v>3.75</v>
      </c>
      <c r="P45" s="257" t="n">
        <v>4.5</v>
      </c>
      <c r="Q45" s="256" t="n">
        <v>5</v>
      </c>
      <c r="R45" s="257" t="n">
        <v>6.25</v>
      </c>
      <c r="S45" s="258" t="n">
        <v>7.5</v>
      </c>
      <c r="T45" s="259" t="n">
        <v>12</v>
      </c>
      <c r="U45" s="254" t="n">
        <v>44</v>
      </c>
    </row>
    <row r="46" customFormat="false" ht="12.75" hidden="false" customHeight="false" outlineLevel="0" collapsed="false">
      <c r="A46" s="252" t="n">
        <v>37226</v>
      </c>
      <c r="B46" s="253" t="n">
        <v>4.5</v>
      </c>
      <c r="C46" s="254" t="n">
        <v>3.5</v>
      </c>
      <c r="D46" s="255" t="n">
        <v>2.25</v>
      </c>
      <c r="E46" s="256" t="n">
        <v>1.25</v>
      </c>
      <c r="F46" s="257" t="n">
        <v>0.25</v>
      </c>
      <c r="G46" s="257" t="n">
        <v>-0.25</v>
      </c>
      <c r="H46" s="256" t="n">
        <v>-0.75</v>
      </c>
      <c r="I46" s="257" t="n">
        <v>-1</v>
      </c>
      <c r="J46" s="256" t="n">
        <v>-0.75</v>
      </c>
      <c r="K46" s="256" t="n">
        <v>0</v>
      </c>
      <c r="L46" s="256" t="n">
        <v>1.25</v>
      </c>
      <c r="M46" s="257" t="n">
        <v>2.5</v>
      </c>
      <c r="N46" s="257" t="n">
        <v>3</v>
      </c>
      <c r="O46" s="256" t="n">
        <v>3.75</v>
      </c>
      <c r="P46" s="257" t="n">
        <v>4.5</v>
      </c>
      <c r="Q46" s="256" t="n">
        <v>5</v>
      </c>
      <c r="R46" s="257" t="n">
        <v>6.25</v>
      </c>
      <c r="S46" s="258" t="n">
        <v>7.5</v>
      </c>
      <c r="T46" s="259" t="n">
        <v>12</v>
      </c>
      <c r="U46" s="254" t="n">
        <v>44</v>
      </c>
    </row>
    <row r="47" customFormat="false" ht="12.75" hidden="false" customHeight="false" outlineLevel="0" collapsed="false">
      <c r="A47" s="252" t="n">
        <v>37257</v>
      </c>
      <c r="B47" s="253" t="n">
        <v>4.5</v>
      </c>
      <c r="C47" s="254" t="n">
        <v>3.5</v>
      </c>
      <c r="D47" s="255" t="n">
        <v>2.25</v>
      </c>
      <c r="E47" s="256" t="n">
        <v>1.25</v>
      </c>
      <c r="F47" s="257" t="n">
        <v>0.25</v>
      </c>
      <c r="G47" s="257" t="n">
        <v>-0.25</v>
      </c>
      <c r="H47" s="256" t="n">
        <v>-0.75</v>
      </c>
      <c r="I47" s="257" t="n">
        <v>-1</v>
      </c>
      <c r="J47" s="256" t="n">
        <v>-0.75</v>
      </c>
      <c r="K47" s="256" t="n">
        <v>0</v>
      </c>
      <c r="L47" s="256" t="n">
        <v>1.25</v>
      </c>
      <c r="M47" s="257" t="n">
        <v>2.5</v>
      </c>
      <c r="N47" s="257" t="n">
        <v>3</v>
      </c>
      <c r="O47" s="256" t="n">
        <v>3.75</v>
      </c>
      <c r="P47" s="257" t="n">
        <v>4.5</v>
      </c>
      <c r="Q47" s="256" t="n">
        <v>5</v>
      </c>
      <c r="R47" s="257" t="n">
        <v>6.25</v>
      </c>
      <c r="S47" s="258" t="n">
        <v>7.5</v>
      </c>
      <c r="T47" s="259" t="n">
        <v>12</v>
      </c>
      <c r="U47" s="254" t="n">
        <v>44</v>
      </c>
    </row>
    <row r="48" customFormat="false" ht="12.75" hidden="false" customHeight="false" outlineLevel="0" collapsed="false">
      <c r="A48" s="252" t="n">
        <v>37288</v>
      </c>
      <c r="B48" s="253" t="n">
        <v>4.5</v>
      </c>
      <c r="C48" s="254" t="n">
        <v>3.5</v>
      </c>
      <c r="D48" s="255" t="n">
        <v>2.25</v>
      </c>
      <c r="E48" s="256" t="n">
        <v>1.25</v>
      </c>
      <c r="F48" s="257" t="n">
        <v>0.25</v>
      </c>
      <c r="G48" s="257" t="n">
        <v>-0.25</v>
      </c>
      <c r="H48" s="256" t="n">
        <v>-0.75</v>
      </c>
      <c r="I48" s="257" t="n">
        <v>-1</v>
      </c>
      <c r="J48" s="256" t="n">
        <v>-0.75</v>
      </c>
      <c r="K48" s="256" t="n">
        <v>0</v>
      </c>
      <c r="L48" s="256" t="n">
        <v>1.25</v>
      </c>
      <c r="M48" s="257" t="n">
        <v>2.5</v>
      </c>
      <c r="N48" s="257" t="n">
        <v>3</v>
      </c>
      <c r="O48" s="256" t="n">
        <v>3.75</v>
      </c>
      <c r="P48" s="257" t="n">
        <v>4.5</v>
      </c>
      <c r="Q48" s="256" t="n">
        <v>5</v>
      </c>
      <c r="R48" s="257" t="n">
        <v>6.25</v>
      </c>
      <c r="S48" s="258" t="n">
        <v>7.5</v>
      </c>
      <c r="T48" s="259" t="n">
        <v>12</v>
      </c>
      <c r="U48" s="254" t="n">
        <v>44</v>
      </c>
    </row>
    <row r="49" customFormat="false" ht="12.75" hidden="false" customHeight="false" outlineLevel="0" collapsed="false">
      <c r="A49" s="252" t="n">
        <v>37316</v>
      </c>
      <c r="B49" s="253" t="n">
        <v>4.5</v>
      </c>
      <c r="C49" s="254" t="n">
        <v>3.5</v>
      </c>
      <c r="D49" s="255" t="n">
        <v>2.25</v>
      </c>
      <c r="E49" s="256" t="n">
        <v>1.25</v>
      </c>
      <c r="F49" s="257" t="n">
        <v>0.25</v>
      </c>
      <c r="G49" s="257" t="n">
        <v>-0.25</v>
      </c>
      <c r="H49" s="256" t="n">
        <v>-0.75</v>
      </c>
      <c r="I49" s="257" t="n">
        <v>-1</v>
      </c>
      <c r="J49" s="256" t="n">
        <v>-0.75</v>
      </c>
      <c r="K49" s="256" t="n">
        <v>0</v>
      </c>
      <c r="L49" s="256" t="n">
        <v>1.2</v>
      </c>
      <c r="M49" s="257" t="n">
        <v>2.4</v>
      </c>
      <c r="N49" s="257" t="n">
        <v>2.9</v>
      </c>
      <c r="O49" s="256" t="n">
        <v>3.65</v>
      </c>
      <c r="P49" s="257" t="n">
        <v>4.4</v>
      </c>
      <c r="Q49" s="256" t="n">
        <v>4.9</v>
      </c>
      <c r="R49" s="257" t="n">
        <v>6.1</v>
      </c>
      <c r="S49" s="258" t="n">
        <v>7.3</v>
      </c>
      <c r="T49" s="259" t="n">
        <v>12</v>
      </c>
      <c r="U49" s="254" t="n">
        <v>44</v>
      </c>
    </row>
    <row r="50" customFormat="false" ht="12.75" hidden="false" customHeight="false" outlineLevel="0" collapsed="false">
      <c r="A50" s="252" t="n">
        <v>37347</v>
      </c>
      <c r="B50" s="253" t="n">
        <v>4</v>
      </c>
      <c r="C50" s="254" t="n">
        <v>3</v>
      </c>
      <c r="D50" s="255" t="n">
        <v>1.5</v>
      </c>
      <c r="E50" s="256" t="n">
        <v>0.5</v>
      </c>
      <c r="F50" s="257" t="n">
        <v>0.1</v>
      </c>
      <c r="G50" s="257" t="n">
        <v>-0.25</v>
      </c>
      <c r="H50" s="256" t="n">
        <v>-0.5</v>
      </c>
      <c r="I50" s="257" t="n">
        <v>-0.85</v>
      </c>
      <c r="J50" s="256" t="n">
        <v>-0.65</v>
      </c>
      <c r="K50" s="256" t="n">
        <v>0</v>
      </c>
      <c r="L50" s="256" t="n">
        <v>0.9</v>
      </c>
      <c r="M50" s="257" t="n">
        <v>1.5</v>
      </c>
      <c r="N50" s="257" t="n">
        <v>2.25</v>
      </c>
      <c r="O50" s="256" t="n">
        <v>2.5</v>
      </c>
      <c r="P50" s="257" t="n">
        <v>3.35</v>
      </c>
      <c r="Q50" s="256" t="n">
        <v>3.5</v>
      </c>
      <c r="R50" s="257" t="n">
        <v>4.5</v>
      </c>
      <c r="S50" s="258" t="n">
        <v>5.25</v>
      </c>
      <c r="T50" s="259" t="n">
        <v>8.2</v>
      </c>
      <c r="U50" s="254" t="n">
        <v>29</v>
      </c>
    </row>
    <row r="51" customFormat="false" ht="12.75" hidden="false" customHeight="false" outlineLevel="0" collapsed="false">
      <c r="A51" s="252" t="n">
        <v>37377</v>
      </c>
      <c r="B51" s="260" t="n">
        <v>3</v>
      </c>
      <c r="C51" s="261" t="n">
        <v>2</v>
      </c>
      <c r="D51" s="255" t="n">
        <v>1</v>
      </c>
      <c r="E51" s="256" t="n">
        <v>0.75</v>
      </c>
      <c r="F51" s="257" t="n">
        <v>0.25</v>
      </c>
      <c r="G51" s="257" t="n">
        <v>0</v>
      </c>
      <c r="H51" s="262" t="n">
        <v>-0.4</v>
      </c>
      <c r="I51" s="257" t="n">
        <v>-0.6</v>
      </c>
      <c r="J51" s="262" t="n">
        <v>-0.6</v>
      </c>
      <c r="K51" s="262" t="n">
        <v>0</v>
      </c>
      <c r="L51" s="262" t="n">
        <v>0.8</v>
      </c>
      <c r="M51" s="257" t="n">
        <v>1.25</v>
      </c>
      <c r="N51" s="257" t="n">
        <v>1.75</v>
      </c>
      <c r="O51" s="262" t="n">
        <v>2.25</v>
      </c>
      <c r="P51" s="257" t="n">
        <v>2.85</v>
      </c>
      <c r="Q51" s="262" t="n">
        <v>3.25</v>
      </c>
      <c r="R51" s="257" t="n">
        <v>4.25</v>
      </c>
      <c r="S51" s="263" t="n">
        <v>5</v>
      </c>
      <c r="T51" s="264" t="n">
        <v>8.2</v>
      </c>
      <c r="U51" s="261" t="n">
        <v>29</v>
      </c>
    </row>
    <row r="52" customFormat="false" ht="12.75" hidden="false" customHeight="false" outlineLevel="0" collapsed="false">
      <c r="A52" s="252" t="n">
        <v>37408</v>
      </c>
      <c r="B52" s="260" t="n">
        <v>3</v>
      </c>
      <c r="C52" s="261" t="n">
        <v>2</v>
      </c>
      <c r="D52" s="255" t="n">
        <v>1</v>
      </c>
      <c r="E52" s="256" t="n">
        <v>0.75</v>
      </c>
      <c r="F52" s="257" t="n">
        <v>0.25</v>
      </c>
      <c r="G52" s="257" t="n">
        <v>0</v>
      </c>
      <c r="H52" s="262" t="n">
        <v>-0.4</v>
      </c>
      <c r="I52" s="257" t="n">
        <v>-0.6</v>
      </c>
      <c r="J52" s="262" t="n">
        <v>-0.6</v>
      </c>
      <c r="K52" s="262" t="n">
        <v>0</v>
      </c>
      <c r="L52" s="262" t="n">
        <v>0.8</v>
      </c>
      <c r="M52" s="257" t="n">
        <v>1.25</v>
      </c>
      <c r="N52" s="257" t="n">
        <v>1.75</v>
      </c>
      <c r="O52" s="262" t="n">
        <v>2.25</v>
      </c>
      <c r="P52" s="257" t="n">
        <v>2.85</v>
      </c>
      <c r="Q52" s="262" t="n">
        <v>3.25</v>
      </c>
      <c r="R52" s="257" t="n">
        <v>4.25</v>
      </c>
      <c r="S52" s="263" t="n">
        <v>5</v>
      </c>
      <c r="T52" s="264" t="n">
        <v>8.2</v>
      </c>
      <c r="U52" s="261" t="n">
        <v>29</v>
      </c>
    </row>
    <row r="53" customFormat="false" ht="12.75" hidden="false" customHeight="false" outlineLevel="0" collapsed="false">
      <c r="A53" s="252" t="n">
        <v>37438</v>
      </c>
      <c r="B53" s="260" t="n">
        <v>3</v>
      </c>
      <c r="C53" s="261" t="n">
        <v>2</v>
      </c>
      <c r="D53" s="255" t="n">
        <v>1</v>
      </c>
      <c r="E53" s="256" t="n">
        <v>0.75</v>
      </c>
      <c r="F53" s="257" t="n">
        <v>0.25</v>
      </c>
      <c r="G53" s="257" t="n">
        <v>0</v>
      </c>
      <c r="H53" s="262" t="n">
        <v>-0.4</v>
      </c>
      <c r="I53" s="257" t="n">
        <v>-0.6</v>
      </c>
      <c r="J53" s="262" t="n">
        <v>-0.6</v>
      </c>
      <c r="K53" s="262" t="n">
        <v>0</v>
      </c>
      <c r="L53" s="262" t="n">
        <v>0.8</v>
      </c>
      <c r="M53" s="257" t="n">
        <v>1.25</v>
      </c>
      <c r="N53" s="257" t="n">
        <v>1.75</v>
      </c>
      <c r="O53" s="262" t="n">
        <v>2.25</v>
      </c>
      <c r="P53" s="257" t="n">
        <v>2.85</v>
      </c>
      <c r="Q53" s="262" t="n">
        <v>3.25</v>
      </c>
      <c r="R53" s="257" t="n">
        <v>4.25</v>
      </c>
      <c r="S53" s="263" t="n">
        <v>5</v>
      </c>
      <c r="T53" s="264" t="n">
        <v>8.2</v>
      </c>
      <c r="U53" s="261" t="n">
        <v>29</v>
      </c>
    </row>
    <row r="54" customFormat="false" ht="12.75" hidden="false" customHeight="false" outlineLevel="0" collapsed="false">
      <c r="A54" s="252" t="n">
        <v>37469</v>
      </c>
      <c r="B54" s="260" t="n">
        <v>3</v>
      </c>
      <c r="C54" s="261" t="n">
        <v>2</v>
      </c>
      <c r="D54" s="255" t="n">
        <v>1</v>
      </c>
      <c r="E54" s="256" t="n">
        <v>0.75</v>
      </c>
      <c r="F54" s="257" t="n">
        <v>0.25</v>
      </c>
      <c r="G54" s="257" t="n">
        <v>0</v>
      </c>
      <c r="H54" s="262" t="n">
        <v>-0.4</v>
      </c>
      <c r="I54" s="257" t="n">
        <v>-0.6</v>
      </c>
      <c r="J54" s="262" t="n">
        <v>-0.6</v>
      </c>
      <c r="K54" s="262" t="n">
        <v>0</v>
      </c>
      <c r="L54" s="262" t="n">
        <v>0.8</v>
      </c>
      <c r="M54" s="257" t="n">
        <v>1.25</v>
      </c>
      <c r="N54" s="257" t="n">
        <v>1.75</v>
      </c>
      <c r="O54" s="262" t="n">
        <v>2.25</v>
      </c>
      <c r="P54" s="257" t="n">
        <v>2.85</v>
      </c>
      <c r="Q54" s="262" t="n">
        <v>3.25</v>
      </c>
      <c r="R54" s="257" t="n">
        <v>4.25</v>
      </c>
      <c r="S54" s="263" t="n">
        <v>5</v>
      </c>
      <c r="T54" s="265" t="n">
        <v>8.2</v>
      </c>
      <c r="U54" s="266" t="n">
        <v>29</v>
      </c>
    </row>
    <row r="55" customFormat="false" ht="12.75" hidden="false" customHeight="false" outlineLevel="0" collapsed="false">
      <c r="A55" s="252" t="n">
        <v>37500</v>
      </c>
      <c r="B55" s="260" t="n">
        <v>3</v>
      </c>
      <c r="C55" s="261" t="n">
        <v>2</v>
      </c>
      <c r="D55" s="255" t="n">
        <v>1</v>
      </c>
      <c r="E55" s="256" t="n">
        <v>0.75</v>
      </c>
      <c r="F55" s="257" t="n">
        <v>0.25</v>
      </c>
      <c r="G55" s="257" t="n">
        <v>0</v>
      </c>
      <c r="H55" s="262" t="n">
        <v>-0.4</v>
      </c>
      <c r="I55" s="257" t="n">
        <v>-0.6</v>
      </c>
      <c r="J55" s="262" t="n">
        <v>-0.6</v>
      </c>
      <c r="K55" s="262" t="n">
        <v>0</v>
      </c>
      <c r="L55" s="262" t="n">
        <v>0.8</v>
      </c>
      <c r="M55" s="257" t="n">
        <v>1.25</v>
      </c>
      <c r="N55" s="257" t="n">
        <v>1.75</v>
      </c>
      <c r="O55" s="262" t="n">
        <v>2.25</v>
      </c>
      <c r="P55" s="257" t="n">
        <v>2.85</v>
      </c>
      <c r="Q55" s="262" t="n">
        <v>3.25</v>
      </c>
      <c r="R55" s="257" t="n">
        <v>4.25</v>
      </c>
      <c r="S55" s="263" t="n">
        <v>5</v>
      </c>
      <c r="T55" s="264" t="n">
        <v>8.2</v>
      </c>
      <c r="U55" s="261" t="n">
        <v>29</v>
      </c>
    </row>
    <row r="56" customFormat="false" ht="12.75" hidden="false" customHeight="false" outlineLevel="0" collapsed="false">
      <c r="A56" s="252" t="n">
        <v>37530</v>
      </c>
      <c r="B56" s="260" t="n">
        <v>3</v>
      </c>
      <c r="C56" s="261" t="n">
        <v>2</v>
      </c>
      <c r="D56" s="255" t="n">
        <v>1</v>
      </c>
      <c r="E56" s="256" t="n">
        <v>0.75</v>
      </c>
      <c r="F56" s="257" t="n">
        <v>0.25</v>
      </c>
      <c r="G56" s="257" t="n">
        <v>0</v>
      </c>
      <c r="H56" s="262" t="n">
        <v>-0.4</v>
      </c>
      <c r="I56" s="257" t="n">
        <v>-0.6</v>
      </c>
      <c r="J56" s="262" t="n">
        <v>-0.6</v>
      </c>
      <c r="K56" s="262" t="n">
        <v>0</v>
      </c>
      <c r="L56" s="262" t="n">
        <v>0.8</v>
      </c>
      <c r="M56" s="257" t="n">
        <v>1.25</v>
      </c>
      <c r="N56" s="257" t="n">
        <v>1.75</v>
      </c>
      <c r="O56" s="262" t="n">
        <v>2.25</v>
      </c>
      <c r="P56" s="257" t="n">
        <v>2.85</v>
      </c>
      <c r="Q56" s="262" t="n">
        <v>3.25</v>
      </c>
      <c r="R56" s="257" t="n">
        <v>4.25</v>
      </c>
      <c r="S56" s="263" t="n">
        <v>5</v>
      </c>
      <c r="T56" s="264" t="n">
        <v>8.2</v>
      </c>
      <c r="U56" s="261" t="n">
        <v>29</v>
      </c>
    </row>
    <row r="57" customFormat="false" ht="12.75" hidden="false" customHeight="false" outlineLevel="0" collapsed="false">
      <c r="A57" s="252" t="n">
        <v>37561</v>
      </c>
      <c r="B57" s="260" t="n">
        <v>3</v>
      </c>
      <c r="C57" s="261" t="n">
        <v>2</v>
      </c>
      <c r="D57" s="255" t="n">
        <v>1</v>
      </c>
      <c r="E57" s="256" t="n">
        <v>0.75</v>
      </c>
      <c r="F57" s="257" t="n">
        <v>0.25</v>
      </c>
      <c r="G57" s="257" t="n">
        <v>0</v>
      </c>
      <c r="H57" s="262" t="n">
        <v>-0.4</v>
      </c>
      <c r="I57" s="257" t="n">
        <v>-0.6</v>
      </c>
      <c r="J57" s="262" t="n">
        <v>-0.6</v>
      </c>
      <c r="K57" s="262" t="n">
        <v>0</v>
      </c>
      <c r="L57" s="262" t="n">
        <v>0.8</v>
      </c>
      <c r="M57" s="257" t="n">
        <v>1.25</v>
      </c>
      <c r="N57" s="257" t="n">
        <v>1.75</v>
      </c>
      <c r="O57" s="262" t="n">
        <v>2.25</v>
      </c>
      <c r="P57" s="257" t="n">
        <v>2.85</v>
      </c>
      <c r="Q57" s="262" t="n">
        <v>3.25</v>
      </c>
      <c r="R57" s="257" t="n">
        <v>4.25</v>
      </c>
      <c r="S57" s="263" t="n">
        <v>5</v>
      </c>
      <c r="T57" s="264" t="n">
        <v>8.2</v>
      </c>
      <c r="U57" s="261" t="n">
        <v>29</v>
      </c>
    </row>
    <row r="58" customFormat="false" ht="12.75" hidden="false" customHeight="false" outlineLevel="0" collapsed="false">
      <c r="A58" s="252" t="n">
        <v>37591</v>
      </c>
      <c r="B58" s="260" t="n">
        <v>3</v>
      </c>
      <c r="C58" s="261" t="n">
        <v>2</v>
      </c>
      <c r="D58" s="255" t="n">
        <v>1</v>
      </c>
      <c r="E58" s="256" t="n">
        <v>0.75</v>
      </c>
      <c r="F58" s="257" t="n">
        <v>0.25</v>
      </c>
      <c r="G58" s="257" t="n">
        <v>0</v>
      </c>
      <c r="H58" s="262" t="n">
        <v>-0.4</v>
      </c>
      <c r="I58" s="257" t="n">
        <v>-0.6</v>
      </c>
      <c r="J58" s="262" t="n">
        <v>-0.6</v>
      </c>
      <c r="K58" s="262" t="n">
        <v>0</v>
      </c>
      <c r="L58" s="262" t="n">
        <v>0.8</v>
      </c>
      <c r="M58" s="257" t="n">
        <v>1.25</v>
      </c>
      <c r="N58" s="257" t="n">
        <v>1.75</v>
      </c>
      <c r="O58" s="262" t="n">
        <v>2.25</v>
      </c>
      <c r="P58" s="257" t="n">
        <v>2.85</v>
      </c>
      <c r="Q58" s="262" t="n">
        <v>3.25</v>
      </c>
      <c r="R58" s="257" t="n">
        <v>4.25</v>
      </c>
      <c r="S58" s="263" t="n">
        <v>5</v>
      </c>
      <c r="T58" s="264" t="n">
        <v>8.2</v>
      </c>
      <c r="U58" s="261" t="n">
        <v>29</v>
      </c>
    </row>
    <row r="59" customFormat="false" ht="12.75" hidden="false" customHeight="false" outlineLevel="0" collapsed="false">
      <c r="A59" s="267" t="n">
        <v>37622</v>
      </c>
      <c r="B59" s="268" t="n">
        <v>3</v>
      </c>
      <c r="C59" s="269" t="n">
        <v>2</v>
      </c>
      <c r="D59" s="270" t="n">
        <v>1</v>
      </c>
      <c r="E59" s="271" t="n">
        <v>0.75</v>
      </c>
      <c r="F59" s="272" t="n">
        <v>0.25</v>
      </c>
      <c r="G59" s="272" t="n">
        <v>0</v>
      </c>
      <c r="H59" s="271" t="n">
        <v>-0.4</v>
      </c>
      <c r="I59" s="272" t="n">
        <v>-0.6</v>
      </c>
      <c r="J59" s="271" t="n">
        <v>-0.6</v>
      </c>
      <c r="K59" s="271" t="n">
        <v>0</v>
      </c>
      <c r="L59" s="271" t="n">
        <v>0.8</v>
      </c>
      <c r="M59" s="272" t="n">
        <v>1.25</v>
      </c>
      <c r="N59" s="272" t="n">
        <v>1.75</v>
      </c>
      <c r="O59" s="271" t="n">
        <v>2.25</v>
      </c>
      <c r="P59" s="272" t="n">
        <v>2.85</v>
      </c>
      <c r="Q59" s="271" t="n">
        <v>3.25</v>
      </c>
      <c r="R59" s="272" t="n">
        <v>4.25</v>
      </c>
      <c r="S59" s="269" t="n">
        <v>5</v>
      </c>
      <c r="T59" s="273" t="n">
        <v>8.2</v>
      </c>
      <c r="U59" s="274" t="n">
        <v>29</v>
      </c>
    </row>
    <row r="60" customFormat="false" ht="12.75" hidden="false" customHeight="false" outlineLevel="0" collapsed="false">
      <c r="A60" s="267" t="n">
        <v>37653</v>
      </c>
      <c r="B60" s="268" t="n">
        <v>3</v>
      </c>
      <c r="C60" s="269" t="n">
        <v>2</v>
      </c>
      <c r="D60" s="270" t="n">
        <v>1</v>
      </c>
      <c r="E60" s="271" t="n">
        <v>0.75</v>
      </c>
      <c r="F60" s="272" t="n">
        <v>0.25</v>
      </c>
      <c r="G60" s="272" t="n">
        <v>0</v>
      </c>
      <c r="H60" s="271" t="n">
        <v>-0.4</v>
      </c>
      <c r="I60" s="272" t="n">
        <v>-0.6</v>
      </c>
      <c r="J60" s="271" t="n">
        <v>-0.6</v>
      </c>
      <c r="K60" s="271" t="n">
        <v>0</v>
      </c>
      <c r="L60" s="271" t="n">
        <v>0.8</v>
      </c>
      <c r="M60" s="272" t="n">
        <v>1.25</v>
      </c>
      <c r="N60" s="272" t="n">
        <v>1.75</v>
      </c>
      <c r="O60" s="271" t="n">
        <v>2.25</v>
      </c>
      <c r="P60" s="272" t="n">
        <v>2.85</v>
      </c>
      <c r="Q60" s="271" t="n">
        <v>3.25</v>
      </c>
      <c r="R60" s="272" t="n">
        <v>4.25</v>
      </c>
      <c r="S60" s="269" t="n">
        <v>5</v>
      </c>
      <c r="T60" s="273" t="n">
        <v>8.2</v>
      </c>
      <c r="U60" s="274" t="n">
        <v>29</v>
      </c>
    </row>
    <row r="61" customFormat="false" ht="12.75" hidden="false" customHeight="false" outlineLevel="0" collapsed="false">
      <c r="A61" s="267" t="n">
        <v>37681</v>
      </c>
      <c r="B61" s="268" t="n">
        <v>3</v>
      </c>
      <c r="C61" s="269" t="n">
        <v>2</v>
      </c>
      <c r="D61" s="270" t="n">
        <v>1</v>
      </c>
      <c r="E61" s="271" t="n">
        <v>0.75</v>
      </c>
      <c r="F61" s="272" t="n">
        <v>0.25</v>
      </c>
      <c r="G61" s="272" t="n">
        <v>0</v>
      </c>
      <c r="H61" s="271" t="n">
        <v>-0.4</v>
      </c>
      <c r="I61" s="272" t="n">
        <v>-0.6</v>
      </c>
      <c r="J61" s="271" t="n">
        <v>-0.6</v>
      </c>
      <c r="K61" s="271" t="n">
        <v>0</v>
      </c>
      <c r="L61" s="271" t="n">
        <v>0.8</v>
      </c>
      <c r="M61" s="272" t="n">
        <v>1.25</v>
      </c>
      <c r="N61" s="272" t="n">
        <v>1.75</v>
      </c>
      <c r="O61" s="271" t="n">
        <v>2.25</v>
      </c>
      <c r="P61" s="272" t="n">
        <v>2.85</v>
      </c>
      <c r="Q61" s="271" t="n">
        <v>3.25</v>
      </c>
      <c r="R61" s="272" t="n">
        <v>4.25</v>
      </c>
      <c r="S61" s="269" t="n">
        <v>5</v>
      </c>
      <c r="T61" s="273" t="n">
        <v>8.2</v>
      </c>
      <c r="U61" s="274" t="n">
        <v>29</v>
      </c>
    </row>
    <row r="62" customFormat="false" ht="12.75" hidden="false" customHeight="false" outlineLevel="0" collapsed="false">
      <c r="A62" s="267" t="n">
        <v>37712</v>
      </c>
      <c r="B62" s="268" t="n">
        <v>3</v>
      </c>
      <c r="C62" s="269" t="n">
        <v>2</v>
      </c>
      <c r="D62" s="270" t="n">
        <v>0.75</v>
      </c>
      <c r="E62" s="271" t="n">
        <v>0.5</v>
      </c>
      <c r="F62" s="272" t="n">
        <v>0.25</v>
      </c>
      <c r="G62" s="272" t="n">
        <v>0</v>
      </c>
      <c r="H62" s="271" t="n">
        <v>-0.35</v>
      </c>
      <c r="I62" s="272" t="n">
        <v>-0.5</v>
      </c>
      <c r="J62" s="271" t="n">
        <v>-0.55</v>
      </c>
      <c r="K62" s="271" t="n">
        <v>0</v>
      </c>
      <c r="L62" s="271" t="n">
        <v>0.8</v>
      </c>
      <c r="M62" s="272" t="n">
        <v>1.25</v>
      </c>
      <c r="N62" s="272" t="n">
        <v>1.75</v>
      </c>
      <c r="O62" s="271" t="n">
        <v>2.25</v>
      </c>
      <c r="P62" s="272" t="n">
        <v>2.85</v>
      </c>
      <c r="Q62" s="271" t="n">
        <v>3.25</v>
      </c>
      <c r="R62" s="272" t="n">
        <v>4.25</v>
      </c>
      <c r="S62" s="269" t="n">
        <v>5</v>
      </c>
      <c r="T62" s="273" t="n">
        <v>8.2</v>
      </c>
      <c r="U62" s="274" t="n">
        <v>29</v>
      </c>
    </row>
    <row r="63" customFormat="false" ht="12.75" hidden="false" customHeight="false" outlineLevel="0" collapsed="false">
      <c r="A63" s="267" t="n">
        <v>37742</v>
      </c>
      <c r="B63" s="268" t="n">
        <v>3</v>
      </c>
      <c r="C63" s="269" t="n">
        <v>2</v>
      </c>
      <c r="D63" s="270" t="n">
        <v>0.75</v>
      </c>
      <c r="E63" s="271" t="n">
        <v>0.5</v>
      </c>
      <c r="F63" s="272" t="n">
        <v>0.25</v>
      </c>
      <c r="G63" s="272" t="n">
        <v>0</v>
      </c>
      <c r="H63" s="271" t="n">
        <v>-0.35</v>
      </c>
      <c r="I63" s="272" t="n">
        <v>-0.5</v>
      </c>
      <c r="J63" s="271" t="n">
        <v>-0.55</v>
      </c>
      <c r="K63" s="271" t="n">
        <v>0</v>
      </c>
      <c r="L63" s="271" t="n">
        <v>0.8</v>
      </c>
      <c r="M63" s="272" t="n">
        <v>1.25</v>
      </c>
      <c r="N63" s="272" t="n">
        <v>1.75</v>
      </c>
      <c r="O63" s="271" t="n">
        <v>2.25</v>
      </c>
      <c r="P63" s="272" t="n">
        <v>2.85</v>
      </c>
      <c r="Q63" s="271" t="n">
        <v>3.25</v>
      </c>
      <c r="R63" s="272" t="n">
        <v>4.25</v>
      </c>
      <c r="S63" s="269" t="n">
        <v>5</v>
      </c>
      <c r="T63" s="273" t="n">
        <v>8.2</v>
      </c>
      <c r="U63" s="274" t="n">
        <v>29</v>
      </c>
    </row>
    <row r="64" customFormat="false" ht="12.75" hidden="false" customHeight="false" outlineLevel="0" collapsed="false">
      <c r="A64" s="267" t="n">
        <v>37773</v>
      </c>
      <c r="B64" s="268" t="n">
        <v>3</v>
      </c>
      <c r="C64" s="269" t="n">
        <v>2</v>
      </c>
      <c r="D64" s="270" t="n">
        <v>0.75</v>
      </c>
      <c r="E64" s="271" t="n">
        <v>0.5</v>
      </c>
      <c r="F64" s="272" t="n">
        <v>0.25</v>
      </c>
      <c r="G64" s="272" t="n">
        <v>0</v>
      </c>
      <c r="H64" s="271" t="n">
        <v>-0.35</v>
      </c>
      <c r="I64" s="272" t="n">
        <v>-0.5</v>
      </c>
      <c r="J64" s="271" t="n">
        <v>-0.55</v>
      </c>
      <c r="K64" s="271" t="n">
        <v>0</v>
      </c>
      <c r="L64" s="271" t="n">
        <v>0.8</v>
      </c>
      <c r="M64" s="272" t="n">
        <v>1.25</v>
      </c>
      <c r="N64" s="272" t="n">
        <v>1.75</v>
      </c>
      <c r="O64" s="271" t="n">
        <v>2.25</v>
      </c>
      <c r="P64" s="272" t="n">
        <v>2.85</v>
      </c>
      <c r="Q64" s="271" t="n">
        <v>3.25</v>
      </c>
      <c r="R64" s="272" t="n">
        <v>4.25</v>
      </c>
      <c r="S64" s="269" t="n">
        <v>5</v>
      </c>
      <c r="T64" s="273" t="n">
        <v>8.2</v>
      </c>
      <c r="U64" s="274" t="n">
        <v>29</v>
      </c>
    </row>
    <row r="65" customFormat="false" ht="12.75" hidden="false" customHeight="false" outlineLevel="0" collapsed="false">
      <c r="A65" s="267" t="n">
        <v>37803</v>
      </c>
      <c r="B65" s="268" t="n">
        <v>3</v>
      </c>
      <c r="C65" s="269" t="n">
        <v>2</v>
      </c>
      <c r="D65" s="270" t="n">
        <v>0.75</v>
      </c>
      <c r="E65" s="271" t="n">
        <v>0.5</v>
      </c>
      <c r="F65" s="272" t="n">
        <v>0.25</v>
      </c>
      <c r="G65" s="272" t="n">
        <v>0</v>
      </c>
      <c r="H65" s="271" t="n">
        <v>-0.35</v>
      </c>
      <c r="I65" s="272" t="n">
        <v>-0.5</v>
      </c>
      <c r="J65" s="271" t="n">
        <v>-0.55</v>
      </c>
      <c r="K65" s="271" t="n">
        <v>0</v>
      </c>
      <c r="L65" s="271" t="n">
        <v>0.8</v>
      </c>
      <c r="M65" s="272" t="n">
        <v>1.25</v>
      </c>
      <c r="N65" s="272" t="n">
        <v>1.75</v>
      </c>
      <c r="O65" s="271" t="n">
        <v>2.25</v>
      </c>
      <c r="P65" s="272" t="n">
        <v>2.85</v>
      </c>
      <c r="Q65" s="271" t="n">
        <v>3.25</v>
      </c>
      <c r="R65" s="272" t="n">
        <v>4.25</v>
      </c>
      <c r="S65" s="269" t="n">
        <v>5</v>
      </c>
      <c r="T65" s="273" t="n">
        <v>8.2</v>
      </c>
      <c r="U65" s="274" t="n">
        <v>29</v>
      </c>
    </row>
    <row r="66" customFormat="false" ht="12.75" hidden="false" customHeight="false" outlineLevel="0" collapsed="false">
      <c r="A66" s="267" t="n">
        <v>37834</v>
      </c>
      <c r="B66" s="268" t="n">
        <v>3</v>
      </c>
      <c r="C66" s="269" t="n">
        <v>2</v>
      </c>
      <c r="D66" s="270" t="n">
        <v>0.75</v>
      </c>
      <c r="E66" s="271" t="n">
        <v>0.5</v>
      </c>
      <c r="F66" s="272" t="n">
        <v>0.25</v>
      </c>
      <c r="G66" s="272" t="n">
        <v>0</v>
      </c>
      <c r="H66" s="271" t="n">
        <v>-0.35</v>
      </c>
      <c r="I66" s="272" t="n">
        <v>-0.5</v>
      </c>
      <c r="J66" s="271" t="n">
        <v>-0.55</v>
      </c>
      <c r="K66" s="271" t="n">
        <v>0</v>
      </c>
      <c r="L66" s="271" t="n">
        <v>0.8</v>
      </c>
      <c r="M66" s="272" t="n">
        <v>1.25</v>
      </c>
      <c r="N66" s="272" t="n">
        <v>1.75</v>
      </c>
      <c r="O66" s="271" t="n">
        <v>2.25</v>
      </c>
      <c r="P66" s="272" t="n">
        <v>2.85</v>
      </c>
      <c r="Q66" s="271" t="n">
        <v>3.25</v>
      </c>
      <c r="R66" s="272" t="n">
        <v>4.25</v>
      </c>
      <c r="S66" s="269" t="n">
        <v>5</v>
      </c>
      <c r="T66" s="273" t="n">
        <v>8.2</v>
      </c>
      <c r="U66" s="274" t="n">
        <v>29</v>
      </c>
    </row>
    <row r="67" customFormat="false" ht="12.75" hidden="false" customHeight="false" outlineLevel="0" collapsed="false">
      <c r="A67" s="267" t="n">
        <v>37865</v>
      </c>
      <c r="B67" s="268" t="n">
        <v>3</v>
      </c>
      <c r="C67" s="269" t="n">
        <v>2</v>
      </c>
      <c r="D67" s="270" t="n">
        <v>0.75</v>
      </c>
      <c r="E67" s="271" t="n">
        <v>0.5</v>
      </c>
      <c r="F67" s="272" t="n">
        <v>0.25</v>
      </c>
      <c r="G67" s="272" t="n">
        <v>0</v>
      </c>
      <c r="H67" s="271" t="n">
        <v>-0.35</v>
      </c>
      <c r="I67" s="272" t="n">
        <v>-0.5</v>
      </c>
      <c r="J67" s="271" t="n">
        <v>-0.55</v>
      </c>
      <c r="K67" s="271" t="n">
        <v>0</v>
      </c>
      <c r="L67" s="271" t="n">
        <v>0.8</v>
      </c>
      <c r="M67" s="272" t="n">
        <v>1.25</v>
      </c>
      <c r="N67" s="272" t="n">
        <v>1.75</v>
      </c>
      <c r="O67" s="271" t="n">
        <v>2.25</v>
      </c>
      <c r="P67" s="272" t="n">
        <v>2.85</v>
      </c>
      <c r="Q67" s="271" t="n">
        <v>3.25</v>
      </c>
      <c r="R67" s="272" t="n">
        <v>4.25</v>
      </c>
      <c r="S67" s="269" t="n">
        <v>5</v>
      </c>
      <c r="T67" s="273" t="n">
        <v>8.2</v>
      </c>
      <c r="U67" s="274" t="n">
        <v>29</v>
      </c>
    </row>
    <row r="68" customFormat="false" ht="12.75" hidden="false" customHeight="false" outlineLevel="0" collapsed="false">
      <c r="A68" s="267" t="n">
        <v>37895</v>
      </c>
      <c r="B68" s="268" t="n">
        <v>3</v>
      </c>
      <c r="C68" s="269" t="n">
        <v>2</v>
      </c>
      <c r="D68" s="270" t="n">
        <v>0.75</v>
      </c>
      <c r="E68" s="271" t="n">
        <v>0.5</v>
      </c>
      <c r="F68" s="272" t="n">
        <v>0.25</v>
      </c>
      <c r="G68" s="272" t="n">
        <v>0</v>
      </c>
      <c r="H68" s="271" t="n">
        <v>-0.35</v>
      </c>
      <c r="I68" s="272" t="n">
        <v>-0.5</v>
      </c>
      <c r="J68" s="271" t="n">
        <v>-0.55</v>
      </c>
      <c r="K68" s="271" t="n">
        <v>0</v>
      </c>
      <c r="L68" s="271" t="n">
        <v>0.8</v>
      </c>
      <c r="M68" s="272" t="n">
        <v>1.25</v>
      </c>
      <c r="N68" s="272" t="n">
        <v>1.75</v>
      </c>
      <c r="O68" s="271" t="n">
        <v>2.25</v>
      </c>
      <c r="P68" s="272" t="n">
        <v>2.85</v>
      </c>
      <c r="Q68" s="271" t="n">
        <v>3.25</v>
      </c>
      <c r="R68" s="272" t="n">
        <v>4.25</v>
      </c>
      <c r="S68" s="269" t="n">
        <v>5</v>
      </c>
      <c r="T68" s="273" t="n">
        <v>8.2</v>
      </c>
      <c r="U68" s="274" t="n">
        <v>29</v>
      </c>
    </row>
    <row r="69" customFormat="false" ht="12.75" hidden="false" customHeight="false" outlineLevel="0" collapsed="false">
      <c r="A69" s="267" t="n">
        <v>37926</v>
      </c>
      <c r="B69" s="268" t="n">
        <v>3</v>
      </c>
      <c r="C69" s="269" t="n">
        <v>2</v>
      </c>
      <c r="D69" s="270" t="n">
        <v>0.75</v>
      </c>
      <c r="E69" s="271" t="n">
        <v>0.5</v>
      </c>
      <c r="F69" s="272" t="n">
        <v>0.25</v>
      </c>
      <c r="G69" s="272" t="n">
        <v>0</v>
      </c>
      <c r="H69" s="271" t="n">
        <v>-0.35</v>
      </c>
      <c r="I69" s="272" t="n">
        <v>-0.5</v>
      </c>
      <c r="J69" s="271" t="n">
        <v>-0.55</v>
      </c>
      <c r="K69" s="271" t="n">
        <v>0</v>
      </c>
      <c r="L69" s="271" t="n">
        <v>0.8</v>
      </c>
      <c r="M69" s="272" t="n">
        <v>1.25</v>
      </c>
      <c r="N69" s="272" t="n">
        <v>1.75</v>
      </c>
      <c r="O69" s="271" t="n">
        <v>2.25</v>
      </c>
      <c r="P69" s="272" t="n">
        <v>2.85</v>
      </c>
      <c r="Q69" s="271" t="n">
        <v>3.25</v>
      </c>
      <c r="R69" s="272" t="n">
        <v>4.25</v>
      </c>
      <c r="S69" s="269" t="n">
        <v>5</v>
      </c>
      <c r="T69" s="273" t="n">
        <v>8.2</v>
      </c>
      <c r="U69" s="274" t="n">
        <v>29</v>
      </c>
    </row>
    <row r="70" customFormat="false" ht="12.75" hidden="false" customHeight="false" outlineLevel="0" collapsed="false">
      <c r="A70" s="267" t="n">
        <v>37956</v>
      </c>
      <c r="B70" s="268" t="n">
        <v>3</v>
      </c>
      <c r="C70" s="269" t="n">
        <v>2</v>
      </c>
      <c r="D70" s="270" t="n">
        <v>0.75</v>
      </c>
      <c r="E70" s="271" t="n">
        <v>0.5</v>
      </c>
      <c r="F70" s="272" t="n">
        <v>0.25</v>
      </c>
      <c r="G70" s="272" t="n">
        <v>0</v>
      </c>
      <c r="H70" s="271" t="n">
        <v>-0.35</v>
      </c>
      <c r="I70" s="272" t="n">
        <v>-0.5</v>
      </c>
      <c r="J70" s="271" t="n">
        <v>-0.55</v>
      </c>
      <c r="K70" s="271" t="n">
        <v>0</v>
      </c>
      <c r="L70" s="271" t="n">
        <v>0.8</v>
      </c>
      <c r="M70" s="272" t="n">
        <v>1.25</v>
      </c>
      <c r="N70" s="272" t="n">
        <v>1.75</v>
      </c>
      <c r="O70" s="271" t="n">
        <v>2.25</v>
      </c>
      <c r="P70" s="272" t="n">
        <v>2.85</v>
      </c>
      <c r="Q70" s="271" t="n">
        <v>3.25</v>
      </c>
      <c r="R70" s="272" t="n">
        <v>4.25</v>
      </c>
      <c r="S70" s="269" t="n">
        <v>5</v>
      </c>
      <c r="T70" s="273" t="n">
        <v>8.2</v>
      </c>
      <c r="U70" s="274" t="n">
        <v>29</v>
      </c>
    </row>
    <row r="71" customFormat="false" ht="12.75" hidden="false" customHeight="false" outlineLevel="0" collapsed="false">
      <c r="A71" s="267" t="n">
        <v>37987</v>
      </c>
      <c r="B71" s="268" t="n">
        <v>3</v>
      </c>
      <c r="C71" s="269" t="n">
        <v>2</v>
      </c>
      <c r="D71" s="270" t="n">
        <v>0.75</v>
      </c>
      <c r="E71" s="271" t="n">
        <v>0.5</v>
      </c>
      <c r="F71" s="272" t="n">
        <v>0.25</v>
      </c>
      <c r="G71" s="272" t="n">
        <v>0</v>
      </c>
      <c r="H71" s="271" t="n">
        <v>-0.35</v>
      </c>
      <c r="I71" s="272" t="n">
        <v>-0.5</v>
      </c>
      <c r="J71" s="271" t="n">
        <v>-0.55</v>
      </c>
      <c r="K71" s="271" t="n">
        <v>0</v>
      </c>
      <c r="L71" s="271" t="n">
        <v>0.8</v>
      </c>
      <c r="M71" s="272" t="n">
        <v>1.25</v>
      </c>
      <c r="N71" s="272" t="n">
        <v>1.75</v>
      </c>
      <c r="O71" s="271" t="n">
        <v>2.25</v>
      </c>
      <c r="P71" s="272" t="n">
        <v>2.85</v>
      </c>
      <c r="Q71" s="271" t="n">
        <v>3.25</v>
      </c>
      <c r="R71" s="272" t="n">
        <v>4.25</v>
      </c>
      <c r="S71" s="269" t="n">
        <v>5</v>
      </c>
      <c r="T71" s="273" t="n">
        <v>8.2</v>
      </c>
      <c r="U71" s="274" t="n">
        <v>29</v>
      </c>
    </row>
    <row r="72" customFormat="false" ht="12.75" hidden="false" customHeight="false" outlineLevel="0" collapsed="false">
      <c r="A72" s="267" t="n">
        <v>38018</v>
      </c>
      <c r="B72" s="268" t="n">
        <v>3</v>
      </c>
      <c r="C72" s="269" t="n">
        <v>2</v>
      </c>
      <c r="D72" s="270" t="n">
        <v>0.75</v>
      </c>
      <c r="E72" s="271" t="n">
        <v>0.5</v>
      </c>
      <c r="F72" s="272" t="n">
        <v>0.25</v>
      </c>
      <c r="G72" s="272" t="n">
        <v>0</v>
      </c>
      <c r="H72" s="271" t="n">
        <v>-0.35</v>
      </c>
      <c r="I72" s="272" t="n">
        <v>-0.5</v>
      </c>
      <c r="J72" s="271" t="n">
        <v>-0.55</v>
      </c>
      <c r="K72" s="271" t="n">
        <v>0</v>
      </c>
      <c r="L72" s="271" t="n">
        <v>0.8</v>
      </c>
      <c r="M72" s="272" t="n">
        <v>1.25</v>
      </c>
      <c r="N72" s="272" t="n">
        <v>1.75</v>
      </c>
      <c r="O72" s="271" t="n">
        <v>2.25</v>
      </c>
      <c r="P72" s="272" t="n">
        <v>2.85</v>
      </c>
      <c r="Q72" s="271" t="n">
        <v>3.25</v>
      </c>
      <c r="R72" s="272" t="n">
        <v>4.25</v>
      </c>
      <c r="S72" s="269" t="n">
        <v>5</v>
      </c>
      <c r="T72" s="273" t="n">
        <v>8.2</v>
      </c>
      <c r="U72" s="274" t="n">
        <v>29</v>
      </c>
    </row>
    <row r="73" customFormat="false" ht="12.75" hidden="false" customHeight="false" outlineLevel="0" collapsed="false">
      <c r="A73" s="267" t="n">
        <v>38047</v>
      </c>
      <c r="B73" s="268" t="n">
        <v>3</v>
      </c>
      <c r="C73" s="269" t="n">
        <v>2</v>
      </c>
      <c r="D73" s="270" t="n">
        <v>0.75</v>
      </c>
      <c r="E73" s="271" t="n">
        <v>0.5</v>
      </c>
      <c r="F73" s="272" t="n">
        <v>0.25</v>
      </c>
      <c r="G73" s="272" t="n">
        <v>0</v>
      </c>
      <c r="H73" s="271" t="n">
        <v>-0.35</v>
      </c>
      <c r="I73" s="272" t="n">
        <v>-0.5</v>
      </c>
      <c r="J73" s="271" t="n">
        <v>-0.55</v>
      </c>
      <c r="K73" s="271" t="n">
        <v>0</v>
      </c>
      <c r="L73" s="271" t="n">
        <v>0.8</v>
      </c>
      <c r="M73" s="272" t="n">
        <v>1.25</v>
      </c>
      <c r="N73" s="272" t="n">
        <v>1.75</v>
      </c>
      <c r="O73" s="271" t="n">
        <v>2.25</v>
      </c>
      <c r="P73" s="272" t="n">
        <v>2.85</v>
      </c>
      <c r="Q73" s="271" t="n">
        <v>3.25</v>
      </c>
      <c r="R73" s="272" t="n">
        <v>4.25</v>
      </c>
      <c r="S73" s="269" t="n">
        <v>5</v>
      </c>
      <c r="T73" s="273" t="n">
        <v>8.2</v>
      </c>
      <c r="U73" s="274" t="n">
        <v>29</v>
      </c>
    </row>
    <row r="74" customFormat="false" ht="12.75" hidden="false" customHeight="false" outlineLevel="0" collapsed="false">
      <c r="A74" s="267" t="n">
        <v>38078</v>
      </c>
      <c r="B74" s="268" t="n">
        <v>3</v>
      </c>
      <c r="C74" s="269" t="n">
        <v>2</v>
      </c>
      <c r="D74" s="270" t="n">
        <v>0.75</v>
      </c>
      <c r="E74" s="271" t="n">
        <v>0.5</v>
      </c>
      <c r="F74" s="272" t="n">
        <v>0.25</v>
      </c>
      <c r="G74" s="272" t="n">
        <v>0</v>
      </c>
      <c r="H74" s="271" t="n">
        <v>-0.3</v>
      </c>
      <c r="I74" s="272" t="n">
        <v>-0.5</v>
      </c>
      <c r="J74" s="271" t="n">
        <v>-0.55</v>
      </c>
      <c r="K74" s="271" t="n">
        <v>0</v>
      </c>
      <c r="L74" s="271" t="n">
        <v>0.8</v>
      </c>
      <c r="M74" s="272" t="n">
        <v>1.25</v>
      </c>
      <c r="N74" s="272" t="n">
        <v>1.75</v>
      </c>
      <c r="O74" s="271" t="n">
        <v>2.25</v>
      </c>
      <c r="P74" s="272" t="n">
        <v>2.85</v>
      </c>
      <c r="Q74" s="271" t="n">
        <v>3.25</v>
      </c>
      <c r="R74" s="272" t="n">
        <v>4.25</v>
      </c>
      <c r="S74" s="269" t="n">
        <v>5</v>
      </c>
      <c r="T74" s="273" t="n">
        <v>8.2</v>
      </c>
      <c r="U74" s="274" t="n">
        <v>29</v>
      </c>
    </row>
    <row r="75" customFormat="false" ht="12.75" hidden="false" customHeight="false" outlineLevel="0" collapsed="false">
      <c r="A75" s="267" t="n">
        <v>38108</v>
      </c>
      <c r="B75" s="268" t="n">
        <v>3</v>
      </c>
      <c r="C75" s="269" t="n">
        <v>2</v>
      </c>
      <c r="D75" s="270" t="n">
        <v>0.75</v>
      </c>
      <c r="E75" s="271" t="n">
        <v>0.5</v>
      </c>
      <c r="F75" s="272" t="n">
        <v>0.25</v>
      </c>
      <c r="G75" s="272" t="n">
        <v>0</v>
      </c>
      <c r="H75" s="271" t="n">
        <v>-0.3</v>
      </c>
      <c r="I75" s="272" t="n">
        <v>-0.5</v>
      </c>
      <c r="J75" s="271" t="n">
        <v>-0.55</v>
      </c>
      <c r="K75" s="271" t="n">
        <v>0</v>
      </c>
      <c r="L75" s="271" t="n">
        <v>0.8</v>
      </c>
      <c r="M75" s="272" t="n">
        <v>1.25</v>
      </c>
      <c r="N75" s="272" t="n">
        <v>1.75</v>
      </c>
      <c r="O75" s="271" t="n">
        <v>2.25</v>
      </c>
      <c r="P75" s="272" t="n">
        <v>2.85</v>
      </c>
      <c r="Q75" s="271" t="n">
        <v>3.25</v>
      </c>
      <c r="R75" s="272" t="n">
        <v>4.25</v>
      </c>
      <c r="S75" s="269" t="n">
        <v>5</v>
      </c>
      <c r="T75" s="273" t="n">
        <v>8.2</v>
      </c>
      <c r="U75" s="274" t="n">
        <v>29</v>
      </c>
    </row>
    <row r="76" customFormat="false" ht="12.75" hidden="false" customHeight="false" outlineLevel="0" collapsed="false">
      <c r="A76" s="267" t="n">
        <v>38139</v>
      </c>
      <c r="B76" s="268" t="n">
        <v>3</v>
      </c>
      <c r="C76" s="269" t="n">
        <v>2</v>
      </c>
      <c r="D76" s="270" t="n">
        <v>0.75</v>
      </c>
      <c r="E76" s="271" t="n">
        <v>0.5</v>
      </c>
      <c r="F76" s="272" t="n">
        <v>0.25</v>
      </c>
      <c r="G76" s="272" t="n">
        <v>0</v>
      </c>
      <c r="H76" s="271" t="n">
        <v>-0.3</v>
      </c>
      <c r="I76" s="272" t="n">
        <v>-0.5</v>
      </c>
      <c r="J76" s="271" t="n">
        <v>-0.55</v>
      </c>
      <c r="K76" s="271" t="n">
        <v>0</v>
      </c>
      <c r="L76" s="271" t="n">
        <v>0.8</v>
      </c>
      <c r="M76" s="272" t="n">
        <v>1.25</v>
      </c>
      <c r="N76" s="272" t="n">
        <v>1.75</v>
      </c>
      <c r="O76" s="271" t="n">
        <v>2.25</v>
      </c>
      <c r="P76" s="272" t="n">
        <v>2.85</v>
      </c>
      <c r="Q76" s="271" t="n">
        <v>3.25</v>
      </c>
      <c r="R76" s="272" t="n">
        <v>4.25</v>
      </c>
      <c r="S76" s="269" t="n">
        <v>5</v>
      </c>
      <c r="T76" s="273" t="n">
        <v>8.2</v>
      </c>
      <c r="U76" s="274" t="n">
        <v>29</v>
      </c>
    </row>
    <row r="77" customFormat="false" ht="12.75" hidden="false" customHeight="false" outlineLevel="0" collapsed="false">
      <c r="A77" s="267" t="n">
        <v>38169</v>
      </c>
      <c r="B77" s="268" t="n">
        <v>3</v>
      </c>
      <c r="C77" s="269" t="n">
        <v>2</v>
      </c>
      <c r="D77" s="270" t="n">
        <v>0.75</v>
      </c>
      <c r="E77" s="271" t="n">
        <v>0.5</v>
      </c>
      <c r="F77" s="272" t="n">
        <v>0.25</v>
      </c>
      <c r="G77" s="272" t="n">
        <v>0</v>
      </c>
      <c r="H77" s="271" t="n">
        <v>-0.3</v>
      </c>
      <c r="I77" s="272" t="n">
        <v>-0.5</v>
      </c>
      <c r="J77" s="271" t="n">
        <v>-0.55</v>
      </c>
      <c r="K77" s="271" t="n">
        <v>0</v>
      </c>
      <c r="L77" s="271" t="n">
        <v>0.8</v>
      </c>
      <c r="M77" s="272" t="n">
        <v>1.25</v>
      </c>
      <c r="N77" s="272" t="n">
        <v>1.75</v>
      </c>
      <c r="O77" s="271" t="n">
        <v>2.25</v>
      </c>
      <c r="P77" s="272" t="n">
        <v>2.85</v>
      </c>
      <c r="Q77" s="271" t="n">
        <v>3.25</v>
      </c>
      <c r="R77" s="272" t="n">
        <v>4.25</v>
      </c>
      <c r="S77" s="269" t="n">
        <v>5</v>
      </c>
      <c r="T77" s="273" t="n">
        <v>8.2</v>
      </c>
      <c r="U77" s="274" t="n">
        <v>29</v>
      </c>
    </row>
    <row r="78" customFormat="false" ht="12.75" hidden="false" customHeight="false" outlineLevel="0" collapsed="false">
      <c r="A78" s="267" t="n">
        <v>38200</v>
      </c>
      <c r="B78" s="268" t="n">
        <v>3</v>
      </c>
      <c r="C78" s="269" t="n">
        <v>2</v>
      </c>
      <c r="D78" s="270" t="n">
        <v>0.75</v>
      </c>
      <c r="E78" s="271" t="n">
        <v>0.5</v>
      </c>
      <c r="F78" s="272" t="n">
        <v>0.25</v>
      </c>
      <c r="G78" s="272" t="n">
        <v>0</v>
      </c>
      <c r="H78" s="271" t="n">
        <v>-0.3</v>
      </c>
      <c r="I78" s="272" t="n">
        <v>-0.5</v>
      </c>
      <c r="J78" s="271" t="n">
        <v>-0.55</v>
      </c>
      <c r="K78" s="271" t="n">
        <v>0</v>
      </c>
      <c r="L78" s="271" t="n">
        <v>0.8</v>
      </c>
      <c r="M78" s="272" t="n">
        <v>1.25</v>
      </c>
      <c r="N78" s="272" t="n">
        <v>1.75</v>
      </c>
      <c r="O78" s="271" t="n">
        <v>2.25</v>
      </c>
      <c r="P78" s="272" t="n">
        <v>2.85</v>
      </c>
      <c r="Q78" s="271" t="n">
        <v>3.25</v>
      </c>
      <c r="R78" s="272" t="n">
        <v>4.25</v>
      </c>
      <c r="S78" s="269" t="n">
        <v>5</v>
      </c>
      <c r="T78" s="273" t="n">
        <v>8.2</v>
      </c>
      <c r="U78" s="274" t="n">
        <v>29</v>
      </c>
    </row>
    <row r="79" customFormat="false" ht="12.75" hidden="false" customHeight="false" outlineLevel="0" collapsed="false">
      <c r="A79" s="267" t="n">
        <v>38231</v>
      </c>
      <c r="B79" s="268" t="n">
        <v>3</v>
      </c>
      <c r="C79" s="269" t="n">
        <v>2</v>
      </c>
      <c r="D79" s="270" t="n">
        <v>0.75</v>
      </c>
      <c r="E79" s="271" t="n">
        <v>0.5</v>
      </c>
      <c r="F79" s="272" t="n">
        <v>0.25</v>
      </c>
      <c r="G79" s="272" t="n">
        <v>0</v>
      </c>
      <c r="H79" s="271" t="n">
        <v>-0.3</v>
      </c>
      <c r="I79" s="272" t="n">
        <v>-0.5</v>
      </c>
      <c r="J79" s="271" t="n">
        <v>-0.55</v>
      </c>
      <c r="K79" s="271" t="n">
        <v>0</v>
      </c>
      <c r="L79" s="271" t="n">
        <v>0.8</v>
      </c>
      <c r="M79" s="272" t="n">
        <v>1.25</v>
      </c>
      <c r="N79" s="272" t="n">
        <v>1.75</v>
      </c>
      <c r="O79" s="271" t="n">
        <v>2.25</v>
      </c>
      <c r="P79" s="272" t="n">
        <v>2.85</v>
      </c>
      <c r="Q79" s="271" t="n">
        <v>3.25</v>
      </c>
      <c r="R79" s="272" t="n">
        <v>4.25</v>
      </c>
      <c r="S79" s="269" t="n">
        <v>5</v>
      </c>
      <c r="T79" s="273" t="n">
        <v>8.2</v>
      </c>
      <c r="U79" s="274" t="n">
        <v>29</v>
      </c>
    </row>
    <row r="80" customFormat="false" ht="12.75" hidden="false" customHeight="false" outlineLevel="0" collapsed="false">
      <c r="A80" s="267" t="n">
        <v>40513</v>
      </c>
      <c r="B80" s="268" t="n">
        <v>3</v>
      </c>
      <c r="C80" s="269" t="n">
        <v>2</v>
      </c>
      <c r="D80" s="270" t="n">
        <v>0.75</v>
      </c>
      <c r="E80" s="271" t="n">
        <v>0.5</v>
      </c>
      <c r="F80" s="272" t="n">
        <v>0.25</v>
      </c>
      <c r="G80" s="272" t="n">
        <v>0</v>
      </c>
      <c r="H80" s="271" t="n">
        <v>-0.3</v>
      </c>
      <c r="I80" s="272" t="n">
        <v>-0.5</v>
      </c>
      <c r="J80" s="271" t="n">
        <v>-0.55</v>
      </c>
      <c r="K80" s="271" t="n">
        <v>0</v>
      </c>
      <c r="L80" s="271" t="n">
        <v>0.8</v>
      </c>
      <c r="M80" s="272" t="n">
        <v>1.25</v>
      </c>
      <c r="N80" s="272" t="n">
        <v>1.75</v>
      </c>
      <c r="O80" s="271" t="n">
        <v>2.25</v>
      </c>
      <c r="P80" s="272" t="n">
        <v>2.85</v>
      </c>
      <c r="Q80" s="271" t="n">
        <v>3.25</v>
      </c>
      <c r="R80" s="272" t="n">
        <v>4.25</v>
      </c>
      <c r="S80" s="269" t="n">
        <v>5</v>
      </c>
      <c r="T80" s="273" t="n">
        <v>8.2</v>
      </c>
      <c r="U80" s="274" t="n">
        <v>29</v>
      </c>
    </row>
    <row r="81" customFormat="false" ht="13.5" hidden="false" customHeight="false" outlineLevel="0" collapsed="false">
      <c r="A81" s="275" t="n">
        <v>44531</v>
      </c>
      <c r="B81" s="276" t="n">
        <v>3</v>
      </c>
      <c r="C81" s="277" t="n">
        <v>2</v>
      </c>
      <c r="D81" s="278" t="n">
        <v>0.75</v>
      </c>
      <c r="E81" s="279" t="n">
        <v>0.5</v>
      </c>
      <c r="F81" s="280" t="n">
        <v>0.25</v>
      </c>
      <c r="G81" s="280" t="n">
        <v>0</v>
      </c>
      <c r="H81" s="279" t="n">
        <v>-0.3</v>
      </c>
      <c r="I81" s="280" t="n">
        <v>-0.5</v>
      </c>
      <c r="J81" s="279" t="n">
        <v>-0.55</v>
      </c>
      <c r="K81" s="279" t="n">
        <v>0</v>
      </c>
      <c r="L81" s="279" t="n">
        <v>0.8</v>
      </c>
      <c r="M81" s="280" t="n">
        <v>1.25</v>
      </c>
      <c r="N81" s="280" t="n">
        <v>1.75</v>
      </c>
      <c r="O81" s="279" t="n">
        <v>2.25</v>
      </c>
      <c r="P81" s="280" t="n">
        <v>2.85</v>
      </c>
      <c r="Q81" s="279" t="n">
        <v>3.25</v>
      </c>
      <c r="R81" s="280" t="n">
        <v>4.25</v>
      </c>
      <c r="S81" s="277" t="n">
        <v>5</v>
      </c>
      <c r="T81" s="281" t="n">
        <v>8.2</v>
      </c>
      <c r="U81" s="282" t="n">
        <v>29</v>
      </c>
    </row>
    <row r="82" customFormat="false" ht="13.5" hidden="false" customHeight="false" outlineLevel="0" collapsed="false"/>
    <row r="83" customFormat="false" ht="12.75" hidden="false" customHeight="false" outlineLevel="0" collapsed="false">
      <c r="A83" s="8" t="n">
        <v>1</v>
      </c>
      <c r="B83" s="8" t="n">
        <v>1</v>
      </c>
      <c r="C83" s="283"/>
      <c r="D83" s="284"/>
      <c r="E83" s="284"/>
      <c r="F83" s="284"/>
      <c r="G83" s="284"/>
      <c r="H83" s="284"/>
      <c r="I83" s="285"/>
    </row>
    <row r="84" customFormat="false" ht="12.75" hidden="false" customHeight="false" outlineLevel="0" collapsed="false">
      <c r="A84" s="8" t="s">
        <v>208</v>
      </c>
      <c r="B84" s="8" t="n">
        <v>2</v>
      </c>
      <c r="C84" s="286"/>
      <c r="D84" s="37"/>
      <c r="E84" s="37"/>
      <c r="F84" s="37"/>
      <c r="G84" s="37"/>
      <c r="H84" s="37"/>
      <c r="I84" s="287"/>
    </row>
    <row r="85" customFormat="false" ht="12.75" hidden="false" customHeight="false" outlineLevel="0" collapsed="false">
      <c r="A85" s="8" t="s">
        <v>209</v>
      </c>
      <c r="B85" s="8" t="n">
        <v>3</v>
      </c>
      <c r="C85" s="286"/>
      <c r="D85" s="37"/>
      <c r="E85" s="37"/>
      <c r="F85" s="37"/>
      <c r="G85" s="37"/>
      <c r="H85" s="37"/>
      <c r="I85" s="287"/>
    </row>
    <row r="86" customFormat="false" ht="12.75" hidden="false" customHeight="false" outlineLevel="0" collapsed="false">
      <c r="B86" s="8" t="n">
        <v>4</v>
      </c>
      <c r="C86" s="286"/>
      <c r="D86" s="37"/>
      <c r="E86" s="37"/>
      <c r="F86" s="37"/>
      <c r="G86" s="37"/>
      <c r="H86" s="37"/>
      <c r="I86" s="287"/>
    </row>
    <row r="87" customFormat="false" ht="12.75" hidden="false" customHeight="false" outlineLevel="0" collapsed="false">
      <c r="B87" s="8" t="n">
        <v>5</v>
      </c>
      <c r="C87" s="286"/>
      <c r="D87" s="37"/>
      <c r="E87" s="37"/>
      <c r="F87" s="37"/>
      <c r="G87" s="37"/>
      <c r="H87" s="37"/>
      <c r="I87" s="287"/>
    </row>
    <row r="88" customFormat="false" ht="12.75" hidden="false" customHeight="false" outlineLevel="0" collapsed="false">
      <c r="B88" s="8" t="n">
        <v>6</v>
      </c>
      <c r="C88" s="286"/>
      <c r="D88" s="37"/>
      <c r="E88" s="37"/>
      <c r="F88" s="37"/>
      <c r="G88" s="37"/>
      <c r="H88" s="37"/>
      <c r="I88" s="287"/>
    </row>
    <row r="89" customFormat="false" ht="12.75" hidden="false" customHeight="false" outlineLevel="0" collapsed="false">
      <c r="B89" s="8" t="n">
        <v>7</v>
      </c>
      <c r="C89" s="286"/>
      <c r="D89" s="37"/>
      <c r="E89" s="37"/>
      <c r="F89" s="37"/>
      <c r="G89" s="37"/>
      <c r="H89" s="37"/>
      <c r="I89" s="287"/>
    </row>
    <row r="90" customFormat="false" ht="12.75" hidden="false" customHeight="false" outlineLevel="0" collapsed="false">
      <c r="B90" s="8" t="n">
        <v>8</v>
      </c>
      <c r="C90" s="286"/>
      <c r="D90" s="37"/>
      <c r="E90" s="37"/>
      <c r="F90" s="37"/>
      <c r="G90" s="37"/>
      <c r="H90" s="37"/>
      <c r="I90" s="287"/>
    </row>
    <row r="91" customFormat="false" ht="12.75" hidden="false" customHeight="false" outlineLevel="0" collapsed="false">
      <c r="B91" s="8" t="n">
        <v>9</v>
      </c>
      <c r="C91" s="286"/>
      <c r="D91" s="37"/>
      <c r="E91" s="37"/>
      <c r="F91" s="37"/>
      <c r="G91" s="37"/>
      <c r="H91" s="37"/>
      <c r="I91" s="287"/>
    </row>
    <row r="92" customFormat="false" ht="12.75" hidden="false" customHeight="false" outlineLevel="0" collapsed="false">
      <c r="B92" s="8" t="n">
        <v>10</v>
      </c>
      <c r="C92" s="286"/>
      <c r="D92" s="37"/>
      <c r="E92" s="37"/>
      <c r="F92" s="37"/>
      <c r="G92" s="37"/>
      <c r="H92" s="37"/>
      <c r="I92" s="287"/>
    </row>
    <row r="93" customFormat="false" ht="12.75" hidden="false" customHeight="false" outlineLevel="0" collapsed="false">
      <c r="B93" s="8" t="n">
        <v>11</v>
      </c>
      <c r="C93" s="286"/>
      <c r="D93" s="37"/>
      <c r="E93" s="37"/>
      <c r="F93" s="37"/>
      <c r="G93" s="37"/>
      <c r="H93" s="37"/>
      <c r="I93" s="287"/>
    </row>
    <row r="94" customFormat="false" ht="12.75" hidden="false" customHeight="false" outlineLevel="0" collapsed="false">
      <c r="B94" s="8" t="n">
        <v>12</v>
      </c>
      <c r="C94" s="286"/>
      <c r="D94" s="37"/>
      <c r="E94" s="37"/>
      <c r="F94" s="37"/>
      <c r="G94" s="37"/>
      <c r="H94" s="37"/>
      <c r="I94" s="287"/>
    </row>
    <row r="95" customFormat="false" ht="12.75" hidden="false" customHeight="false" outlineLevel="0" collapsed="false">
      <c r="B95" s="8" t="n">
        <v>13</v>
      </c>
      <c r="C95" s="286"/>
      <c r="D95" s="37"/>
      <c r="E95" s="37"/>
      <c r="F95" s="37"/>
      <c r="G95" s="37"/>
      <c r="H95" s="37"/>
      <c r="I95" s="287"/>
    </row>
    <row r="96" customFormat="false" ht="12.75" hidden="false" customHeight="false" outlineLevel="0" collapsed="false">
      <c r="B96" s="8" t="n">
        <v>14</v>
      </c>
      <c r="C96" s="286"/>
      <c r="D96" s="37"/>
      <c r="E96" s="37"/>
      <c r="F96" s="37"/>
      <c r="G96" s="37"/>
      <c r="H96" s="37"/>
      <c r="I96" s="287"/>
    </row>
    <row r="97" customFormat="false" ht="12.75" hidden="false" customHeight="false" outlineLevel="0" collapsed="false">
      <c r="B97" s="8" t="n">
        <v>15</v>
      </c>
      <c r="C97" s="286"/>
      <c r="D97" s="37"/>
      <c r="E97" s="37"/>
      <c r="F97" s="37"/>
      <c r="G97" s="37"/>
      <c r="H97" s="37"/>
      <c r="I97" s="287"/>
    </row>
    <row r="98" customFormat="false" ht="12.75" hidden="false" customHeight="false" outlineLevel="0" collapsed="false">
      <c r="B98" s="8" t="n">
        <v>16</v>
      </c>
      <c r="C98" s="286"/>
      <c r="D98" s="37"/>
      <c r="E98" s="37"/>
      <c r="F98" s="37"/>
      <c r="G98" s="37"/>
      <c r="H98" s="37"/>
      <c r="I98" s="287"/>
    </row>
    <row r="99" customFormat="false" ht="12.75" hidden="false" customHeight="false" outlineLevel="0" collapsed="false">
      <c r="B99" s="8" t="n">
        <v>17</v>
      </c>
      <c r="C99" s="286"/>
      <c r="D99" s="37"/>
      <c r="E99" s="37"/>
      <c r="F99" s="37"/>
      <c r="G99" s="37"/>
      <c r="H99" s="37"/>
      <c r="I99" s="287"/>
    </row>
    <row r="100" customFormat="false" ht="12.75" hidden="false" customHeight="false" outlineLevel="0" collapsed="false">
      <c r="B100" s="8" t="n">
        <v>18</v>
      </c>
      <c r="C100" s="286"/>
      <c r="D100" s="37"/>
      <c r="E100" s="37"/>
      <c r="F100" s="37"/>
      <c r="G100" s="37"/>
      <c r="H100" s="37"/>
      <c r="I100" s="287"/>
    </row>
    <row r="101" customFormat="false" ht="12.75" hidden="false" customHeight="false" outlineLevel="0" collapsed="false">
      <c r="B101" s="8" t="n">
        <v>19</v>
      </c>
      <c r="C101" s="286"/>
      <c r="D101" s="37"/>
      <c r="E101" s="37"/>
      <c r="F101" s="37"/>
      <c r="G101" s="37"/>
      <c r="H101" s="37"/>
      <c r="I101" s="287"/>
    </row>
    <row r="102" customFormat="false" ht="12.75" hidden="false" customHeight="false" outlineLevel="0" collapsed="false">
      <c r="B102" s="8" t="n">
        <v>20</v>
      </c>
      <c r="C102" s="286"/>
      <c r="D102" s="37"/>
      <c r="E102" s="37"/>
      <c r="F102" s="37"/>
      <c r="G102" s="37"/>
      <c r="H102" s="37"/>
      <c r="I102" s="287"/>
    </row>
    <row r="103" customFormat="false" ht="12.75" hidden="false" customHeight="false" outlineLevel="0" collapsed="false">
      <c r="B103" s="8" t="n">
        <v>21</v>
      </c>
      <c r="C103" s="286"/>
      <c r="D103" s="37"/>
      <c r="E103" s="37"/>
      <c r="F103" s="37"/>
      <c r="G103" s="37"/>
      <c r="H103" s="37"/>
      <c r="I103" s="287"/>
    </row>
    <row r="104" customFormat="false" ht="12.75" hidden="false" customHeight="false" outlineLevel="0" collapsed="false">
      <c r="B104" s="8" t="n">
        <v>22</v>
      </c>
      <c r="C104" s="286"/>
      <c r="D104" s="37"/>
      <c r="E104" s="37"/>
      <c r="F104" s="37"/>
      <c r="G104" s="37"/>
      <c r="H104" s="37"/>
      <c r="I104" s="287"/>
    </row>
    <row r="105" customFormat="false" ht="12.75" hidden="false" customHeight="false" outlineLevel="0" collapsed="false">
      <c r="B105" s="8" t="n">
        <v>23</v>
      </c>
      <c r="C105" s="286"/>
      <c r="D105" s="37"/>
      <c r="E105" s="37"/>
      <c r="F105" s="37"/>
      <c r="G105" s="37"/>
      <c r="H105" s="37"/>
      <c r="I105" s="287"/>
    </row>
    <row r="106" customFormat="false" ht="12.75" hidden="false" customHeight="false" outlineLevel="0" collapsed="false">
      <c r="B106" s="8" t="n">
        <v>24</v>
      </c>
      <c r="C106" s="286"/>
      <c r="D106" s="37"/>
      <c r="E106" s="37"/>
      <c r="F106" s="37"/>
      <c r="G106" s="37"/>
      <c r="H106" s="37"/>
      <c r="I106" s="287"/>
    </row>
    <row r="107" customFormat="false" ht="12.75" hidden="false" customHeight="false" outlineLevel="0" collapsed="false">
      <c r="B107" s="8" t="n">
        <v>25</v>
      </c>
      <c r="C107" s="286"/>
      <c r="D107" s="37"/>
      <c r="E107" s="37"/>
      <c r="F107" s="37"/>
      <c r="G107" s="37"/>
      <c r="H107" s="37"/>
      <c r="I107" s="287"/>
    </row>
    <row r="108" customFormat="false" ht="12.75" hidden="false" customHeight="false" outlineLevel="0" collapsed="false">
      <c r="B108" s="8" t="n">
        <v>26</v>
      </c>
      <c r="C108" s="286"/>
      <c r="D108" s="37"/>
      <c r="E108" s="37"/>
      <c r="F108" s="37"/>
      <c r="G108" s="37"/>
      <c r="H108" s="37"/>
      <c r="I108" s="287"/>
    </row>
    <row r="109" customFormat="false" ht="12.75" hidden="false" customHeight="false" outlineLevel="0" collapsed="false">
      <c r="B109" s="8" t="n">
        <v>27</v>
      </c>
      <c r="C109" s="286"/>
      <c r="D109" s="37"/>
      <c r="E109" s="37"/>
      <c r="F109" s="37"/>
      <c r="G109" s="37"/>
      <c r="H109" s="37"/>
      <c r="I109" s="287"/>
    </row>
    <row r="110" customFormat="false" ht="12.75" hidden="false" customHeight="false" outlineLevel="0" collapsed="false">
      <c r="B110" s="8" t="n">
        <v>28</v>
      </c>
      <c r="C110" s="286"/>
      <c r="D110" s="37"/>
      <c r="E110" s="37"/>
      <c r="F110" s="37"/>
      <c r="G110" s="37"/>
      <c r="H110" s="37"/>
      <c r="I110" s="287"/>
    </row>
    <row r="111" customFormat="false" ht="12.75" hidden="false" customHeight="false" outlineLevel="0" collapsed="false">
      <c r="B111" s="8" t="n">
        <v>29</v>
      </c>
      <c r="C111" s="286"/>
      <c r="D111" s="37"/>
      <c r="E111" s="37"/>
      <c r="F111" s="37"/>
      <c r="G111" s="37"/>
      <c r="H111" s="37"/>
      <c r="I111" s="287"/>
    </row>
    <row r="112" customFormat="false" ht="12.75" hidden="false" customHeight="false" outlineLevel="0" collapsed="false">
      <c r="B112" s="8" t="n">
        <v>30</v>
      </c>
      <c r="C112" s="286"/>
      <c r="D112" s="37"/>
      <c r="E112" s="37"/>
      <c r="F112" s="37"/>
      <c r="G112" s="37"/>
      <c r="H112" s="37"/>
      <c r="I112" s="287"/>
    </row>
    <row r="113" customFormat="false" ht="12.75" hidden="false" customHeight="false" outlineLevel="0" collapsed="false">
      <c r="B113" s="8" t="n">
        <v>31</v>
      </c>
      <c r="C113" s="286"/>
      <c r="D113" s="37"/>
      <c r="E113" s="37"/>
      <c r="F113" s="37"/>
      <c r="G113" s="37"/>
      <c r="H113" s="37"/>
      <c r="I113" s="287"/>
    </row>
    <row r="114" customFormat="false" ht="12.75" hidden="false" customHeight="false" outlineLevel="0" collapsed="false">
      <c r="B114" s="8" t="n">
        <v>32</v>
      </c>
      <c r="C114" s="286"/>
      <c r="D114" s="37"/>
      <c r="E114" s="37"/>
      <c r="F114" s="37"/>
      <c r="G114" s="37"/>
      <c r="H114" s="37"/>
      <c r="I114" s="287"/>
    </row>
    <row r="115" customFormat="false" ht="12.75" hidden="false" customHeight="false" outlineLevel="0" collapsed="false">
      <c r="B115" s="8" t="n">
        <v>33</v>
      </c>
      <c r="C115" s="286"/>
      <c r="D115" s="37"/>
      <c r="E115" s="37"/>
      <c r="F115" s="37"/>
      <c r="G115" s="37"/>
      <c r="H115" s="37"/>
      <c r="I115" s="287"/>
    </row>
    <row r="116" customFormat="false" ht="12.75" hidden="false" customHeight="false" outlineLevel="0" collapsed="false">
      <c r="B116" s="8" t="n">
        <v>34</v>
      </c>
      <c r="C116" s="286"/>
      <c r="D116" s="37"/>
      <c r="E116" s="37"/>
      <c r="F116" s="37"/>
      <c r="G116" s="37"/>
      <c r="H116" s="37"/>
      <c r="I116" s="287"/>
    </row>
    <row r="117" customFormat="false" ht="12.75" hidden="false" customHeight="false" outlineLevel="0" collapsed="false">
      <c r="B117" s="8" t="n">
        <v>35</v>
      </c>
      <c r="C117" s="286"/>
      <c r="D117" s="37"/>
      <c r="E117" s="37"/>
      <c r="F117" s="37"/>
      <c r="G117" s="37"/>
      <c r="H117" s="37"/>
      <c r="I117" s="287"/>
    </row>
    <row r="118" customFormat="false" ht="12.75" hidden="false" customHeight="false" outlineLevel="0" collapsed="false">
      <c r="B118" s="8" t="n">
        <v>36</v>
      </c>
      <c r="C118" s="286"/>
      <c r="D118" s="37"/>
      <c r="E118" s="37"/>
      <c r="F118" s="37"/>
      <c r="G118" s="37"/>
      <c r="H118" s="37"/>
      <c r="I118" s="287"/>
    </row>
    <row r="119" customFormat="false" ht="12.75" hidden="false" customHeight="false" outlineLevel="0" collapsed="false">
      <c r="B119" s="8" t="n">
        <v>37</v>
      </c>
      <c r="C119" s="286"/>
      <c r="D119" s="37"/>
      <c r="E119" s="37"/>
      <c r="F119" s="37"/>
      <c r="G119" s="37"/>
      <c r="H119" s="37"/>
      <c r="I119" s="287"/>
    </row>
    <row r="120" customFormat="false" ht="13.5" hidden="false" customHeight="false" outlineLevel="0" collapsed="false">
      <c r="B120" s="8" t="n">
        <v>38</v>
      </c>
      <c r="C120" s="288"/>
      <c r="D120" s="289"/>
      <c r="E120" s="289"/>
      <c r="F120" s="289"/>
      <c r="G120" s="289"/>
      <c r="H120" s="289"/>
      <c r="I120" s="290"/>
    </row>
    <row r="121" customFormat="false" ht="12.75" hidden="false" customHeight="false" outlineLevel="0" collapsed="false">
      <c r="D121" s="37"/>
      <c r="E121" s="37"/>
      <c r="F121" s="37"/>
      <c r="G121" s="37"/>
      <c r="H121" s="37"/>
      <c r="I121" s="37"/>
    </row>
    <row r="122" customFormat="false" ht="12.75" hidden="false" customHeight="false" outlineLevel="0" collapsed="false">
      <c r="B122" s="291"/>
      <c r="D122" s="37"/>
      <c r="E122" s="37"/>
      <c r="F122" s="37"/>
      <c r="G122" s="37"/>
      <c r="H122" s="37"/>
      <c r="I122" s="37"/>
    </row>
    <row r="123" customFormat="false" ht="12.75" hidden="false" customHeight="false" outlineLevel="0" collapsed="false">
      <c r="A123" s="8" t="n">
        <v>1</v>
      </c>
    </row>
    <row r="124" customFormat="false" ht="12.75" hidden="false" customHeight="false" outlineLevel="0" collapsed="false">
      <c r="D124" s="37"/>
      <c r="E124" s="37"/>
      <c r="F124" s="37"/>
      <c r="G124" s="37"/>
      <c r="H124" s="37"/>
      <c r="I124" s="37"/>
    </row>
  </sheetData>
  <mergeCells count="1">
    <mergeCell ref="AD11:AE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P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4" activeCellId="0" sqref="D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2.7"/>
    <col collapsed="false" customWidth="true" hidden="false" outlineLevel="0" max="8" min="8" style="0" width="11.56"/>
    <col collapsed="false" customWidth="true" hidden="false" outlineLevel="0" max="9" min="9" style="0" width="10.28"/>
    <col collapsed="false" customWidth="true" hidden="false" outlineLevel="0" max="15" min="15" style="0" width="11.28"/>
  </cols>
  <sheetData>
    <row r="3" customFormat="false" ht="12.75" hidden="false" customHeight="false" outlineLevel="0" collapsed="false">
      <c r="B3" s="0" t="s">
        <v>210</v>
      </c>
      <c r="C3" s="0" t="s">
        <v>211</v>
      </c>
      <c r="D3" s="292" t="n">
        <v>2.86</v>
      </c>
      <c r="G3" s="0" t="s">
        <v>211</v>
      </c>
      <c r="H3" s="292" t="n">
        <f aca="false">SUM(STRADDLES!D6:D7)</f>
        <v>2.35445327102804</v>
      </c>
      <c r="I3" s="0" t="n">
        <v>-0.0475</v>
      </c>
      <c r="J3" s="0" t="n">
        <v>5.4</v>
      </c>
      <c r="M3" s="0" t="s">
        <v>210</v>
      </c>
      <c r="N3" s="0" t="s">
        <v>211</v>
      </c>
      <c r="O3" s="292" t="n">
        <f aca="false">STRADDLES!D6+STRADDLES!D7</f>
        <v>2.35445327102804</v>
      </c>
      <c r="P3" s="0" t="n">
        <v>4.94</v>
      </c>
    </row>
    <row r="4" customFormat="false" ht="12.75" hidden="false" customHeight="false" outlineLevel="0" collapsed="false">
      <c r="C4" s="0" t="s">
        <v>212</v>
      </c>
      <c r="D4" s="292" t="n">
        <v>3.21</v>
      </c>
      <c r="G4" s="0" t="s">
        <v>212</v>
      </c>
      <c r="H4" s="292" t="n">
        <f aca="false">SUM(STRADDLES!E6:E7)</f>
        <v>2.8959953271028</v>
      </c>
      <c r="I4" s="0" t="n">
        <v>0.01</v>
      </c>
      <c r="N4" s="0" t="s">
        <v>212</v>
      </c>
      <c r="O4" s="292" t="n">
        <f aca="false">STRADDLES!E6+STRADDLES!E7</f>
        <v>2.8959953271028</v>
      </c>
    </row>
    <row r="5" customFormat="false" ht="12.75" hidden="false" customHeight="false" outlineLevel="0" collapsed="false">
      <c r="C5" s="0" t="s">
        <v>153</v>
      </c>
      <c r="D5" s="292" t="n">
        <f aca="false">D7*D6</f>
        <v>0.315</v>
      </c>
      <c r="H5" s="292"/>
      <c r="N5" s="0" t="s">
        <v>153</v>
      </c>
      <c r="O5" s="292" t="n">
        <f aca="false">O7*O6</f>
        <v>0.282</v>
      </c>
    </row>
    <row r="6" customFormat="false" ht="12.75" hidden="false" customHeight="false" outlineLevel="0" collapsed="false">
      <c r="C6" s="0" t="s">
        <v>213</v>
      </c>
      <c r="D6" s="292" t="n">
        <v>0.45</v>
      </c>
      <c r="H6" s="292"/>
      <c r="N6" s="0" t="s">
        <v>213</v>
      </c>
      <c r="O6" s="292" t="n">
        <v>0.47</v>
      </c>
    </row>
    <row r="7" customFormat="false" ht="12.75" hidden="false" customHeight="false" outlineLevel="0" collapsed="false">
      <c r="C7" s="0" t="s">
        <v>214</v>
      </c>
      <c r="D7" s="292" t="n">
        <v>0.7</v>
      </c>
      <c r="H7" s="292"/>
      <c r="N7" s="0" t="s">
        <v>214</v>
      </c>
      <c r="O7" s="292" t="n">
        <v>0.6</v>
      </c>
    </row>
    <row r="8" customFormat="false" ht="12.75" hidden="false" customHeight="false" outlineLevel="0" collapsed="false">
      <c r="C8" s="0" t="s">
        <v>215</v>
      </c>
      <c r="D8" s="0" t="n">
        <v>0.9826</v>
      </c>
      <c r="G8" s="0" t="s">
        <v>215</v>
      </c>
      <c r="H8" s="0" t="n">
        <v>0.97</v>
      </c>
      <c r="N8" s="0" t="s">
        <v>215</v>
      </c>
      <c r="O8" s="0" t="n">
        <v>0.972</v>
      </c>
    </row>
    <row r="9" customFormat="false" ht="12.75" hidden="false" customHeight="false" outlineLevel="0" collapsed="false">
      <c r="C9" s="0" t="s">
        <v>216</v>
      </c>
      <c r="D9" s="0" t="n">
        <v>0.9681</v>
      </c>
      <c r="G9" s="0" t="s">
        <v>216</v>
      </c>
      <c r="H9" s="0" t="n">
        <v>0.921</v>
      </c>
      <c r="N9" s="0" t="s">
        <v>216</v>
      </c>
      <c r="O9" s="0" t="n">
        <v>0.923</v>
      </c>
    </row>
    <row r="10" customFormat="false" ht="12.75" hidden="false" customHeight="false" outlineLevel="0" collapsed="false">
      <c r="C10" s="0" t="s">
        <v>217</v>
      </c>
      <c r="D10" s="293" t="n">
        <v>37341</v>
      </c>
      <c r="F10" s="0" t="s">
        <v>59</v>
      </c>
      <c r="H10" s="293"/>
      <c r="N10" s="0" t="s">
        <v>217</v>
      </c>
      <c r="O10" s="293" t="n">
        <v>37100</v>
      </c>
    </row>
    <row r="11" customFormat="false" ht="12.75" hidden="false" customHeight="false" outlineLevel="0" collapsed="false">
      <c r="C11" s="0" t="s">
        <v>218</v>
      </c>
      <c r="D11" s="0" t="n">
        <v>6</v>
      </c>
      <c r="G11" s="0" t="s">
        <v>218</v>
      </c>
      <c r="H11" s="0" t="n">
        <v>12</v>
      </c>
      <c r="K11" s="0" t="s">
        <v>88</v>
      </c>
      <c r="L11" s="0" t="n">
        <v>0.979</v>
      </c>
      <c r="N11" s="0" t="s">
        <v>218</v>
      </c>
      <c r="O11" s="0" t="n">
        <v>12</v>
      </c>
    </row>
    <row r="12" customFormat="false" ht="12.75" hidden="false" customHeight="false" outlineLevel="0" collapsed="false">
      <c r="C12" s="0" t="s">
        <v>219</v>
      </c>
      <c r="D12" s="0" t="n">
        <v>6</v>
      </c>
      <c r="G12" s="0" t="s">
        <v>219</v>
      </c>
      <c r="H12" s="0" t="n">
        <v>12</v>
      </c>
      <c r="K12" s="0" t="s">
        <v>134</v>
      </c>
      <c r="L12" s="0" t="n">
        <v>0.947</v>
      </c>
      <c r="N12" s="0" t="s">
        <v>219</v>
      </c>
      <c r="O12" s="0" t="n">
        <v>12</v>
      </c>
    </row>
    <row r="13" customFormat="false" ht="12.75" hidden="false" customHeight="false" outlineLevel="0" collapsed="false">
      <c r="C13" s="0" t="s">
        <v>220</v>
      </c>
      <c r="D13" s="101" t="n">
        <v>0</v>
      </c>
      <c r="K13" s="0" t="s">
        <v>221</v>
      </c>
      <c r="L13" s="0" t="n">
        <v>0.916</v>
      </c>
      <c r="N13" s="0" t="s">
        <v>220</v>
      </c>
      <c r="O13" s="101" t="n">
        <v>0</v>
      </c>
    </row>
    <row r="14" customFormat="false" ht="12.75" hidden="false" customHeight="false" outlineLevel="0" collapsed="false">
      <c r="C14" s="0" t="s">
        <v>222</v>
      </c>
      <c r="D14" s="292" t="n">
        <v>2.8</v>
      </c>
      <c r="G14" s="0" t="s">
        <v>222</v>
      </c>
      <c r="H14" s="292" t="n">
        <v>4.75</v>
      </c>
      <c r="I14" s="0" t="n">
        <v>4</v>
      </c>
      <c r="K14" s="0" t="s">
        <v>223</v>
      </c>
      <c r="L14" s="0" t="n">
        <v>0.96</v>
      </c>
      <c r="N14" s="0" t="s">
        <v>222</v>
      </c>
      <c r="O14" s="292" t="n">
        <f aca="false">STRADDLES!E12</f>
        <v>2.9</v>
      </c>
    </row>
    <row r="15" customFormat="false" ht="12.75" hidden="false" customHeight="false" outlineLevel="0" collapsed="false">
      <c r="C15" s="0" t="s">
        <v>224</v>
      </c>
      <c r="D15" s="0" t="n">
        <v>2</v>
      </c>
      <c r="K15" s="0" t="s">
        <v>225</v>
      </c>
      <c r="L15" s="0" t="n">
        <v>0.898</v>
      </c>
      <c r="N15" s="0" t="s">
        <v>224</v>
      </c>
      <c r="O15" s="0" t="n">
        <v>2</v>
      </c>
    </row>
    <row r="16" customFormat="false" ht="12.75" hidden="false" customHeight="false" outlineLevel="0" collapsed="false">
      <c r="B16" s="0" t="n">
        <v>0.96</v>
      </c>
      <c r="C16" s="0" t="s">
        <v>226</v>
      </c>
      <c r="D16" s="292" t="e">
        <f aca="true">bsd(1,D$15,D$4,D$14,D$10-TODAY(),D$5,D13,0)*B16</f>
        <v>#VALUE!</v>
      </c>
      <c r="E16" s="0" t="e">
        <f aca="false">D16*(D8/D9)</f>
        <v>#VALUE!</v>
      </c>
      <c r="F16" s="0" t="n">
        <f aca="false">D9/D8</f>
        <v>0.985243232240993</v>
      </c>
      <c r="G16" s="0" t="s">
        <v>226</v>
      </c>
      <c r="H16" s="292" t="e">
        <f aca="false">STRADDLES!E13</f>
        <v>#VALUE!</v>
      </c>
      <c r="I16" s="0" t="e">
        <f aca="false">H16*(H9/H8)</f>
        <v>#VALUE!</v>
      </c>
      <c r="M16" s="0" t="n">
        <v>0.964</v>
      </c>
      <c r="N16" s="0" t="s">
        <v>226</v>
      </c>
      <c r="O16" s="292" t="e">
        <f aca="false">STRADDLES!E13</f>
        <v>#VALUE!</v>
      </c>
      <c r="P16" s="0" t="e">
        <f aca="false">O16*(O8/O9)</f>
        <v>#VALUE!</v>
      </c>
    </row>
    <row r="17" customFormat="false" ht="12.75" hidden="false" customHeight="false" outlineLevel="0" collapsed="false">
      <c r="C17" s="0" t="s">
        <v>63</v>
      </c>
      <c r="D17" s="292" t="e">
        <f aca="true">bsd(2,D$15,D$4,D$14,D$10-TODAY(),D$5,D$9,0)</f>
        <v>#VALUE!</v>
      </c>
      <c r="E17" s="292"/>
      <c r="H17" s="292"/>
      <c r="N17" s="0" t="s">
        <v>63</v>
      </c>
      <c r="O17" s="292" t="e">
        <f aca="true">bsd(2,O$15,O$4,O$14,O$10-TODAY(),O$5,O$9,0)</f>
        <v>#VALUE!</v>
      </c>
    </row>
    <row r="20" customFormat="false" ht="12.75" hidden="false" customHeight="false" outlineLevel="0" collapsed="false">
      <c r="D20" s="294" t="n">
        <f aca="false">(D3-D14)*D11*30.5*-10000</f>
        <v>-109800</v>
      </c>
      <c r="H20" s="294" t="n">
        <f aca="false">(H3-H14)*H11*30.5*-10000</f>
        <v>8767701.02803738</v>
      </c>
      <c r="O20" s="294" t="n">
        <f aca="false">(O3-P3)*O11*30.5*10000</f>
        <v>-9463101.02803739</v>
      </c>
    </row>
    <row r="21" customFormat="false" ht="12.75" hidden="false" customHeight="false" outlineLevel="0" collapsed="false">
      <c r="D21" s="294" t="e">
        <f aca="false">E16*D12*30.5*10000</f>
        <v>#VALUE!</v>
      </c>
      <c r="H21" s="294" t="e">
        <f aca="false">I16*H12*30.5*-10000</f>
        <v>#VALUE!</v>
      </c>
      <c r="I21" s="294" t="n">
        <f aca="false">(H3-J3)*H11*30.5*-10000</f>
        <v>11146701.0280374</v>
      </c>
      <c r="O21" s="294" t="e">
        <f aca="false">P16*O12*30.5*10000</f>
        <v>#VALUE!</v>
      </c>
    </row>
    <row r="22" customFormat="false" ht="12.75" hidden="false" customHeight="false" outlineLevel="0" collapsed="false">
      <c r="D22" s="294"/>
      <c r="H22" s="294"/>
      <c r="O22" s="294"/>
    </row>
    <row r="23" customFormat="false" ht="12.75" hidden="false" customHeight="false" outlineLevel="0" collapsed="false">
      <c r="D23" s="294" t="e">
        <f aca="false">D20+D21</f>
        <v>#VALUE!</v>
      </c>
      <c r="H23" s="294" t="e">
        <f aca="false">H20-H21</f>
        <v>#VALUE!</v>
      </c>
      <c r="O23" s="294" t="e">
        <f aca="false">O20-O21</f>
        <v>#VALUE!</v>
      </c>
    </row>
    <row r="24" customFormat="false" ht="12.75" hidden="false" customHeight="false" outlineLevel="0" collapsed="false">
      <c r="H24" s="294" t="e">
        <f aca="false">I21-H21</f>
        <v>#VALUE!</v>
      </c>
    </row>
    <row r="30" customFormat="false" ht="12.75" hidden="false" customHeight="false" outlineLevel="0" collapsed="false">
      <c r="M30" s="0" t="n">
        <f aca="false">0.51*120</f>
        <v>61.2</v>
      </c>
    </row>
    <row r="31" customFormat="false" ht="12.75" hidden="false" customHeight="false" outlineLevel="0" collapsed="false">
      <c r="M31" s="0" t="n">
        <f aca="false">M30/3</f>
        <v>20.4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G11" activeCellId="0" sqref="G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2" min="2" style="0" width="9.41"/>
    <col collapsed="false" customWidth="true" hidden="false" outlineLevel="0" max="10" min="10" style="0" width="11.28"/>
    <col collapsed="false" customWidth="true" hidden="false" outlineLevel="0" max="11" min="11" style="0" width="9.7"/>
  </cols>
  <sheetData>
    <row r="1" customFormat="false" ht="12.75" hidden="false" customHeight="false" outlineLevel="0" collapsed="false">
      <c r="A1" s="21" t="s">
        <v>82</v>
      </c>
      <c r="B1" s="9" t="s">
        <v>83</v>
      </c>
      <c r="C1" s="9" t="s">
        <v>83</v>
      </c>
      <c r="D1" s="9" t="s">
        <v>83</v>
      </c>
      <c r="E1" s="9" t="s">
        <v>83</v>
      </c>
    </row>
    <row r="4" customFormat="false" ht="12.75" hidden="false" customHeight="false" outlineLevel="0" collapsed="false">
      <c r="G4" s="0" t="s">
        <v>227</v>
      </c>
      <c r="I4" s="0" t="n">
        <v>24</v>
      </c>
      <c r="J4" s="0" t="n">
        <v>5.86</v>
      </c>
      <c r="K4" s="0" t="n">
        <f aca="false">I4/J4</f>
        <v>4.09556313993174</v>
      </c>
    </row>
    <row r="5" customFormat="false" ht="12.75" hidden="false" customHeight="false" outlineLevel="0" collapsed="false">
      <c r="G5" s="0" t="s">
        <v>228</v>
      </c>
      <c r="H5" s="0" t="n">
        <v>0.62</v>
      </c>
      <c r="I5" s="0" t="n">
        <f aca="false">H5*42</f>
        <v>26.04</v>
      </c>
      <c r="J5" s="0" t="n">
        <v>5.825</v>
      </c>
      <c r="K5" s="0" t="n">
        <f aca="false">I5/J5</f>
        <v>4.47038626609442</v>
      </c>
    </row>
    <row r="6" customFormat="false" ht="12.75" hidden="false" customHeight="false" outlineLevel="0" collapsed="false">
      <c r="G6" s="0" t="s">
        <v>229</v>
      </c>
      <c r="I6" s="0" t="n">
        <v>19</v>
      </c>
      <c r="J6" s="0" t="n">
        <v>6.29</v>
      </c>
      <c r="K6" s="0" t="n">
        <f aca="false">I6/J6</f>
        <v>3.02066772655008</v>
      </c>
    </row>
    <row r="7" customFormat="false" ht="12.75" hidden="false" customHeight="false" outlineLevel="0" collapsed="false">
      <c r="A7" s="0" t="s">
        <v>230</v>
      </c>
      <c r="B7" s="0" t="n">
        <v>2</v>
      </c>
    </row>
    <row r="8" customFormat="false" ht="12.75" hidden="false" customHeight="false" outlineLevel="0" collapsed="false">
      <c r="A8" s="0" t="s">
        <v>231</v>
      </c>
      <c r="B8" s="0" t="n">
        <v>4.13</v>
      </c>
      <c r="C8" s="0" t="n">
        <v>4.26</v>
      </c>
      <c r="D8" s="0" t="n">
        <v>-0.385</v>
      </c>
    </row>
    <row r="9" customFormat="false" ht="12.75" hidden="false" customHeight="false" outlineLevel="0" collapsed="false">
      <c r="A9" s="0" t="s">
        <v>29</v>
      </c>
      <c r="B9" s="0" t="n">
        <v>4.13</v>
      </c>
      <c r="J9" s="295" t="n">
        <f aca="false">0.11*0.3*365*10000</f>
        <v>120450</v>
      </c>
    </row>
    <row r="10" customFormat="false" ht="12.75" hidden="false" customHeight="false" outlineLevel="0" collapsed="false">
      <c r="A10" s="0" t="s">
        <v>217</v>
      </c>
      <c r="B10" s="296" t="n">
        <v>37708</v>
      </c>
    </row>
    <row r="11" customFormat="false" ht="12.75" hidden="false" customHeight="false" outlineLevel="0" collapsed="false">
      <c r="A11" s="0" t="s">
        <v>153</v>
      </c>
      <c r="B11" s="297" t="n">
        <f aca="false">C11*D11</f>
        <v>0.2275</v>
      </c>
      <c r="C11" s="0" t="n">
        <v>0.325</v>
      </c>
      <c r="D11" s="0" t="n">
        <v>0.7</v>
      </c>
      <c r="J11" s="295" t="n">
        <f aca="false">3.82*0.1*92*10000</f>
        <v>351440</v>
      </c>
    </row>
    <row r="12" customFormat="false" ht="12.75" hidden="false" customHeight="false" outlineLevel="0" collapsed="false">
      <c r="A12" s="0" t="s">
        <v>159</v>
      </c>
      <c r="B12" s="297" t="n">
        <v>0</v>
      </c>
    </row>
    <row r="13" customFormat="false" ht="12.75" hidden="false" customHeight="false" outlineLevel="0" collapsed="false">
      <c r="M13" s="0" t="n">
        <v>0.174122331054706</v>
      </c>
      <c r="N13" s="0" t="n">
        <v>0.0565101080065345</v>
      </c>
      <c r="O13" s="0" t="n">
        <v>0.0352056507866565</v>
      </c>
    </row>
    <row r="14" customFormat="false" ht="12.75" hidden="false" customHeight="false" outlineLevel="0" collapsed="false">
      <c r="A14" s="5" t="n">
        <v>0.91</v>
      </c>
      <c r="B14" s="103" t="e">
        <f aca="true">bsd(1,B7,B8,B9,B10-TODAY(),B11,B12,0.1)</f>
        <v>#VALUE!</v>
      </c>
      <c r="C14" s="132" t="e">
        <f aca="false">B14*A14</f>
        <v>#VALUE!</v>
      </c>
      <c r="D14" s="103"/>
      <c r="E14" s="133"/>
      <c r="I14" s="0" t="n">
        <v>-93</v>
      </c>
      <c r="J14" s="0" t="n">
        <v>0.6</v>
      </c>
      <c r="K14" s="0" t="n">
        <f aca="false">J14*I14</f>
        <v>-55.8</v>
      </c>
      <c r="M14" s="0" t="n">
        <v>0.142164943909437</v>
      </c>
      <c r="N14" s="0" t="n">
        <v>0.0297706892925052</v>
      </c>
      <c r="O14" s="0" t="n">
        <v>0.0142327288221804</v>
      </c>
    </row>
    <row r="15" customFormat="false" ht="12.75" hidden="false" customHeight="false" outlineLevel="0" collapsed="false">
      <c r="I15" s="0" t="n">
        <v>170</v>
      </c>
      <c r="J15" s="0" t="n">
        <v>-0.4</v>
      </c>
      <c r="K15" s="0" t="n">
        <f aca="false">J15*I15</f>
        <v>-68</v>
      </c>
      <c r="M15" s="0" t="n">
        <f aca="false">M14-M13</f>
        <v>-0.0319573871452692</v>
      </c>
      <c r="N15" s="0" t="n">
        <f aca="false">N14-N13</f>
        <v>-0.0267394187140292</v>
      </c>
      <c r="O15" s="0" t="n">
        <f aca="false">O14-O13</f>
        <v>-0.0209729219644761</v>
      </c>
    </row>
    <row r="16" customFormat="false" ht="12.75" hidden="false" customHeight="false" outlineLevel="0" collapsed="false">
      <c r="I16" s="0" t="n">
        <v>124</v>
      </c>
      <c r="J16" s="0" t="n">
        <v>1</v>
      </c>
      <c r="K16" s="0" t="n">
        <f aca="false">J16*I16</f>
        <v>124</v>
      </c>
    </row>
    <row r="18" customFormat="false" ht="12.75" hidden="false" customHeight="false" outlineLevel="0" collapsed="false">
      <c r="C18" s="0" t="n">
        <f aca="false">AVERAGE(C20:C24)</f>
        <v>7.8</v>
      </c>
      <c r="D18" s="0" t="n">
        <f aca="false">AVERAGE(C21:C23)</f>
        <v>8.16666666666667</v>
      </c>
    </row>
    <row r="20" customFormat="false" ht="12.75" hidden="false" customHeight="false" outlineLevel="0" collapsed="false">
      <c r="C20" s="0" t="n">
        <v>8.45</v>
      </c>
    </row>
    <row r="21" customFormat="false" ht="12.75" hidden="false" customHeight="false" outlineLevel="0" collapsed="false">
      <c r="C21" s="0" t="n">
        <v>8.6</v>
      </c>
      <c r="D21" s="0" t="n">
        <v>-0.64</v>
      </c>
    </row>
    <row r="22" customFormat="false" ht="12.75" hidden="false" customHeight="false" outlineLevel="0" collapsed="false">
      <c r="C22" s="0" t="n">
        <v>8.5</v>
      </c>
      <c r="D22" s="0" t="n">
        <v>-0.65</v>
      </c>
      <c r="H22" s="0" t="n">
        <v>8.5</v>
      </c>
      <c r="I22" s="0" t="n">
        <v>7</v>
      </c>
      <c r="J22" s="0" t="n">
        <v>6</v>
      </c>
      <c r="K22" s="0" t="n">
        <v>5.75</v>
      </c>
      <c r="N22" s="0" t="n">
        <v>1</v>
      </c>
      <c r="O22" s="0" t="n">
        <f aca="false">N22*150</f>
        <v>150</v>
      </c>
    </row>
    <row r="23" customFormat="false" ht="12.75" hidden="false" customHeight="false" outlineLevel="0" collapsed="false">
      <c r="C23" s="0" t="n">
        <v>7.4</v>
      </c>
      <c r="D23" s="0" t="n">
        <v>-0.65</v>
      </c>
      <c r="H23" s="0" t="n">
        <v>0.00155214506234587</v>
      </c>
      <c r="I23" s="0" t="n">
        <v>0.0164307444557257</v>
      </c>
      <c r="J23" s="0" t="n">
        <v>1.08148218695053</v>
      </c>
      <c r="K23" s="0" t="n">
        <v>0.796517882253837</v>
      </c>
      <c r="O23" s="0" t="n">
        <f aca="false">1.5*25</f>
        <v>37.5</v>
      </c>
    </row>
    <row r="24" customFormat="false" ht="12.75" hidden="false" customHeight="false" outlineLevel="0" collapsed="false">
      <c r="C24" s="0" t="n">
        <v>6.05</v>
      </c>
      <c r="D24" s="0" t="n">
        <v>-0.44</v>
      </c>
      <c r="H24" s="0" t="n">
        <v>0.00141369401624518</v>
      </c>
      <c r="I24" s="0" t="n">
        <v>0.0155848801721536</v>
      </c>
      <c r="J24" s="0" t="n">
        <v>1.07928050031517</v>
      </c>
      <c r="K24" s="0" t="n">
        <v>0.79456476530752</v>
      </c>
      <c r="O24" s="0" t="n">
        <f aca="false">O23/O22</f>
        <v>0.25</v>
      </c>
    </row>
    <row r="25" customFormat="false" ht="12.75" hidden="false" customHeight="false" outlineLevel="0" collapsed="false">
      <c r="H25" s="0" t="n">
        <f aca="false">H24-H23</f>
        <v>-0.00013845104610069</v>
      </c>
      <c r="I25" s="0" t="n">
        <f aca="false">I24-I23</f>
        <v>-0.000845864283572138</v>
      </c>
      <c r="J25" s="0" t="n">
        <f aca="false">J24-J23</f>
        <v>-0.00220168663535758</v>
      </c>
      <c r="K25" s="0" t="n">
        <f aca="false">K24-K23</f>
        <v>-0.00195311694631717</v>
      </c>
    </row>
    <row r="27" customFormat="false" ht="12.75" hidden="false" customHeight="false" outlineLevel="0" collapsed="false">
      <c r="H27" s="0" t="n">
        <v>-800</v>
      </c>
      <c r="I27" s="0" t="n">
        <v>-700</v>
      </c>
      <c r="J27" s="0" t="n">
        <v>1100</v>
      </c>
      <c r="K27" s="0" t="n">
        <v>350</v>
      </c>
    </row>
    <row r="29" customFormat="false" ht="12.75" hidden="false" customHeight="false" outlineLevel="0" collapsed="false">
      <c r="H29" s="298" t="n">
        <f aca="false">H27*H25*10000</f>
        <v>1107.60836880552</v>
      </c>
      <c r="I29" s="298" t="n">
        <f aca="false">I27*I25*10000</f>
        <v>5921.04998500497</v>
      </c>
      <c r="J29" s="298" t="n">
        <f aca="false">J27*J25*10000</f>
        <v>-24218.5529889334</v>
      </c>
      <c r="K29" s="298" t="n">
        <f aca="false">K27*K25*10000</f>
        <v>-6835.90931211009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3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5" topLeftCell="D6" activePane="bottomRight" state="frozen"/>
      <selection pane="topLeft" activeCell="A1" activeCellId="0" sqref="A1"/>
      <selection pane="topRight" activeCell="D1" activeCellId="0" sqref="D1"/>
      <selection pane="bottomLeft" activeCell="A6" activeCellId="0" sqref="A6"/>
      <selection pane="bottomRight" activeCell="D3" activeCellId="0" sqref="D3:BV36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299" width="9.14"/>
    <col collapsed="false" customWidth="true" hidden="false" outlineLevel="0" max="3" min="3" style="300" width="11.56"/>
    <col collapsed="false" customWidth="true" hidden="false" outlineLevel="0" max="5" min="4" style="301" width="9.14"/>
    <col collapsed="false" customWidth="true" hidden="false" outlineLevel="0" max="6" min="6" style="301" width="11.42"/>
    <col collapsed="false" customWidth="true" hidden="false" outlineLevel="0" max="7" min="7" style="301" width="10.56"/>
    <col collapsed="false" customWidth="true" hidden="false" outlineLevel="0" max="9" min="8" style="301" width="9.14"/>
    <col collapsed="false" customWidth="true" hidden="false" outlineLevel="0" max="10" min="10" style="301" width="13.14"/>
    <col collapsed="false" customWidth="true" hidden="false" outlineLevel="0" max="11" min="11" style="301" width="12.99"/>
    <col collapsed="false" customWidth="true" hidden="false" outlineLevel="0" max="12" min="12" style="301" width="10.28"/>
    <col collapsed="false" customWidth="true" hidden="false" outlineLevel="0" max="13" min="13" style="301" width="9.7"/>
    <col collapsed="false" customWidth="true" hidden="false" outlineLevel="0" max="14" min="14" style="301" width="11.85"/>
    <col collapsed="false" customWidth="true" hidden="false" outlineLevel="0" max="15" min="15" style="301" width="10.13"/>
    <col collapsed="false" customWidth="true" hidden="false" outlineLevel="0" max="16" min="16" style="299" width="11.28"/>
    <col collapsed="false" customWidth="true" hidden="false" outlineLevel="0" max="17" min="17" style="299" width="11.13"/>
    <col collapsed="false" customWidth="true" hidden="false" outlineLevel="0" max="18" min="18" style="299" width="8.99"/>
    <col collapsed="false" customWidth="true" hidden="false" outlineLevel="0" max="19" min="19" style="299" width="11.28"/>
    <col collapsed="false" customWidth="true" hidden="false" outlineLevel="0" max="20" min="20" style="299" width="9.41"/>
    <col collapsed="false" customWidth="true" hidden="false" outlineLevel="0" max="21" min="21" style="299" width="14.28"/>
    <col collapsed="false" customWidth="true" hidden="false" outlineLevel="0" max="22" min="22" style="299" width="10.85"/>
    <col collapsed="false" customWidth="true" hidden="false" outlineLevel="0" max="23" min="23" style="299" width="9.14"/>
    <col collapsed="false" customWidth="true" hidden="false" outlineLevel="0" max="24" min="24" style="299" width="13.14"/>
    <col collapsed="false" customWidth="true" hidden="false" outlineLevel="0" max="101" min="25" style="299" width="9.14"/>
  </cols>
  <sheetData>
    <row r="1" customFormat="false" ht="12.75" hidden="false" customHeight="false" outlineLevel="0" collapsed="false">
      <c r="D1" s="301" t="str">
        <f aca="false">D3</f>
        <v>NG</v>
      </c>
      <c r="E1" s="301" t="str">
        <f aca="false">E3</f>
        <v>NG</v>
      </c>
      <c r="F1" s="301" t="str">
        <f aca="false">F3</f>
        <v>INTNS</v>
      </c>
      <c r="G1" s="301" t="str">
        <f aca="false">G3</f>
        <v>IF-ANR/OK</v>
      </c>
      <c r="H1" s="301" t="str">
        <f aca="false">H3</f>
        <v>IF-NGPL/MIDCON</v>
      </c>
      <c r="I1" s="301" t="str">
        <f aca="false">I3</f>
        <v>IF-NNG/DEMARCAT</v>
      </c>
      <c r="J1" s="301" t="str">
        <f aca="false">J3</f>
        <v>IF-NNG/TOK</v>
      </c>
      <c r="K1" s="301" t="str">
        <f aca="false">K3</f>
        <v>IF-NNG/VENT</v>
      </c>
      <c r="L1" s="301" t="str">
        <f aca="false">L3</f>
        <v>IF-NGPL/LA</v>
      </c>
      <c r="M1" s="301" t="str">
        <f aca="false">M3</f>
        <v>IF-NORAM/EAST</v>
      </c>
      <c r="N1" s="301" t="str">
        <f aca="false">N3</f>
        <v>IF-ONG/OKLAHOMA</v>
      </c>
      <c r="O1" s="301" t="str">
        <f aca="false">O3</f>
        <v>IF-PAN/TX/OK</v>
      </c>
      <c r="P1" s="301" t="str">
        <f aca="false">P3</f>
        <v>IF-WNG/TOK</v>
      </c>
      <c r="Q1" s="301" t="str">
        <f aca="false">Q3</f>
        <v>IF-TRUNKL/FLDZN</v>
      </c>
      <c r="R1" s="301" t="str">
        <f aca="false">R3</f>
        <v>IF-TRUNKL/LA</v>
      </c>
      <c r="S1" s="301" t="str">
        <f aca="false">S3</f>
        <v>MICH_CG-GD</v>
      </c>
      <c r="T1" s="301" t="str">
        <f aca="false">T3</f>
        <v>ML7/CG</v>
      </c>
      <c r="U1" s="301" t="str">
        <f aca="false">U3</f>
        <v>NGI/CHI. GATE</v>
      </c>
      <c r="V1" s="301" t="str">
        <f aca="false">V3</f>
        <v>NGI-PGE/CG</v>
      </c>
      <c r="W1" s="301" t="str">
        <f aca="false">W3</f>
        <v>IF-CGT/APPALAC</v>
      </c>
      <c r="X1" s="301" t="str">
        <f aca="false">X3</f>
        <v>IF-CNG/APPALACH</v>
      </c>
      <c r="Y1" s="301" t="str">
        <f aca="false">Y3</f>
        <v>IF-COLGULF/LA</v>
      </c>
      <c r="Z1" s="301" t="str">
        <f aca="false">Z3</f>
        <v>IF-FGT/Z1</v>
      </c>
      <c r="AA1" s="301" t="str">
        <f aca="false">AA3</f>
        <v>IF-FGT/Z2</v>
      </c>
      <c r="AB1" s="301" t="str">
        <f aca="false">AB3</f>
        <v>IF-FGT/Z3</v>
      </c>
      <c r="AC1" s="301" t="str">
        <f aca="false">AC3</f>
        <v>IF-HEHUB</v>
      </c>
      <c r="AD1" s="301" t="str">
        <f aca="false">AD3</f>
        <v>IF-SONAT/LA</v>
      </c>
      <c r="AE1" s="301" t="str">
        <f aca="false">AE3</f>
        <v>IF-TENN/LA</v>
      </c>
      <c r="AF1" s="301" t="str">
        <f aca="false">AF3</f>
        <v>IF-TETCO/ELA</v>
      </c>
      <c r="AG1" s="301" t="str">
        <f aca="false">AG3</f>
        <v>IF-TETCO/WLA</v>
      </c>
      <c r="AH1" s="301" t="str">
        <f aca="false">AH3</f>
        <v>IF-TGT/Z1</v>
      </c>
      <c r="AI1" s="301" t="str">
        <f aca="false">AI3</f>
        <v>IF-TRANSCO/Z1</v>
      </c>
      <c r="AJ1" s="301" t="str">
        <f aca="false">AJ3</f>
        <v>IF-TRUNKL/TX</v>
      </c>
      <c r="AK1" s="301" t="str">
        <f aca="false">AK3</f>
        <v>IF-TRANSCO/Z2</v>
      </c>
      <c r="AL1" s="301" t="str">
        <f aca="false">AL3</f>
        <v>IF-TRANSCO/Z3</v>
      </c>
      <c r="AM1" s="301" t="str">
        <f aca="false">AM3</f>
        <v>IF-TRANSCO/Z6</v>
      </c>
      <c r="AN1" s="301" t="str">
        <f aca="false">AN3</f>
        <v>IF-HPL/SHPCHAN</v>
      </c>
      <c r="AO1" s="301" t="str">
        <f aca="false">AO3</f>
        <v>IF-CIG/RKYMTN</v>
      </c>
      <c r="AP1" s="301" t="str">
        <f aca="false">AP3</f>
        <v>IF-ELPO/PERMIAN</v>
      </c>
      <c r="AQ1" s="301" t="str">
        <f aca="false">AQ3</f>
        <v>IF-ELPO/SJ</v>
      </c>
      <c r="AR1" s="301" t="str">
        <f aca="false">AR3</f>
        <v>IF-NTHWST/CANBR</v>
      </c>
      <c r="AS1" s="301" t="str">
        <f aca="false">AS3</f>
        <v>IF-NWPL_ROCKY_M</v>
      </c>
      <c r="AT1" s="301" t="str">
        <f aca="false">AT3</f>
        <v>IF-QUESTAR</v>
      </c>
      <c r="AU1" s="301" t="str">
        <f aca="false">AU3</f>
        <v>NGI-SOCAL</v>
      </c>
      <c r="AV1" s="301" t="str">
        <f aca="false">AV3</f>
        <v>DJ/BASIN/CIG</v>
      </c>
      <c r="AW1" s="301" t="str">
        <f aca="false">AW3</f>
        <v>IF-VALERO/TX</v>
      </c>
      <c r="AX1" s="301" t="str">
        <f aca="false">AX3</f>
        <v>IF-WAHA-TX</v>
      </c>
      <c r="AY1" s="301" t="str">
        <f aca="false">AY3</f>
        <v>IF-TETCO/STX</v>
      </c>
      <c r="AZ1" s="301" t="str">
        <f aca="false">AZ3</f>
        <v>IF-ANR/LA</v>
      </c>
      <c r="BA1" s="301" t="str">
        <f aca="false">BA3</f>
        <v>IF-TENN/TX</v>
      </c>
      <c r="BB1" s="301" t="str">
        <f aca="false">BB3</f>
        <v>IF-TGT/ZSL</v>
      </c>
      <c r="BC1" s="301" t="str">
        <f aca="false">BC3</f>
        <v>IF-NGPLTXOK</v>
      </c>
      <c r="BD1" s="301" t="str">
        <f aca="false">BD3</f>
        <v>IF-KATY</v>
      </c>
      <c r="BE1" s="301" t="str">
        <f aca="false">BE3</f>
        <v>IF-TENN/LA_OFF</v>
      </c>
      <c r="BF1" s="301" t="str">
        <f aca="false">BF3</f>
        <v>NGI-MALIN</v>
      </c>
      <c r="BG1" s="301" t="str">
        <f aca="false">BG3</f>
        <v>GDM-DAWN</v>
      </c>
      <c r="BH1" s="301" t="str">
        <f aca="false">BH3</f>
        <v>ANR/ML7-GDM</v>
      </c>
      <c r="BI1" s="301" t="str">
        <f aca="false">BI3</f>
        <v>MICH/CONS</v>
      </c>
      <c r="BJ1" s="301" t="str">
        <f aca="false">BJ3</f>
        <v>IF-TETCO/M3</v>
      </c>
      <c r="BK1" s="299" t="str">
        <f aca="false">CONCATENATE(BK3,BK5)</f>
        <v>IF-HEHUBI</v>
      </c>
      <c r="BL1" s="299" t="str">
        <f aca="false">CONCATENATE(BL3,BL5)</f>
        <v>IF-HPL/SHPCHANI</v>
      </c>
      <c r="BM1" s="299" t="str">
        <f aca="false">CONCATENATE(BM3,BM5)</f>
        <v>IF-CGT/APPALACI</v>
      </c>
      <c r="BN1" s="299" t="str">
        <f aca="false">CONCATENATE(BN3,BN5)</f>
        <v>IF-PAN/TX/OKI</v>
      </c>
      <c r="BO1" s="299" t="str">
        <f aca="false">CONCATENATE(BO3,BO5)</f>
        <v>IF-NWPL_ROCKY_MI</v>
      </c>
      <c r="BP1" s="299" t="str">
        <f aca="false">CONCATENATE(BP3,BP5)</f>
        <v>IF-ELPO/PERMIANI</v>
      </c>
      <c r="BQ1" s="299" t="str">
        <f aca="false">CONCATENATE(BQ3,BQ5)</f>
        <v>IF-ELPO/SJI</v>
      </c>
      <c r="BR1" s="299" t="str">
        <f aca="false">CONCATENATE(BR3,BR5)</f>
        <v>IF-TRANSCO/Z6I</v>
      </c>
      <c r="BS1" s="299" t="str">
        <f aca="false">CONCATENATE(BS3,BS5)</f>
        <v>NGI/CHI. GATEI</v>
      </c>
      <c r="BT1" s="299" t="str">
        <f aca="false">CONCATENATE(BT3,BT5)</f>
        <v>NGI-PGE/CGI</v>
      </c>
      <c r="BU1" s="299" t="str">
        <f aca="false">CONCATENATE(BU3,BU5)</f>
        <v>NGI-SOCALI</v>
      </c>
      <c r="BV1" s="299" t="str">
        <f aca="false">CONCATENATE(BV3,BV5)</f>
        <v>NGI-MALINI</v>
      </c>
    </row>
    <row r="2" customFormat="false" ht="12.75" hidden="false" customHeight="false" outlineLevel="0" collapsed="false">
      <c r="D2" s="301" t="n">
        <v>2</v>
      </c>
      <c r="E2" s="301" t="n">
        <f aca="false">D2+1</f>
        <v>3</v>
      </c>
      <c r="F2" s="301" t="n">
        <f aca="false">E2+1</f>
        <v>4</v>
      </c>
      <c r="G2" s="301" t="n">
        <f aca="false">F2+1</f>
        <v>5</v>
      </c>
      <c r="H2" s="301" t="n">
        <f aca="false">G2+1</f>
        <v>6</v>
      </c>
      <c r="I2" s="301" t="n">
        <f aca="false">H2+1</f>
        <v>7</v>
      </c>
      <c r="J2" s="301" t="n">
        <f aca="false">I2+1</f>
        <v>8</v>
      </c>
      <c r="K2" s="301" t="n">
        <f aca="false">J2+1</f>
        <v>9</v>
      </c>
      <c r="L2" s="301" t="n">
        <f aca="false">K2+1</f>
        <v>10</v>
      </c>
      <c r="M2" s="301" t="n">
        <f aca="false">L2+1</f>
        <v>11</v>
      </c>
      <c r="N2" s="301" t="n">
        <f aca="false">M2+1</f>
        <v>12</v>
      </c>
      <c r="O2" s="301" t="n">
        <f aca="false">N2+1</f>
        <v>13</v>
      </c>
      <c r="P2" s="301" t="n">
        <f aca="false">O2+1</f>
        <v>14</v>
      </c>
      <c r="Q2" s="301" t="n">
        <f aca="false">P2+1</f>
        <v>15</v>
      </c>
      <c r="R2" s="301" t="n">
        <f aca="false">Q2+1</f>
        <v>16</v>
      </c>
      <c r="S2" s="301" t="n">
        <f aca="false">R2+1</f>
        <v>17</v>
      </c>
      <c r="T2" s="301" t="n">
        <f aca="false">S2+1</f>
        <v>18</v>
      </c>
      <c r="U2" s="301" t="n">
        <f aca="false">T2+1</f>
        <v>19</v>
      </c>
      <c r="V2" s="301" t="n">
        <f aca="false">U2+1</f>
        <v>20</v>
      </c>
      <c r="W2" s="301" t="n">
        <f aca="false">V2+1</f>
        <v>21</v>
      </c>
      <c r="X2" s="301" t="n">
        <f aca="false">W2+1</f>
        <v>22</v>
      </c>
      <c r="Y2" s="301" t="n">
        <f aca="false">X2+1</f>
        <v>23</v>
      </c>
      <c r="Z2" s="301" t="n">
        <f aca="false">Y2+1</f>
        <v>24</v>
      </c>
      <c r="AA2" s="301" t="n">
        <f aca="false">Z2+1</f>
        <v>25</v>
      </c>
      <c r="AB2" s="301" t="n">
        <f aca="false">AA2+1</f>
        <v>26</v>
      </c>
      <c r="AC2" s="301" t="n">
        <f aca="false">AB2+1</f>
        <v>27</v>
      </c>
      <c r="AD2" s="301" t="n">
        <f aca="false">AC2+1</f>
        <v>28</v>
      </c>
      <c r="AE2" s="301" t="n">
        <f aca="false">AD2+1</f>
        <v>29</v>
      </c>
      <c r="AF2" s="301" t="n">
        <f aca="false">AE2+1</f>
        <v>30</v>
      </c>
      <c r="AG2" s="301" t="n">
        <f aca="false">AF2+1</f>
        <v>31</v>
      </c>
      <c r="AH2" s="301" t="n">
        <f aca="false">AG2+1</f>
        <v>32</v>
      </c>
      <c r="AI2" s="301" t="n">
        <f aca="false">AH2+1</f>
        <v>33</v>
      </c>
      <c r="AJ2" s="301" t="n">
        <f aca="false">AI2+1</f>
        <v>34</v>
      </c>
      <c r="AK2" s="301" t="n">
        <f aca="false">AJ2+1</f>
        <v>35</v>
      </c>
      <c r="AL2" s="301" t="n">
        <f aca="false">AK2+1</f>
        <v>36</v>
      </c>
      <c r="AM2" s="301" t="n">
        <f aca="false">AL2+1</f>
        <v>37</v>
      </c>
      <c r="AN2" s="301" t="n">
        <f aca="false">AM2+1</f>
        <v>38</v>
      </c>
      <c r="AO2" s="301" t="n">
        <f aca="false">AN2+1</f>
        <v>39</v>
      </c>
      <c r="AP2" s="301" t="n">
        <f aca="false">AO2+1</f>
        <v>40</v>
      </c>
      <c r="AQ2" s="301" t="n">
        <f aca="false">AP2+1</f>
        <v>41</v>
      </c>
      <c r="AR2" s="301" t="n">
        <f aca="false">AQ2+1</f>
        <v>42</v>
      </c>
      <c r="AS2" s="301" t="n">
        <f aca="false">AR2+1</f>
        <v>43</v>
      </c>
      <c r="AT2" s="301" t="n">
        <f aca="false">AS2+1</f>
        <v>44</v>
      </c>
      <c r="AU2" s="301" t="n">
        <f aca="false">AT2+1</f>
        <v>45</v>
      </c>
      <c r="AV2" s="301" t="n">
        <f aca="false">AU2+1</f>
        <v>46</v>
      </c>
      <c r="AW2" s="301" t="n">
        <f aca="false">AV2+1</f>
        <v>47</v>
      </c>
      <c r="AX2" s="301" t="n">
        <f aca="false">AW2+1</f>
        <v>48</v>
      </c>
      <c r="AY2" s="301" t="n">
        <f aca="false">AX2+1</f>
        <v>49</v>
      </c>
      <c r="AZ2" s="301" t="n">
        <f aca="false">AY2+1</f>
        <v>50</v>
      </c>
      <c r="BA2" s="301" t="n">
        <f aca="false">AZ2+1</f>
        <v>51</v>
      </c>
      <c r="BB2" s="301" t="n">
        <f aca="false">BA2+1</f>
        <v>52</v>
      </c>
      <c r="BC2" s="301" t="n">
        <f aca="false">BB2+1</f>
        <v>53</v>
      </c>
      <c r="BD2" s="301" t="n">
        <f aca="false">BC2+1</f>
        <v>54</v>
      </c>
      <c r="BE2" s="301" t="n">
        <f aca="false">BD2+1</f>
        <v>55</v>
      </c>
      <c r="BF2" s="301" t="n">
        <f aca="false">BE2+1</f>
        <v>56</v>
      </c>
      <c r="BG2" s="301" t="n">
        <f aca="false">BF2+1</f>
        <v>57</v>
      </c>
      <c r="BH2" s="301" t="n">
        <f aca="false">BG2+1</f>
        <v>58</v>
      </c>
      <c r="BI2" s="301" t="n">
        <f aca="false">BH2+1</f>
        <v>59</v>
      </c>
      <c r="BJ2" s="301" t="n">
        <f aca="false">BI2+1</f>
        <v>60</v>
      </c>
      <c r="BK2" s="301" t="n">
        <f aca="false">BJ2+1</f>
        <v>61</v>
      </c>
      <c r="BL2" s="301" t="n">
        <f aca="false">BK2+1</f>
        <v>62</v>
      </c>
      <c r="BM2" s="301" t="n">
        <f aca="false">BL2+1</f>
        <v>63</v>
      </c>
      <c r="BN2" s="301" t="n">
        <f aca="false">BM2+1</f>
        <v>64</v>
      </c>
      <c r="BO2" s="301" t="n">
        <f aca="false">BN2+1</f>
        <v>65</v>
      </c>
      <c r="BP2" s="301" t="n">
        <f aca="false">BO2+1</f>
        <v>66</v>
      </c>
      <c r="BQ2" s="301" t="n">
        <f aca="false">BP2+1</f>
        <v>67</v>
      </c>
      <c r="BR2" s="301" t="n">
        <f aca="false">BQ2+1</f>
        <v>68</v>
      </c>
      <c r="BS2" s="301" t="n">
        <f aca="false">BR2+1</f>
        <v>69</v>
      </c>
      <c r="BT2" s="301" t="n">
        <f aca="false">BS2+1</f>
        <v>70</v>
      </c>
      <c r="BU2" s="301" t="n">
        <f aca="false">BT2+1</f>
        <v>71</v>
      </c>
      <c r="BV2" s="301" t="n">
        <f aca="false">BU2+1</f>
        <v>72</v>
      </c>
    </row>
    <row r="3" customFormat="false" ht="12.75" hidden="false" customHeight="false" outlineLevel="0" collapsed="false">
      <c r="C3" s="302" t="s">
        <v>232</v>
      </c>
      <c r="D3" s="301" t="s">
        <v>233</v>
      </c>
      <c r="E3" s="303" t="s">
        <v>233</v>
      </c>
      <c r="F3" s="303" t="s">
        <v>234</v>
      </c>
      <c r="G3" s="303" t="s">
        <v>235</v>
      </c>
      <c r="H3" s="303" t="s">
        <v>80</v>
      </c>
      <c r="I3" s="303" t="s">
        <v>132</v>
      </c>
      <c r="J3" s="303" t="s">
        <v>236</v>
      </c>
      <c r="K3" s="303" t="s">
        <v>41</v>
      </c>
      <c r="L3" s="303" t="s">
        <v>237</v>
      </c>
      <c r="M3" s="303" t="s">
        <v>128</v>
      </c>
      <c r="N3" s="304" t="s">
        <v>238</v>
      </c>
      <c r="O3" s="303" t="s">
        <v>26</v>
      </c>
      <c r="P3" s="303" t="s">
        <v>141</v>
      </c>
      <c r="Q3" s="303" t="s">
        <v>239</v>
      </c>
      <c r="R3" s="303" t="s">
        <v>240</v>
      </c>
      <c r="S3" s="303" t="s">
        <v>33</v>
      </c>
      <c r="T3" s="303" t="s">
        <v>241</v>
      </c>
      <c r="U3" s="303" t="s">
        <v>30</v>
      </c>
      <c r="V3" s="303" t="s">
        <v>120</v>
      </c>
      <c r="W3" s="303" t="s">
        <v>21</v>
      </c>
      <c r="X3" s="303" t="s">
        <v>37</v>
      </c>
      <c r="Y3" s="305" t="s">
        <v>242</v>
      </c>
      <c r="Z3" s="306" t="s">
        <v>243</v>
      </c>
      <c r="AA3" s="299" t="s">
        <v>18</v>
      </c>
      <c r="AB3" s="299" t="s">
        <v>244</v>
      </c>
      <c r="AC3" s="299" t="s">
        <v>84</v>
      </c>
      <c r="AD3" s="299" t="s">
        <v>123</v>
      </c>
      <c r="AE3" s="299" t="s">
        <v>83</v>
      </c>
      <c r="AF3" s="299" t="s">
        <v>245</v>
      </c>
      <c r="AG3" s="299" t="s">
        <v>246</v>
      </c>
      <c r="AH3" s="299" t="s">
        <v>171</v>
      </c>
      <c r="AI3" s="299" t="s">
        <v>247</v>
      </c>
      <c r="AJ3" s="299" t="s">
        <v>248</v>
      </c>
      <c r="AK3" s="299" t="s">
        <v>249</v>
      </c>
      <c r="AL3" s="299" t="s">
        <v>127</v>
      </c>
      <c r="AM3" s="299" t="s">
        <v>35</v>
      </c>
      <c r="AN3" s="299" t="s">
        <v>16</v>
      </c>
      <c r="AO3" s="299" t="s">
        <v>117</v>
      </c>
      <c r="AP3" s="299" t="s">
        <v>116</v>
      </c>
      <c r="AQ3" s="299" t="s">
        <v>24</v>
      </c>
      <c r="AR3" s="299" t="s">
        <v>39</v>
      </c>
      <c r="AS3" s="299" t="s">
        <v>28</v>
      </c>
      <c r="AT3" s="299" t="s">
        <v>250</v>
      </c>
      <c r="AU3" s="299" t="s">
        <v>32</v>
      </c>
      <c r="AV3" s="299" t="s">
        <v>251</v>
      </c>
      <c r="AW3" s="299" t="s">
        <v>252</v>
      </c>
      <c r="AX3" s="299" t="s">
        <v>137</v>
      </c>
      <c r="AY3" s="307" t="s">
        <v>136</v>
      </c>
      <c r="AZ3" s="307" t="s">
        <v>111</v>
      </c>
      <c r="BA3" s="307" t="s">
        <v>124</v>
      </c>
      <c r="BB3" s="307" t="s">
        <v>253</v>
      </c>
      <c r="BC3" s="307" t="s">
        <v>131</v>
      </c>
      <c r="BD3" s="307" t="s">
        <v>254</v>
      </c>
      <c r="BE3" s="307" t="s">
        <v>255</v>
      </c>
      <c r="BF3" s="307" t="s">
        <v>142</v>
      </c>
      <c r="BG3" s="299" t="s">
        <v>256</v>
      </c>
      <c r="BH3" s="299" t="s">
        <v>257</v>
      </c>
      <c r="BI3" s="299" t="s">
        <v>258</v>
      </c>
      <c r="BJ3" s="299" t="s">
        <v>81</v>
      </c>
      <c r="BK3" s="299" t="s">
        <v>84</v>
      </c>
      <c r="BL3" s="299" t="s">
        <v>16</v>
      </c>
      <c r="BM3" s="299" t="s">
        <v>21</v>
      </c>
      <c r="BN3" s="299" t="s">
        <v>26</v>
      </c>
      <c r="BO3" s="299" t="s">
        <v>28</v>
      </c>
      <c r="BP3" s="299" t="s">
        <v>116</v>
      </c>
      <c r="BQ3" s="299" t="s">
        <v>24</v>
      </c>
      <c r="BR3" s="299" t="s">
        <v>35</v>
      </c>
      <c r="BS3" s="0" t="s">
        <v>30</v>
      </c>
      <c r="BT3" s="0" t="s">
        <v>120</v>
      </c>
      <c r="BU3" s="0" t="s">
        <v>32</v>
      </c>
      <c r="BV3" s="0" t="s">
        <v>142</v>
      </c>
    </row>
    <row r="4" customFormat="false" ht="12.75" hidden="false" customHeight="false" outlineLevel="0" collapsed="false">
      <c r="C4" s="302" t="s">
        <v>259</v>
      </c>
      <c r="D4" s="301" t="s">
        <v>260</v>
      </c>
      <c r="E4" s="301" t="s">
        <v>261</v>
      </c>
      <c r="F4" s="301" t="s">
        <v>262</v>
      </c>
      <c r="G4" s="301" t="s">
        <v>260</v>
      </c>
      <c r="H4" s="301" t="s">
        <v>260</v>
      </c>
      <c r="I4" s="301" t="s">
        <v>260</v>
      </c>
      <c r="J4" s="301" t="s">
        <v>260</v>
      </c>
      <c r="K4" s="301" t="s">
        <v>260</v>
      </c>
      <c r="L4" s="301" t="s">
        <v>260</v>
      </c>
      <c r="M4" s="301" t="s">
        <v>260</v>
      </c>
      <c r="N4" s="301" t="s">
        <v>260</v>
      </c>
      <c r="O4" s="301" t="s">
        <v>260</v>
      </c>
      <c r="P4" s="301" t="s">
        <v>260</v>
      </c>
      <c r="Q4" s="301" t="s">
        <v>260</v>
      </c>
      <c r="R4" s="301" t="s">
        <v>260</v>
      </c>
      <c r="S4" s="301" t="s">
        <v>260</v>
      </c>
      <c r="T4" s="301" t="s">
        <v>260</v>
      </c>
      <c r="U4" s="301" t="s">
        <v>260</v>
      </c>
      <c r="V4" s="301" t="s">
        <v>260</v>
      </c>
      <c r="W4" s="301" t="s">
        <v>260</v>
      </c>
      <c r="X4" s="301" t="s">
        <v>260</v>
      </c>
      <c r="Y4" s="301" t="s">
        <v>260</v>
      </c>
      <c r="Z4" s="301" t="s">
        <v>260</v>
      </c>
      <c r="AA4" s="301" t="s">
        <v>260</v>
      </c>
      <c r="AB4" s="301" t="s">
        <v>260</v>
      </c>
      <c r="AC4" s="301" t="s">
        <v>260</v>
      </c>
      <c r="AD4" s="301" t="s">
        <v>260</v>
      </c>
      <c r="AE4" s="301" t="s">
        <v>260</v>
      </c>
      <c r="AF4" s="301" t="s">
        <v>260</v>
      </c>
      <c r="AG4" s="301" t="s">
        <v>260</v>
      </c>
      <c r="AH4" s="301" t="s">
        <v>260</v>
      </c>
      <c r="AI4" s="301" t="s">
        <v>260</v>
      </c>
      <c r="AJ4" s="301" t="s">
        <v>260</v>
      </c>
      <c r="AK4" s="301" t="s">
        <v>260</v>
      </c>
      <c r="AL4" s="301" t="s">
        <v>260</v>
      </c>
      <c r="AM4" s="301" t="s">
        <v>260</v>
      </c>
      <c r="AN4" s="301" t="s">
        <v>260</v>
      </c>
      <c r="AO4" s="301" t="s">
        <v>260</v>
      </c>
      <c r="AP4" s="301" t="s">
        <v>260</v>
      </c>
      <c r="AQ4" s="301" t="s">
        <v>260</v>
      </c>
      <c r="AR4" s="301" t="s">
        <v>260</v>
      </c>
      <c r="AS4" s="301" t="s">
        <v>260</v>
      </c>
      <c r="AT4" s="301" t="s">
        <v>260</v>
      </c>
      <c r="AU4" s="301" t="s">
        <v>260</v>
      </c>
      <c r="AV4" s="301" t="s">
        <v>260</v>
      </c>
      <c r="AW4" s="301" t="s">
        <v>260</v>
      </c>
      <c r="AX4" s="301" t="s">
        <v>260</v>
      </c>
      <c r="AY4" s="301" t="s">
        <v>260</v>
      </c>
      <c r="AZ4" s="301" t="s">
        <v>260</v>
      </c>
      <c r="BA4" s="301" t="s">
        <v>260</v>
      </c>
      <c r="BB4" s="301" t="s">
        <v>260</v>
      </c>
      <c r="BC4" s="301" t="s">
        <v>260</v>
      </c>
      <c r="BD4" s="301" t="s">
        <v>260</v>
      </c>
      <c r="BE4" s="301" t="s">
        <v>260</v>
      </c>
      <c r="BF4" s="301" t="s">
        <v>260</v>
      </c>
      <c r="BG4" s="299" t="s">
        <v>260</v>
      </c>
      <c r="BH4" s="299" t="s">
        <v>260</v>
      </c>
      <c r="BI4" s="299" t="s">
        <v>260</v>
      </c>
      <c r="BJ4" s="299" t="s">
        <v>260</v>
      </c>
      <c r="BK4" s="299" t="s">
        <v>260</v>
      </c>
      <c r="BL4" s="299" t="s">
        <v>260</v>
      </c>
      <c r="BM4" s="299" t="s">
        <v>260</v>
      </c>
      <c r="BN4" s="299" t="s">
        <v>260</v>
      </c>
      <c r="BO4" s="299" t="s">
        <v>260</v>
      </c>
      <c r="BP4" s="299" t="s">
        <v>260</v>
      </c>
      <c r="BQ4" s="299" t="s">
        <v>260</v>
      </c>
      <c r="BR4" s="299" t="s">
        <v>260</v>
      </c>
      <c r="BS4" s="0" t="s">
        <v>260</v>
      </c>
      <c r="BT4" s="0" t="s">
        <v>260</v>
      </c>
      <c r="BU4" s="0" t="s">
        <v>260</v>
      </c>
      <c r="BV4" s="0" t="s">
        <v>260</v>
      </c>
    </row>
    <row r="5" customFormat="false" ht="12.75" hidden="false" customHeight="false" outlineLevel="0" collapsed="false">
      <c r="C5" s="302" t="s">
        <v>263</v>
      </c>
      <c r="D5" s="301" t="s">
        <v>264</v>
      </c>
      <c r="E5" s="301" t="s">
        <v>264</v>
      </c>
      <c r="F5" s="301" t="s">
        <v>265</v>
      </c>
      <c r="G5" s="301" t="s">
        <v>266</v>
      </c>
      <c r="H5" s="301" t="s">
        <v>266</v>
      </c>
      <c r="I5" s="301" t="s">
        <v>266</v>
      </c>
      <c r="J5" s="301" t="s">
        <v>266</v>
      </c>
      <c r="K5" s="301" t="s">
        <v>266</v>
      </c>
      <c r="L5" s="301" t="s">
        <v>266</v>
      </c>
      <c r="M5" s="301" t="s">
        <v>266</v>
      </c>
      <c r="N5" s="301" t="s">
        <v>266</v>
      </c>
      <c r="O5" s="301" t="s">
        <v>266</v>
      </c>
      <c r="P5" s="301" t="s">
        <v>266</v>
      </c>
      <c r="Q5" s="301" t="s">
        <v>266</v>
      </c>
      <c r="R5" s="301" t="s">
        <v>266</v>
      </c>
      <c r="S5" s="301" t="s">
        <v>266</v>
      </c>
      <c r="T5" s="301" t="s">
        <v>266</v>
      </c>
      <c r="U5" s="301" t="s">
        <v>266</v>
      </c>
      <c r="V5" s="301" t="s">
        <v>266</v>
      </c>
      <c r="W5" s="301" t="s">
        <v>266</v>
      </c>
      <c r="X5" s="301" t="s">
        <v>266</v>
      </c>
      <c r="Y5" s="301" t="s">
        <v>266</v>
      </c>
      <c r="Z5" s="301" t="s">
        <v>266</v>
      </c>
      <c r="AA5" s="301" t="s">
        <v>266</v>
      </c>
      <c r="AB5" s="301" t="s">
        <v>266</v>
      </c>
      <c r="AC5" s="301" t="s">
        <v>266</v>
      </c>
      <c r="AD5" s="301" t="s">
        <v>266</v>
      </c>
      <c r="AE5" s="301" t="s">
        <v>266</v>
      </c>
      <c r="AF5" s="301" t="s">
        <v>266</v>
      </c>
      <c r="AG5" s="301" t="s">
        <v>266</v>
      </c>
      <c r="AH5" s="301" t="s">
        <v>266</v>
      </c>
      <c r="AI5" s="301" t="s">
        <v>266</v>
      </c>
      <c r="AJ5" s="301" t="s">
        <v>266</v>
      </c>
      <c r="AK5" s="301" t="s">
        <v>266</v>
      </c>
      <c r="AL5" s="301" t="s">
        <v>266</v>
      </c>
      <c r="AM5" s="301" t="s">
        <v>266</v>
      </c>
      <c r="AN5" s="301" t="s">
        <v>266</v>
      </c>
      <c r="AO5" s="301" t="s">
        <v>266</v>
      </c>
      <c r="AP5" s="301" t="s">
        <v>266</v>
      </c>
      <c r="AQ5" s="301" t="s">
        <v>266</v>
      </c>
      <c r="AR5" s="301" t="s">
        <v>266</v>
      </c>
      <c r="AS5" s="301" t="s">
        <v>266</v>
      </c>
      <c r="AT5" s="301" t="s">
        <v>266</v>
      </c>
      <c r="AU5" s="301" t="s">
        <v>266</v>
      </c>
      <c r="AV5" s="301" t="s">
        <v>266</v>
      </c>
      <c r="AW5" s="301" t="s">
        <v>266</v>
      </c>
      <c r="AX5" s="301" t="s">
        <v>266</v>
      </c>
      <c r="AY5" s="301" t="s">
        <v>266</v>
      </c>
      <c r="AZ5" s="301" t="s">
        <v>266</v>
      </c>
      <c r="BA5" s="301" t="s">
        <v>266</v>
      </c>
      <c r="BB5" s="301" t="s">
        <v>266</v>
      </c>
      <c r="BC5" s="301" t="s">
        <v>266</v>
      </c>
      <c r="BD5" s="301" t="s">
        <v>266</v>
      </c>
      <c r="BE5" s="301" t="s">
        <v>266</v>
      </c>
      <c r="BF5" s="301" t="s">
        <v>266</v>
      </c>
      <c r="BG5" s="299" t="s">
        <v>266</v>
      </c>
      <c r="BH5" s="299" t="s">
        <v>266</v>
      </c>
      <c r="BI5" s="299" t="s">
        <v>266</v>
      </c>
      <c r="BJ5" s="299" t="s">
        <v>266</v>
      </c>
      <c r="BK5" s="299" t="s">
        <v>267</v>
      </c>
      <c r="BL5" s="299" t="s">
        <v>267</v>
      </c>
      <c r="BM5" s="299" t="s">
        <v>267</v>
      </c>
      <c r="BN5" s="299" t="s">
        <v>267</v>
      </c>
      <c r="BO5" s="299" t="s">
        <v>267</v>
      </c>
      <c r="BP5" s="299" t="s">
        <v>267</v>
      </c>
      <c r="BQ5" s="299" t="s">
        <v>267</v>
      </c>
      <c r="BR5" s="299" t="s">
        <v>267</v>
      </c>
      <c r="BS5" s="0" t="s">
        <v>267</v>
      </c>
      <c r="BT5" s="0" t="s">
        <v>267</v>
      </c>
      <c r="BU5" s="0" t="s">
        <v>267</v>
      </c>
      <c r="BV5" s="0" t="s">
        <v>267</v>
      </c>
    </row>
    <row r="6" customFormat="false" ht="12.75" hidden="false" customHeight="false" outlineLevel="0" collapsed="false">
      <c r="A6" s="301" t="e">
        <f aca="false">#REF!-B6</f>
        <v>#REF!</v>
      </c>
      <c r="B6" s="301" t="n">
        <v>4.354</v>
      </c>
      <c r="C6" s="308" t="n">
        <v>37257</v>
      </c>
      <c r="D6" s="292" t="n">
        <v>2.719</v>
      </c>
      <c r="E6" s="309" t="n">
        <v>0.87</v>
      </c>
      <c r="F6" s="299" t="n">
        <v>0.018936902743822</v>
      </c>
      <c r="G6" s="299" t="n">
        <v>-0.12</v>
      </c>
      <c r="H6" s="299" t="n">
        <v>-0.14</v>
      </c>
      <c r="I6" s="310" t="n">
        <v>-0.015</v>
      </c>
      <c r="J6" s="310" t="n">
        <v>-0.115</v>
      </c>
      <c r="K6" s="299" t="n">
        <v>-0.015</v>
      </c>
      <c r="L6" s="299" t="n">
        <v>-0.08</v>
      </c>
      <c r="M6" s="299" t="n">
        <v>-0.11</v>
      </c>
      <c r="N6" s="299" t="n">
        <v>-0.11</v>
      </c>
      <c r="O6" s="299" t="n">
        <v>-0.11</v>
      </c>
      <c r="P6" s="299" t="n">
        <v>-0.12</v>
      </c>
      <c r="Q6" s="299" t="n">
        <v>-0.1</v>
      </c>
      <c r="R6" s="299" t="n">
        <v>-0.08</v>
      </c>
      <c r="S6" s="299" t="n">
        <v>0.105</v>
      </c>
      <c r="T6" s="299" t="n">
        <v>0.125</v>
      </c>
      <c r="U6" s="299" t="n">
        <v>0.12</v>
      </c>
      <c r="V6" s="299" t="n">
        <v>0.2</v>
      </c>
      <c r="W6" s="299" t="n">
        <v>0.1325</v>
      </c>
      <c r="X6" s="299" t="n">
        <v>0.2025</v>
      </c>
      <c r="Y6" s="299" t="n">
        <v>-0.025</v>
      </c>
      <c r="Z6" s="299" t="n">
        <v>-0.06</v>
      </c>
      <c r="AA6" s="299" t="n">
        <v>-0.01</v>
      </c>
      <c r="AB6" s="299" t="n">
        <v>-0.035</v>
      </c>
      <c r="AC6" s="299" t="n">
        <v>0.0025</v>
      </c>
      <c r="AD6" s="299" t="n">
        <v>-0.0425</v>
      </c>
      <c r="AE6" s="299" t="n">
        <v>-0.0825</v>
      </c>
      <c r="AF6" s="299" t="n">
        <v>-0.0675</v>
      </c>
      <c r="AG6" s="299" t="n">
        <v>-0.0925</v>
      </c>
      <c r="AH6" s="299" t="n">
        <v>-0.02</v>
      </c>
      <c r="AI6" s="299" t="n">
        <v>-0.08</v>
      </c>
      <c r="AJ6" s="299" t="n">
        <v>-0.12</v>
      </c>
      <c r="AK6" s="299" t="n">
        <v>-0.025</v>
      </c>
      <c r="AL6" s="299" t="n">
        <v>0.015</v>
      </c>
      <c r="AM6" s="299" t="n">
        <v>1.72</v>
      </c>
      <c r="AN6" s="299" t="n">
        <v>-0.0225</v>
      </c>
      <c r="AO6" s="299" t="n">
        <v>-0.365</v>
      </c>
      <c r="AP6" s="299" t="n">
        <v>-0.15</v>
      </c>
      <c r="AQ6" s="299" t="n">
        <v>-0.27</v>
      </c>
      <c r="AR6" s="299" t="n">
        <v>0.06</v>
      </c>
      <c r="AS6" s="299" t="n">
        <v>-0.31</v>
      </c>
      <c r="AT6" s="299" t="n">
        <v>-0.465</v>
      </c>
      <c r="AU6" s="299" t="n">
        <v>-0.015</v>
      </c>
      <c r="AV6" s="299" t="n">
        <v>-0.365</v>
      </c>
      <c r="AW6" s="299" t="n">
        <v>-0.21</v>
      </c>
      <c r="AX6" s="299" t="n">
        <v>-0.12</v>
      </c>
      <c r="AY6" s="299" t="n">
        <v>-0.14</v>
      </c>
      <c r="AZ6" s="299" t="n">
        <v>-0.0875</v>
      </c>
      <c r="BA6" s="299" t="n">
        <v>-0.1275</v>
      </c>
      <c r="BB6" s="299" t="n">
        <v>-0.025</v>
      </c>
      <c r="BC6" s="299" t="n">
        <v>-0.085</v>
      </c>
      <c r="BD6" s="299" t="n">
        <v>-0.0525</v>
      </c>
      <c r="BE6" s="299" t="n">
        <v>-0.0825</v>
      </c>
      <c r="BF6" s="299" t="n">
        <v>-0.015</v>
      </c>
      <c r="BG6" s="299" t="n">
        <v>0.21</v>
      </c>
      <c r="BH6" s="299" t="n">
        <v>0.125</v>
      </c>
      <c r="BI6" s="299" t="n">
        <v>0.135</v>
      </c>
      <c r="BJ6" s="299" t="n">
        <v>0.78</v>
      </c>
      <c r="BK6" s="299" t="n">
        <v>-0.005</v>
      </c>
      <c r="BL6" s="299" t="n">
        <v>-0.025</v>
      </c>
      <c r="BM6" s="299" t="n">
        <v>0.005</v>
      </c>
      <c r="BN6" s="299" t="n">
        <v>-0.015</v>
      </c>
      <c r="BO6" s="299" t="n">
        <v>0.015</v>
      </c>
      <c r="BP6" s="299" t="n">
        <v>-0.0275</v>
      </c>
      <c r="BQ6" s="299" t="n">
        <v>-0.01</v>
      </c>
      <c r="BR6" s="299" t="n">
        <v>0.43</v>
      </c>
      <c r="BS6" s="0" t="n">
        <v>0</v>
      </c>
      <c r="BT6" s="0" t="n">
        <v>0.01</v>
      </c>
      <c r="BU6" s="0" t="n">
        <v>-0.01</v>
      </c>
      <c r="BV6" s="0" t="n">
        <v>0.02</v>
      </c>
    </row>
    <row r="7" customFormat="false" ht="12.75" hidden="false" customHeight="false" outlineLevel="0" collapsed="false">
      <c r="A7" s="301" t="e">
        <f aca="false">#REF!-B7</f>
        <v>#REF!</v>
      </c>
      <c r="B7" s="301" t="n">
        <v>4.34</v>
      </c>
      <c r="C7" s="308" t="n">
        <f aca="false">EOMONTH(C6,0)+1</f>
        <v>37288</v>
      </c>
      <c r="D7" s="292" t="n">
        <v>2.793</v>
      </c>
      <c r="E7" s="301" t="n">
        <v>0.865</v>
      </c>
      <c r="F7" s="299" t="n">
        <v>0.0191878596638237</v>
      </c>
      <c r="G7" s="299" t="n">
        <v>-0.115</v>
      </c>
      <c r="H7" s="299" t="n">
        <v>-0.135</v>
      </c>
      <c r="I7" s="310" t="n">
        <v>-0.005</v>
      </c>
      <c r="J7" s="310" t="n">
        <v>-0.105</v>
      </c>
      <c r="K7" s="299" t="n">
        <v>-0.005</v>
      </c>
      <c r="L7" s="299" t="n">
        <v>-0.08</v>
      </c>
      <c r="M7" s="299" t="n">
        <v>-0.11</v>
      </c>
      <c r="N7" s="299" t="n">
        <v>-0.105</v>
      </c>
      <c r="O7" s="299" t="n">
        <v>-0.105</v>
      </c>
      <c r="P7" s="299" t="n">
        <v>-0.115</v>
      </c>
      <c r="Q7" s="299" t="n">
        <v>-0.1</v>
      </c>
      <c r="R7" s="299" t="n">
        <v>-0.08</v>
      </c>
      <c r="S7" s="299" t="n">
        <v>0.1</v>
      </c>
      <c r="T7" s="299" t="n">
        <v>0.12</v>
      </c>
      <c r="U7" s="299" t="n">
        <v>0.095</v>
      </c>
      <c r="V7" s="299" t="n">
        <v>0.11</v>
      </c>
      <c r="W7" s="299" t="n">
        <v>0.1325</v>
      </c>
      <c r="X7" s="299" t="n">
        <v>0.2</v>
      </c>
      <c r="Y7" s="299" t="n">
        <v>-0.025</v>
      </c>
      <c r="Z7" s="299" t="n">
        <v>-0.06</v>
      </c>
      <c r="AA7" s="299" t="n">
        <v>-0.01</v>
      </c>
      <c r="AB7" s="299" t="n">
        <v>-0.035</v>
      </c>
      <c r="AC7" s="299" t="n">
        <v>0.0025</v>
      </c>
      <c r="AD7" s="299" t="n">
        <v>-0.0425</v>
      </c>
      <c r="AE7" s="299" t="n">
        <v>-0.0825</v>
      </c>
      <c r="AF7" s="299" t="n">
        <v>-0.0675</v>
      </c>
      <c r="AG7" s="299" t="n">
        <v>-0.0925</v>
      </c>
      <c r="AH7" s="299" t="n">
        <v>-0.02</v>
      </c>
      <c r="AI7" s="299" t="n">
        <v>-0.0775</v>
      </c>
      <c r="AJ7" s="299" t="n">
        <v>-0.12</v>
      </c>
      <c r="AK7" s="299" t="n">
        <v>-0.025</v>
      </c>
      <c r="AL7" s="299" t="n">
        <v>0.015</v>
      </c>
      <c r="AM7" s="299" t="n">
        <v>1.7</v>
      </c>
      <c r="AN7" s="299" t="n">
        <v>-0.0175</v>
      </c>
      <c r="AO7" s="299" t="n">
        <v>-0.395</v>
      </c>
      <c r="AP7" s="299" t="n">
        <v>-0.155</v>
      </c>
      <c r="AQ7" s="299" t="n">
        <v>-0.3</v>
      </c>
      <c r="AR7" s="299" t="n">
        <v>-0.08</v>
      </c>
      <c r="AS7" s="299" t="n">
        <v>-0.34</v>
      </c>
      <c r="AT7" s="299" t="n">
        <v>-0.495</v>
      </c>
      <c r="AU7" s="299" t="n">
        <v>-0.09</v>
      </c>
      <c r="AV7" s="299" t="n">
        <v>-0.395</v>
      </c>
      <c r="AW7" s="299" t="n">
        <v>-0.21</v>
      </c>
      <c r="AX7" s="299" t="n">
        <v>-0.125</v>
      </c>
      <c r="AY7" s="299" t="n">
        <v>-0.14</v>
      </c>
      <c r="AZ7" s="299" t="n">
        <v>-0.0875</v>
      </c>
      <c r="BA7" s="299" t="n">
        <v>-0.1275</v>
      </c>
      <c r="BB7" s="299" t="n">
        <v>-0.025</v>
      </c>
      <c r="BC7" s="299" t="n">
        <v>-0.085</v>
      </c>
      <c r="BD7" s="299" t="n">
        <v>-0.0475</v>
      </c>
      <c r="BE7" s="299" t="n">
        <v>-0.0825</v>
      </c>
      <c r="BF7" s="299" t="n">
        <v>-0.05</v>
      </c>
      <c r="BG7" s="299" t="n">
        <v>0.155</v>
      </c>
      <c r="BH7" s="299" t="n">
        <v>0.12</v>
      </c>
      <c r="BI7" s="299" t="n">
        <v>0.13</v>
      </c>
      <c r="BJ7" s="299" t="n">
        <v>0.78</v>
      </c>
      <c r="BK7" s="299" t="n">
        <v>-0.005</v>
      </c>
      <c r="BL7" s="299" t="n">
        <v>-0.025</v>
      </c>
      <c r="BM7" s="299" t="n">
        <v>0.005</v>
      </c>
      <c r="BN7" s="299" t="n">
        <v>-0.015</v>
      </c>
      <c r="BO7" s="299" t="n">
        <v>0.015</v>
      </c>
      <c r="BP7" s="299" t="n">
        <v>-0.0275</v>
      </c>
      <c r="BQ7" s="299" t="n">
        <v>-0.01</v>
      </c>
      <c r="BR7" s="299" t="n">
        <v>0.43</v>
      </c>
      <c r="BS7" s="0" t="n">
        <v>0</v>
      </c>
      <c r="BT7" s="0" t="n">
        <v>0.01</v>
      </c>
      <c r="BU7" s="0" t="n">
        <v>-0.01</v>
      </c>
      <c r="BV7" s="0" t="n">
        <v>0.02</v>
      </c>
    </row>
    <row r="8" customFormat="false" ht="12.75" hidden="false" customHeight="false" outlineLevel="0" collapsed="false">
      <c r="A8" s="301" t="e">
        <f aca="false">#REF!-B8</f>
        <v>#REF!</v>
      </c>
      <c r="B8" s="301" t="n">
        <v>4.32</v>
      </c>
      <c r="C8" s="308" t="n">
        <f aca="false">EOMONTH(C7,0)+1</f>
        <v>37316</v>
      </c>
      <c r="D8" s="292" t="n">
        <v>2.795</v>
      </c>
      <c r="E8" s="301" t="n">
        <v>0.78</v>
      </c>
      <c r="F8" s="299" t="n">
        <v>0.0190229841898146</v>
      </c>
      <c r="G8" s="299" t="n">
        <v>-0.115</v>
      </c>
      <c r="H8" s="299" t="n">
        <v>-0.135</v>
      </c>
      <c r="I8" s="310" t="n">
        <v>-0.005</v>
      </c>
      <c r="J8" s="310" t="n">
        <v>-0.105</v>
      </c>
      <c r="K8" s="299" t="n">
        <v>-0.005</v>
      </c>
      <c r="L8" s="299" t="n">
        <v>-0.08</v>
      </c>
      <c r="M8" s="299" t="n">
        <v>-0.11</v>
      </c>
      <c r="N8" s="299" t="n">
        <v>-0.105</v>
      </c>
      <c r="O8" s="299" t="n">
        <v>-0.105</v>
      </c>
      <c r="P8" s="299" t="n">
        <v>-0.115</v>
      </c>
      <c r="Q8" s="299" t="n">
        <v>-0.1</v>
      </c>
      <c r="R8" s="299" t="n">
        <v>-0.08</v>
      </c>
      <c r="S8" s="299" t="n">
        <v>0.095</v>
      </c>
      <c r="T8" s="299" t="n">
        <v>0.115</v>
      </c>
      <c r="U8" s="299" t="n">
        <v>0.085</v>
      </c>
      <c r="V8" s="299" t="n">
        <v>0.09</v>
      </c>
      <c r="W8" s="299" t="n">
        <v>0.12</v>
      </c>
      <c r="X8" s="299" t="n">
        <v>0.17</v>
      </c>
      <c r="Y8" s="299" t="n">
        <v>-0.025</v>
      </c>
      <c r="Z8" s="299" t="n">
        <v>-0.06</v>
      </c>
      <c r="AA8" s="299" t="n">
        <v>-0.01</v>
      </c>
      <c r="AB8" s="299" t="n">
        <v>-0.035</v>
      </c>
      <c r="AC8" s="299" t="n">
        <v>0.0025</v>
      </c>
      <c r="AD8" s="299" t="n">
        <v>-0.0425</v>
      </c>
      <c r="AE8" s="299" t="n">
        <v>-0.0825</v>
      </c>
      <c r="AF8" s="299" t="n">
        <v>-0.0675</v>
      </c>
      <c r="AG8" s="299" t="n">
        <v>-0.0925</v>
      </c>
      <c r="AH8" s="299" t="n">
        <v>-0.02</v>
      </c>
      <c r="AI8" s="299" t="n">
        <v>-0.0775</v>
      </c>
      <c r="AJ8" s="299" t="n">
        <v>-0.12</v>
      </c>
      <c r="AK8" s="299" t="n">
        <v>-0.025</v>
      </c>
      <c r="AL8" s="299" t="n">
        <v>0.015</v>
      </c>
      <c r="AM8" s="299" t="n">
        <v>0.64</v>
      </c>
      <c r="AN8" s="299" t="n">
        <v>-0.0125</v>
      </c>
      <c r="AO8" s="299" t="n">
        <v>-0.495</v>
      </c>
      <c r="AP8" s="299" t="n">
        <v>-0.16</v>
      </c>
      <c r="AQ8" s="299" t="n">
        <v>-0.34</v>
      </c>
      <c r="AR8" s="299" t="n">
        <v>-0.25</v>
      </c>
      <c r="AS8" s="299" t="n">
        <v>-0.43</v>
      </c>
      <c r="AT8" s="299" t="n">
        <v>-0.595</v>
      </c>
      <c r="AU8" s="299" t="n">
        <v>-0.01</v>
      </c>
      <c r="AV8" s="299" t="n">
        <v>-0.495</v>
      </c>
      <c r="AW8" s="299" t="n">
        <v>-0.21</v>
      </c>
      <c r="AX8" s="299" t="n">
        <v>-0.13</v>
      </c>
      <c r="AY8" s="299" t="n">
        <v>-0.14</v>
      </c>
      <c r="AZ8" s="299" t="n">
        <v>-0.0875</v>
      </c>
      <c r="BA8" s="299" t="n">
        <v>-0.1275</v>
      </c>
      <c r="BB8" s="299" t="n">
        <v>-0.025</v>
      </c>
      <c r="BC8" s="299" t="n">
        <v>-0.085</v>
      </c>
      <c r="BD8" s="299" t="n">
        <v>-0.0425</v>
      </c>
      <c r="BE8" s="299" t="n">
        <v>-0.0825</v>
      </c>
      <c r="BF8" s="299" t="n">
        <v>-0.1</v>
      </c>
      <c r="BG8" s="299" t="n">
        <v>0.16</v>
      </c>
      <c r="BH8" s="299" t="n">
        <v>0.115</v>
      </c>
      <c r="BI8" s="299" t="n">
        <v>0.125</v>
      </c>
      <c r="BJ8" s="299" t="n">
        <v>0.48</v>
      </c>
      <c r="BK8" s="299" t="n">
        <v>-0.005</v>
      </c>
      <c r="BL8" s="299" t="n">
        <v>-0.02</v>
      </c>
      <c r="BM8" s="299" t="n">
        <v>0.005</v>
      </c>
      <c r="BN8" s="299" t="n">
        <v>-0.015</v>
      </c>
      <c r="BO8" s="299" t="n">
        <v>0.015</v>
      </c>
      <c r="BP8" s="299" t="n">
        <v>-0.0275</v>
      </c>
      <c r="BQ8" s="299" t="n">
        <v>-0.01</v>
      </c>
      <c r="BR8" s="299" t="n">
        <v>0.05</v>
      </c>
      <c r="BS8" s="0" t="n">
        <v>0</v>
      </c>
      <c r="BT8" s="0" t="n">
        <v>0.01</v>
      </c>
      <c r="BU8" s="0" t="n">
        <v>-0.01</v>
      </c>
      <c r="BV8" s="0" t="n">
        <v>0.02</v>
      </c>
    </row>
    <row r="9" customFormat="false" ht="12.75" hidden="false" customHeight="false" outlineLevel="0" collapsed="false">
      <c r="A9" s="301" t="e">
        <f aca="false">#REF!-B9</f>
        <v>#REF!</v>
      </c>
      <c r="B9" s="301" t="n">
        <v>4.335</v>
      </c>
      <c r="C9" s="308" t="n">
        <f aca="false">EOMONTH(C8,0)+1</f>
        <v>37347</v>
      </c>
      <c r="D9" s="0" t="n">
        <v>2.765</v>
      </c>
      <c r="E9" s="301" t="n">
        <v>0.6</v>
      </c>
      <c r="F9" s="299" t="n">
        <v>0.0189361632757947</v>
      </c>
      <c r="G9" s="299" t="n">
        <v>-0.13</v>
      </c>
      <c r="H9" s="299" t="n">
        <v>-0.15</v>
      </c>
      <c r="I9" s="310" t="n">
        <v>-0.09</v>
      </c>
      <c r="J9" s="310" t="n">
        <v>-0.205</v>
      </c>
      <c r="K9" s="299" t="n">
        <v>-0.09</v>
      </c>
      <c r="L9" s="299" t="n">
        <v>-0.07</v>
      </c>
      <c r="M9" s="299" t="n">
        <v>-0.095</v>
      </c>
      <c r="N9" s="299" t="n">
        <v>-0.12</v>
      </c>
      <c r="O9" s="299" t="n">
        <v>-0.12</v>
      </c>
      <c r="P9" s="299" t="n">
        <v>-0.13</v>
      </c>
      <c r="Q9" s="299" t="n">
        <v>-0.1125</v>
      </c>
      <c r="R9" s="299" t="n">
        <v>-0.0875</v>
      </c>
      <c r="S9" s="299" t="n">
        <v>0.085</v>
      </c>
      <c r="T9" s="299" t="n">
        <v>0.135</v>
      </c>
      <c r="U9" s="299" t="n">
        <v>0.03</v>
      </c>
      <c r="V9" s="299" t="n">
        <v>0.07</v>
      </c>
      <c r="W9" s="299" t="n">
        <v>0.15</v>
      </c>
      <c r="X9" s="299" t="n">
        <v>0.195</v>
      </c>
      <c r="Y9" s="299" t="n">
        <v>-0.025</v>
      </c>
      <c r="Z9" s="299" t="n">
        <v>-0.055</v>
      </c>
      <c r="AA9" s="299" t="n">
        <v>0.01</v>
      </c>
      <c r="AB9" s="299" t="n">
        <v>-0.0225</v>
      </c>
      <c r="AC9" s="299" t="n">
        <v>0.0025</v>
      </c>
      <c r="AD9" s="299" t="n">
        <v>-0.0275</v>
      </c>
      <c r="AE9" s="299" t="n">
        <v>-0.0775</v>
      </c>
      <c r="AF9" s="299" t="n">
        <v>-0.065</v>
      </c>
      <c r="AG9" s="299" t="n">
        <v>-0.09</v>
      </c>
      <c r="AH9" s="299" t="n">
        <v>-0.02</v>
      </c>
      <c r="AI9" s="299" t="n">
        <v>-0.0775</v>
      </c>
      <c r="AJ9" s="299" t="n">
        <v>-0.1375</v>
      </c>
      <c r="AK9" s="299" t="n">
        <v>-0.0225</v>
      </c>
      <c r="AL9" s="299" t="n">
        <v>0.0175</v>
      </c>
      <c r="AM9" s="299" t="n">
        <v>0.41</v>
      </c>
      <c r="AN9" s="299" t="n">
        <v>0.015</v>
      </c>
      <c r="AO9" s="299" t="n">
        <v>-0.64</v>
      </c>
      <c r="AP9" s="299" t="n">
        <v>-0.175</v>
      </c>
      <c r="AQ9" s="299" t="n">
        <v>-0.36</v>
      </c>
      <c r="AR9" s="299" t="n">
        <v>-0.275</v>
      </c>
      <c r="AS9" s="299" t="n">
        <v>-0.53</v>
      </c>
      <c r="AT9" s="299" t="n">
        <v>-0.64</v>
      </c>
      <c r="AU9" s="299" t="n">
        <v>-0.09</v>
      </c>
      <c r="AV9" s="299" t="n">
        <v>-0.64</v>
      </c>
      <c r="AW9" s="299" t="n">
        <v>-0.235</v>
      </c>
      <c r="AX9" s="299" t="n">
        <v>-0.135</v>
      </c>
      <c r="AY9" s="299" t="n">
        <v>-0.165</v>
      </c>
      <c r="AZ9" s="299" t="n">
        <v>-0.085</v>
      </c>
      <c r="BA9" s="299" t="n">
        <v>-0.1425</v>
      </c>
      <c r="BB9" s="299" t="n">
        <v>-0.025</v>
      </c>
      <c r="BC9" s="299" t="n">
        <v>-0.0825</v>
      </c>
      <c r="BD9" s="299" t="n">
        <v>-0.015</v>
      </c>
      <c r="BE9" s="299" t="n">
        <v>-0.0775</v>
      </c>
      <c r="BF9" s="299" t="n">
        <v>-0.12</v>
      </c>
      <c r="BG9" s="299" t="n">
        <v>0.085</v>
      </c>
      <c r="BH9" s="299" t="n">
        <v>0.135</v>
      </c>
      <c r="BI9" s="299" t="n">
        <v>0.09</v>
      </c>
      <c r="BJ9" s="299" t="n">
        <v>0.34</v>
      </c>
      <c r="BK9" s="299" t="n">
        <v>-0.0025</v>
      </c>
      <c r="BL9" s="299" t="n">
        <v>-0.015</v>
      </c>
      <c r="BM9" s="299" t="n">
        <v>0.005</v>
      </c>
      <c r="BN9" s="299" t="n">
        <v>-0.01</v>
      </c>
      <c r="BO9" s="299" t="n">
        <v>0.02</v>
      </c>
      <c r="BP9" s="299" t="n">
        <v>-0.01</v>
      </c>
      <c r="BQ9" s="299" t="n">
        <v>0</v>
      </c>
      <c r="BR9" s="299" t="n">
        <v>0.02</v>
      </c>
      <c r="BS9" s="0" t="n">
        <v>-0.005</v>
      </c>
      <c r="BT9" s="0" t="n">
        <v>0.03</v>
      </c>
      <c r="BU9" s="0" t="n">
        <v>-0.01</v>
      </c>
      <c r="BV9" s="0" t="n">
        <v>0.02</v>
      </c>
    </row>
    <row r="10" customFormat="false" ht="12.75" hidden="false" customHeight="false" outlineLevel="0" collapsed="false">
      <c r="A10" s="301" t="e">
        <f aca="false">#REF!-B10</f>
        <v>#REF!</v>
      </c>
      <c r="B10" s="301" t="n">
        <v>4.434</v>
      </c>
      <c r="C10" s="308" t="n">
        <f aca="false">EOMONTH(C9,0)+1</f>
        <v>37377</v>
      </c>
      <c r="D10" s="0" t="n">
        <v>2.818</v>
      </c>
      <c r="E10" s="301" t="n">
        <v>0.5425</v>
      </c>
      <c r="F10" s="299" t="n">
        <v>0.0191064797925966</v>
      </c>
      <c r="G10" s="299" t="n">
        <v>-0.13</v>
      </c>
      <c r="H10" s="299" t="n">
        <v>-0.15</v>
      </c>
      <c r="I10" s="310" t="n">
        <v>-0.09</v>
      </c>
      <c r="J10" s="310" t="n">
        <v>-0.1975</v>
      </c>
      <c r="K10" s="299" t="n">
        <v>-0.09</v>
      </c>
      <c r="L10" s="299" t="n">
        <v>-0.07</v>
      </c>
      <c r="M10" s="299" t="n">
        <v>-0.095</v>
      </c>
      <c r="N10" s="299" t="n">
        <v>-0.12</v>
      </c>
      <c r="O10" s="299" t="n">
        <v>-0.12</v>
      </c>
      <c r="P10" s="299" t="n">
        <v>-0.13</v>
      </c>
      <c r="Q10" s="299" t="n">
        <v>-0.1125</v>
      </c>
      <c r="R10" s="299" t="n">
        <v>-0.0875</v>
      </c>
      <c r="S10" s="299" t="n">
        <v>0.085</v>
      </c>
      <c r="T10" s="299" t="n">
        <v>0.135</v>
      </c>
      <c r="U10" s="299" t="n">
        <v>0.03</v>
      </c>
      <c r="V10" s="299" t="n">
        <v>0.07</v>
      </c>
      <c r="W10" s="299" t="n">
        <v>0.13</v>
      </c>
      <c r="X10" s="299" t="n">
        <v>0.135</v>
      </c>
      <c r="Y10" s="299" t="n">
        <v>-0.025</v>
      </c>
      <c r="Z10" s="299" t="n">
        <v>-0.055</v>
      </c>
      <c r="AA10" s="299" t="n">
        <v>0.01</v>
      </c>
      <c r="AB10" s="299" t="n">
        <v>-0.0225</v>
      </c>
      <c r="AC10" s="299" t="n">
        <v>0.0025</v>
      </c>
      <c r="AD10" s="299" t="n">
        <v>-0.0275</v>
      </c>
      <c r="AE10" s="299" t="n">
        <v>-0.0775</v>
      </c>
      <c r="AF10" s="299" t="n">
        <v>-0.065</v>
      </c>
      <c r="AG10" s="299" t="n">
        <v>-0.09</v>
      </c>
      <c r="AH10" s="299" t="n">
        <v>-0.02</v>
      </c>
      <c r="AI10" s="299" t="n">
        <v>-0.0775</v>
      </c>
      <c r="AJ10" s="299" t="n">
        <v>-0.1375</v>
      </c>
      <c r="AK10" s="299" t="n">
        <v>-0.0225</v>
      </c>
      <c r="AL10" s="299" t="n">
        <v>0.0175</v>
      </c>
      <c r="AM10" s="299" t="n">
        <v>0.38</v>
      </c>
      <c r="AN10" s="299" t="n">
        <v>0.02</v>
      </c>
      <c r="AO10" s="299" t="n">
        <v>-0.64</v>
      </c>
      <c r="AP10" s="299" t="n">
        <v>-0.17</v>
      </c>
      <c r="AQ10" s="299" t="n">
        <v>-0.36</v>
      </c>
      <c r="AR10" s="299" t="n">
        <v>-0.275</v>
      </c>
      <c r="AS10" s="299" t="n">
        <v>-0.53</v>
      </c>
      <c r="AT10" s="299" t="n">
        <v>-0.64</v>
      </c>
      <c r="AU10" s="299" t="n">
        <v>-0.07</v>
      </c>
      <c r="AV10" s="299" t="n">
        <v>-0.64</v>
      </c>
      <c r="AW10" s="299" t="n">
        <v>-0.2025</v>
      </c>
      <c r="AX10" s="299" t="n">
        <v>-0.1275</v>
      </c>
      <c r="AY10" s="299" t="n">
        <v>-0.1425</v>
      </c>
      <c r="AZ10" s="299" t="n">
        <v>-0.085</v>
      </c>
      <c r="BA10" s="299" t="n">
        <v>-0.135</v>
      </c>
      <c r="BB10" s="299" t="n">
        <v>-0.025</v>
      </c>
      <c r="BC10" s="299" t="n">
        <v>-0.0825</v>
      </c>
      <c r="BD10" s="299" t="n">
        <v>-0.01</v>
      </c>
      <c r="BE10" s="299" t="n">
        <v>-0.0775</v>
      </c>
      <c r="BF10" s="299" t="n">
        <v>-0.12</v>
      </c>
      <c r="BG10" s="299" t="n">
        <v>0.085</v>
      </c>
      <c r="BH10" s="299" t="n">
        <v>0.135</v>
      </c>
      <c r="BI10" s="299" t="n">
        <v>0.09</v>
      </c>
      <c r="BJ10" s="299" t="n">
        <v>0.3125</v>
      </c>
      <c r="BK10" s="299" t="n">
        <v>-0.0025</v>
      </c>
      <c r="BL10" s="299" t="n">
        <v>-0.015</v>
      </c>
      <c r="BM10" s="299" t="n">
        <v>0.005</v>
      </c>
      <c r="BN10" s="299" t="n">
        <v>-0.01</v>
      </c>
      <c r="BO10" s="299" t="n">
        <v>0.02</v>
      </c>
      <c r="BP10" s="299" t="n">
        <v>-0.01</v>
      </c>
      <c r="BQ10" s="299" t="n">
        <v>0</v>
      </c>
      <c r="BR10" s="299" t="n">
        <v>0.02</v>
      </c>
      <c r="BS10" s="0" t="n">
        <v>-0.005</v>
      </c>
      <c r="BT10" s="0" t="n">
        <v>0.03</v>
      </c>
      <c r="BU10" s="0" t="n">
        <v>-0.01</v>
      </c>
      <c r="BV10" s="0" t="n">
        <v>0.02</v>
      </c>
    </row>
    <row r="11" customFormat="false" ht="12.75" hidden="false" customHeight="false" outlineLevel="0" collapsed="false">
      <c r="A11" s="301" t="e">
        <f aca="false">#REF!-B11</f>
        <v>#REF!</v>
      </c>
      <c r="B11" s="301" t="n">
        <v>4.533</v>
      </c>
      <c r="C11" s="308" t="n">
        <f aca="false">EOMONTH(C10,0)+1</f>
        <v>37408</v>
      </c>
      <c r="D11" s="0" t="n">
        <v>2.872</v>
      </c>
      <c r="E11" s="301" t="n">
        <v>0.5275</v>
      </c>
      <c r="F11" s="299" t="n">
        <v>0.0192824735369563</v>
      </c>
      <c r="G11" s="299" t="n">
        <v>-0.13</v>
      </c>
      <c r="H11" s="299" t="n">
        <v>-0.15</v>
      </c>
      <c r="I11" s="310" t="n">
        <v>-0.09</v>
      </c>
      <c r="J11" s="310" t="n">
        <v>-0.1925</v>
      </c>
      <c r="K11" s="299" t="n">
        <v>-0.09</v>
      </c>
      <c r="L11" s="299" t="n">
        <v>-0.07</v>
      </c>
      <c r="M11" s="299" t="n">
        <v>-0.095</v>
      </c>
      <c r="N11" s="299" t="n">
        <v>-0.12</v>
      </c>
      <c r="O11" s="299" t="n">
        <v>-0.12</v>
      </c>
      <c r="P11" s="299" t="n">
        <v>-0.13</v>
      </c>
      <c r="Q11" s="299" t="n">
        <v>-0.1125</v>
      </c>
      <c r="R11" s="299" t="n">
        <v>-0.0875</v>
      </c>
      <c r="S11" s="299" t="n">
        <v>0.085</v>
      </c>
      <c r="T11" s="299" t="n">
        <v>0.135</v>
      </c>
      <c r="U11" s="299" t="n">
        <v>0.03</v>
      </c>
      <c r="V11" s="299" t="n">
        <v>0.07</v>
      </c>
      <c r="W11" s="299" t="n">
        <v>0.15</v>
      </c>
      <c r="X11" s="299" t="n">
        <v>0.165</v>
      </c>
      <c r="Y11" s="299" t="n">
        <v>-0.025</v>
      </c>
      <c r="Z11" s="299" t="n">
        <v>-0.0525</v>
      </c>
      <c r="AA11" s="299" t="n">
        <v>0.0125</v>
      </c>
      <c r="AB11" s="299" t="n">
        <v>-0.02</v>
      </c>
      <c r="AC11" s="299" t="n">
        <v>0.0025</v>
      </c>
      <c r="AD11" s="299" t="n">
        <v>-0.0275</v>
      </c>
      <c r="AE11" s="299" t="n">
        <v>-0.0775</v>
      </c>
      <c r="AF11" s="299" t="n">
        <v>-0.065</v>
      </c>
      <c r="AG11" s="299" t="n">
        <v>-0.09</v>
      </c>
      <c r="AH11" s="299" t="n">
        <v>-0.02</v>
      </c>
      <c r="AI11" s="299" t="n">
        <v>-0.0775</v>
      </c>
      <c r="AJ11" s="299" t="n">
        <v>-0.1375</v>
      </c>
      <c r="AK11" s="299" t="n">
        <v>-0.0225</v>
      </c>
      <c r="AL11" s="299" t="n">
        <v>0.0175</v>
      </c>
      <c r="AM11" s="299" t="n">
        <v>0.365</v>
      </c>
      <c r="AN11" s="299" t="n">
        <v>0.0325</v>
      </c>
      <c r="AO11" s="299" t="n">
        <v>-0.64</v>
      </c>
      <c r="AP11" s="299" t="n">
        <v>-0.165</v>
      </c>
      <c r="AQ11" s="299" t="n">
        <v>-0.36</v>
      </c>
      <c r="AR11" s="299" t="n">
        <v>-0.275</v>
      </c>
      <c r="AS11" s="299" t="n">
        <v>-0.53</v>
      </c>
      <c r="AT11" s="299" t="n">
        <v>-0.64</v>
      </c>
      <c r="AU11" s="299" t="n">
        <v>-0.05</v>
      </c>
      <c r="AV11" s="299" t="n">
        <v>-0.64</v>
      </c>
      <c r="AW11" s="299" t="n">
        <v>-0.15</v>
      </c>
      <c r="AX11" s="299" t="n">
        <v>-0.1225</v>
      </c>
      <c r="AY11" s="299" t="n">
        <v>-0.09</v>
      </c>
      <c r="AZ11" s="299" t="n">
        <v>-0.085</v>
      </c>
      <c r="BA11" s="299" t="n">
        <v>-0.0925</v>
      </c>
      <c r="BB11" s="299" t="n">
        <v>-0.025</v>
      </c>
      <c r="BC11" s="299" t="n">
        <v>-0.0825</v>
      </c>
      <c r="BD11" s="299" t="n">
        <v>0.0025</v>
      </c>
      <c r="BE11" s="299" t="n">
        <v>-0.0775</v>
      </c>
      <c r="BF11" s="299" t="n">
        <v>-0.12</v>
      </c>
      <c r="BG11" s="299" t="n">
        <v>0.085</v>
      </c>
      <c r="BH11" s="299" t="n">
        <v>0.135</v>
      </c>
      <c r="BI11" s="299" t="n">
        <v>0.09</v>
      </c>
      <c r="BJ11" s="299" t="n">
        <v>0.31</v>
      </c>
      <c r="BK11" s="299" t="n">
        <v>-0.0025</v>
      </c>
      <c r="BL11" s="299" t="n">
        <v>-0.015</v>
      </c>
      <c r="BM11" s="299" t="n">
        <v>0.005</v>
      </c>
      <c r="BN11" s="299" t="n">
        <v>-0.01</v>
      </c>
      <c r="BO11" s="299" t="n">
        <v>0.02</v>
      </c>
      <c r="BP11" s="299" t="n">
        <v>-0.01</v>
      </c>
      <c r="BQ11" s="299" t="n">
        <v>0</v>
      </c>
      <c r="BR11" s="299" t="n">
        <v>0.035</v>
      </c>
      <c r="BS11" s="0" t="n">
        <v>-0.005</v>
      </c>
      <c r="BT11" s="0" t="n">
        <v>0.03</v>
      </c>
      <c r="BU11" s="0" t="n">
        <v>-0.01</v>
      </c>
      <c r="BV11" s="0" t="n">
        <v>0.02</v>
      </c>
    </row>
    <row r="12" customFormat="false" ht="12.75" hidden="false" customHeight="false" outlineLevel="0" collapsed="false">
      <c r="A12" s="301" t="e">
        <f aca="false">#REF!-B12</f>
        <v>#REF!</v>
      </c>
      <c r="B12" s="301" t="n">
        <v>4.541</v>
      </c>
      <c r="C12" s="308" t="n">
        <f aca="false">EOMONTH(C11,0)+1</f>
        <v>37438</v>
      </c>
      <c r="D12" s="0" t="n">
        <v>2.917</v>
      </c>
      <c r="E12" s="301" t="n">
        <v>0.5275</v>
      </c>
      <c r="F12" s="299" t="n">
        <v>0.0195950648415604</v>
      </c>
      <c r="G12" s="299" t="n">
        <v>-0.13</v>
      </c>
      <c r="H12" s="299" t="n">
        <v>-0.15</v>
      </c>
      <c r="I12" s="310" t="n">
        <v>-0.09</v>
      </c>
      <c r="J12" s="310" t="n">
        <v>-0.155</v>
      </c>
      <c r="K12" s="299" t="n">
        <v>-0.09</v>
      </c>
      <c r="L12" s="299" t="n">
        <v>-0.07</v>
      </c>
      <c r="M12" s="299" t="n">
        <v>-0.095</v>
      </c>
      <c r="N12" s="299" t="n">
        <v>-0.12</v>
      </c>
      <c r="O12" s="299" t="n">
        <v>-0.12</v>
      </c>
      <c r="P12" s="299" t="n">
        <v>-0.13</v>
      </c>
      <c r="Q12" s="299" t="n">
        <v>-0.1125</v>
      </c>
      <c r="R12" s="299" t="n">
        <v>-0.0875</v>
      </c>
      <c r="S12" s="299" t="n">
        <v>0.085</v>
      </c>
      <c r="T12" s="299" t="n">
        <v>0.135</v>
      </c>
      <c r="U12" s="299" t="n">
        <v>0.03</v>
      </c>
      <c r="V12" s="299" t="n">
        <v>0.28</v>
      </c>
      <c r="W12" s="299" t="n">
        <v>0.165</v>
      </c>
      <c r="X12" s="299" t="n">
        <v>0.205</v>
      </c>
      <c r="Y12" s="299" t="n">
        <v>-0.025</v>
      </c>
      <c r="Z12" s="299" t="n">
        <v>-0.0525</v>
      </c>
      <c r="AA12" s="299" t="n">
        <v>0.0125</v>
      </c>
      <c r="AB12" s="299" t="n">
        <v>-0.02</v>
      </c>
      <c r="AC12" s="299" t="n">
        <v>0.0025</v>
      </c>
      <c r="AD12" s="299" t="n">
        <v>-0.0275</v>
      </c>
      <c r="AE12" s="299" t="n">
        <v>-0.0775</v>
      </c>
      <c r="AF12" s="299" t="n">
        <v>-0.065</v>
      </c>
      <c r="AG12" s="299" t="n">
        <v>-0.09</v>
      </c>
      <c r="AH12" s="299" t="n">
        <v>-0.02</v>
      </c>
      <c r="AI12" s="299" t="n">
        <v>-0.0775</v>
      </c>
      <c r="AJ12" s="299" t="n">
        <v>-0.1375</v>
      </c>
      <c r="AK12" s="299" t="n">
        <v>-0.0225</v>
      </c>
      <c r="AL12" s="299" t="n">
        <v>0.0175</v>
      </c>
      <c r="AM12" s="299" t="n">
        <v>0.42</v>
      </c>
      <c r="AN12" s="299" t="n">
        <v>0.045</v>
      </c>
      <c r="AO12" s="299" t="n">
        <v>-0.65</v>
      </c>
      <c r="AP12" s="299" t="n">
        <v>-0.125</v>
      </c>
      <c r="AQ12" s="299" t="n">
        <v>-0.33</v>
      </c>
      <c r="AR12" s="299" t="n">
        <v>-0.39</v>
      </c>
      <c r="AS12" s="299" t="n">
        <v>-0.54</v>
      </c>
      <c r="AT12" s="299" t="n">
        <v>-0.65</v>
      </c>
      <c r="AU12" s="299" t="n">
        <v>0.115</v>
      </c>
      <c r="AV12" s="299" t="n">
        <v>-0.65</v>
      </c>
      <c r="AW12" s="299" t="n">
        <v>-0.16</v>
      </c>
      <c r="AX12" s="299" t="n">
        <v>-0.085</v>
      </c>
      <c r="AY12" s="299" t="n">
        <v>-0.1</v>
      </c>
      <c r="AZ12" s="299" t="n">
        <v>-0.085</v>
      </c>
      <c r="BA12" s="299" t="n">
        <v>-0.09</v>
      </c>
      <c r="BB12" s="299" t="n">
        <v>-0.025</v>
      </c>
      <c r="BC12" s="299" t="n">
        <v>-0.0825</v>
      </c>
      <c r="BD12" s="299" t="n">
        <v>0.015</v>
      </c>
      <c r="BE12" s="299" t="n">
        <v>-0.0775</v>
      </c>
      <c r="BF12" s="299" t="n">
        <v>-0.02</v>
      </c>
      <c r="BG12" s="299" t="n">
        <v>0.085</v>
      </c>
      <c r="BH12" s="299" t="n">
        <v>0.135</v>
      </c>
      <c r="BI12" s="299" t="n">
        <v>0.09</v>
      </c>
      <c r="BJ12" s="299" t="n">
        <v>0.33</v>
      </c>
      <c r="BK12" s="299" t="n">
        <v>-0.0025</v>
      </c>
      <c r="BL12" s="299" t="n">
        <v>-0.01</v>
      </c>
      <c r="BM12" s="299" t="n">
        <v>0.005</v>
      </c>
      <c r="BN12" s="299" t="n">
        <v>-0.01</v>
      </c>
      <c r="BO12" s="299" t="n">
        <v>0.02</v>
      </c>
      <c r="BP12" s="299" t="n">
        <v>-0.01</v>
      </c>
      <c r="BQ12" s="299" t="n">
        <v>0</v>
      </c>
      <c r="BR12" s="299" t="n">
        <v>0.035</v>
      </c>
      <c r="BS12" s="0" t="n">
        <v>-0.005</v>
      </c>
      <c r="BT12" s="0" t="n">
        <v>0.03</v>
      </c>
      <c r="BU12" s="0" t="n">
        <v>-0.01</v>
      </c>
      <c r="BV12" s="0" t="n">
        <v>0.02</v>
      </c>
    </row>
    <row r="13" customFormat="false" ht="12.75" hidden="false" customHeight="false" outlineLevel="0" collapsed="false">
      <c r="A13" s="301" t="e">
        <f aca="false">#REF!-B13</f>
        <v>#REF!</v>
      </c>
      <c r="B13" s="301" t="n">
        <v>4.321</v>
      </c>
      <c r="C13" s="308" t="n">
        <f aca="false">EOMONTH(C12,0)+1</f>
        <v>37469</v>
      </c>
      <c r="D13" s="292" t="n">
        <v>2.962</v>
      </c>
      <c r="E13" s="311" t="n">
        <v>0.53</v>
      </c>
      <c r="F13" s="299" t="n">
        <v>0.0201466105621213</v>
      </c>
      <c r="G13" s="299" t="n">
        <v>-0.13</v>
      </c>
      <c r="H13" s="299" t="n">
        <v>-0.15</v>
      </c>
      <c r="I13" s="310" t="n">
        <v>-0.09</v>
      </c>
      <c r="J13" s="310" t="n">
        <v>-0.14</v>
      </c>
      <c r="K13" s="299" t="n">
        <v>-0.09</v>
      </c>
      <c r="L13" s="299" t="n">
        <v>-0.07</v>
      </c>
      <c r="M13" s="299" t="n">
        <v>-0.095</v>
      </c>
      <c r="N13" s="299" t="n">
        <v>-0.12</v>
      </c>
      <c r="O13" s="299" t="n">
        <v>-0.12</v>
      </c>
      <c r="P13" s="299" t="n">
        <v>-0.13</v>
      </c>
      <c r="Q13" s="299" t="n">
        <v>-0.1125</v>
      </c>
      <c r="R13" s="299" t="n">
        <v>-0.0875</v>
      </c>
      <c r="S13" s="299" t="n">
        <v>0.085</v>
      </c>
      <c r="T13" s="299" t="n">
        <v>0.135</v>
      </c>
      <c r="U13" s="299" t="n">
        <v>0.03</v>
      </c>
      <c r="V13" s="299" t="n">
        <v>0.28</v>
      </c>
      <c r="W13" s="299" t="n">
        <v>0.165</v>
      </c>
      <c r="X13" s="299" t="n">
        <v>0.205</v>
      </c>
      <c r="Y13" s="299" t="n">
        <v>-0.025</v>
      </c>
      <c r="Z13" s="299" t="n">
        <v>-0.0525</v>
      </c>
      <c r="AA13" s="299" t="n">
        <v>0.0125</v>
      </c>
      <c r="AB13" s="299" t="n">
        <v>-0.02</v>
      </c>
      <c r="AC13" s="299" t="n">
        <v>0.0025</v>
      </c>
      <c r="AD13" s="299" t="n">
        <v>-0.0275</v>
      </c>
      <c r="AE13" s="299" t="n">
        <v>-0.0775</v>
      </c>
      <c r="AF13" s="299" t="n">
        <v>-0.065</v>
      </c>
      <c r="AG13" s="299" t="n">
        <v>-0.09</v>
      </c>
      <c r="AH13" s="299" t="n">
        <v>-0.02</v>
      </c>
      <c r="AI13" s="299" t="n">
        <v>-0.0775</v>
      </c>
      <c r="AJ13" s="299" t="n">
        <v>-0.1375</v>
      </c>
      <c r="AK13" s="299" t="n">
        <v>-0.0225</v>
      </c>
      <c r="AL13" s="299" t="n">
        <v>0.0175</v>
      </c>
      <c r="AM13" s="299" t="n">
        <v>0.42</v>
      </c>
      <c r="AN13" s="299" t="n">
        <v>0.05</v>
      </c>
      <c r="AO13" s="299" t="n">
        <v>-0.65</v>
      </c>
      <c r="AP13" s="299" t="n">
        <v>-0.11</v>
      </c>
      <c r="AQ13" s="299" t="n">
        <v>-0.33</v>
      </c>
      <c r="AR13" s="299" t="n">
        <v>-0.39</v>
      </c>
      <c r="AS13" s="299" t="n">
        <v>-0.54</v>
      </c>
      <c r="AT13" s="299" t="n">
        <v>-0.65</v>
      </c>
      <c r="AU13" s="299" t="n">
        <v>0.125</v>
      </c>
      <c r="AV13" s="299" t="n">
        <v>-0.65</v>
      </c>
      <c r="AW13" s="299" t="n">
        <v>-0.155</v>
      </c>
      <c r="AX13" s="299" t="n">
        <v>-0.07</v>
      </c>
      <c r="AY13" s="299" t="n">
        <v>-0.095</v>
      </c>
      <c r="AZ13" s="299" t="n">
        <v>-0.085</v>
      </c>
      <c r="BA13" s="299" t="n">
        <v>-0.0875</v>
      </c>
      <c r="BB13" s="299" t="n">
        <v>-0.025</v>
      </c>
      <c r="BC13" s="299" t="n">
        <v>-0.0825</v>
      </c>
      <c r="BD13" s="299" t="n">
        <v>0.02</v>
      </c>
      <c r="BE13" s="299" t="n">
        <v>-0.0775</v>
      </c>
      <c r="BF13" s="299" t="n">
        <v>0.01</v>
      </c>
      <c r="BG13" s="299" t="n">
        <v>0.085</v>
      </c>
      <c r="BH13" s="299" t="n">
        <v>0.135</v>
      </c>
      <c r="BI13" s="299" t="n">
        <v>0.09</v>
      </c>
      <c r="BJ13" s="299" t="n">
        <v>0.33</v>
      </c>
      <c r="BK13" s="299" t="n">
        <v>-0.0025</v>
      </c>
      <c r="BL13" s="299" t="n">
        <v>-0.01</v>
      </c>
      <c r="BM13" s="299" t="n">
        <v>0.005</v>
      </c>
      <c r="BN13" s="299" t="n">
        <v>-0.01</v>
      </c>
      <c r="BO13" s="299" t="n">
        <v>0.02</v>
      </c>
      <c r="BP13" s="299" t="n">
        <v>-0.01</v>
      </c>
      <c r="BQ13" s="299" t="n">
        <v>0</v>
      </c>
      <c r="BR13" s="299" t="n">
        <v>0.01</v>
      </c>
      <c r="BS13" s="0" t="n">
        <v>-0.005</v>
      </c>
      <c r="BT13" s="0" t="n">
        <v>0.03</v>
      </c>
      <c r="BU13" s="0" t="n">
        <v>-0.01</v>
      </c>
      <c r="BV13" s="0" t="n">
        <v>0.02</v>
      </c>
    </row>
    <row r="14" customFormat="false" ht="12.75" hidden="false" customHeight="false" outlineLevel="0" collapsed="false">
      <c r="A14" s="301" t="e">
        <f aca="false">#REF!-B14</f>
        <v>#REF!</v>
      </c>
      <c r="B14" s="301" t="n">
        <v>4.101</v>
      </c>
      <c r="C14" s="308" t="n">
        <f aca="false">EOMONTH(C13,0)+1</f>
        <v>37500</v>
      </c>
      <c r="D14" s="0" t="n">
        <v>2.959</v>
      </c>
      <c r="E14" s="301" t="n">
        <v>0.53</v>
      </c>
      <c r="F14" s="299" t="n">
        <v>0.0206981563857513</v>
      </c>
      <c r="G14" s="299" t="n">
        <v>-0.13</v>
      </c>
      <c r="H14" s="299" t="n">
        <v>-0.15</v>
      </c>
      <c r="I14" s="310" t="n">
        <v>-0.09</v>
      </c>
      <c r="J14" s="310" t="n">
        <v>-0.1675</v>
      </c>
      <c r="K14" s="299" t="n">
        <v>-0.09</v>
      </c>
      <c r="L14" s="299" t="n">
        <v>-0.07</v>
      </c>
      <c r="M14" s="299" t="n">
        <v>-0.095</v>
      </c>
      <c r="N14" s="299" t="n">
        <v>-0.12</v>
      </c>
      <c r="O14" s="299" t="n">
        <v>-0.12</v>
      </c>
      <c r="P14" s="299" t="n">
        <v>-0.13</v>
      </c>
      <c r="Q14" s="299" t="n">
        <v>-0.1125</v>
      </c>
      <c r="R14" s="299" t="n">
        <v>-0.0875</v>
      </c>
      <c r="S14" s="299" t="n">
        <v>0.085</v>
      </c>
      <c r="T14" s="299" t="n">
        <v>0.135</v>
      </c>
      <c r="U14" s="299" t="n">
        <v>0.03</v>
      </c>
      <c r="V14" s="299" t="n">
        <v>0.28</v>
      </c>
      <c r="W14" s="299" t="n">
        <v>0.13</v>
      </c>
      <c r="X14" s="299" t="n">
        <v>0.145</v>
      </c>
      <c r="Y14" s="299" t="n">
        <v>-0.025</v>
      </c>
      <c r="Z14" s="299" t="n">
        <v>-0.0575</v>
      </c>
      <c r="AA14" s="299" t="n">
        <v>0.0075</v>
      </c>
      <c r="AB14" s="299" t="n">
        <v>-0.025</v>
      </c>
      <c r="AC14" s="299" t="n">
        <v>0.0025</v>
      </c>
      <c r="AD14" s="299" t="n">
        <v>-0.0275</v>
      </c>
      <c r="AE14" s="299" t="n">
        <v>-0.0775</v>
      </c>
      <c r="AF14" s="299" t="n">
        <v>-0.065</v>
      </c>
      <c r="AG14" s="299" t="n">
        <v>-0.09</v>
      </c>
      <c r="AH14" s="299" t="n">
        <v>-0.02</v>
      </c>
      <c r="AI14" s="299" t="n">
        <v>-0.0775</v>
      </c>
      <c r="AJ14" s="299" t="n">
        <v>-0.1375</v>
      </c>
      <c r="AK14" s="299" t="n">
        <v>-0.0225</v>
      </c>
      <c r="AL14" s="299" t="n">
        <v>0.0175</v>
      </c>
      <c r="AM14" s="299" t="n">
        <v>0.34</v>
      </c>
      <c r="AN14" s="299" t="n">
        <v>0.04</v>
      </c>
      <c r="AO14" s="299" t="n">
        <v>-0.65</v>
      </c>
      <c r="AP14" s="299" t="n">
        <v>-0.1375</v>
      </c>
      <c r="AQ14" s="299" t="n">
        <v>-0.33</v>
      </c>
      <c r="AR14" s="299" t="n">
        <v>-0.39</v>
      </c>
      <c r="AS14" s="299" t="n">
        <v>-0.54</v>
      </c>
      <c r="AT14" s="299" t="n">
        <v>-0.65</v>
      </c>
      <c r="AU14" s="299" t="n">
        <v>0.115</v>
      </c>
      <c r="AV14" s="299" t="n">
        <v>-0.65</v>
      </c>
      <c r="AW14" s="299" t="n">
        <v>-0.165</v>
      </c>
      <c r="AX14" s="299" t="n">
        <v>-0.0975</v>
      </c>
      <c r="AY14" s="299" t="n">
        <v>-0.105</v>
      </c>
      <c r="AZ14" s="299" t="n">
        <v>-0.085</v>
      </c>
      <c r="BA14" s="299" t="n">
        <v>-0.0925</v>
      </c>
      <c r="BB14" s="299" t="n">
        <v>-0.025</v>
      </c>
      <c r="BC14" s="299" t="n">
        <v>-0.0825</v>
      </c>
      <c r="BD14" s="299" t="n">
        <v>0.01</v>
      </c>
      <c r="BE14" s="299" t="n">
        <v>-0.0775</v>
      </c>
      <c r="BF14" s="299" t="n">
        <v>0.01</v>
      </c>
      <c r="BG14" s="299" t="n">
        <v>0.085</v>
      </c>
      <c r="BH14" s="299" t="n">
        <v>0.135</v>
      </c>
      <c r="BI14" s="299" t="n">
        <v>0.09</v>
      </c>
      <c r="BJ14" s="299" t="n">
        <v>0.32</v>
      </c>
      <c r="BK14" s="299" t="n">
        <v>-0.0025</v>
      </c>
      <c r="BL14" s="299" t="n">
        <v>-0.01</v>
      </c>
      <c r="BM14" s="299" t="n">
        <v>0.005</v>
      </c>
      <c r="BN14" s="299" t="n">
        <v>-0.01</v>
      </c>
      <c r="BO14" s="299" t="n">
        <v>0</v>
      </c>
      <c r="BP14" s="299" t="n">
        <v>-0.01</v>
      </c>
      <c r="BQ14" s="299" t="n">
        <v>0</v>
      </c>
      <c r="BR14" s="299" t="n">
        <v>0.01</v>
      </c>
      <c r="BS14" s="0" t="n">
        <v>-0.005</v>
      </c>
      <c r="BT14" s="0" t="n">
        <v>0.03</v>
      </c>
      <c r="BU14" s="0" t="n">
        <v>-0.01</v>
      </c>
      <c r="BV14" s="0" t="n">
        <v>0.02</v>
      </c>
    </row>
    <row r="15" customFormat="false" ht="12.75" hidden="false" customHeight="false" outlineLevel="0" collapsed="false">
      <c r="A15" s="301" t="e">
        <f aca="false">#REF!-B15</f>
        <v>#REF!</v>
      </c>
      <c r="B15" s="301" t="n">
        <v>3.861</v>
      </c>
      <c r="C15" s="308" t="n">
        <f aca="false">EOMONTH(C14,0)+1</f>
        <v>37530</v>
      </c>
      <c r="D15" s="0" t="n">
        <v>2.976</v>
      </c>
      <c r="E15" s="301" t="n">
        <v>0.53</v>
      </c>
      <c r="F15" s="299" t="n">
        <v>0.0213202408866033</v>
      </c>
      <c r="G15" s="299" t="n">
        <v>-0.13</v>
      </c>
      <c r="H15" s="299" t="n">
        <v>-0.15</v>
      </c>
      <c r="I15" s="310" t="n">
        <v>-0.09</v>
      </c>
      <c r="J15" s="310" t="n">
        <v>-0.2025</v>
      </c>
      <c r="K15" s="299" t="n">
        <v>-0.09</v>
      </c>
      <c r="L15" s="299" t="n">
        <v>-0.07</v>
      </c>
      <c r="M15" s="299" t="n">
        <v>-0.1275</v>
      </c>
      <c r="N15" s="299" t="n">
        <v>-0.12</v>
      </c>
      <c r="O15" s="299" t="n">
        <v>-0.12</v>
      </c>
      <c r="P15" s="299" t="n">
        <v>-0.13</v>
      </c>
      <c r="Q15" s="299" t="n">
        <v>-0.1125</v>
      </c>
      <c r="R15" s="299" t="n">
        <v>-0.0875</v>
      </c>
      <c r="S15" s="299" t="n">
        <v>0.085</v>
      </c>
      <c r="T15" s="299" t="n">
        <v>0.135</v>
      </c>
      <c r="U15" s="299" t="n">
        <v>0.03</v>
      </c>
      <c r="V15" s="299" t="n">
        <v>0.16</v>
      </c>
      <c r="W15" s="299" t="n">
        <v>0.15</v>
      </c>
      <c r="X15" s="299" t="n">
        <v>0.175</v>
      </c>
      <c r="Y15" s="299" t="n">
        <v>-0.025</v>
      </c>
      <c r="Z15" s="299" t="n">
        <v>-0.0575</v>
      </c>
      <c r="AA15" s="299" t="n">
        <v>0.0075</v>
      </c>
      <c r="AB15" s="299" t="n">
        <v>-0.025</v>
      </c>
      <c r="AC15" s="299" t="n">
        <v>0.0025</v>
      </c>
      <c r="AD15" s="299" t="n">
        <v>-0.0275</v>
      </c>
      <c r="AE15" s="299" t="n">
        <v>-0.0775</v>
      </c>
      <c r="AF15" s="299" t="n">
        <v>-0.065</v>
      </c>
      <c r="AG15" s="299" t="n">
        <v>-0.09</v>
      </c>
      <c r="AH15" s="299" t="n">
        <v>-0.02</v>
      </c>
      <c r="AI15" s="299" t="n">
        <v>-0.0775</v>
      </c>
      <c r="AJ15" s="299" t="n">
        <v>-0.1375</v>
      </c>
      <c r="AK15" s="299" t="n">
        <v>-0.0225</v>
      </c>
      <c r="AL15" s="299" t="n">
        <v>0.0175</v>
      </c>
      <c r="AM15" s="299" t="n">
        <v>0.36</v>
      </c>
      <c r="AN15" s="299" t="n">
        <v>0.0075</v>
      </c>
      <c r="AO15" s="299" t="n">
        <v>-0.69</v>
      </c>
      <c r="AP15" s="299" t="n">
        <v>-0.1725</v>
      </c>
      <c r="AQ15" s="299" t="n">
        <v>-0.36</v>
      </c>
      <c r="AR15" s="299" t="n">
        <v>-0.24</v>
      </c>
      <c r="AS15" s="299" t="n">
        <v>-0.58</v>
      </c>
      <c r="AT15" s="299" t="n">
        <v>-0.69</v>
      </c>
      <c r="AU15" s="299" t="n">
        <v>0.03</v>
      </c>
      <c r="AV15" s="299" t="n">
        <v>-0.69</v>
      </c>
      <c r="AW15" s="299" t="n">
        <v>-0.1525</v>
      </c>
      <c r="AX15" s="299" t="n">
        <v>-0.1325</v>
      </c>
      <c r="AY15" s="299" t="n">
        <v>-0.0925</v>
      </c>
      <c r="AZ15" s="299" t="n">
        <v>-0.085</v>
      </c>
      <c r="BA15" s="299" t="n">
        <v>-0.095</v>
      </c>
      <c r="BB15" s="299" t="n">
        <v>-0.025</v>
      </c>
      <c r="BC15" s="299" t="n">
        <v>-0.0825</v>
      </c>
      <c r="BD15" s="299" t="n">
        <v>-0.0225</v>
      </c>
      <c r="BE15" s="299" t="n">
        <v>-0.0775</v>
      </c>
      <c r="BF15" s="299" t="n">
        <v>0.035</v>
      </c>
      <c r="BG15" s="299" t="n">
        <v>0.085</v>
      </c>
      <c r="BH15" s="299" t="n">
        <v>0.135</v>
      </c>
      <c r="BI15" s="299" t="n">
        <v>0.09</v>
      </c>
      <c r="BJ15" s="299" t="n">
        <v>0.38</v>
      </c>
      <c r="BK15" s="299" t="n">
        <v>0</v>
      </c>
      <c r="BL15" s="299" t="n">
        <v>-0.015</v>
      </c>
      <c r="BM15" s="299" t="n">
        <v>0.005</v>
      </c>
      <c r="BN15" s="299" t="n">
        <v>-0.01</v>
      </c>
      <c r="BO15" s="299" t="n">
        <v>0.02</v>
      </c>
      <c r="BP15" s="299" t="n">
        <v>-0.01</v>
      </c>
      <c r="BQ15" s="299" t="n">
        <v>0</v>
      </c>
      <c r="BR15" s="299" t="n">
        <v>0.01</v>
      </c>
      <c r="BS15" s="0" t="n">
        <v>-0.005</v>
      </c>
      <c r="BT15" s="0" t="n">
        <v>0.03</v>
      </c>
      <c r="BU15" s="0" t="n">
        <v>-0.01</v>
      </c>
      <c r="BV15" s="0" t="n">
        <v>0.02</v>
      </c>
    </row>
    <row r="16" customFormat="false" ht="12.75" hidden="false" customHeight="false" outlineLevel="0" collapsed="false">
      <c r="A16" s="301" t="e">
        <f aca="false">#REF!-B16</f>
        <v>#REF!</v>
      </c>
      <c r="B16" s="301" t="n">
        <v>3.735</v>
      </c>
      <c r="C16" s="308" t="n">
        <f aca="false">EOMONTH(C15,0)+1</f>
        <v>37561</v>
      </c>
      <c r="D16" s="0" t="n">
        <v>3.156</v>
      </c>
      <c r="E16" s="301" t="n">
        <v>0.53</v>
      </c>
      <c r="F16" s="299" t="n">
        <v>0.0220880716500842</v>
      </c>
      <c r="G16" s="299" t="n">
        <v>-0.13</v>
      </c>
      <c r="H16" s="299" t="n">
        <v>-0.15</v>
      </c>
      <c r="I16" s="310" t="n">
        <v>-0.01</v>
      </c>
      <c r="J16" s="310" t="n">
        <v>-0.2</v>
      </c>
      <c r="K16" s="299" t="n">
        <v>0</v>
      </c>
      <c r="L16" s="299" t="n">
        <v>-0.08</v>
      </c>
      <c r="M16" s="299" t="n">
        <v>-0.11</v>
      </c>
      <c r="N16" s="299" t="n">
        <v>-0.12</v>
      </c>
      <c r="O16" s="299" t="n">
        <v>-0.12</v>
      </c>
      <c r="P16" s="299" t="n">
        <v>-0.13</v>
      </c>
      <c r="Q16" s="299" t="n">
        <v>-0.115</v>
      </c>
      <c r="R16" s="299" t="n">
        <v>-0.095</v>
      </c>
      <c r="S16" s="299" t="n">
        <v>0.105</v>
      </c>
      <c r="T16" s="299" t="n">
        <v>0.155</v>
      </c>
      <c r="U16" s="299" t="n">
        <v>0.09</v>
      </c>
      <c r="V16" s="299" t="n">
        <v>0.22</v>
      </c>
      <c r="W16" s="299" t="n">
        <v>0.195</v>
      </c>
      <c r="X16" s="299" t="n">
        <v>0.26</v>
      </c>
      <c r="Y16" s="299" t="n">
        <v>-0.0225</v>
      </c>
      <c r="Z16" s="299" t="n">
        <v>-0.0425</v>
      </c>
      <c r="AA16" s="299" t="n">
        <v>0.0025</v>
      </c>
      <c r="AB16" s="299" t="n">
        <v>-0.025</v>
      </c>
      <c r="AC16" s="299" t="n">
        <v>0.0025</v>
      </c>
      <c r="AD16" s="299" t="n">
        <v>-0.025</v>
      </c>
      <c r="AE16" s="299" t="n">
        <v>-0.075</v>
      </c>
      <c r="AF16" s="299" t="n">
        <v>-0.0675</v>
      </c>
      <c r="AG16" s="299" t="n">
        <v>-0.0925</v>
      </c>
      <c r="AH16" s="299" t="n">
        <v>-0.02</v>
      </c>
      <c r="AI16" s="299" t="n">
        <v>-0.0725</v>
      </c>
      <c r="AJ16" s="299" t="n">
        <v>-0.135</v>
      </c>
      <c r="AK16" s="299" t="n">
        <v>-0.0175</v>
      </c>
      <c r="AL16" s="299" t="n">
        <v>0.0225</v>
      </c>
      <c r="AM16" s="299" t="n">
        <v>0.6</v>
      </c>
      <c r="AN16" s="299" t="n">
        <v>-0.0225</v>
      </c>
      <c r="AO16" s="299" t="n">
        <v>-0.34</v>
      </c>
      <c r="AP16" s="299" t="n">
        <v>-0.155</v>
      </c>
      <c r="AQ16" s="299" t="n">
        <v>-0.22</v>
      </c>
      <c r="AR16" s="299" t="n">
        <v>0.02</v>
      </c>
      <c r="AS16" s="299" t="n">
        <v>-0.295</v>
      </c>
      <c r="AT16" s="299" t="n">
        <v>-0.34</v>
      </c>
      <c r="AU16" s="299" t="n">
        <v>0.03</v>
      </c>
      <c r="AV16" s="299" t="n">
        <v>-0.34</v>
      </c>
      <c r="AW16" s="299" t="n">
        <v>-0.17</v>
      </c>
      <c r="AX16" s="299" t="n">
        <v>-0.13</v>
      </c>
      <c r="AY16" s="299" t="n">
        <v>-0.11</v>
      </c>
      <c r="AZ16" s="299" t="n">
        <v>-0.075</v>
      </c>
      <c r="BA16" s="299" t="n">
        <v>-0.09</v>
      </c>
      <c r="BB16" s="299" t="n">
        <v>-0.025</v>
      </c>
      <c r="BC16" s="299" t="n">
        <v>-0.1</v>
      </c>
      <c r="BD16" s="299" t="n">
        <v>-0.0525</v>
      </c>
      <c r="BE16" s="299" t="n">
        <v>-0.075</v>
      </c>
      <c r="BF16" s="299" t="n">
        <v>0.05</v>
      </c>
      <c r="BG16" s="299" t="n">
        <v>0.185</v>
      </c>
      <c r="BH16" s="299" t="n">
        <v>0.155</v>
      </c>
      <c r="BI16" s="299" t="n">
        <v>0.165</v>
      </c>
      <c r="BJ16" s="299" t="n">
        <v>0.445</v>
      </c>
      <c r="BK16" s="299" t="n">
        <v>0</v>
      </c>
      <c r="BL16" s="299" t="n">
        <v>-0.02</v>
      </c>
      <c r="BM16" s="299" t="n">
        <v>0.005</v>
      </c>
      <c r="BN16" s="299" t="n">
        <v>0</v>
      </c>
      <c r="BO16" s="299" t="n">
        <v>0.0275</v>
      </c>
      <c r="BP16" s="299" t="n">
        <v>0</v>
      </c>
      <c r="BQ16" s="299" t="n">
        <v>0</v>
      </c>
      <c r="BR16" s="299" t="n">
        <v>0.055</v>
      </c>
      <c r="BS16" s="0" t="n">
        <v>0.025</v>
      </c>
      <c r="BT16" s="0" t="n">
        <v>0.04</v>
      </c>
      <c r="BU16" s="0" t="n">
        <v>0.02</v>
      </c>
      <c r="BV16" s="0" t="n">
        <v>0.04</v>
      </c>
    </row>
    <row r="17" customFormat="false" ht="12.75" hidden="false" customHeight="false" outlineLevel="0" collapsed="false">
      <c r="A17" s="301" t="e">
        <f aca="false">#REF!-B17</f>
        <v>#REF!</v>
      </c>
      <c r="B17" s="301" t="n">
        <v>3.71</v>
      </c>
      <c r="C17" s="308" t="n">
        <f aca="false">EOMONTH(C16,0)+1</f>
        <v>37591</v>
      </c>
      <c r="D17" s="0" t="n">
        <v>3.329</v>
      </c>
      <c r="E17" s="301" t="n">
        <v>0.525</v>
      </c>
      <c r="F17" s="299" t="n">
        <v>0.0228311338692704</v>
      </c>
      <c r="G17" s="299" t="n">
        <v>-0.1325</v>
      </c>
      <c r="H17" s="299" t="n">
        <v>-0.1525</v>
      </c>
      <c r="I17" s="310" t="n">
        <v>-0.005</v>
      </c>
      <c r="J17" s="310" t="n">
        <v>-0.2</v>
      </c>
      <c r="K17" s="299" t="n">
        <v>0.005</v>
      </c>
      <c r="L17" s="299" t="n">
        <v>-0.08</v>
      </c>
      <c r="M17" s="299" t="n">
        <v>-0.1125</v>
      </c>
      <c r="N17" s="299" t="n">
        <v>-0.1225</v>
      </c>
      <c r="O17" s="299" t="n">
        <v>-0.1225</v>
      </c>
      <c r="P17" s="299" t="n">
        <v>-0.1325</v>
      </c>
      <c r="Q17" s="299" t="n">
        <v>-0.115</v>
      </c>
      <c r="R17" s="299" t="n">
        <v>-0.095</v>
      </c>
      <c r="S17" s="299" t="n">
        <v>0.135</v>
      </c>
      <c r="T17" s="299" t="n">
        <v>0.185</v>
      </c>
      <c r="U17" s="299" t="n">
        <v>0.12</v>
      </c>
      <c r="V17" s="299" t="n">
        <v>0.33</v>
      </c>
      <c r="W17" s="299" t="n">
        <v>0.215</v>
      </c>
      <c r="X17" s="299" t="n">
        <v>0.33</v>
      </c>
      <c r="Y17" s="299" t="n">
        <v>-0.0225</v>
      </c>
      <c r="Z17" s="299" t="n">
        <v>-0.0425</v>
      </c>
      <c r="AA17" s="299" t="n">
        <v>0.0025</v>
      </c>
      <c r="AB17" s="299" t="n">
        <v>-0.025</v>
      </c>
      <c r="AC17" s="299" t="n">
        <v>0.0025</v>
      </c>
      <c r="AD17" s="299" t="n">
        <v>-0.025</v>
      </c>
      <c r="AE17" s="299" t="n">
        <v>-0.075</v>
      </c>
      <c r="AF17" s="299" t="n">
        <v>-0.0675</v>
      </c>
      <c r="AG17" s="299" t="n">
        <v>-0.0925</v>
      </c>
      <c r="AH17" s="299" t="n">
        <v>-0.0175</v>
      </c>
      <c r="AI17" s="299" t="n">
        <v>-0.0725</v>
      </c>
      <c r="AJ17" s="299" t="n">
        <v>-0.135</v>
      </c>
      <c r="AK17" s="299" t="n">
        <v>-0.0175</v>
      </c>
      <c r="AL17" s="299" t="n">
        <v>0.0225</v>
      </c>
      <c r="AM17" s="299" t="n">
        <v>0.94</v>
      </c>
      <c r="AN17" s="299" t="n">
        <v>-0.045</v>
      </c>
      <c r="AO17" s="299" t="n">
        <v>-0.34</v>
      </c>
      <c r="AP17" s="299" t="n">
        <v>-0.1555</v>
      </c>
      <c r="AQ17" s="299" t="n">
        <v>-0.22</v>
      </c>
      <c r="AR17" s="299" t="n">
        <v>0.27</v>
      </c>
      <c r="AS17" s="299" t="n">
        <v>-0.295</v>
      </c>
      <c r="AT17" s="299" t="n">
        <v>-0.34</v>
      </c>
      <c r="AU17" s="299" t="n">
        <v>0.03</v>
      </c>
      <c r="AV17" s="299" t="n">
        <v>-0.34</v>
      </c>
      <c r="AW17" s="299" t="n">
        <v>-0.1975</v>
      </c>
      <c r="AX17" s="299" t="n">
        <v>-0.13</v>
      </c>
      <c r="AY17" s="299" t="n">
        <v>-0.1375</v>
      </c>
      <c r="AZ17" s="299" t="n">
        <v>-0.075</v>
      </c>
      <c r="BA17" s="299" t="n">
        <v>-0.1175</v>
      </c>
      <c r="BB17" s="299" t="n">
        <v>-0.0225</v>
      </c>
      <c r="BC17" s="299" t="n">
        <v>-0.1</v>
      </c>
      <c r="BD17" s="299" t="n">
        <v>-0.075</v>
      </c>
      <c r="BE17" s="299" t="n">
        <v>-0.075</v>
      </c>
      <c r="BF17" s="299" t="n">
        <v>0.07</v>
      </c>
      <c r="BG17" s="299" t="n">
        <v>0.215</v>
      </c>
      <c r="BH17" s="299" t="n">
        <v>0.185</v>
      </c>
      <c r="BI17" s="299" t="n">
        <v>0.195</v>
      </c>
      <c r="BJ17" s="299" t="n">
        <v>0.78</v>
      </c>
      <c r="BK17" s="299" t="n">
        <v>0</v>
      </c>
      <c r="BL17" s="299" t="n">
        <v>-0.025</v>
      </c>
      <c r="BM17" s="299" t="n">
        <v>0.005</v>
      </c>
      <c r="BN17" s="299" t="n">
        <v>0</v>
      </c>
      <c r="BO17" s="299" t="n">
        <v>0.0275</v>
      </c>
      <c r="BP17" s="299" t="n">
        <v>0</v>
      </c>
      <c r="BQ17" s="299" t="n">
        <v>0</v>
      </c>
      <c r="BR17" s="299" t="n">
        <v>0.25</v>
      </c>
      <c r="BS17" s="0" t="n">
        <v>0.025</v>
      </c>
      <c r="BT17" s="0" t="n">
        <v>0.04</v>
      </c>
      <c r="BU17" s="0" t="n">
        <v>0.02</v>
      </c>
      <c r="BV17" s="0" t="n">
        <v>0.04</v>
      </c>
    </row>
    <row r="18" customFormat="false" ht="12.75" hidden="false" customHeight="false" outlineLevel="0" collapsed="false">
      <c r="A18" s="301" t="e">
        <f aca="false">#REF!-B18</f>
        <v>#REF!</v>
      </c>
      <c r="B18" s="301" t="n">
        <v>3.71</v>
      </c>
      <c r="C18" s="308" t="n">
        <f aca="false">EOMONTH(C17,0)+1</f>
        <v>37622</v>
      </c>
      <c r="D18" s="0" t="n">
        <v>3.408</v>
      </c>
      <c r="E18" s="301" t="n">
        <v>0.5225</v>
      </c>
      <c r="F18" s="299" t="n">
        <v>0.0236676828051907</v>
      </c>
      <c r="G18" s="299" t="n">
        <v>-0.135</v>
      </c>
      <c r="H18" s="299" t="n">
        <v>-0.155</v>
      </c>
      <c r="I18" s="310" t="n">
        <v>0.015</v>
      </c>
      <c r="J18" s="310" t="n">
        <v>-0.1975</v>
      </c>
      <c r="K18" s="299" t="n">
        <v>0.025</v>
      </c>
      <c r="L18" s="299" t="n">
        <v>-0.07</v>
      </c>
      <c r="M18" s="299" t="n">
        <v>-0.115</v>
      </c>
      <c r="N18" s="299" t="n">
        <v>-0.125</v>
      </c>
      <c r="O18" s="299" t="n">
        <v>-0.125</v>
      </c>
      <c r="P18" s="299" t="n">
        <v>-0.135</v>
      </c>
      <c r="Q18" s="299" t="n">
        <v>-0.11</v>
      </c>
      <c r="R18" s="299" t="n">
        <v>-0.095</v>
      </c>
      <c r="S18" s="299" t="n">
        <v>0.155</v>
      </c>
      <c r="T18" s="299" t="n">
        <v>0.205</v>
      </c>
      <c r="U18" s="299" t="n">
        <v>0.14</v>
      </c>
      <c r="V18" s="299" t="n">
        <v>0.38</v>
      </c>
      <c r="W18" s="299" t="n">
        <v>0.235</v>
      </c>
      <c r="X18" s="299" t="n">
        <v>0.38</v>
      </c>
      <c r="Y18" s="299" t="n">
        <v>-0.0225</v>
      </c>
      <c r="Z18" s="299" t="n">
        <v>-0.0425</v>
      </c>
      <c r="AA18" s="299" t="n">
        <v>0.0025</v>
      </c>
      <c r="AB18" s="299" t="n">
        <v>-0.025</v>
      </c>
      <c r="AC18" s="299" t="n">
        <v>0.0025</v>
      </c>
      <c r="AD18" s="299" t="n">
        <v>-0.025</v>
      </c>
      <c r="AE18" s="299" t="n">
        <v>-0.075</v>
      </c>
      <c r="AF18" s="299" t="n">
        <v>-0.0675</v>
      </c>
      <c r="AG18" s="299" t="n">
        <v>-0.0925</v>
      </c>
      <c r="AH18" s="299" t="n">
        <v>-0.0175</v>
      </c>
      <c r="AI18" s="299" t="n">
        <v>-0.0725</v>
      </c>
      <c r="AJ18" s="299" t="n">
        <v>-0.125</v>
      </c>
      <c r="AK18" s="299" t="n">
        <v>-0.0175</v>
      </c>
      <c r="AL18" s="299" t="n">
        <v>0.0225</v>
      </c>
      <c r="AM18" s="299" t="n">
        <v>1.88</v>
      </c>
      <c r="AN18" s="299" t="n">
        <v>-0.05</v>
      </c>
      <c r="AO18" s="299" t="n">
        <v>-0.315</v>
      </c>
      <c r="AP18" s="299" t="n">
        <v>-0.1475</v>
      </c>
      <c r="AQ18" s="299" t="n">
        <v>-0.22</v>
      </c>
      <c r="AR18" s="299" t="n">
        <v>0.32</v>
      </c>
      <c r="AS18" s="299" t="n">
        <v>-0.27</v>
      </c>
      <c r="AT18" s="299" t="n">
        <v>-0.315</v>
      </c>
      <c r="AU18" s="299" t="n">
        <v>0.02</v>
      </c>
      <c r="AV18" s="299" t="n">
        <v>-0.315</v>
      </c>
      <c r="AW18" s="299" t="n">
        <v>-0.2125</v>
      </c>
      <c r="AX18" s="299" t="n">
        <v>-0.1275</v>
      </c>
      <c r="AY18" s="299" t="n">
        <v>-0.1525</v>
      </c>
      <c r="AZ18" s="299" t="n">
        <v>-0.075</v>
      </c>
      <c r="BA18" s="299" t="n">
        <v>-0.1175</v>
      </c>
      <c r="BB18" s="299" t="n">
        <v>-0.0225</v>
      </c>
      <c r="BC18" s="299" t="n">
        <v>-0.09</v>
      </c>
      <c r="BD18" s="299" t="n">
        <v>-0.08</v>
      </c>
      <c r="BE18" s="299" t="n">
        <v>-0.075</v>
      </c>
      <c r="BF18" s="299" t="n">
        <v>0.145</v>
      </c>
      <c r="BG18" s="299" t="n">
        <v>0.235</v>
      </c>
      <c r="BH18" s="299" t="n">
        <v>0.205</v>
      </c>
      <c r="BI18" s="299" t="n">
        <v>0.215</v>
      </c>
      <c r="BJ18" s="299" t="n">
        <v>1.07</v>
      </c>
      <c r="BK18" s="299" t="n">
        <v>0</v>
      </c>
      <c r="BL18" s="299" t="n">
        <v>-0.025</v>
      </c>
      <c r="BM18" s="299" t="n">
        <v>0.005</v>
      </c>
      <c r="BN18" s="299" t="n">
        <v>0</v>
      </c>
      <c r="BO18" s="299" t="n">
        <v>0.0275</v>
      </c>
      <c r="BP18" s="299" t="n">
        <v>0</v>
      </c>
      <c r="BQ18" s="299" t="n">
        <v>0</v>
      </c>
      <c r="BR18" s="299" t="n">
        <v>0.45</v>
      </c>
      <c r="BS18" s="0" t="n">
        <v>0.025</v>
      </c>
      <c r="BT18" s="0" t="n">
        <v>0.04</v>
      </c>
      <c r="BU18" s="0" t="n">
        <v>0.02</v>
      </c>
      <c r="BV18" s="0" t="n">
        <v>0.04</v>
      </c>
    </row>
    <row r="19" customFormat="false" ht="12.75" hidden="false" customHeight="false" outlineLevel="0" collapsed="false">
      <c r="A19" s="301" t="e">
        <f aca="false">#REF!-B19</f>
        <v>#REF!</v>
      </c>
      <c r="B19" s="301" t="n">
        <v>3.72</v>
      </c>
      <c r="C19" s="308" t="n">
        <f aca="false">EOMONTH(C18,0)+1</f>
        <v>37653</v>
      </c>
      <c r="D19" s="0" t="n">
        <v>3.337</v>
      </c>
      <c r="E19" s="301" t="n">
        <v>0.5125</v>
      </c>
      <c r="F19" s="299" t="n">
        <v>0.0245876750219147</v>
      </c>
      <c r="G19" s="299" t="n">
        <v>-0.1275</v>
      </c>
      <c r="H19" s="299" t="n">
        <v>-0.1475</v>
      </c>
      <c r="I19" s="310" t="n">
        <v>0.01</v>
      </c>
      <c r="J19" s="310" t="n">
        <v>-0.1975</v>
      </c>
      <c r="K19" s="299" t="n">
        <v>0.02</v>
      </c>
      <c r="L19" s="299" t="n">
        <v>-0.07</v>
      </c>
      <c r="M19" s="299" t="n">
        <v>-0.1075</v>
      </c>
      <c r="N19" s="299" t="n">
        <v>-0.1175</v>
      </c>
      <c r="O19" s="299" t="n">
        <v>-0.1175</v>
      </c>
      <c r="P19" s="299" t="n">
        <v>-0.1275</v>
      </c>
      <c r="Q19" s="299" t="n">
        <v>-0.11</v>
      </c>
      <c r="R19" s="299" t="n">
        <v>-0.095</v>
      </c>
      <c r="S19" s="299" t="n">
        <v>0.145</v>
      </c>
      <c r="T19" s="299" t="n">
        <v>0.195</v>
      </c>
      <c r="U19" s="299" t="n">
        <v>0.13</v>
      </c>
      <c r="V19" s="299" t="n">
        <v>0.37</v>
      </c>
      <c r="W19" s="299" t="n">
        <v>0.235</v>
      </c>
      <c r="X19" s="299" t="n">
        <v>0.38</v>
      </c>
      <c r="Y19" s="299" t="n">
        <v>-0.0225</v>
      </c>
      <c r="Z19" s="299" t="n">
        <v>-0.0425</v>
      </c>
      <c r="AA19" s="299" t="n">
        <v>0.0025</v>
      </c>
      <c r="AB19" s="299" t="n">
        <v>-0.025</v>
      </c>
      <c r="AC19" s="299" t="n">
        <v>0.0025</v>
      </c>
      <c r="AD19" s="299" t="n">
        <v>-0.025</v>
      </c>
      <c r="AE19" s="299" t="n">
        <v>-0.075</v>
      </c>
      <c r="AF19" s="299" t="n">
        <v>-0.0675</v>
      </c>
      <c r="AG19" s="299" t="n">
        <v>-0.0925</v>
      </c>
      <c r="AH19" s="299" t="n">
        <v>-0.0175</v>
      </c>
      <c r="AI19" s="299" t="n">
        <v>-0.0725</v>
      </c>
      <c r="AJ19" s="299" t="n">
        <v>-0.125</v>
      </c>
      <c r="AK19" s="299" t="n">
        <v>-0.0175</v>
      </c>
      <c r="AL19" s="299" t="n">
        <v>0.0225</v>
      </c>
      <c r="AM19" s="299" t="n">
        <v>1.88</v>
      </c>
      <c r="AN19" s="299" t="n">
        <v>-0.035</v>
      </c>
      <c r="AO19" s="299" t="n">
        <v>-0.305</v>
      </c>
      <c r="AP19" s="299" t="n">
        <v>-0.1475</v>
      </c>
      <c r="AQ19" s="299" t="n">
        <v>-0.22</v>
      </c>
      <c r="AR19" s="299" t="n">
        <v>0.02</v>
      </c>
      <c r="AS19" s="299" t="n">
        <v>-0.26</v>
      </c>
      <c r="AT19" s="299" t="n">
        <v>-0.305</v>
      </c>
      <c r="AU19" s="299" t="n">
        <v>0.02</v>
      </c>
      <c r="AV19" s="299" t="n">
        <v>-0.305</v>
      </c>
      <c r="AW19" s="299" t="n">
        <v>-0.2025</v>
      </c>
      <c r="AX19" s="299" t="n">
        <v>-0.1275</v>
      </c>
      <c r="AY19" s="299" t="n">
        <v>-0.1425</v>
      </c>
      <c r="AZ19" s="299" t="n">
        <v>-0.075</v>
      </c>
      <c r="BA19" s="299" t="n">
        <v>-0.1175</v>
      </c>
      <c r="BB19" s="299" t="n">
        <v>-0.0225</v>
      </c>
      <c r="BC19" s="299" t="n">
        <v>-0.09</v>
      </c>
      <c r="BD19" s="299" t="n">
        <v>-0.065</v>
      </c>
      <c r="BE19" s="299" t="n">
        <v>-0.075</v>
      </c>
      <c r="BF19" s="299" t="n">
        <v>0.125</v>
      </c>
      <c r="BG19" s="299" t="n">
        <v>0.225</v>
      </c>
      <c r="BH19" s="299" t="n">
        <v>0.195</v>
      </c>
      <c r="BI19" s="299" t="n">
        <v>0.205</v>
      </c>
      <c r="BJ19" s="299" t="n">
        <v>1.06</v>
      </c>
      <c r="BK19" s="299" t="n">
        <v>0</v>
      </c>
      <c r="BL19" s="299" t="n">
        <v>-0.025</v>
      </c>
      <c r="BM19" s="299" t="n">
        <v>0.005</v>
      </c>
      <c r="BN19" s="299" t="n">
        <v>0</v>
      </c>
      <c r="BO19" s="299" t="n">
        <v>0.0275</v>
      </c>
      <c r="BP19" s="299" t="n">
        <v>0</v>
      </c>
      <c r="BQ19" s="299" t="n">
        <v>0</v>
      </c>
      <c r="BR19" s="299" t="n">
        <v>0.45</v>
      </c>
      <c r="BS19" s="0" t="n">
        <v>0.025</v>
      </c>
      <c r="BT19" s="0" t="n">
        <v>0.04</v>
      </c>
      <c r="BU19" s="0" t="n">
        <v>0.02</v>
      </c>
      <c r="BV19" s="0" t="n">
        <v>0.04</v>
      </c>
    </row>
    <row r="20" customFormat="false" ht="12.75" hidden="false" customHeight="false" outlineLevel="0" collapsed="false">
      <c r="A20" s="301" t="e">
        <f aca="false">#REF!-B20</f>
        <v>#REF!</v>
      </c>
      <c r="B20" s="301" t="n">
        <v>3.715</v>
      </c>
      <c r="C20" s="308" t="n">
        <f aca="false">EOMONTH(C19,0)+1</f>
        <v>37681</v>
      </c>
      <c r="D20" s="0" t="n">
        <v>3.247</v>
      </c>
      <c r="E20" s="301" t="n">
        <v>0.4775</v>
      </c>
      <c r="F20" s="299" t="n">
        <v>0.0254186359797437</v>
      </c>
      <c r="G20" s="299" t="n">
        <v>-0.125</v>
      </c>
      <c r="H20" s="299" t="n">
        <v>-0.145</v>
      </c>
      <c r="I20" s="310" t="n">
        <v>-0.01</v>
      </c>
      <c r="J20" s="310" t="n">
        <v>-0.1975</v>
      </c>
      <c r="K20" s="299" t="n">
        <v>0</v>
      </c>
      <c r="L20" s="299" t="n">
        <v>-0.07</v>
      </c>
      <c r="M20" s="299" t="n">
        <v>-0.105</v>
      </c>
      <c r="N20" s="299" t="n">
        <v>-0.115</v>
      </c>
      <c r="O20" s="299" t="n">
        <v>-0.115</v>
      </c>
      <c r="P20" s="299" t="n">
        <v>-0.125</v>
      </c>
      <c r="Q20" s="299" t="n">
        <v>-0.11</v>
      </c>
      <c r="R20" s="299" t="n">
        <v>-0.095</v>
      </c>
      <c r="S20" s="299" t="n">
        <v>0.14</v>
      </c>
      <c r="T20" s="299" t="n">
        <v>0.19</v>
      </c>
      <c r="U20" s="299" t="n">
        <v>0.125</v>
      </c>
      <c r="V20" s="299" t="n">
        <v>0.2</v>
      </c>
      <c r="W20" s="299" t="n">
        <v>0.195</v>
      </c>
      <c r="X20" s="299" t="n">
        <v>0.33</v>
      </c>
      <c r="Y20" s="299" t="n">
        <v>-0.0225</v>
      </c>
      <c r="Z20" s="299" t="n">
        <v>-0.0425</v>
      </c>
      <c r="AA20" s="299" t="n">
        <v>0.0025</v>
      </c>
      <c r="AB20" s="299" t="n">
        <v>-0.025</v>
      </c>
      <c r="AC20" s="299" t="n">
        <v>0.0025</v>
      </c>
      <c r="AD20" s="299" t="n">
        <v>-0.025</v>
      </c>
      <c r="AE20" s="299" t="n">
        <v>-0.075</v>
      </c>
      <c r="AF20" s="299" t="n">
        <v>-0.0675</v>
      </c>
      <c r="AG20" s="299" t="n">
        <v>-0.0925</v>
      </c>
      <c r="AH20" s="299" t="n">
        <v>-0.0175</v>
      </c>
      <c r="AI20" s="299" t="n">
        <v>-0.0725</v>
      </c>
      <c r="AJ20" s="299" t="n">
        <v>-0.125</v>
      </c>
      <c r="AK20" s="299" t="n">
        <v>-0.0175</v>
      </c>
      <c r="AL20" s="299" t="n">
        <v>0.0225</v>
      </c>
      <c r="AM20" s="299" t="n">
        <v>0.65</v>
      </c>
      <c r="AN20" s="299" t="n">
        <v>-0.0225</v>
      </c>
      <c r="AO20" s="299" t="n">
        <v>-0.355</v>
      </c>
      <c r="AP20" s="299" t="n">
        <v>-0.1475</v>
      </c>
      <c r="AQ20" s="299" t="n">
        <v>-0.22</v>
      </c>
      <c r="AR20" s="299" t="n">
        <v>-0.28</v>
      </c>
      <c r="AS20" s="299" t="n">
        <v>-0.31</v>
      </c>
      <c r="AT20" s="299" t="n">
        <v>-0.355</v>
      </c>
      <c r="AU20" s="299" t="n">
        <v>0.02</v>
      </c>
      <c r="AV20" s="299" t="n">
        <v>-0.355</v>
      </c>
      <c r="AW20" s="299" t="n">
        <v>-0.1925</v>
      </c>
      <c r="AX20" s="299" t="n">
        <v>-0.1275</v>
      </c>
      <c r="AY20" s="299" t="n">
        <v>-0.1325</v>
      </c>
      <c r="AZ20" s="299" t="n">
        <v>-0.075</v>
      </c>
      <c r="BA20" s="299" t="n">
        <v>-0.1175</v>
      </c>
      <c r="BB20" s="299" t="n">
        <v>-0.0225</v>
      </c>
      <c r="BC20" s="299" t="n">
        <v>-0.09</v>
      </c>
      <c r="BD20" s="299" t="n">
        <v>-0.0525</v>
      </c>
      <c r="BE20" s="299" t="n">
        <v>-0.075</v>
      </c>
      <c r="BF20" s="299" t="n">
        <v>0.045</v>
      </c>
      <c r="BG20" s="299" t="n">
        <v>0.22</v>
      </c>
      <c r="BH20" s="299" t="n">
        <v>0.19</v>
      </c>
      <c r="BI20" s="299" t="n">
        <v>0.2</v>
      </c>
      <c r="BJ20" s="299" t="n">
        <v>0.545</v>
      </c>
      <c r="BK20" s="299" t="n">
        <v>0</v>
      </c>
      <c r="BL20" s="299" t="n">
        <v>-0.02</v>
      </c>
      <c r="BM20" s="299" t="n">
        <v>0.005</v>
      </c>
      <c r="BN20" s="299" t="n">
        <v>0</v>
      </c>
      <c r="BO20" s="299" t="n">
        <v>0.0275</v>
      </c>
      <c r="BP20" s="299" t="n">
        <v>0</v>
      </c>
      <c r="BQ20" s="299" t="n">
        <v>0</v>
      </c>
      <c r="BR20" s="299" t="n">
        <v>0.1</v>
      </c>
      <c r="BS20" s="0" t="n">
        <v>0.025</v>
      </c>
      <c r="BT20" s="0" t="n">
        <v>0.04</v>
      </c>
      <c r="BU20" s="0" t="n">
        <v>0.02</v>
      </c>
      <c r="BV20" s="0" t="n">
        <v>0.04</v>
      </c>
    </row>
    <row r="21" customFormat="false" ht="12.75" hidden="false" customHeight="false" outlineLevel="0" collapsed="false">
      <c r="A21" s="301" t="e">
        <f aca="false">#REF!-B21</f>
        <v>#REF!</v>
      </c>
      <c r="B21" s="301" t="n">
        <v>3.735</v>
      </c>
      <c r="C21" s="308" t="n">
        <f aca="false">EOMONTH(C20,0)+1</f>
        <v>37712</v>
      </c>
      <c r="D21" s="0" t="n">
        <v>3.092</v>
      </c>
      <c r="E21" s="301" t="n">
        <v>0.3875</v>
      </c>
      <c r="F21" s="299" t="n">
        <v>0.0263622508614558</v>
      </c>
      <c r="G21" s="299" t="n">
        <v>-0.13</v>
      </c>
      <c r="H21" s="299" t="n">
        <v>-0.15</v>
      </c>
      <c r="I21" s="310" t="n">
        <v>-0.09</v>
      </c>
      <c r="J21" s="310" t="n">
        <v>-0.1525</v>
      </c>
      <c r="K21" s="299" t="n">
        <v>-0.09</v>
      </c>
      <c r="L21" s="299" t="n">
        <v>-0.0675</v>
      </c>
      <c r="M21" s="299" t="n">
        <v>-0.1</v>
      </c>
      <c r="N21" s="299" t="n">
        <v>-0.12</v>
      </c>
      <c r="O21" s="299" t="n">
        <v>-0.12</v>
      </c>
      <c r="P21" s="299" t="n">
        <v>-0.13</v>
      </c>
      <c r="Q21" s="299" t="n">
        <v>-0.09875</v>
      </c>
      <c r="R21" s="299" t="n">
        <v>-0.09</v>
      </c>
      <c r="S21" s="299" t="n">
        <v>0.125</v>
      </c>
      <c r="T21" s="299" t="n">
        <v>0.155</v>
      </c>
      <c r="U21" s="299" t="n">
        <v>0.035</v>
      </c>
      <c r="V21" s="299" t="n">
        <v>0.4</v>
      </c>
      <c r="W21" s="299" t="n">
        <v>0.145</v>
      </c>
      <c r="X21" s="299" t="n">
        <v>0.195</v>
      </c>
      <c r="Y21" s="299" t="n">
        <v>-0.025</v>
      </c>
      <c r="Z21" s="299" t="n">
        <v>-0.0525</v>
      </c>
      <c r="AA21" s="299" t="n">
        <v>0.01</v>
      </c>
      <c r="AB21" s="299" t="n">
        <v>-0.0175</v>
      </c>
      <c r="AC21" s="299" t="n">
        <v>0.0025</v>
      </c>
      <c r="AD21" s="299" t="n">
        <v>-0.025</v>
      </c>
      <c r="AE21" s="299" t="n">
        <v>-0.0725</v>
      </c>
      <c r="AF21" s="299" t="n">
        <v>-0.065</v>
      </c>
      <c r="AG21" s="299" t="n">
        <v>-0.085</v>
      </c>
      <c r="AH21" s="299" t="n">
        <v>-0.0175</v>
      </c>
      <c r="AI21" s="299" t="n">
        <v>-0.0725</v>
      </c>
      <c r="AJ21" s="299" t="n">
        <v>-0.1075</v>
      </c>
      <c r="AK21" s="299" t="n">
        <v>-0.0175</v>
      </c>
      <c r="AL21" s="299" t="n">
        <v>0.0225</v>
      </c>
      <c r="AM21" s="299" t="n">
        <v>0.38</v>
      </c>
      <c r="AN21" s="299" t="n">
        <v>0.03</v>
      </c>
      <c r="AO21" s="299" t="n">
        <v>-0.525</v>
      </c>
      <c r="AP21" s="299" t="n">
        <v>-0.105</v>
      </c>
      <c r="AQ21" s="299" t="n">
        <v>-0.26</v>
      </c>
      <c r="AR21" s="299" t="n">
        <v>-0.24</v>
      </c>
      <c r="AS21" s="299" t="n">
        <v>-0.435</v>
      </c>
      <c r="AT21" s="299" t="n">
        <v>-0.525</v>
      </c>
      <c r="AU21" s="299" t="n">
        <v>0.14</v>
      </c>
      <c r="AV21" s="299" t="n">
        <v>-0.525</v>
      </c>
      <c r="AW21" s="299" t="n">
        <v>-0.22</v>
      </c>
      <c r="AX21" s="299" t="n">
        <v>-0.0825</v>
      </c>
      <c r="AY21" s="299" t="n">
        <v>-0.16</v>
      </c>
      <c r="AZ21" s="299" t="n">
        <v>-0.07</v>
      </c>
      <c r="BA21" s="299" t="n">
        <v>-0.14</v>
      </c>
      <c r="BB21" s="299" t="n">
        <v>-0.0225</v>
      </c>
      <c r="BC21" s="299" t="n">
        <v>-0.0725</v>
      </c>
      <c r="BD21" s="299" t="n">
        <v>0</v>
      </c>
      <c r="BE21" s="299" t="n">
        <v>-0.0725</v>
      </c>
      <c r="BF21" s="299" t="n">
        <v>0.08</v>
      </c>
      <c r="BG21" s="299" t="n">
        <v>0.135</v>
      </c>
      <c r="BH21" s="299" t="n">
        <v>0.155</v>
      </c>
      <c r="BI21" s="299" t="n">
        <v>0.125</v>
      </c>
      <c r="BJ21" s="299" t="n">
        <v>0.36</v>
      </c>
      <c r="BK21" s="299" t="n">
        <v>0</v>
      </c>
      <c r="BL21" s="299" t="n">
        <v>-0.015</v>
      </c>
      <c r="BM21" s="299" t="n">
        <v>0.005</v>
      </c>
      <c r="BN21" s="299" t="n">
        <v>-0.01</v>
      </c>
      <c r="BO21" s="299" t="n">
        <v>0.02</v>
      </c>
      <c r="BP21" s="299" t="n">
        <v>0.005</v>
      </c>
      <c r="BQ21" s="299" t="n">
        <v>0.0025</v>
      </c>
      <c r="BR21" s="299" t="n">
        <v>0.02</v>
      </c>
      <c r="BS21" s="0" t="n">
        <v>0.005</v>
      </c>
      <c r="BT21" s="0" t="n">
        <v>0.02</v>
      </c>
      <c r="BU21" s="0" t="n">
        <v>0.02</v>
      </c>
      <c r="BV21" s="0" t="n">
        <v>0.03</v>
      </c>
    </row>
    <row r="22" customFormat="false" ht="12.75" hidden="false" customHeight="false" outlineLevel="0" collapsed="false">
      <c r="A22" s="301" t="e">
        <f aca="false">#REF!-B22</f>
        <v>#REF!</v>
      </c>
      <c r="B22" s="301" t="n">
        <v>3.835</v>
      </c>
      <c r="C22" s="308" t="n">
        <f aca="false">EOMONTH(C21,0)+1</f>
        <v>37742</v>
      </c>
      <c r="D22" s="0" t="n">
        <v>3.1</v>
      </c>
      <c r="E22" s="301" t="n">
        <v>0.3725</v>
      </c>
      <c r="F22" s="299" t="n">
        <v>0.0272889724476766</v>
      </c>
      <c r="G22" s="299" t="n">
        <v>-0.13</v>
      </c>
      <c r="H22" s="299" t="n">
        <v>-0.15</v>
      </c>
      <c r="I22" s="310" t="n">
        <v>-0.09</v>
      </c>
      <c r="J22" s="310" t="n">
        <v>-0.1525</v>
      </c>
      <c r="K22" s="299" t="n">
        <v>-0.09</v>
      </c>
      <c r="L22" s="299" t="n">
        <v>-0.0675</v>
      </c>
      <c r="M22" s="299" t="n">
        <v>-0.1</v>
      </c>
      <c r="N22" s="299" t="n">
        <v>-0.12</v>
      </c>
      <c r="O22" s="299" t="n">
        <v>-0.12</v>
      </c>
      <c r="P22" s="299" t="n">
        <v>-0.13</v>
      </c>
      <c r="Q22" s="299" t="n">
        <v>-0.09875</v>
      </c>
      <c r="R22" s="299" t="n">
        <v>-0.09</v>
      </c>
      <c r="S22" s="299" t="n">
        <v>0.125</v>
      </c>
      <c r="T22" s="299" t="n">
        <v>0.155</v>
      </c>
      <c r="U22" s="299" t="n">
        <v>0.035</v>
      </c>
      <c r="V22" s="299" t="n">
        <v>0.4</v>
      </c>
      <c r="W22" s="299" t="n">
        <v>0.125</v>
      </c>
      <c r="X22" s="299" t="n">
        <v>0.135</v>
      </c>
      <c r="Y22" s="299" t="n">
        <v>-0.025</v>
      </c>
      <c r="Z22" s="299" t="n">
        <v>-0.0525</v>
      </c>
      <c r="AA22" s="299" t="n">
        <v>0.01</v>
      </c>
      <c r="AB22" s="299" t="n">
        <v>-0.0175</v>
      </c>
      <c r="AC22" s="299" t="n">
        <v>0.0025</v>
      </c>
      <c r="AD22" s="299" t="n">
        <v>-0.025</v>
      </c>
      <c r="AE22" s="299" t="n">
        <v>-0.0725</v>
      </c>
      <c r="AF22" s="299" t="n">
        <v>-0.065</v>
      </c>
      <c r="AG22" s="299" t="n">
        <v>-0.085</v>
      </c>
      <c r="AH22" s="299" t="n">
        <v>-0.0175</v>
      </c>
      <c r="AI22" s="299" t="n">
        <v>-0.0725</v>
      </c>
      <c r="AJ22" s="299" t="n">
        <v>-0.1075</v>
      </c>
      <c r="AK22" s="299" t="n">
        <v>-0.0175</v>
      </c>
      <c r="AL22" s="299" t="n">
        <v>0.0225</v>
      </c>
      <c r="AM22" s="299" t="n">
        <v>0.33</v>
      </c>
      <c r="AN22" s="299" t="n">
        <v>0.03</v>
      </c>
      <c r="AO22" s="299" t="n">
        <v>-0.525</v>
      </c>
      <c r="AP22" s="299" t="n">
        <v>-0.105</v>
      </c>
      <c r="AQ22" s="299" t="n">
        <v>-0.26</v>
      </c>
      <c r="AR22" s="299" t="n">
        <v>-0.24</v>
      </c>
      <c r="AS22" s="299" t="n">
        <v>-0.435</v>
      </c>
      <c r="AT22" s="299" t="n">
        <v>-0.525</v>
      </c>
      <c r="AU22" s="299" t="n">
        <v>0.14</v>
      </c>
      <c r="AV22" s="299" t="n">
        <v>-0.525</v>
      </c>
      <c r="AW22" s="299" t="n">
        <v>-0.1975</v>
      </c>
      <c r="AX22" s="299" t="n">
        <v>-0.0825</v>
      </c>
      <c r="AY22" s="299" t="n">
        <v>-0.1375</v>
      </c>
      <c r="AZ22" s="299" t="n">
        <v>-0.07</v>
      </c>
      <c r="BA22" s="299" t="n">
        <v>-0.1325</v>
      </c>
      <c r="BB22" s="299" t="n">
        <v>-0.0225</v>
      </c>
      <c r="BC22" s="299" t="n">
        <v>-0.0725</v>
      </c>
      <c r="BD22" s="299" t="n">
        <v>0</v>
      </c>
      <c r="BE22" s="299" t="n">
        <v>-0.0725</v>
      </c>
      <c r="BF22" s="299" t="n">
        <v>0.08</v>
      </c>
      <c r="BG22" s="299" t="n">
        <v>0.135</v>
      </c>
      <c r="BH22" s="299" t="n">
        <v>0.155</v>
      </c>
      <c r="BI22" s="299" t="n">
        <v>0.125</v>
      </c>
      <c r="BJ22" s="299" t="n">
        <v>0.325</v>
      </c>
      <c r="BK22" s="299" t="n">
        <v>0</v>
      </c>
      <c r="BL22" s="299" t="n">
        <v>-0.015</v>
      </c>
      <c r="BM22" s="299" t="n">
        <v>0.005</v>
      </c>
      <c r="BN22" s="299" t="n">
        <v>-0.01</v>
      </c>
      <c r="BO22" s="299" t="n">
        <v>0.02</v>
      </c>
      <c r="BP22" s="299" t="n">
        <v>0.005</v>
      </c>
      <c r="BQ22" s="299" t="n">
        <v>0.0025</v>
      </c>
      <c r="BR22" s="299" t="n">
        <v>0.02</v>
      </c>
      <c r="BS22" s="0" t="n">
        <v>0.005</v>
      </c>
      <c r="BT22" s="0" t="n">
        <v>0.02</v>
      </c>
      <c r="BU22" s="0" t="n">
        <v>0.02</v>
      </c>
      <c r="BV22" s="0" t="n">
        <v>0.03</v>
      </c>
    </row>
    <row r="23" customFormat="false" ht="12.75" hidden="false" customHeight="false" outlineLevel="0" collapsed="false">
      <c r="A23" s="301" t="e">
        <f aca="false">#REF!-B23</f>
        <v>#REF!</v>
      </c>
      <c r="B23" s="301" t="n">
        <v>3.93</v>
      </c>
      <c r="C23" s="308" t="n">
        <f aca="false">EOMONTH(C22,0)+1</f>
        <v>37773</v>
      </c>
      <c r="D23" s="0" t="n">
        <v>3.135</v>
      </c>
      <c r="E23" s="301" t="n">
        <v>0.3675</v>
      </c>
      <c r="F23" s="299" t="n">
        <v>0.0282465850580524</v>
      </c>
      <c r="G23" s="299" t="n">
        <v>-0.13</v>
      </c>
      <c r="H23" s="299" t="n">
        <v>-0.15</v>
      </c>
      <c r="I23" s="310" t="n">
        <v>-0.09</v>
      </c>
      <c r="J23" s="310" t="n">
        <v>-0.1525</v>
      </c>
      <c r="K23" s="299" t="n">
        <v>-0.09</v>
      </c>
      <c r="L23" s="299" t="n">
        <v>-0.0675</v>
      </c>
      <c r="M23" s="299" t="n">
        <v>-0.1</v>
      </c>
      <c r="N23" s="299" t="n">
        <v>-0.12</v>
      </c>
      <c r="O23" s="299" t="n">
        <v>-0.12</v>
      </c>
      <c r="P23" s="299" t="n">
        <v>-0.13</v>
      </c>
      <c r="Q23" s="299" t="n">
        <v>-0.09875</v>
      </c>
      <c r="R23" s="299" t="n">
        <v>-0.09</v>
      </c>
      <c r="S23" s="299" t="n">
        <v>0.125</v>
      </c>
      <c r="T23" s="299" t="n">
        <v>0.155</v>
      </c>
      <c r="U23" s="299" t="n">
        <v>0.035</v>
      </c>
      <c r="V23" s="299" t="n">
        <v>0.4</v>
      </c>
      <c r="W23" s="299" t="n">
        <v>0.145</v>
      </c>
      <c r="X23" s="299" t="n">
        <v>0.165</v>
      </c>
      <c r="Y23" s="299" t="n">
        <v>-0.025</v>
      </c>
      <c r="Z23" s="299" t="n">
        <v>-0.05</v>
      </c>
      <c r="AA23" s="299" t="n">
        <v>0.0125</v>
      </c>
      <c r="AB23" s="299" t="n">
        <v>-0.015</v>
      </c>
      <c r="AC23" s="299" t="n">
        <v>0.0025</v>
      </c>
      <c r="AD23" s="299" t="n">
        <v>-0.025</v>
      </c>
      <c r="AE23" s="299" t="n">
        <v>-0.0725</v>
      </c>
      <c r="AF23" s="299" t="n">
        <v>-0.065</v>
      </c>
      <c r="AG23" s="299" t="n">
        <v>-0.085</v>
      </c>
      <c r="AH23" s="299" t="n">
        <v>-0.0175</v>
      </c>
      <c r="AI23" s="299" t="n">
        <v>-0.0725</v>
      </c>
      <c r="AJ23" s="299" t="n">
        <v>-0.1075</v>
      </c>
      <c r="AK23" s="299" t="n">
        <v>-0.0175</v>
      </c>
      <c r="AL23" s="299" t="n">
        <v>0.0225</v>
      </c>
      <c r="AM23" s="299" t="n">
        <v>0.37</v>
      </c>
      <c r="AN23" s="299" t="n">
        <v>0.035</v>
      </c>
      <c r="AO23" s="299" t="n">
        <v>-0.525</v>
      </c>
      <c r="AP23" s="299" t="n">
        <v>-0.105</v>
      </c>
      <c r="AQ23" s="299" t="n">
        <v>-0.26</v>
      </c>
      <c r="AR23" s="299" t="n">
        <v>-0.24</v>
      </c>
      <c r="AS23" s="299" t="n">
        <v>-0.435</v>
      </c>
      <c r="AT23" s="299" t="n">
        <v>-0.525</v>
      </c>
      <c r="AU23" s="299" t="n">
        <v>0.14</v>
      </c>
      <c r="AV23" s="299" t="n">
        <v>-0.525</v>
      </c>
      <c r="AW23" s="299" t="n">
        <v>-0.145</v>
      </c>
      <c r="AX23" s="299" t="n">
        <v>-0.0825</v>
      </c>
      <c r="AY23" s="299" t="n">
        <v>-0.085</v>
      </c>
      <c r="AZ23" s="299" t="n">
        <v>-0.07</v>
      </c>
      <c r="BA23" s="299" t="n">
        <v>-0.09</v>
      </c>
      <c r="BB23" s="299" t="n">
        <v>-0.0225</v>
      </c>
      <c r="BC23" s="299" t="n">
        <v>-0.0725</v>
      </c>
      <c r="BD23" s="299" t="n">
        <v>0.005</v>
      </c>
      <c r="BE23" s="299" t="n">
        <v>-0.0725</v>
      </c>
      <c r="BF23" s="299" t="n">
        <v>0.08</v>
      </c>
      <c r="BG23" s="299" t="n">
        <v>0.135</v>
      </c>
      <c r="BH23" s="299" t="n">
        <v>0.155</v>
      </c>
      <c r="BI23" s="299" t="n">
        <v>0.125</v>
      </c>
      <c r="BJ23" s="299" t="n">
        <v>0.335</v>
      </c>
      <c r="BK23" s="299" t="n">
        <v>0</v>
      </c>
      <c r="BL23" s="299" t="n">
        <v>-0.015</v>
      </c>
      <c r="BM23" s="299" t="n">
        <v>0.005</v>
      </c>
      <c r="BN23" s="299" t="n">
        <v>-0.01</v>
      </c>
      <c r="BO23" s="299" t="n">
        <v>0.02</v>
      </c>
      <c r="BP23" s="299" t="n">
        <v>0.005</v>
      </c>
      <c r="BQ23" s="299" t="n">
        <v>0.0025</v>
      </c>
      <c r="BR23" s="299" t="n">
        <v>0.035</v>
      </c>
      <c r="BS23" s="0" t="n">
        <v>0.005</v>
      </c>
      <c r="BT23" s="0" t="n">
        <v>0.02</v>
      </c>
      <c r="BU23" s="0" t="n">
        <v>0.02</v>
      </c>
      <c r="BV23" s="0" t="n">
        <v>0.03</v>
      </c>
    </row>
    <row r="24" customFormat="false" ht="12.75" hidden="false" customHeight="false" outlineLevel="0" collapsed="false">
      <c r="A24" s="301" t="e">
        <f aca="false">#REF!-B24</f>
        <v>#REF!</v>
      </c>
      <c r="B24" s="301" t="n">
        <v>3.943</v>
      </c>
      <c r="C24" s="308" t="n">
        <f aca="false">EOMONTH(C23,0)+1</f>
        <v>37803</v>
      </c>
      <c r="D24" s="0" t="n">
        <v>3.177</v>
      </c>
      <c r="E24" s="301" t="n">
        <v>0.3675</v>
      </c>
      <c r="F24" s="299" t="n">
        <v>0.0291756224166892</v>
      </c>
      <c r="G24" s="299" t="n">
        <v>-0.13</v>
      </c>
      <c r="H24" s="299" t="n">
        <v>-0.15</v>
      </c>
      <c r="I24" s="310" t="n">
        <v>-0.09</v>
      </c>
      <c r="J24" s="310" t="n">
        <v>-0.1525</v>
      </c>
      <c r="K24" s="299" t="n">
        <v>-0.09</v>
      </c>
      <c r="L24" s="299" t="n">
        <v>-0.0675</v>
      </c>
      <c r="M24" s="299" t="n">
        <v>-0.1</v>
      </c>
      <c r="N24" s="299" t="n">
        <v>-0.12</v>
      </c>
      <c r="O24" s="299" t="n">
        <v>-0.12</v>
      </c>
      <c r="P24" s="299" t="n">
        <v>-0.13</v>
      </c>
      <c r="Q24" s="299" t="n">
        <v>-0.09875</v>
      </c>
      <c r="R24" s="299" t="n">
        <v>-0.09</v>
      </c>
      <c r="S24" s="299" t="n">
        <v>0.125</v>
      </c>
      <c r="T24" s="299" t="n">
        <v>0.155</v>
      </c>
      <c r="U24" s="299" t="n">
        <v>0.035</v>
      </c>
      <c r="V24" s="299" t="n">
        <v>0.4</v>
      </c>
      <c r="W24" s="299" t="n">
        <v>0.15</v>
      </c>
      <c r="X24" s="299" t="n">
        <v>0.205</v>
      </c>
      <c r="Y24" s="299" t="n">
        <v>-0.025</v>
      </c>
      <c r="Z24" s="299" t="n">
        <v>-0.05</v>
      </c>
      <c r="AA24" s="299" t="n">
        <v>0.0125</v>
      </c>
      <c r="AB24" s="299" t="n">
        <v>-0.015</v>
      </c>
      <c r="AC24" s="299" t="n">
        <v>0.0025</v>
      </c>
      <c r="AD24" s="299" t="n">
        <v>-0.025</v>
      </c>
      <c r="AE24" s="299" t="n">
        <v>-0.0725</v>
      </c>
      <c r="AF24" s="299" t="n">
        <v>-0.065</v>
      </c>
      <c r="AG24" s="299" t="n">
        <v>-0.085</v>
      </c>
      <c r="AH24" s="299" t="n">
        <v>-0.0175</v>
      </c>
      <c r="AI24" s="299" t="n">
        <v>-0.0725</v>
      </c>
      <c r="AJ24" s="299" t="n">
        <v>-0.1075</v>
      </c>
      <c r="AK24" s="299" t="n">
        <v>-0.0175</v>
      </c>
      <c r="AL24" s="299" t="n">
        <v>0.0225</v>
      </c>
      <c r="AM24" s="299" t="n">
        <v>0.41</v>
      </c>
      <c r="AN24" s="299" t="n">
        <v>0.0375</v>
      </c>
      <c r="AO24" s="299" t="n">
        <v>-0.525</v>
      </c>
      <c r="AP24" s="299" t="n">
        <v>-0.105</v>
      </c>
      <c r="AQ24" s="299" t="n">
        <v>-0.26</v>
      </c>
      <c r="AR24" s="299" t="n">
        <v>-0.24</v>
      </c>
      <c r="AS24" s="299" t="n">
        <v>-0.435</v>
      </c>
      <c r="AT24" s="299" t="n">
        <v>-0.525</v>
      </c>
      <c r="AU24" s="299" t="n">
        <v>0.14</v>
      </c>
      <c r="AV24" s="299" t="n">
        <v>-0.525</v>
      </c>
      <c r="AW24" s="299" t="n">
        <v>-0.155</v>
      </c>
      <c r="AX24" s="299" t="n">
        <v>-0.0825</v>
      </c>
      <c r="AY24" s="299" t="n">
        <v>-0.095</v>
      </c>
      <c r="AZ24" s="299" t="n">
        <v>-0.07</v>
      </c>
      <c r="BA24" s="299" t="n">
        <v>-0.0875</v>
      </c>
      <c r="BB24" s="299" t="n">
        <v>-0.0225</v>
      </c>
      <c r="BC24" s="299" t="n">
        <v>-0.0725</v>
      </c>
      <c r="BD24" s="299" t="n">
        <v>0.0075</v>
      </c>
      <c r="BE24" s="299" t="n">
        <v>-0.0725</v>
      </c>
      <c r="BF24" s="299" t="n">
        <v>0.08</v>
      </c>
      <c r="BG24" s="299" t="n">
        <v>0.135</v>
      </c>
      <c r="BH24" s="299" t="n">
        <v>0.155</v>
      </c>
      <c r="BI24" s="299" t="n">
        <v>0.125</v>
      </c>
      <c r="BJ24" s="299" t="n">
        <v>0.35</v>
      </c>
      <c r="BK24" s="299" t="n">
        <v>0</v>
      </c>
      <c r="BL24" s="299" t="n">
        <v>-0.01</v>
      </c>
      <c r="BM24" s="299" t="n">
        <v>0.005</v>
      </c>
      <c r="BN24" s="299" t="n">
        <v>-0.01</v>
      </c>
      <c r="BO24" s="299" t="n">
        <v>0.02</v>
      </c>
      <c r="BP24" s="299" t="n">
        <v>0.005</v>
      </c>
      <c r="BQ24" s="299" t="n">
        <v>0.0025</v>
      </c>
      <c r="BR24" s="299" t="n">
        <v>0.035</v>
      </c>
      <c r="BS24" s="0" t="n">
        <v>0.005</v>
      </c>
      <c r="BT24" s="0" t="n">
        <v>0.02</v>
      </c>
      <c r="BU24" s="0" t="n">
        <v>0.02</v>
      </c>
      <c r="BV24" s="0" t="n">
        <v>0.03</v>
      </c>
    </row>
    <row r="25" customFormat="false" ht="12.75" hidden="false" customHeight="false" outlineLevel="0" collapsed="false">
      <c r="A25" s="301" t="e">
        <f aca="false">#REF!-B25</f>
        <v>#REF!</v>
      </c>
      <c r="B25" s="301" t="n">
        <v>3.806</v>
      </c>
      <c r="C25" s="308" t="n">
        <f aca="false">EOMONTH(C24,0)+1</f>
        <v>37834</v>
      </c>
      <c r="D25" s="0" t="n">
        <v>3.225</v>
      </c>
      <c r="E25" s="301" t="n">
        <v>0.3675</v>
      </c>
      <c r="F25" s="299" t="n">
        <v>0.0301389675554917</v>
      </c>
      <c r="G25" s="299" t="n">
        <v>-0.13</v>
      </c>
      <c r="H25" s="299" t="n">
        <v>-0.15</v>
      </c>
      <c r="I25" s="310" t="n">
        <v>-0.09</v>
      </c>
      <c r="J25" s="310" t="n">
        <v>-0.1525</v>
      </c>
      <c r="K25" s="299" t="n">
        <v>-0.09</v>
      </c>
      <c r="L25" s="299" t="n">
        <v>-0.0675</v>
      </c>
      <c r="M25" s="299" t="n">
        <v>-0.1</v>
      </c>
      <c r="N25" s="299" t="n">
        <v>-0.12</v>
      </c>
      <c r="O25" s="299" t="n">
        <v>-0.12</v>
      </c>
      <c r="P25" s="299" t="n">
        <v>-0.13</v>
      </c>
      <c r="Q25" s="299" t="n">
        <v>-0.09875</v>
      </c>
      <c r="R25" s="299" t="n">
        <v>-0.09</v>
      </c>
      <c r="S25" s="299" t="n">
        <v>0.125</v>
      </c>
      <c r="T25" s="299" t="n">
        <v>0.155</v>
      </c>
      <c r="U25" s="299" t="n">
        <v>0.035</v>
      </c>
      <c r="V25" s="299" t="n">
        <v>0.4</v>
      </c>
      <c r="W25" s="299" t="n">
        <v>0.15</v>
      </c>
      <c r="X25" s="299" t="n">
        <v>0.205</v>
      </c>
      <c r="Y25" s="299" t="n">
        <v>-0.025</v>
      </c>
      <c r="Z25" s="299" t="n">
        <v>-0.05</v>
      </c>
      <c r="AA25" s="299" t="n">
        <v>0.0125</v>
      </c>
      <c r="AB25" s="299" t="n">
        <v>-0.015</v>
      </c>
      <c r="AC25" s="299" t="n">
        <v>0.0025</v>
      </c>
      <c r="AD25" s="299" t="n">
        <v>-0.025</v>
      </c>
      <c r="AE25" s="299" t="n">
        <v>-0.0725</v>
      </c>
      <c r="AF25" s="299" t="n">
        <v>-0.065</v>
      </c>
      <c r="AG25" s="299" t="n">
        <v>-0.085</v>
      </c>
      <c r="AH25" s="299" t="n">
        <v>-0.0175</v>
      </c>
      <c r="AI25" s="299" t="n">
        <v>-0.0725</v>
      </c>
      <c r="AJ25" s="299" t="n">
        <v>-0.1075</v>
      </c>
      <c r="AK25" s="299" t="n">
        <v>-0.0175</v>
      </c>
      <c r="AL25" s="299" t="n">
        <v>0.0225</v>
      </c>
      <c r="AM25" s="299" t="n">
        <v>0.41</v>
      </c>
      <c r="AN25" s="299" t="n">
        <v>0.04</v>
      </c>
      <c r="AO25" s="299" t="n">
        <v>-0.525</v>
      </c>
      <c r="AP25" s="299" t="n">
        <v>-0.105</v>
      </c>
      <c r="AQ25" s="299" t="n">
        <v>-0.26</v>
      </c>
      <c r="AR25" s="299" t="n">
        <v>-0.24</v>
      </c>
      <c r="AS25" s="299" t="n">
        <v>-0.435</v>
      </c>
      <c r="AT25" s="299" t="n">
        <v>-0.525</v>
      </c>
      <c r="AU25" s="299" t="n">
        <v>0.14</v>
      </c>
      <c r="AV25" s="299" t="n">
        <v>-0.525</v>
      </c>
      <c r="AW25" s="299" t="n">
        <v>-0.15</v>
      </c>
      <c r="AX25" s="299" t="n">
        <v>-0.0825</v>
      </c>
      <c r="AY25" s="299" t="n">
        <v>-0.09</v>
      </c>
      <c r="AZ25" s="299" t="n">
        <v>-0.07</v>
      </c>
      <c r="BA25" s="299" t="n">
        <v>-0.085</v>
      </c>
      <c r="BB25" s="299" t="n">
        <v>-0.0225</v>
      </c>
      <c r="BC25" s="299" t="n">
        <v>-0.0725</v>
      </c>
      <c r="BD25" s="299" t="n">
        <v>0.01</v>
      </c>
      <c r="BE25" s="299" t="n">
        <v>-0.0725</v>
      </c>
      <c r="BF25" s="299" t="n">
        <v>0.08</v>
      </c>
      <c r="BG25" s="299" t="n">
        <v>0.135</v>
      </c>
      <c r="BH25" s="299" t="n">
        <v>0.155</v>
      </c>
      <c r="BI25" s="299" t="n">
        <v>0.125</v>
      </c>
      <c r="BJ25" s="299" t="n">
        <v>0.35</v>
      </c>
      <c r="BK25" s="299" t="n">
        <v>0</v>
      </c>
      <c r="BL25" s="299" t="n">
        <v>-0.01</v>
      </c>
      <c r="BM25" s="299" t="n">
        <v>0.005</v>
      </c>
      <c r="BN25" s="299" t="n">
        <v>-0.01</v>
      </c>
      <c r="BO25" s="299" t="n">
        <v>0.02</v>
      </c>
      <c r="BP25" s="299" t="n">
        <v>0.005</v>
      </c>
      <c r="BQ25" s="299" t="n">
        <v>0.0025</v>
      </c>
      <c r="BR25" s="299" t="n">
        <v>0.01</v>
      </c>
      <c r="BS25" s="0" t="n">
        <v>0.005</v>
      </c>
      <c r="BT25" s="0" t="n">
        <v>0.02</v>
      </c>
      <c r="BU25" s="0" t="n">
        <v>0.02</v>
      </c>
      <c r="BV25" s="0" t="n">
        <v>0.03</v>
      </c>
    </row>
    <row r="26" customFormat="false" ht="12.75" hidden="false" customHeight="false" outlineLevel="0" collapsed="false">
      <c r="A26" s="301" t="e">
        <f aca="false">#REF!-B26</f>
        <v>#REF!</v>
      </c>
      <c r="B26" s="301" t="n">
        <v>3.636</v>
      </c>
      <c r="C26" s="308" t="n">
        <f aca="false">EOMONTH(C25,0)+1</f>
        <v>37865</v>
      </c>
      <c r="D26" s="0" t="n">
        <v>3.22</v>
      </c>
      <c r="E26" s="301" t="n">
        <v>0.365</v>
      </c>
      <c r="F26" s="299" t="n">
        <v>0.0311023130071817</v>
      </c>
      <c r="G26" s="299" t="n">
        <v>-0.13</v>
      </c>
      <c r="H26" s="299" t="n">
        <v>-0.15</v>
      </c>
      <c r="I26" s="310" t="n">
        <v>-0.09</v>
      </c>
      <c r="J26" s="310" t="n">
        <v>-0.1525</v>
      </c>
      <c r="K26" s="299" t="n">
        <v>-0.09</v>
      </c>
      <c r="L26" s="299" t="n">
        <v>-0.0675</v>
      </c>
      <c r="M26" s="299" t="n">
        <v>-0.1</v>
      </c>
      <c r="N26" s="299" t="n">
        <v>-0.12</v>
      </c>
      <c r="O26" s="299" t="n">
        <v>-0.12</v>
      </c>
      <c r="P26" s="299" t="n">
        <v>-0.13</v>
      </c>
      <c r="Q26" s="299" t="n">
        <v>-0.09875</v>
      </c>
      <c r="R26" s="299" t="n">
        <v>-0.09</v>
      </c>
      <c r="S26" s="299" t="n">
        <v>0.125</v>
      </c>
      <c r="T26" s="299" t="n">
        <v>0.155</v>
      </c>
      <c r="U26" s="299" t="n">
        <v>0.035</v>
      </c>
      <c r="V26" s="299" t="n">
        <v>0.4</v>
      </c>
      <c r="W26" s="299" t="n">
        <v>0.125</v>
      </c>
      <c r="X26" s="299" t="n">
        <v>0.145</v>
      </c>
      <c r="Y26" s="299" t="n">
        <v>-0.025</v>
      </c>
      <c r="Z26" s="299" t="n">
        <v>-0.055</v>
      </c>
      <c r="AA26" s="299" t="n">
        <v>0.0075</v>
      </c>
      <c r="AB26" s="299" t="n">
        <v>-0.02</v>
      </c>
      <c r="AC26" s="299" t="n">
        <v>0.0025</v>
      </c>
      <c r="AD26" s="299" t="n">
        <v>-0.025</v>
      </c>
      <c r="AE26" s="299" t="n">
        <v>-0.0725</v>
      </c>
      <c r="AF26" s="299" t="n">
        <v>-0.065</v>
      </c>
      <c r="AG26" s="299" t="n">
        <v>-0.085</v>
      </c>
      <c r="AH26" s="299" t="n">
        <v>-0.0175</v>
      </c>
      <c r="AI26" s="299" t="n">
        <v>-0.0725</v>
      </c>
      <c r="AJ26" s="299" t="n">
        <v>-0.1075</v>
      </c>
      <c r="AK26" s="299" t="n">
        <v>-0.0175</v>
      </c>
      <c r="AL26" s="299" t="n">
        <v>0.0225</v>
      </c>
      <c r="AM26" s="299" t="n">
        <v>0.36</v>
      </c>
      <c r="AN26" s="299" t="n">
        <v>0.0325</v>
      </c>
      <c r="AO26" s="299" t="n">
        <v>-0.525</v>
      </c>
      <c r="AP26" s="299" t="n">
        <v>-0.105</v>
      </c>
      <c r="AQ26" s="299" t="n">
        <v>-0.26</v>
      </c>
      <c r="AR26" s="299" t="n">
        <v>-0.24</v>
      </c>
      <c r="AS26" s="299" t="n">
        <v>-0.435</v>
      </c>
      <c r="AT26" s="299" t="n">
        <v>-0.525</v>
      </c>
      <c r="AU26" s="299" t="n">
        <v>0.14</v>
      </c>
      <c r="AV26" s="299" t="n">
        <v>-0.525</v>
      </c>
      <c r="AW26" s="299" t="n">
        <v>-0.16</v>
      </c>
      <c r="AX26" s="299" t="n">
        <v>-0.0825</v>
      </c>
      <c r="AY26" s="299" t="n">
        <v>-0.1</v>
      </c>
      <c r="AZ26" s="299" t="n">
        <v>-0.07</v>
      </c>
      <c r="BA26" s="299" t="n">
        <v>-0.09</v>
      </c>
      <c r="BB26" s="299" t="n">
        <v>-0.0225</v>
      </c>
      <c r="BC26" s="299" t="n">
        <v>-0.0725</v>
      </c>
      <c r="BD26" s="299" t="n">
        <v>0.0025</v>
      </c>
      <c r="BE26" s="299" t="n">
        <v>-0.0725</v>
      </c>
      <c r="BF26" s="299" t="n">
        <v>0.08</v>
      </c>
      <c r="BG26" s="299" t="n">
        <v>0.135</v>
      </c>
      <c r="BH26" s="299" t="n">
        <v>0.155</v>
      </c>
      <c r="BI26" s="299" t="n">
        <v>0.125</v>
      </c>
      <c r="BJ26" s="299" t="n">
        <v>0.315</v>
      </c>
      <c r="BK26" s="299" t="n">
        <v>0</v>
      </c>
      <c r="BL26" s="299" t="n">
        <v>-0.01</v>
      </c>
      <c r="BM26" s="299" t="n">
        <v>0.005</v>
      </c>
      <c r="BN26" s="299" t="n">
        <v>-0.01</v>
      </c>
      <c r="BO26" s="299" t="n">
        <v>0.02</v>
      </c>
      <c r="BP26" s="299" t="n">
        <v>0.005</v>
      </c>
      <c r="BQ26" s="299" t="n">
        <v>0.0025</v>
      </c>
      <c r="BR26" s="299" t="n">
        <v>0.01</v>
      </c>
      <c r="BS26" s="0" t="n">
        <v>0.005</v>
      </c>
      <c r="BT26" s="0" t="n">
        <v>0.02</v>
      </c>
      <c r="BU26" s="0" t="n">
        <v>0.02</v>
      </c>
      <c r="BV26" s="0" t="n">
        <v>0.03</v>
      </c>
    </row>
    <row r="27" customFormat="false" ht="12.75" hidden="false" customHeight="false" outlineLevel="0" collapsed="false">
      <c r="A27" s="301" t="e">
        <f aca="false">#REF!-B27</f>
        <v>#REF!</v>
      </c>
      <c r="B27" s="301" t="n">
        <v>3.48</v>
      </c>
      <c r="C27" s="308" t="n">
        <f aca="false">EOMONTH(C26,0)+1</f>
        <v>37895</v>
      </c>
      <c r="D27" s="0" t="n">
        <v>3.24</v>
      </c>
      <c r="E27" s="301" t="n">
        <v>0.3675</v>
      </c>
      <c r="F27" s="299" t="n">
        <v>0.0320061320910012</v>
      </c>
      <c r="G27" s="299" t="n">
        <v>-0.13</v>
      </c>
      <c r="H27" s="299" t="n">
        <v>-0.15</v>
      </c>
      <c r="I27" s="310" t="n">
        <v>-0.09</v>
      </c>
      <c r="J27" s="310" t="n">
        <v>-0.1525</v>
      </c>
      <c r="K27" s="299" t="n">
        <v>-0.09</v>
      </c>
      <c r="L27" s="299" t="n">
        <v>-0.0675</v>
      </c>
      <c r="M27" s="299" t="n">
        <v>-0.1</v>
      </c>
      <c r="N27" s="299" t="n">
        <v>-0.12</v>
      </c>
      <c r="O27" s="299" t="n">
        <v>-0.12</v>
      </c>
      <c r="P27" s="299" t="n">
        <v>-0.13</v>
      </c>
      <c r="Q27" s="299" t="n">
        <v>-0.09875</v>
      </c>
      <c r="R27" s="299" t="n">
        <v>-0.09</v>
      </c>
      <c r="S27" s="299" t="n">
        <v>0.125</v>
      </c>
      <c r="T27" s="299" t="n">
        <v>0.155</v>
      </c>
      <c r="U27" s="299" t="n">
        <v>0.035</v>
      </c>
      <c r="V27" s="299" t="n">
        <v>0.4</v>
      </c>
      <c r="W27" s="299" t="n">
        <v>0.145</v>
      </c>
      <c r="X27" s="299" t="n">
        <v>0.175</v>
      </c>
      <c r="Y27" s="299" t="n">
        <v>-0.025</v>
      </c>
      <c r="Z27" s="299" t="n">
        <v>-0.055</v>
      </c>
      <c r="AA27" s="299" t="n">
        <v>0.0075</v>
      </c>
      <c r="AB27" s="299" t="n">
        <v>-0.02</v>
      </c>
      <c r="AC27" s="299" t="n">
        <v>0.0025</v>
      </c>
      <c r="AD27" s="299" t="n">
        <v>-0.025</v>
      </c>
      <c r="AE27" s="299" t="n">
        <v>-0.0725</v>
      </c>
      <c r="AF27" s="299" t="n">
        <v>-0.065</v>
      </c>
      <c r="AG27" s="299" t="n">
        <v>-0.085</v>
      </c>
      <c r="AH27" s="299" t="n">
        <v>-0.0175</v>
      </c>
      <c r="AI27" s="299" t="n">
        <v>-0.0725</v>
      </c>
      <c r="AJ27" s="299" t="n">
        <v>-0.1075</v>
      </c>
      <c r="AK27" s="299" t="n">
        <v>-0.0175</v>
      </c>
      <c r="AL27" s="299" t="n">
        <v>0.0225</v>
      </c>
      <c r="AM27" s="299" t="n">
        <v>0.4</v>
      </c>
      <c r="AN27" s="299" t="n">
        <v>0.0225</v>
      </c>
      <c r="AO27" s="299" t="n">
        <v>-0.525</v>
      </c>
      <c r="AP27" s="299" t="n">
        <v>-0.105</v>
      </c>
      <c r="AQ27" s="299" t="n">
        <v>-0.26</v>
      </c>
      <c r="AR27" s="299" t="n">
        <v>-0.24</v>
      </c>
      <c r="AS27" s="299" t="n">
        <v>-0.435</v>
      </c>
      <c r="AT27" s="299" t="n">
        <v>-0.525</v>
      </c>
      <c r="AU27" s="299" t="n">
        <v>0.14</v>
      </c>
      <c r="AV27" s="299" t="n">
        <v>-0.525</v>
      </c>
      <c r="AW27" s="299" t="n">
        <v>-0.1475</v>
      </c>
      <c r="AX27" s="299" t="n">
        <v>-0.0825</v>
      </c>
      <c r="AY27" s="299" t="n">
        <v>-0.0875</v>
      </c>
      <c r="AZ27" s="299" t="n">
        <v>-0.07</v>
      </c>
      <c r="BA27" s="299" t="n">
        <v>-0.0925</v>
      </c>
      <c r="BB27" s="299" t="n">
        <v>-0.0225</v>
      </c>
      <c r="BC27" s="299" t="n">
        <v>-0.0725</v>
      </c>
      <c r="BD27" s="299" t="n">
        <v>-0.0075</v>
      </c>
      <c r="BE27" s="299" t="n">
        <v>-0.0725</v>
      </c>
      <c r="BF27" s="299" t="n">
        <v>0.08</v>
      </c>
      <c r="BG27" s="299" t="n">
        <v>0.135</v>
      </c>
      <c r="BH27" s="299" t="n">
        <v>0.155</v>
      </c>
      <c r="BI27" s="299" t="n">
        <v>0.125</v>
      </c>
      <c r="BJ27" s="299" t="n">
        <v>0.36</v>
      </c>
      <c r="BK27" s="299" t="n">
        <v>0</v>
      </c>
      <c r="BL27" s="299" t="n">
        <v>-0.015</v>
      </c>
      <c r="BM27" s="299" t="n">
        <v>0.005</v>
      </c>
      <c r="BN27" s="299" t="n">
        <v>-0.01</v>
      </c>
      <c r="BO27" s="299" t="n">
        <v>0.02</v>
      </c>
      <c r="BP27" s="299" t="n">
        <v>0.005</v>
      </c>
      <c r="BQ27" s="299" t="n">
        <v>0.0025</v>
      </c>
      <c r="BR27" s="299" t="n">
        <v>0.01</v>
      </c>
      <c r="BS27" s="0" t="n">
        <v>0.005</v>
      </c>
      <c r="BT27" s="0" t="n">
        <v>0.02</v>
      </c>
      <c r="BU27" s="0" t="n">
        <v>0.02</v>
      </c>
      <c r="BV27" s="0" t="n">
        <v>0.03</v>
      </c>
    </row>
    <row r="28" customFormat="false" ht="12.75" hidden="false" customHeight="false" outlineLevel="0" collapsed="false">
      <c r="A28" s="301" t="e">
        <f aca="false">#REF!-B28</f>
        <v>#REF!</v>
      </c>
      <c r="B28" s="301" t="n">
        <v>3.41</v>
      </c>
      <c r="C28" s="308" t="n">
        <f aca="false">EOMONTH(C27,0)+1</f>
        <v>37926</v>
      </c>
      <c r="D28" s="0" t="n">
        <v>3.375</v>
      </c>
      <c r="E28" s="301" t="n">
        <v>0.37</v>
      </c>
      <c r="F28" s="299" t="n">
        <v>0.032904487442281</v>
      </c>
      <c r="G28" s="299" t="n">
        <v>-0.13</v>
      </c>
      <c r="H28" s="299" t="n">
        <v>-0.15</v>
      </c>
      <c r="I28" s="310" t="n">
        <v>-0.01</v>
      </c>
      <c r="J28" s="310" t="n">
        <v>-0.1525</v>
      </c>
      <c r="K28" s="299" t="n">
        <v>0</v>
      </c>
      <c r="L28" s="299" t="n">
        <v>-0.0725</v>
      </c>
      <c r="M28" s="299" t="n">
        <v>-0.1</v>
      </c>
      <c r="N28" s="299" t="n">
        <v>-0.12</v>
      </c>
      <c r="O28" s="299" t="n">
        <v>-0.12</v>
      </c>
      <c r="P28" s="299" t="n">
        <v>-0.13</v>
      </c>
      <c r="Q28" s="299" t="n">
        <v>-0.11125</v>
      </c>
      <c r="R28" s="299" t="n">
        <v>-0.095</v>
      </c>
      <c r="S28" s="299" t="n">
        <v>0.145</v>
      </c>
      <c r="T28" s="299" t="n">
        <v>0.195</v>
      </c>
      <c r="U28" s="299" t="n">
        <v>0.125</v>
      </c>
      <c r="V28" s="299" t="n">
        <v>0.46</v>
      </c>
      <c r="W28" s="299" t="n">
        <v>0.195</v>
      </c>
      <c r="X28" s="299" t="n">
        <v>0.25</v>
      </c>
      <c r="Y28" s="299" t="n">
        <v>-0.0225</v>
      </c>
      <c r="Z28" s="299" t="n">
        <v>-0.04</v>
      </c>
      <c r="AA28" s="299" t="n">
        <v>0.0025</v>
      </c>
      <c r="AB28" s="299" t="n">
        <v>-0.0225</v>
      </c>
      <c r="AC28" s="299" t="n">
        <v>0.0025</v>
      </c>
      <c r="AD28" s="299" t="n">
        <v>-0.0225</v>
      </c>
      <c r="AE28" s="299" t="n">
        <v>-0.075</v>
      </c>
      <c r="AF28" s="299" t="n">
        <v>-0.0675</v>
      </c>
      <c r="AG28" s="299" t="n">
        <v>-0.09</v>
      </c>
      <c r="AH28" s="299" t="n">
        <v>-0.019</v>
      </c>
      <c r="AI28" s="299" t="n">
        <v>-0.0675</v>
      </c>
      <c r="AJ28" s="299" t="n">
        <v>-0.1275</v>
      </c>
      <c r="AK28" s="299" t="n">
        <v>-0.0125</v>
      </c>
      <c r="AL28" s="299" t="n">
        <v>0.0275</v>
      </c>
      <c r="AM28" s="299" t="n">
        <v>0.64</v>
      </c>
      <c r="AN28" s="299" t="n">
        <v>-0.025</v>
      </c>
      <c r="AO28" s="299" t="n">
        <v>-0.33</v>
      </c>
      <c r="AP28" s="299" t="n">
        <v>-0.1025</v>
      </c>
      <c r="AQ28" s="299" t="n">
        <v>-0.18</v>
      </c>
      <c r="AR28" s="299" t="n">
        <v>0.1</v>
      </c>
      <c r="AS28" s="299" t="n">
        <v>-0.25</v>
      </c>
      <c r="AT28" s="299" t="n">
        <v>-0.33</v>
      </c>
      <c r="AU28" s="299" t="n">
        <v>0.17</v>
      </c>
      <c r="AV28" s="299" t="n">
        <v>-0.33</v>
      </c>
      <c r="AW28" s="299" t="n">
        <v>-0.17</v>
      </c>
      <c r="AX28" s="299" t="n">
        <v>-0.0825</v>
      </c>
      <c r="AY28" s="299" t="n">
        <v>-0.11</v>
      </c>
      <c r="AZ28" s="299" t="n">
        <v>-0.075</v>
      </c>
      <c r="BA28" s="299" t="n">
        <v>-0.0875</v>
      </c>
      <c r="BB28" s="299" t="n">
        <v>-0.024</v>
      </c>
      <c r="BC28" s="299" t="n">
        <v>-0.0925</v>
      </c>
      <c r="BD28" s="299" t="n">
        <v>-0.055</v>
      </c>
      <c r="BE28" s="299" t="n">
        <v>-0.075</v>
      </c>
      <c r="BF28" s="299" t="n">
        <v>0.1</v>
      </c>
      <c r="BG28" s="299" t="n">
        <v>0.23</v>
      </c>
      <c r="BH28" s="299" t="n">
        <v>0.195</v>
      </c>
      <c r="BI28" s="299" t="n">
        <v>0.145</v>
      </c>
      <c r="BJ28" s="299" t="n">
        <v>0.46</v>
      </c>
      <c r="BK28" s="299" t="n">
        <v>0</v>
      </c>
      <c r="BL28" s="299" t="n">
        <v>-0.02</v>
      </c>
      <c r="BM28" s="299" t="n">
        <v>0.005</v>
      </c>
      <c r="BN28" s="299" t="n">
        <v>0</v>
      </c>
      <c r="BO28" s="299" t="n">
        <v>0.03</v>
      </c>
      <c r="BP28" s="299" t="n">
        <v>0.005</v>
      </c>
      <c r="BQ28" s="299" t="n">
        <v>0.005</v>
      </c>
      <c r="BR28" s="299" t="n">
        <v>0.055</v>
      </c>
      <c r="BS28" s="0" t="n">
        <v>0.02</v>
      </c>
      <c r="BT28" s="0" t="n">
        <v>0.03</v>
      </c>
      <c r="BU28" s="0" t="n">
        <v>0.03</v>
      </c>
      <c r="BV28" s="0" t="n">
        <v>0.04</v>
      </c>
    </row>
    <row r="29" customFormat="false" ht="12.75" hidden="false" customHeight="false" outlineLevel="0" collapsed="false">
      <c r="A29" s="301" t="e">
        <f aca="false">#REF!-B29</f>
        <v>#REF!</v>
      </c>
      <c r="B29" s="301" t="n">
        <v>3.375</v>
      </c>
      <c r="C29" s="308" t="n">
        <f aca="false">EOMONTH(C28,0)+1</f>
        <v>37956</v>
      </c>
      <c r="D29" s="0" t="n">
        <v>3.51</v>
      </c>
      <c r="E29" s="301" t="n">
        <v>0.37</v>
      </c>
      <c r="F29" s="299" t="n">
        <v>0.0337738638474003</v>
      </c>
      <c r="G29" s="299" t="n">
        <v>-0.1325</v>
      </c>
      <c r="H29" s="299" t="n">
        <v>-0.1525</v>
      </c>
      <c r="I29" s="310" t="n">
        <v>-0.005</v>
      </c>
      <c r="J29" s="310" t="n">
        <v>-0.1525</v>
      </c>
      <c r="K29" s="299" t="n">
        <v>0.005</v>
      </c>
      <c r="L29" s="299" t="n">
        <v>-0.075</v>
      </c>
      <c r="M29" s="299" t="n">
        <v>-0.1025</v>
      </c>
      <c r="N29" s="299" t="n">
        <v>-0.1225</v>
      </c>
      <c r="O29" s="299" t="n">
        <v>-0.1225</v>
      </c>
      <c r="P29" s="299" t="n">
        <v>-0.1325</v>
      </c>
      <c r="Q29" s="299" t="n">
        <v>-0.1125</v>
      </c>
      <c r="R29" s="299" t="n">
        <v>-0.095</v>
      </c>
      <c r="S29" s="299" t="n">
        <v>0.145</v>
      </c>
      <c r="T29" s="299" t="n">
        <v>0.195</v>
      </c>
      <c r="U29" s="299" t="n">
        <v>0.125</v>
      </c>
      <c r="V29" s="299" t="n">
        <v>0.47</v>
      </c>
      <c r="W29" s="299" t="n">
        <v>0.215</v>
      </c>
      <c r="X29" s="299" t="n">
        <v>0.33</v>
      </c>
      <c r="Y29" s="299" t="n">
        <v>-0.0225</v>
      </c>
      <c r="Z29" s="299" t="n">
        <v>-0.04</v>
      </c>
      <c r="AA29" s="299" t="n">
        <v>0.0025</v>
      </c>
      <c r="AB29" s="299" t="n">
        <v>-0.0225</v>
      </c>
      <c r="AC29" s="299" t="n">
        <v>0.0025</v>
      </c>
      <c r="AD29" s="299" t="n">
        <v>-0.0225</v>
      </c>
      <c r="AE29" s="299" t="n">
        <v>-0.075</v>
      </c>
      <c r="AF29" s="299" t="n">
        <v>-0.0675</v>
      </c>
      <c r="AG29" s="299" t="n">
        <v>-0.0875</v>
      </c>
      <c r="AH29" s="299" t="n">
        <v>-0.0165</v>
      </c>
      <c r="AI29" s="299" t="n">
        <v>-0.0675</v>
      </c>
      <c r="AJ29" s="299" t="n">
        <v>-0.13</v>
      </c>
      <c r="AK29" s="299" t="n">
        <v>-0.0125</v>
      </c>
      <c r="AL29" s="299" t="n">
        <v>0.0275</v>
      </c>
      <c r="AM29" s="299" t="n">
        <v>0.89</v>
      </c>
      <c r="AN29" s="299" t="n">
        <v>-0.0475</v>
      </c>
      <c r="AO29" s="299" t="n">
        <v>-0.33</v>
      </c>
      <c r="AP29" s="299" t="n">
        <v>-0.1025</v>
      </c>
      <c r="AQ29" s="299" t="n">
        <v>-0.18</v>
      </c>
      <c r="AR29" s="299" t="n">
        <v>0.44</v>
      </c>
      <c r="AS29" s="299" t="n">
        <v>-0.25</v>
      </c>
      <c r="AT29" s="299" t="n">
        <v>-0.33</v>
      </c>
      <c r="AU29" s="299" t="n">
        <v>0.17</v>
      </c>
      <c r="AV29" s="299" t="n">
        <v>-0.33</v>
      </c>
      <c r="AW29" s="299" t="n">
        <v>-0.1975</v>
      </c>
      <c r="AX29" s="299" t="n">
        <v>-0.0825</v>
      </c>
      <c r="AY29" s="299" t="n">
        <v>-0.1375</v>
      </c>
      <c r="AZ29" s="299" t="n">
        <v>-0.075</v>
      </c>
      <c r="BA29" s="299" t="n">
        <v>-0.115</v>
      </c>
      <c r="BB29" s="299" t="n">
        <v>-0.0215</v>
      </c>
      <c r="BC29" s="299" t="n">
        <v>-0.095</v>
      </c>
      <c r="BD29" s="299" t="n">
        <v>-0.0775</v>
      </c>
      <c r="BE29" s="299" t="n">
        <v>-0.075</v>
      </c>
      <c r="BF29" s="299" t="n">
        <v>0.1</v>
      </c>
      <c r="BG29" s="299" t="n">
        <v>0.23</v>
      </c>
      <c r="BH29" s="299" t="n">
        <v>0.195</v>
      </c>
      <c r="BI29" s="299" t="n">
        <v>0.145</v>
      </c>
      <c r="BJ29" s="299" t="n">
        <v>0.78</v>
      </c>
      <c r="BK29" s="299" t="n">
        <v>0</v>
      </c>
      <c r="BL29" s="299" t="n">
        <v>-0.025</v>
      </c>
      <c r="BM29" s="299" t="n">
        <v>0.005</v>
      </c>
      <c r="BN29" s="299" t="n">
        <v>0</v>
      </c>
      <c r="BO29" s="299" t="n">
        <v>0.03</v>
      </c>
      <c r="BP29" s="299" t="n">
        <v>0.005</v>
      </c>
      <c r="BQ29" s="299" t="n">
        <v>0.005</v>
      </c>
      <c r="BR29" s="299" t="n">
        <v>0.25</v>
      </c>
      <c r="BS29" s="0" t="n">
        <v>0.02</v>
      </c>
      <c r="BT29" s="0" t="n">
        <v>0.03</v>
      </c>
      <c r="BU29" s="0" t="n">
        <v>0.03</v>
      </c>
      <c r="BV29" s="0" t="n">
        <v>0.04</v>
      </c>
    </row>
    <row r="30" customFormat="false" ht="12.75" hidden="false" customHeight="false" outlineLevel="0" collapsed="false">
      <c r="A30" s="301" t="e">
        <f aca="false">#REF!-B30</f>
        <v>#REF!</v>
      </c>
      <c r="B30" s="301" t="n">
        <v>3.365</v>
      </c>
      <c r="C30" s="308" t="n">
        <f aca="false">EOMONTH(C29,0)+1</f>
        <v>37987</v>
      </c>
      <c r="D30" s="0" t="n">
        <v>3.57</v>
      </c>
      <c r="E30" s="301" t="n">
        <v>0.37</v>
      </c>
      <c r="F30" s="299" t="n">
        <v>0.0346389566727829</v>
      </c>
      <c r="G30" s="299" t="n">
        <v>-0.135</v>
      </c>
      <c r="H30" s="299" t="n">
        <v>-0.155</v>
      </c>
      <c r="I30" s="310" t="n">
        <v>0.015</v>
      </c>
      <c r="J30" s="310" t="n">
        <v>-0.14</v>
      </c>
      <c r="K30" s="299" t="n">
        <v>0.025</v>
      </c>
      <c r="L30" s="299" t="n">
        <v>-0.075</v>
      </c>
      <c r="M30" s="299" t="n">
        <v>-0.105</v>
      </c>
      <c r="N30" s="299" t="n">
        <v>-0.125</v>
      </c>
      <c r="O30" s="299" t="n">
        <v>-0.125</v>
      </c>
      <c r="P30" s="299" t="n">
        <v>-0.135</v>
      </c>
      <c r="Q30" s="299" t="n">
        <v>-0.1125</v>
      </c>
      <c r="R30" s="299" t="n">
        <v>-0.095</v>
      </c>
      <c r="S30" s="299" t="n">
        <v>0.145</v>
      </c>
      <c r="T30" s="299" t="n">
        <v>0.195</v>
      </c>
      <c r="U30" s="299" t="n">
        <v>0.125</v>
      </c>
      <c r="V30" s="299" t="n">
        <v>0.5</v>
      </c>
      <c r="W30" s="299" t="n">
        <v>0.235</v>
      </c>
      <c r="X30" s="299" t="n">
        <v>0.38</v>
      </c>
      <c r="Y30" s="299" t="n">
        <v>-0.025</v>
      </c>
      <c r="Z30" s="299" t="n">
        <v>-0.04</v>
      </c>
      <c r="AA30" s="299" t="n">
        <v>0.0025</v>
      </c>
      <c r="AB30" s="299" t="n">
        <v>-0.0225</v>
      </c>
      <c r="AC30" s="299" t="n">
        <v>0.0025</v>
      </c>
      <c r="AD30" s="299" t="n">
        <v>-0.0225</v>
      </c>
      <c r="AE30" s="299" t="n">
        <v>-0.075</v>
      </c>
      <c r="AF30" s="299" t="n">
        <v>-0.0675</v>
      </c>
      <c r="AG30" s="299" t="n">
        <v>-0.09</v>
      </c>
      <c r="AH30" s="299" t="n">
        <v>-0.0165</v>
      </c>
      <c r="AI30" s="299" t="n">
        <v>-0.0675</v>
      </c>
      <c r="AJ30" s="299" t="n">
        <v>-0.13</v>
      </c>
      <c r="AK30" s="299" t="n">
        <v>-0.0125</v>
      </c>
      <c r="AL30" s="299" t="n">
        <v>0.0275</v>
      </c>
      <c r="AM30" s="299" t="n">
        <v>1.52</v>
      </c>
      <c r="AN30" s="299" t="n">
        <v>-0.05</v>
      </c>
      <c r="AO30" s="299" t="n">
        <v>-0.33</v>
      </c>
      <c r="AP30" s="299" t="n">
        <v>-0.0875</v>
      </c>
      <c r="AQ30" s="299" t="n">
        <v>-0.18</v>
      </c>
      <c r="AR30" s="299" t="n">
        <v>0.47</v>
      </c>
      <c r="AS30" s="299" t="n">
        <v>-0.25</v>
      </c>
      <c r="AT30" s="299" t="n">
        <v>-0.33</v>
      </c>
      <c r="AU30" s="299" t="n">
        <v>0.17</v>
      </c>
      <c r="AV30" s="299" t="n">
        <v>-0.33</v>
      </c>
      <c r="AW30" s="299" t="n">
        <v>-0.2125</v>
      </c>
      <c r="AX30" s="299" t="n">
        <v>-0.07</v>
      </c>
      <c r="AY30" s="299" t="n">
        <v>-0.1525</v>
      </c>
      <c r="AZ30" s="299" t="n">
        <v>-0.075</v>
      </c>
      <c r="BA30" s="299" t="n">
        <v>-0.115</v>
      </c>
      <c r="BB30" s="299" t="n">
        <v>-0.0215</v>
      </c>
      <c r="BC30" s="299" t="n">
        <v>-0.095</v>
      </c>
      <c r="BD30" s="299" t="n">
        <v>-0.08</v>
      </c>
      <c r="BE30" s="299" t="n">
        <v>-0.075</v>
      </c>
      <c r="BF30" s="299" t="n">
        <v>0.1</v>
      </c>
      <c r="BG30" s="299" t="n">
        <v>0.23</v>
      </c>
      <c r="BH30" s="299" t="n">
        <v>0.195</v>
      </c>
      <c r="BI30" s="299" t="n">
        <v>0.145</v>
      </c>
      <c r="BJ30" s="299" t="n">
        <v>1.04</v>
      </c>
      <c r="BK30" s="299" t="n">
        <v>0</v>
      </c>
      <c r="BL30" s="299" t="n">
        <v>-0.025</v>
      </c>
      <c r="BM30" s="299" t="n">
        <v>0.005</v>
      </c>
      <c r="BN30" s="299" t="n">
        <v>0</v>
      </c>
      <c r="BO30" s="299" t="n">
        <v>0.03</v>
      </c>
      <c r="BP30" s="299" t="n">
        <v>0.005</v>
      </c>
      <c r="BQ30" s="299" t="n">
        <v>0.005</v>
      </c>
      <c r="BR30" s="299" t="n">
        <v>0.45</v>
      </c>
      <c r="BS30" s="0" t="n">
        <v>0.02</v>
      </c>
      <c r="BT30" s="0" t="n">
        <v>0.03</v>
      </c>
      <c r="BU30" s="0" t="n">
        <v>0.03</v>
      </c>
      <c r="BV30" s="0" t="n">
        <v>0.04</v>
      </c>
    </row>
    <row r="31" customFormat="false" ht="12.75" hidden="false" customHeight="false" outlineLevel="0" collapsed="false">
      <c r="A31" s="301" t="e">
        <f aca="false">#REF!-B31</f>
        <v>#REF!</v>
      </c>
      <c r="B31" s="301" t="n">
        <v>3.36</v>
      </c>
      <c r="C31" s="308" t="n">
        <f aca="false">EOMONTH(C30,0)+1</f>
        <v>38018</v>
      </c>
      <c r="D31" s="0" t="n">
        <v>3.485</v>
      </c>
      <c r="E31" s="301" t="n">
        <v>0.365</v>
      </c>
      <c r="F31" s="299" t="n">
        <v>0.0354685691421812</v>
      </c>
      <c r="G31" s="299" t="n">
        <v>-0.1275</v>
      </c>
      <c r="H31" s="299" t="n">
        <v>-0.1475</v>
      </c>
      <c r="I31" s="310" t="n">
        <v>0.01</v>
      </c>
      <c r="J31" s="310" t="n">
        <v>-0.14</v>
      </c>
      <c r="K31" s="299" t="n">
        <v>0.02</v>
      </c>
      <c r="L31" s="299" t="n">
        <v>-0.075</v>
      </c>
      <c r="M31" s="299" t="n">
        <v>-0.0975</v>
      </c>
      <c r="N31" s="299" t="n">
        <v>-0.1175</v>
      </c>
      <c r="O31" s="299" t="n">
        <v>-0.1175</v>
      </c>
      <c r="P31" s="299" t="n">
        <v>-0.1275</v>
      </c>
      <c r="Q31" s="299" t="n">
        <v>-0.1125</v>
      </c>
      <c r="R31" s="299" t="n">
        <v>-0.095</v>
      </c>
      <c r="S31" s="299" t="n">
        <v>0.145</v>
      </c>
      <c r="T31" s="299" t="n">
        <v>0.195</v>
      </c>
      <c r="U31" s="299" t="n">
        <v>0.125</v>
      </c>
      <c r="V31" s="299" t="n">
        <v>0.46</v>
      </c>
      <c r="W31" s="299" t="n">
        <v>0.235</v>
      </c>
      <c r="X31" s="299" t="n">
        <v>0.38</v>
      </c>
      <c r="Y31" s="299" t="n">
        <v>-0.025</v>
      </c>
      <c r="Z31" s="299" t="n">
        <v>-0.04</v>
      </c>
      <c r="AA31" s="299" t="n">
        <v>0.0025</v>
      </c>
      <c r="AB31" s="299" t="n">
        <v>-0.0225</v>
      </c>
      <c r="AC31" s="299" t="n">
        <v>0.0025</v>
      </c>
      <c r="AD31" s="299" t="n">
        <v>-0.0225</v>
      </c>
      <c r="AE31" s="299" t="n">
        <v>-0.075</v>
      </c>
      <c r="AF31" s="299" t="n">
        <v>-0.0675</v>
      </c>
      <c r="AG31" s="299" t="n">
        <v>-0.09</v>
      </c>
      <c r="AH31" s="299" t="n">
        <v>-0.0165</v>
      </c>
      <c r="AI31" s="299" t="n">
        <v>-0.0675</v>
      </c>
      <c r="AJ31" s="299" t="n">
        <v>-0.13</v>
      </c>
      <c r="AK31" s="299" t="n">
        <v>-0.0125</v>
      </c>
      <c r="AL31" s="299" t="n">
        <v>0.0275</v>
      </c>
      <c r="AM31" s="299" t="n">
        <v>1.52</v>
      </c>
      <c r="AN31" s="299" t="n">
        <v>-0.0325</v>
      </c>
      <c r="AO31" s="299" t="n">
        <v>-0.33</v>
      </c>
      <c r="AP31" s="299" t="n">
        <v>-0.0875</v>
      </c>
      <c r="AQ31" s="299" t="n">
        <v>-0.18</v>
      </c>
      <c r="AR31" s="299" t="n">
        <v>0.15</v>
      </c>
      <c r="AS31" s="299" t="n">
        <v>-0.25</v>
      </c>
      <c r="AT31" s="299" t="n">
        <v>-0.33</v>
      </c>
      <c r="AU31" s="299" t="n">
        <v>0.17</v>
      </c>
      <c r="AV31" s="299" t="n">
        <v>-0.33</v>
      </c>
      <c r="AW31" s="299" t="n">
        <v>-0.2025</v>
      </c>
      <c r="AX31" s="299" t="n">
        <v>-0.07</v>
      </c>
      <c r="AY31" s="299" t="n">
        <v>-0.1425</v>
      </c>
      <c r="AZ31" s="299" t="n">
        <v>-0.075</v>
      </c>
      <c r="BA31" s="299" t="n">
        <v>-0.115</v>
      </c>
      <c r="BB31" s="299" t="n">
        <v>-0.0215</v>
      </c>
      <c r="BC31" s="299" t="n">
        <v>-0.095</v>
      </c>
      <c r="BD31" s="299" t="n">
        <v>-0.0625</v>
      </c>
      <c r="BE31" s="299" t="n">
        <v>-0.075</v>
      </c>
      <c r="BF31" s="299" t="n">
        <v>0.1</v>
      </c>
      <c r="BG31" s="299" t="n">
        <v>0.23</v>
      </c>
      <c r="BH31" s="299" t="n">
        <v>0.195</v>
      </c>
      <c r="BI31" s="299" t="n">
        <v>0.145</v>
      </c>
      <c r="BJ31" s="299" t="n">
        <v>1.04</v>
      </c>
      <c r="BK31" s="299" t="n">
        <v>0</v>
      </c>
      <c r="BL31" s="299" t="n">
        <v>-0.025</v>
      </c>
      <c r="BM31" s="299" t="n">
        <v>0.005</v>
      </c>
      <c r="BN31" s="299" t="n">
        <v>0</v>
      </c>
      <c r="BO31" s="299" t="n">
        <v>0.03</v>
      </c>
      <c r="BP31" s="299" t="n">
        <v>0.005</v>
      </c>
      <c r="BQ31" s="299" t="n">
        <v>0.005</v>
      </c>
      <c r="BR31" s="299" t="n">
        <v>0.45</v>
      </c>
      <c r="BS31" s="0" t="n">
        <v>0.02</v>
      </c>
      <c r="BT31" s="0" t="n">
        <v>0.03</v>
      </c>
      <c r="BU31" s="0" t="n">
        <v>0.03</v>
      </c>
      <c r="BV31" s="0" t="n">
        <v>0.04</v>
      </c>
    </row>
    <row r="32" customFormat="false" ht="12.75" hidden="false" customHeight="false" outlineLevel="0" collapsed="false">
      <c r="A32" s="301" t="e">
        <f aca="false">#REF!-B32</f>
        <v>#REF!</v>
      </c>
      <c r="B32" s="301" t="n">
        <v>3.35</v>
      </c>
      <c r="C32" s="308" t="n">
        <f aca="false">EOMONTH(C31,0)+1</f>
        <v>38047</v>
      </c>
      <c r="D32" s="0" t="n">
        <v>3.355</v>
      </c>
      <c r="E32" s="301" t="n">
        <v>0.35</v>
      </c>
      <c r="F32" s="299" t="n">
        <v>0.0362446584359817</v>
      </c>
      <c r="G32" s="299" t="n">
        <v>-0.125</v>
      </c>
      <c r="H32" s="299" t="n">
        <v>-0.145</v>
      </c>
      <c r="I32" s="310" t="n">
        <v>-0.01</v>
      </c>
      <c r="J32" s="310" t="n">
        <v>-0.14</v>
      </c>
      <c r="K32" s="299" t="n">
        <v>0</v>
      </c>
      <c r="L32" s="299" t="n">
        <v>-0.075</v>
      </c>
      <c r="M32" s="299" t="n">
        <v>-0.095</v>
      </c>
      <c r="N32" s="299" t="n">
        <v>-0.115</v>
      </c>
      <c r="O32" s="299" t="n">
        <v>-0.115</v>
      </c>
      <c r="P32" s="299" t="n">
        <v>-0.125</v>
      </c>
      <c r="Q32" s="299" t="n">
        <v>-0.1125</v>
      </c>
      <c r="R32" s="299" t="n">
        <v>-0.095</v>
      </c>
      <c r="S32" s="299" t="n">
        <v>0.145</v>
      </c>
      <c r="T32" s="299" t="n">
        <v>0.195</v>
      </c>
      <c r="U32" s="299" t="n">
        <v>0.125</v>
      </c>
      <c r="V32" s="299" t="n">
        <v>0.34</v>
      </c>
      <c r="W32" s="299" t="n">
        <v>0.195</v>
      </c>
      <c r="X32" s="299" t="n">
        <v>0.33</v>
      </c>
      <c r="Y32" s="299" t="n">
        <v>-0.025</v>
      </c>
      <c r="Z32" s="299" t="n">
        <v>-0.04</v>
      </c>
      <c r="AA32" s="299" t="n">
        <v>0.0025</v>
      </c>
      <c r="AB32" s="299" t="n">
        <v>-0.0225</v>
      </c>
      <c r="AC32" s="299" t="n">
        <v>0.0025</v>
      </c>
      <c r="AD32" s="299" t="n">
        <v>-0.0225</v>
      </c>
      <c r="AE32" s="299" t="n">
        <v>-0.075</v>
      </c>
      <c r="AF32" s="299" t="n">
        <v>-0.0675</v>
      </c>
      <c r="AG32" s="299" t="n">
        <v>-0.09</v>
      </c>
      <c r="AH32" s="299" t="n">
        <v>-0.0165</v>
      </c>
      <c r="AI32" s="299" t="n">
        <v>-0.0675</v>
      </c>
      <c r="AJ32" s="299" t="n">
        <v>-0.13</v>
      </c>
      <c r="AK32" s="299" t="n">
        <v>-0.0125</v>
      </c>
      <c r="AL32" s="299" t="n">
        <v>0.0275</v>
      </c>
      <c r="AM32" s="299" t="n">
        <v>0.63</v>
      </c>
      <c r="AN32" s="299" t="n">
        <v>-0.02</v>
      </c>
      <c r="AO32" s="299" t="n">
        <v>-0.33</v>
      </c>
      <c r="AP32" s="299" t="n">
        <v>-0.0875</v>
      </c>
      <c r="AQ32" s="299" t="n">
        <v>-0.18</v>
      </c>
      <c r="AR32" s="299" t="n">
        <v>-0.16</v>
      </c>
      <c r="AS32" s="299" t="n">
        <v>-0.25</v>
      </c>
      <c r="AT32" s="299" t="n">
        <v>-0.33</v>
      </c>
      <c r="AU32" s="299" t="n">
        <v>0.17</v>
      </c>
      <c r="AV32" s="299" t="n">
        <v>-0.33</v>
      </c>
      <c r="AW32" s="299" t="n">
        <v>-0.1925</v>
      </c>
      <c r="AX32" s="299" t="n">
        <v>-0.07</v>
      </c>
      <c r="AY32" s="299" t="n">
        <v>-0.1325</v>
      </c>
      <c r="AZ32" s="299" t="n">
        <v>-0.075</v>
      </c>
      <c r="BA32" s="299" t="n">
        <v>-0.115</v>
      </c>
      <c r="BB32" s="299" t="n">
        <v>-0.0215</v>
      </c>
      <c r="BC32" s="299" t="n">
        <v>-0.095</v>
      </c>
      <c r="BD32" s="299" t="n">
        <v>-0.05</v>
      </c>
      <c r="BE32" s="299" t="n">
        <v>-0.075</v>
      </c>
      <c r="BF32" s="299" t="n">
        <v>0.1</v>
      </c>
      <c r="BG32" s="299" t="n">
        <v>0.23</v>
      </c>
      <c r="BH32" s="299" t="n">
        <v>0.195</v>
      </c>
      <c r="BI32" s="299" t="n">
        <v>0.145</v>
      </c>
      <c r="BJ32" s="299" t="n">
        <v>0.54</v>
      </c>
      <c r="BK32" s="299" t="n">
        <v>0</v>
      </c>
      <c r="BL32" s="299" t="n">
        <v>-0.02</v>
      </c>
      <c r="BM32" s="299" t="n">
        <v>0.005</v>
      </c>
      <c r="BN32" s="299" t="n">
        <v>0</v>
      </c>
      <c r="BO32" s="299" t="n">
        <v>0.03</v>
      </c>
      <c r="BP32" s="299" t="n">
        <v>0.005</v>
      </c>
      <c r="BQ32" s="299" t="n">
        <v>0.005</v>
      </c>
      <c r="BR32" s="299" t="n">
        <v>0.1</v>
      </c>
      <c r="BS32" s="0" t="n">
        <v>0.02</v>
      </c>
      <c r="BT32" s="0" t="n">
        <v>0.03</v>
      </c>
      <c r="BU32" s="0" t="n">
        <v>0.03</v>
      </c>
      <c r="BV32" s="0" t="n">
        <v>0.04</v>
      </c>
    </row>
    <row r="33" customFormat="false" ht="12.75" hidden="false" customHeight="false" outlineLevel="0" collapsed="false">
      <c r="A33" s="301" t="e">
        <f aca="false">#REF!-B33</f>
        <v>#REF!</v>
      </c>
      <c r="B33" s="301" t="n">
        <v>3.368</v>
      </c>
      <c r="C33" s="308" t="n">
        <f aca="false">EOMONTH(C32,0)+1</f>
        <v>38078</v>
      </c>
      <c r="D33" s="0" t="n">
        <v>3.17</v>
      </c>
      <c r="E33" s="301" t="n">
        <v>0.32</v>
      </c>
      <c r="F33" s="299" t="n">
        <v>0.0370210690335231</v>
      </c>
      <c r="G33" s="299" t="n">
        <v>-0.13</v>
      </c>
      <c r="H33" s="299" t="n">
        <v>-0.15</v>
      </c>
      <c r="I33" s="310" t="n">
        <v>-0.09</v>
      </c>
      <c r="J33" s="310" t="n">
        <v>-0.14</v>
      </c>
      <c r="K33" s="299" t="n">
        <v>-0.09</v>
      </c>
      <c r="L33" s="299" t="n">
        <v>-0.065</v>
      </c>
      <c r="M33" s="299" t="n">
        <v>-0.1</v>
      </c>
      <c r="N33" s="299" t="n">
        <v>-0.12</v>
      </c>
      <c r="O33" s="299" t="n">
        <v>-0.12</v>
      </c>
      <c r="P33" s="299" t="n">
        <v>-0.13</v>
      </c>
      <c r="Q33" s="299" t="n">
        <v>-0.095</v>
      </c>
      <c r="R33" s="299" t="n">
        <v>-0.085</v>
      </c>
      <c r="S33" s="299" t="n">
        <v>0.125</v>
      </c>
      <c r="T33" s="299" t="n">
        <v>0.155</v>
      </c>
      <c r="U33" s="299" t="n">
        <v>0.04</v>
      </c>
      <c r="V33" s="299" t="n">
        <v>0.5</v>
      </c>
      <c r="W33" s="299" t="n">
        <v>0.145</v>
      </c>
      <c r="X33" s="299" t="n">
        <v>0.195</v>
      </c>
      <c r="Y33" s="299" t="n">
        <v>-0.0275</v>
      </c>
      <c r="Z33" s="299" t="n">
        <v>-0.05</v>
      </c>
      <c r="AA33" s="299" t="n">
        <v>0.01</v>
      </c>
      <c r="AB33" s="299" t="n">
        <v>-0.015</v>
      </c>
      <c r="AC33" s="299" t="n">
        <v>0.0025</v>
      </c>
      <c r="AD33" s="299" t="n">
        <v>-0.0225</v>
      </c>
      <c r="AE33" s="299" t="n">
        <v>-0.0725</v>
      </c>
      <c r="AF33" s="299" t="n">
        <v>-0.065</v>
      </c>
      <c r="AG33" s="299" t="n">
        <v>-0.0875</v>
      </c>
      <c r="AH33" s="299" t="n">
        <v>-0.0165</v>
      </c>
      <c r="AI33" s="299" t="n">
        <v>-0.0725</v>
      </c>
      <c r="AJ33" s="299" t="n">
        <v>-0.105</v>
      </c>
      <c r="AK33" s="299" t="n">
        <v>-0.0175</v>
      </c>
      <c r="AL33" s="299" t="n">
        <v>0.0225</v>
      </c>
      <c r="AM33" s="299" t="n">
        <v>0.38</v>
      </c>
      <c r="AN33" s="299" t="n">
        <v>0.025</v>
      </c>
      <c r="AO33" s="299" t="n">
        <v>-0.51</v>
      </c>
      <c r="AP33" s="299" t="n">
        <v>-0.0875</v>
      </c>
      <c r="AQ33" s="299" t="n">
        <v>-0.22</v>
      </c>
      <c r="AR33" s="299" t="n">
        <v>-0.3</v>
      </c>
      <c r="AS33" s="299" t="n">
        <v>-0.42</v>
      </c>
      <c r="AT33" s="299" t="n">
        <v>-0.51</v>
      </c>
      <c r="AU33" s="299" t="n">
        <v>0.21</v>
      </c>
      <c r="AV33" s="299" t="n">
        <v>-0.51</v>
      </c>
      <c r="AW33" s="299" t="n">
        <v>-0.22</v>
      </c>
      <c r="AX33" s="299" t="n">
        <v>-0.07</v>
      </c>
      <c r="AY33" s="299" t="n">
        <v>-0.16</v>
      </c>
      <c r="AZ33" s="299" t="n">
        <v>-0.065</v>
      </c>
      <c r="BA33" s="299" t="n">
        <v>-0.1375</v>
      </c>
      <c r="BB33" s="299" t="n">
        <v>-0.0215</v>
      </c>
      <c r="BC33" s="299" t="n">
        <v>-0.07</v>
      </c>
      <c r="BD33" s="299" t="n">
        <v>-0.005</v>
      </c>
      <c r="BE33" s="299" t="n">
        <v>-0.0725</v>
      </c>
      <c r="BF33" s="299" t="n">
        <v>0.075</v>
      </c>
      <c r="BG33" s="299" t="n">
        <v>0.145</v>
      </c>
      <c r="BH33" s="299" t="n">
        <v>0.155</v>
      </c>
      <c r="BI33" s="299" t="n">
        <v>0.125</v>
      </c>
      <c r="BJ33" s="299" t="n">
        <v>0.36</v>
      </c>
      <c r="BK33" s="299" t="n">
        <v>0</v>
      </c>
      <c r="BL33" s="299" t="n">
        <v>-0.015</v>
      </c>
      <c r="BM33" s="299" t="n">
        <v>0.005</v>
      </c>
      <c r="BN33" s="299" t="n">
        <v>-0.01</v>
      </c>
      <c r="BO33" s="299" t="n">
        <v>0.02</v>
      </c>
      <c r="BP33" s="299" t="n">
        <v>0.005</v>
      </c>
      <c r="BQ33" s="299" t="n">
        <v>0.0025</v>
      </c>
      <c r="BR33" s="299" t="n">
        <v>0.02</v>
      </c>
      <c r="BS33" s="0" t="n">
        <v>0.005</v>
      </c>
      <c r="BT33" s="0" t="n">
        <v>0.03</v>
      </c>
      <c r="BU33" s="0" t="n">
        <v>0.03</v>
      </c>
      <c r="BV33" s="0" t="n">
        <v>0.03</v>
      </c>
    </row>
    <row r="34" customFormat="false" ht="12.75" hidden="false" customHeight="false" outlineLevel="0" collapsed="false">
      <c r="A34" s="301" t="e">
        <f aca="false">#REF!-B34</f>
        <v>#REF!</v>
      </c>
      <c r="B34" s="301" t="n">
        <v>3.48</v>
      </c>
      <c r="C34" s="308" t="n">
        <f aca="false">EOMONTH(C33,0)+1</f>
        <v>38108</v>
      </c>
      <c r="D34" s="0" t="n">
        <v>3.165</v>
      </c>
      <c r="E34" s="301" t="n">
        <v>0.315</v>
      </c>
      <c r="F34" s="299" t="n">
        <v>0.037717515784331</v>
      </c>
      <c r="G34" s="299" t="n">
        <v>-0.13</v>
      </c>
      <c r="H34" s="299" t="n">
        <v>-0.15</v>
      </c>
      <c r="I34" s="310" t="n">
        <v>-0.09</v>
      </c>
      <c r="J34" s="310" t="n">
        <v>-0.14</v>
      </c>
      <c r="K34" s="299" t="n">
        <v>-0.09</v>
      </c>
      <c r="L34" s="299" t="n">
        <v>-0.065</v>
      </c>
      <c r="M34" s="299" t="n">
        <v>-0.1</v>
      </c>
      <c r="N34" s="299" t="n">
        <v>-0.12</v>
      </c>
      <c r="O34" s="299" t="n">
        <v>-0.12</v>
      </c>
      <c r="P34" s="299" t="n">
        <v>-0.13</v>
      </c>
      <c r="Q34" s="299" t="n">
        <v>-0.095</v>
      </c>
      <c r="R34" s="299" t="n">
        <v>-0.085</v>
      </c>
      <c r="S34" s="299" t="n">
        <v>0.125</v>
      </c>
      <c r="T34" s="299" t="n">
        <v>0.155</v>
      </c>
      <c r="U34" s="299" t="n">
        <v>0.04</v>
      </c>
      <c r="V34" s="299" t="n">
        <v>0.5</v>
      </c>
      <c r="W34" s="299" t="n">
        <v>0.125</v>
      </c>
      <c r="X34" s="299" t="n">
        <v>0.135</v>
      </c>
      <c r="Y34" s="299" t="n">
        <v>-0.0275</v>
      </c>
      <c r="Z34" s="299" t="n">
        <v>-0.05</v>
      </c>
      <c r="AA34" s="299" t="n">
        <v>0.01</v>
      </c>
      <c r="AB34" s="299" t="n">
        <v>-0.015</v>
      </c>
      <c r="AC34" s="299" t="n">
        <v>0.0025</v>
      </c>
      <c r="AD34" s="299" t="n">
        <v>-0.0225</v>
      </c>
      <c r="AE34" s="299" t="n">
        <v>-0.0725</v>
      </c>
      <c r="AF34" s="299" t="n">
        <v>-0.065</v>
      </c>
      <c r="AG34" s="299" t="n">
        <v>-0.0875</v>
      </c>
      <c r="AH34" s="299" t="n">
        <v>-0.0165</v>
      </c>
      <c r="AI34" s="299" t="n">
        <v>-0.0725</v>
      </c>
      <c r="AJ34" s="299" t="n">
        <v>-0.105</v>
      </c>
      <c r="AK34" s="299" t="n">
        <v>-0.0175</v>
      </c>
      <c r="AL34" s="299" t="n">
        <v>0.0225</v>
      </c>
      <c r="AM34" s="299" t="n">
        <v>0.33</v>
      </c>
      <c r="AN34" s="299" t="n">
        <v>0.025</v>
      </c>
      <c r="AO34" s="299" t="n">
        <v>-0.51</v>
      </c>
      <c r="AP34" s="299" t="n">
        <v>-0.0875</v>
      </c>
      <c r="AQ34" s="299" t="n">
        <v>-0.22</v>
      </c>
      <c r="AR34" s="299" t="n">
        <v>-0.3</v>
      </c>
      <c r="AS34" s="299" t="n">
        <v>-0.42</v>
      </c>
      <c r="AT34" s="299" t="n">
        <v>-0.51</v>
      </c>
      <c r="AU34" s="299" t="n">
        <v>0.21</v>
      </c>
      <c r="AV34" s="299" t="n">
        <v>-0.51</v>
      </c>
      <c r="AW34" s="299" t="n">
        <v>-0.1975</v>
      </c>
      <c r="AX34" s="299" t="n">
        <v>-0.07</v>
      </c>
      <c r="AY34" s="299" t="n">
        <v>-0.1375</v>
      </c>
      <c r="AZ34" s="299" t="n">
        <v>-0.065</v>
      </c>
      <c r="BA34" s="299" t="n">
        <v>-0.13</v>
      </c>
      <c r="BB34" s="299" t="n">
        <v>-0.0215</v>
      </c>
      <c r="BC34" s="299" t="n">
        <v>-0.07</v>
      </c>
      <c r="BD34" s="299" t="n">
        <v>-0.005</v>
      </c>
      <c r="BE34" s="299" t="n">
        <v>-0.0725</v>
      </c>
      <c r="BF34" s="299" t="n">
        <v>0.075</v>
      </c>
      <c r="BG34" s="299" t="n">
        <v>0.145</v>
      </c>
      <c r="BH34" s="299" t="n">
        <v>0.155</v>
      </c>
      <c r="BI34" s="299" t="n">
        <v>0.125</v>
      </c>
      <c r="BJ34" s="299" t="n">
        <v>0.325</v>
      </c>
      <c r="BK34" s="299" t="n">
        <v>0</v>
      </c>
      <c r="BL34" s="299" t="n">
        <v>-0.015</v>
      </c>
      <c r="BM34" s="299" t="n">
        <v>0.005</v>
      </c>
      <c r="BN34" s="299" t="n">
        <v>-0.01</v>
      </c>
      <c r="BO34" s="299" t="n">
        <v>0.02</v>
      </c>
      <c r="BP34" s="299" t="n">
        <v>0.005</v>
      </c>
      <c r="BQ34" s="299" t="n">
        <v>0.0025</v>
      </c>
      <c r="BR34" s="299" t="n">
        <v>0.02</v>
      </c>
      <c r="BS34" s="0" t="n">
        <v>0.005</v>
      </c>
      <c r="BT34" s="0" t="n">
        <v>0.03</v>
      </c>
      <c r="BU34" s="0" t="n">
        <v>0.03</v>
      </c>
      <c r="BV34" s="0" t="n">
        <v>0.03</v>
      </c>
    </row>
    <row r="35" customFormat="false" ht="12.75" hidden="false" customHeight="false" outlineLevel="0" collapsed="false">
      <c r="A35" s="301" t="e">
        <f aca="false">#REF!-B35</f>
        <v>#REF!</v>
      </c>
      <c r="B35" s="301" t="n">
        <v>3.589</v>
      </c>
      <c r="C35" s="308" t="n">
        <f aca="false">EOMONTH(C34,0)+1</f>
        <v>38139</v>
      </c>
      <c r="D35" s="0" t="n">
        <v>3.2</v>
      </c>
      <c r="E35" s="301" t="n">
        <v>0.315</v>
      </c>
      <c r="F35" s="299" t="n">
        <v>0.038437177597991</v>
      </c>
      <c r="G35" s="299" t="n">
        <v>-0.13</v>
      </c>
      <c r="H35" s="299" t="n">
        <v>-0.15</v>
      </c>
      <c r="I35" s="310" t="n">
        <v>-0.09</v>
      </c>
      <c r="J35" s="310" t="n">
        <v>-0.14</v>
      </c>
      <c r="K35" s="299" t="n">
        <v>-0.09</v>
      </c>
      <c r="L35" s="299" t="n">
        <v>-0.065</v>
      </c>
      <c r="M35" s="299" t="n">
        <v>-0.1</v>
      </c>
      <c r="N35" s="299" t="n">
        <v>-0.12</v>
      </c>
      <c r="O35" s="299" t="n">
        <v>-0.12</v>
      </c>
      <c r="P35" s="299" t="n">
        <v>-0.13</v>
      </c>
      <c r="Q35" s="299" t="n">
        <v>-0.095</v>
      </c>
      <c r="R35" s="299" t="n">
        <v>-0.085</v>
      </c>
      <c r="S35" s="299" t="n">
        <v>0.125</v>
      </c>
      <c r="T35" s="299" t="n">
        <v>0.155</v>
      </c>
      <c r="U35" s="299" t="n">
        <v>0.04</v>
      </c>
      <c r="V35" s="299" t="n">
        <v>0.5</v>
      </c>
      <c r="W35" s="299" t="n">
        <v>0.145</v>
      </c>
      <c r="X35" s="299" t="n">
        <v>0.165</v>
      </c>
      <c r="Y35" s="299" t="n">
        <v>-0.0275</v>
      </c>
      <c r="Z35" s="299" t="n">
        <v>-0.0475</v>
      </c>
      <c r="AA35" s="299" t="n">
        <v>0.0125</v>
      </c>
      <c r="AB35" s="299" t="n">
        <v>-0.0125</v>
      </c>
      <c r="AC35" s="299" t="n">
        <v>0.0025</v>
      </c>
      <c r="AD35" s="299" t="n">
        <v>-0.0225</v>
      </c>
      <c r="AE35" s="299" t="n">
        <v>-0.0725</v>
      </c>
      <c r="AF35" s="299" t="n">
        <v>-0.065</v>
      </c>
      <c r="AG35" s="299" t="n">
        <v>-0.0875</v>
      </c>
      <c r="AH35" s="299" t="n">
        <v>-0.0165</v>
      </c>
      <c r="AI35" s="299" t="n">
        <v>-0.0725</v>
      </c>
      <c r="AJ35" s="299" t="n">
        <v>-0.105</v>
      </c>
      <c r="AK35" s="299" t="n">
        <v>-0.0175</v>
      </c>
      <c r="AL35" s="299" t="n">
        <v>0.0225</v>
      </c>
      <c r="AM35" s="299" t="n">
        <v>0.37</v>
      </c>
      <c r="AN35" s="299" t="n">
        <v>0.03</v>
      </c>
      <c r="AO35" s="299" t="n">
        <v>-0.51</v>
      </c>
      <c r="AP35" s="299" t="n">
        <v>-0.0875</v>
      </c>
      <c r="AQ35" s="299" t="n">
        <v>-0.22</v>
      </c>
      <c r="AR35" s="299" t="n">
        <v>-0.3</v>
      </c>
      <c r="AS35" s="299" t="n">
        <v>-0.42</v>
      </c>
      <c r="AT35" s="299" t="n">
        <v>-0.51</v>
      </c>
      <c r="AU35" s="299" t="n">
        <v>0.21</v>
      </c>
      <c r="AV35" s="299" t="n">
        <v>-0.51</v>
      </c>
      <c r="AW35" s="299" t="n">
        <v>-0.145</v>
      </c>
      <c r="AX35" s="299" t="n">
        <v>-0.07</v>
      </c>
      <c r="AY35" s="299" t="n">
        <v>-0.085</v>
      </c>
      <c r="AZ35" s="299" t="n">
        <v>-0.065</v>
      </c>
      <c r="BA35" s="299" t="n">
        <v>-0.0875</v>
      </c>
      <c r="BB35" s="299" t="n">
        <v>-0.0215</v>
      </c>
      <c r="BC35" s="299" t="n">
        <v>-0.07</v>
      </c>
      <c r="BD35" s="299" t="n">
        <v>0</v>
      </c>
      <c r="BE35" s="299" t="n">
        <v>-0.0725</v>
      </c>
      <c r="BF35" s="299" t="n">
        <v>0.075</v>
      </c>
      <c r="BG35" s="299" t="n">
        <v>0.145</v>
      </c>
      <c r="BH35" s="299" t="n">
        <v>0.155</v>
      </c>
      <c r="BI35" s="299" t="n">
        <v>0.125</v>
      </c>
      <c r="BJ35" s="299" t="n">
        <v>0.335</v>
      </c>
      <c r="BK35" s="299" t="n">
        <v>0</v>
      </c>
      <c r="BL35" s="299" t="n">
        <v>-0.015</v>
      </c>
      <c r="BM35" s="299" t="n">
        <v>0.005</v>
      </c>
      <c r="BN35" s="299" t="n">
        <v>-0.01</v>
      </c>
      <c r="BO35" s="299" t="n">
        <v>0.02</v>
      </c>
      <c r="BP35" s="299" t="n">
        <v>0.005</v>
      </c>
      <c r="BQ35" s="299" t="n">
        <v>0.0025</v>
      </c>
      <c r="BR35" s="299" t="n">
        <v>0.035</v>
      </c>
      <c r="BS35" s="0" t="n">
        <v>0.005</v>
      </c>
      <c r="BT35" s="0" t="n">
        <v>0.03</v>
      </c>
      <c r="BU35" s="0" t="n">
        <v>0.03</v>
      </c>
      <c r="BV35" s="0" t="n">
        <v>0.03</v>
      </c>
    </row>
    <row r="36" customFormat="false" ht="12.75" hidden="false" customHeight="false" outlineLevel="0" collapsed="false">
      <c r="A36" s="301" t="e">
        <f aca="false">#REF!-B36</f>
        <v>#REF!</v>
      </c>
      <c r="B36" s="301" t="n">
        <v>3.608</v>
      </c>
      <c r="C36" s="308" t="n">
        <f aca="false">EOMONTH(C35,0)+1</f>
        <v>38169</v>
      </c>
      <c r="D36" s="0" t="n">
        <v>3.24</v>
      </c>
      <c r="E36" s="301" t="n">
        <v>0.315</v>
      </c>
      <c r="F36" s="299" t="n">
        <v>0.0390982280263858</v>
      </c>
      <c r="G36" s="299" t="n">
        <v>-0.13</v>
      </c>
      <c r="H36" s="299" t="n">
        <v>-0.15</v>
      </c>
      <c r="I36" s="310" t="n">
        <v>-0.09</v>
      </c>
      <c r="J36" s="310" t="n">
        <v>-0.14</v>
      </c>
      <c r="K36" s="299" t="n">
        <v>-0.09</v>
      </c>
      <c r="L36" s="299" t="n">
        <v>-0.065</v>
      </c>
      <c r="M36" s="299" t="n">
        <v>-0.1</v>
      </c>
      <c r="N36" s="299" t="n">
        <v>-0.12</v>
      </c>
      <c r="O36" s="299" t="n">
        <v>-0.12</v>
      </c>
      <c r="P36" s="299" t="n">
        <v>-0.13</v>
      </c>
      <c r="Q36" s="299" t="n">
        <v>-0.095</v>
      </c>
      <c r="R36" s="299" t="n">
        <v>-0.085</v>
      </c>
      <c r="S36" s="299" t="n">
        <v>0.125</v>
      </c>
      <c r="T36" s="299" t="n">
        <v>0.155</v>
      </c>
      <c r="U36" s="299" t="n">
        <v>0.04</v>
      </c>
      <c r="V36" s="299" t="n">
        <v>0.5</v>
      </c>
      <c r="W36" s="299" t="n">
        <v>0.15</v>
      </c>
      <c r="X36" s="299" t="n">
        <v>0.205</v>
      </c>
      <c r="Y36" s="299" t="n">
        <v>-0.0275</v>
      </c>
      <c r="Z36" s="299" t="n">
        <v>-0.0475</v>
      </c>
      <c r="AA36" s="299" t="n">
        <v>0.0125</v>
      </c>
      <c r="AB36" s="299" t="n">
        <v>-0.0125</v>
      </c>
      <c r="AC36" s="299" t="n">
        <v>0.0025</v>
      </c>
      <c r="AD36" s="299" t="n">
        <v>-0.0225</v>
      </c>
      <c r="AE36" s="299" t="n">
        <v>-0.0725</v>
      </c>
      <c r="AF36" s="299" t="n">
        <v>-0.065</v>
      </c>
      <c r="AG36" s="299" t="n">
        <v>-0.0875</v>
      </c>
      <c r="AH36" s="299" t="n">
        <v>-0.0165</v>
      </c>
      <c r="AI36" s="299" t="n">
        <v>-0.0725</v>
      </c>
      <c r="AJ36" s="299" t="n">
        <v>-0.105</v>
      </c>
      <c r="AK36" s="299" t="n">
        <v>-0.0175</v>
      </c>
      <c r="AL36" s="299" t="n">
        <v>0.0225</v>
      </c>
      <c r="AM36" s="299" t="n">
        <v>0.41</v>
      </c>
      <c r="AN36" s="299" t="n">
        <v>0.0325</v>
      </c>
      <c r="AO36" s="299" t="n">
        <v>-0.51</v>
      </c>
      <c r="AP36" s="299" t="n">
        <v>-0.0875</v>
      </c>
      <c r="AQ36" s="299" t="n">
        <v>-0.22</v>
      </c>
      <c r="AR36" s="299" t="n">
        <v>-0.3</v>
      </c>
      <c r="AS36" s="299" t="n">
        <v>-0.42</v>
      </c>
      <c r="AT36" s="299" t="n">
        <v>-0.51</v>
      </c>
      <c r="AU36" s="299" t="n">
        <v>0.21</v>
      </c>
      <c r="AV36" s="299" t="n">
        <v>-0.51</v>
      </c>
      <c r="AW36" s="299" t="n">
        <v>-0.155</v>
      </c>
      <c r="AX36" s="299" t="n">
        <v>-0.07</v>
      </c>
      <c r="AY36" s="299" t="n">
        <v>-0.095</v>
      </c>
      <c r="AZ36" s="299" t="n">
        <v>-0.065</v>
      </c>
      <c r="BA36" s="299" t="n">
        <v>-0.085</v>
      </c>
      <c r="BB36" s="299" t="n">
        <v>-0.0215</v>
      </c>
      <c r="BC36" s="299" t="n">
        <v>-0.07</v>
      </c>
      <c r="BD36" s="299" t="n">
        <v>0.0025</v>
      </c>
      <c r="BE36" s="299" t="n">
        <v>-0.0725</v>
      </c>
      <c r="BF36" s="299" t="n">
        <v>0.075</v>
      </c>
      <c r="BG36" s="299" t="n">
        <v>0.145</v>
      </c>
      <c r="BH36" s="299" t="n">
        <v>0.155</v>
      </c>
      <c r="BI36" s="299" t="n">
        <v>0.125</v>
      </c>
      <c r="BJ36" s="299" t="n">
        <v>0.35</v>
      </c>
      <c r="BK36" s="299" t="n">
        <v>0</v>
      </c>
      <c r="BL36" s="299" t="n">
        <v>-0.01</v>
      </c>
      <c r="BM36" s="299" t="n">
        <v>0.005</v>
      </c>
      <c r="BN36" s="299" t="n">
        <v>-0.01</v>
      </c>
      <c r="BO36" s="299" t="n">
        <v>0.02</v>
      </c>
      <c r="BP36" s="299" t="n">
        <v>0.005</v>
      </c>
      <c r="BQ36" s="299" t="n">
        <v>0.0025</v>
      </c>
      <c r="BR36" s="299" t="n">
        <v>0.035</v>
      </c>
      <c r="BS36" s="0" t="n">
        <v>0.005</v>
      </c>
      <c r="BT36" s="0" t="n">
        <v>0.03</v>
      </c>
      <c r="BU36" s="0" t="n">
        <v>0.03</v>
      </c>
      <c r="BV36" s="0" t="n">
        <v>0.03</v>
      </c>
    </row>
    <row r="37" customFormat="false" ht="12.75" hidden="false" customHeight="false" outlineLevel="0" collapsed="false">
      <c r="A37" s="301" t="e">
        <f aca="false">#REF!-B37</f>
        <v>#REF!</v>
      </c>
      <c r="B37" s="301" t="n">
        <v>3.478</v>
      </c>
      <c r="C37" s="308" t="n">
        <f aca="false">EOMONTH(C36,0)+1</f>
        <v>38200</v>
      </c>
      <c r="D37" s="0" t="n">
        <v>3.28</v>
      </c>
      <c r="E37" s="301" t="n">
        <v>0.315</v>
      </c>
      <c r="F37" s="299" t="n">
        <v>0.0397424893326637</v>
      </c>
      <c r="G37" s="299" t="n">
        <v>-0.13</v>
      </c>
      <c r="H37" s="299" t="n">
        <v>-0.15</v>
      </c>
      <c r="I37" s="310" t="n">
        <v>-0.09</v>
      </c>
      <c r="J37" s="310" t="n">
        <v>-0.14</v>
      </c>
      <c r="K37" s="299" t="n">
        <v>-0.09</v>
      </c>
      <c r="L37" s="299" t="n">
        <v>-0.065</v>
      </c>
      <c r="M37" s="299" t="n">
        <v>-0.1</v>
      </c>
      <c r="N37" s="299" t="n">
        <v>-0.12</v>
      </c>
      <c r="O37" s="299" t="n">
        <v>-0.12</v>
      </c>
      <c r="P37" s="299" t="n">
        <v>-0.13</v>
      </c>
      <c r="Q37" s="299" t="n">
        <v>-0.095</v>
      </c>
      <c r="R37" s="299" t="n">
        <v>-0.085</v>
      </c>
      <c r="S37" s="299" t="n">
        <v>0.125</v>
      </c>
      <c r="T37" s="299" t="n">
        <v>0.155</v>
      </c>
      <c r="U37" s="299" t="n">
        <v>0.04</v>
      </c>
      <c r="V37" s="299" t="n">
        <v>0.5</v>
      </c>
      <c r="W37" s="299" t="n">
        <v>0.15</v>
      </c>
      <c r="X37" s="299" t="n">
        <v>0.205</v>
      </c>
      <c r="Y37" s="299" t="n">
        <v>-0.0275</v>
      </c>
      <c r="Z37" s="299" t="n">
        <v>-0.0475</v>
      </c>
      <c r="AA37" s="299" t="n">
        <v>0.0125</v>
      </c>
      <c r="AB37" s="299" t="n">
        <v>-0.0125</v>
      </c>
      <c r="AC37" s="299" t="n">
        <v>0.0025</v>
      </c>
      <c r="AD37" s="299" t="n">
        <v>-0.0225</v>
      </c>
      <c r="AE37" s="299" t="n">
        <v>-0.0725</v>
      </c>
      <c r="AF37" s="299" t="n">
        <v>-0.065</v>
      </c>
      <c r="AG37" s="299" t="n">
        <v>-0.0875</v>
      </c>
      <c r="AH37" s="299" t="n">
        <v>-0.0165</v>
      </c>
      <c r="AI37" s="299" t="n">
        <v>-0.0725</v>
      </c>
      <c r="AJ37" s="299" t="n">
        <v>-0.105</v>
      </c>
      <c r="AK37" s="299" t="n">
        <v>-0.0175</v>
      </c>
      <c r="AL37" s="299" t="n">
        <v>0.0225</v>
      </c>
      <c r="AM37" s="299" t="n">
        <v>0.41</v>
      </c>
      <c r="AN37" s="299" t="n">
        <v>0.035</v>
      </c>
      <c r="AO37" s="299" t="n">
        <v>-0.51</v>
      </c>
      <c r="AP37" s="299" t="n">
        <v>-0.0875</v>
      </c>
      <c r="AQ37" s="299" t="n">
        <v>-0.22</v>
      </c>
      <c r="AR37" s="299" t="n">
        <v>-0.3</v>
      </c>
      <c r="AS37" s="299" t="n">
        <v>-0.42</v>
      </c>
      <c r="AT37" s="299" t="n">
        <v>-0.51</v>
      </c>
      <c r="AU37" s="299" t="n">
        <v>0.21</v>
      </c>
      <c r="AV37" s="299" t="n">
        <v>-0.51</v>
      </c>
      <c r="AW37" s="299" t="n">
        <v>-0.15</v>
      </c>
      <c r="AX37" s="299" t="n">
        <v>-0.07</v>
      </c>
      <c r="AY37" s="299" t="n">
        <v>-0.09</v>
      </c>
      <c r="AZ37" s="299" t="n">
        <v>-0.065</v>
      </c>
      <c r="BA37" s="299" t="n">
        <v>-0.0825</v>
      </c>
      <c r="BB37" s="299" t="n">
        <v>-0.0215</v>
      </c>
      <c r="BC37" s="299" t="n">
        <v>-0.07</v>
      </c>
      <c r="BD37" s="299" t="n">
        <v>0.005</v>
      </c>
      <c r="BE37" s="299" t="n">
        <v>-0.0725</v>
      </c>
      <c r="BF37" s="299" t="n">
        <v>0.075</v>
      </c>
      <c r="BG37" s="299" t="n">
        <v>0.145</v>
      </c>
      <c r="BH37" s="299" t="n">
        <v>0.155</v>
      </c>
      <c r="BI37" s="299" t="n">
        <v>0.125</v>
      </c>
      <c r="BJ37" s="299" t="n">
        <v>0.35</v>
      </c>
      <c r="BK37" s="299" t="n">
        <v>0</v>
      </c>
      <c r="BL37" s="299" t="n">
        <v>-0.01</v>
      </c>
      <c r="BM37" s="299" t="n">
        <v>0.005</v>
      </c>
      <c r="BN37" s="299" t="n">
        <v>-0.01</v>
      </c>
      <c r="BO37" s="299" t="n">
        <v>0.02</v>
      </c>
      <c r="BP37" s="299" t="n">
        <v>0.005</v>
      </c>
      <c r="BQ37" s="299" t="n">
        <v>0.0025</v>
      </c>
      <c r="BR37" s="299" t="n">
        <v>0.01</v>
      </c>
      <c r="BS37" s="0" t="n">
        <v>0.005</v>
      </c>
      <c r="BT37" s="0" t="n">
        <v>0.03</v>
      </c>
      <c r="BU37" s="0" t="n">
        <v>0.03</v>
      </c>
      <c r="BV37" s="0" t="n">
        <v>0.03</v>
      </c>
    </row>
    <row r="38" customFormat="false" ht="12.75" hidden="false" customHeight="false" outlineLevel="0" collapsed="false">
      <c r="A38" s="301" t="e">
        <f aca="false">#REF!-B38</f>
        <v>#REF!</v>
      </c>
      <c r="B38" s="301" t="n">
        <v>3.323</v>
      </c>
      <c r="C38" s="308" t="n">
        <f aca="false">EOMONTH(C37,0)+1</f>
        <v>38231</v>
      </c>
      <c r="D38" s="0" t="n">
        <v>3.275</v>
      </c>
      <c r="E38" s="301" t="n">
        <v>0.315</v>
      </c>
      <c r="F38" s="299" t="n">
        <v>0.0403867507782238</v>
      </c>
      <c r="G38" s="299" t="n">
        <v>-0.13</v>
      </c>
      <c r="H38" s="299" t="n">
        <v>-0.15</v>
      </c>
      <c r="I38" s="310" t="n">
        <v>-0.09</v>
      </c>
      <c r="J38" s="310" t="n">
        <v>-0.14</v>
      </c>
      <c r="K38" s="299" t="n">
        <v>-0.09</v>
      </c>
      <c r="L38" s="299" t="n">
        <v>-0.065</v>
      </c>
      <c r="M38" s="299" t="n">
        <v>-0.1</v>
      </c>
      <c r="N38" s="299" t="n">
        <v>-0.12</v>
      </c>
      <c r="O38" s="299" t="n">
        <v>-0.12</v>
      </c>
      <c r="P38" s="299" t="n">
        <v>-0.13</v>
      </c>
      <c r="Q38" s="299" t="n">
        <v>-0.095</v>
      </c>
      <c r="R38" s="299" t="n">
        <v>-0.085</v>
      </c>
      <c r="S38" s="299" t="n">
        <v>0.125</v>
      </c>
      <c r="T38" s="299" t="n">
        <v>0.155</v>
      </c>
      <c r="U38" s="299" t="n">
        <v>0.04</v>
      </c>
      <c r="V38" s="299" t="n">
        <v>0.5</v>
      </c>
      <c r="W38" s="299" t="n">
        <v>0.125</v>
      </c>
      <c r="X38" s="299" t="n">
        <v>0.145</v>
      </c>
      <c r="Y38" s="299" t="n">
        <v>-0.0275</v>
      </c>
      <c r="Z38" s="299" t="n">
        <v>-0.0525</v>
      </c>
      <c r="AA38" s="299" t="n">
        <v>0.0075</v>
      </c>
      <c r="AB38" s="299" t="n">
        <v>-0.0175</v>
      </c>
      <c r="AC38" s="299" t="n">
        <v>0.0025</v>
      </c>
      <c r="AD38" s="299" t="n">
        <v>-0.0225</v>
      </c>
      <c r="AE38" s="299" t="n">
        <v>-0.0725</v>
      </c>
      <c r="AF38" s="299" t="n">
        <v>-0.065</v>
      </c>
      <c r="AG38" s="299" t="n">
        <v>-0.0875</v>
      </c>
      <c r="AH38" s="299" t="n">
        <v>-0.0165</v>
      </c>
      <c r="AI38" s="299" t="n">
        <v>-0.0725</v>
      </c>
      <c r="AJ38" s="299" t="n">
        <v>-0.105</v>
      </c>
      <c r="AK38" s="299" t="n">
        <v>-0.0175</v>
      </c>
      <c r="AL38" s="299" t="n">
        <v>0.0225</v>
      </c>
      <c r="AM38" s="299" t="n">
        <v>0.36</v>
      </c>
      <c r="AN38" s="299" t="n">
        <v>0.0275</v>
      </c>
      <c r="AO38" s="299" t="n">
        <v>-0.51</v>
      </c>
      <c r="AP38" s="299" t="n">
        <v>-0.0875</v>
      </c>
      <c r="AQ38" s="299" t="n">
        <v>-0.22</v>
      </c>
      <c r="AR38" s="299" t="n">
        <v>-0.3</v>
      </c>
      <c r="AS38" s="299" t="n">
        <v>-0.42</v>
      </c>
      <c r="AT38" s="299" t="n">
        <v>-0.51</v>
      </c>
      <c r="AU38" s="299" t="n">
        <v>0.21</v>
      </c>
      <c r="AV38" s="299" t="n">
        <v>-0.51</v>
      </c>
      <c r="AW38" s="299" t="n">
        <v>-0.16</v>
      </c>
      <c r="AX38" s="299" t="n">
        <v>-0.07</v>
      </c>
      <c r="AY38" s="299" t="n">
        <v>-0.1</v>
      </c>
      <c r="AZ38" s="299" t="n">
        <v>-0.065</v>
      </c>
      <c r="BA38" s="299" t="n">
        <v>-0.0875</v>
      </c>
      <c r="BB38" s="299" t="n">
        <v>-0.0215</v>
      </c>
      <c r="BC38" s="299" t="n">
        <v>-0.07</v>
      </c>
      <c r="BD38" s="299" t="n">
        <v>-0.0025</v>
      </c>
      <c r="BE38" s="299" t="n">
        <v>-0.0725</v>
      </c>
      <c r="BF38" s="299" t="n">
        <v>0.075</v>
      </c>
      <c r="BG38" s="299" t="n">
        <v>0.145</v>
      </c>
      <c r="BH38" s="299" t="n">
        <v>0.155</v>
      </c>
      <c r="BI38" s="299" t="n">
        <v>0.125</v>
      </c>
      <c r="BJ38" s="299" t="n">
        <v>0.315</v>
      </c>
      <c r="BK38" s="299" t="n">
        <v>0</v>
      </c>
      <c r="BL38" s="299" t="n">
        <v>-0.01</v>
      </c>
      <c r="BM38" s="299" t="n">
        <v>0.005</v>
      </c>
      <c r="BN38" s="299" t="n">
        <v>-0.01</v>
      </c>
      <c r="BO38" s="299" t="n">
        <v>0.02</v>
      </c>
      <c r="BP38" s="299" t="n">
        <v>0.005</v>
      </c>
      <c r="BQ38" s="299" t="n">
        <v>0.0025</v>
      </c>
      <c r="BR38" s="299" t="n">
        <v>0.01</v>
      </c>
      <c r="BS38" s="0" t="n">
        <v>0.005</v>
      </c>
      <c r="BT38" s="0" t="n">
        <v>0.03</v>
      </c>
      <c r="BU38" s="0" t="n">
        <v>0.03</v>
      </c>
      <c r="BV38" s="0" t="n">
        <v>0.03</v>
      </c>
    </row>
    <row r="39" customFormat="false" ht="12.75" hidden="false" customHeight="false" outlineLevel="0" collapsed="false">
      <c r="A39" s="301" t="e">
        <f aca="false">#REF!-B39</f>
        <v>#REF!</v>
      </c>
      <c r="B39" s="301" t="n">
        <v>3.168</v>
      </c>
      <c r="C39" s="308" t="n">
        <f aca="false">EOMONTH(C38,0)+1</f>
        <v>38261</v>
      </c>
      <c r="D39" s="0" t="n">
        <v>3.3</v>
      </c>
      <c r="E39" s="301" t="n">
        <v>0.315</v>
      </c>
      <c r="F39" s="299" t="n">
        <v>0.0409754465349472</v>
      </c>
      <c r="G39" s="299" t="n">
        <v>-0.13</v>
      </c>
      <c r="H39" s="299" t="n">
        <v>-0.15</v>
      </c>
      <c r="I39" s="310" t="n">
        <v>-0.09</v>
      </c>
      <c r="J39" s="310" t="n">
        <v>-0.14</v>
      </c>
      <c r="K39" s="299" t="n">
        <v>-0.09</v>
      </c>
      <c r="L39" s="299" t="n">
        <v>-0.065</v>
      </c>
      <c r="M39" s="299" t="n">
        <v>-0.1</v>
      </c>
      <c r="N39" s="299" t="n">
        <v>-0.12</v>
      </c>
      <c r="O39" s="299" t="n">
        <v>-0.12</v>
      </c>
      <c r="P39" s="299" t="n">
        <v>-0.13</v>
      </c>
      <c r="Q39" s="299" t="n">
        <v>-0.095</v>
      </c>
      <c r="R39" s="299" t="n">
        <v>-0.085</v>
      </c>
      <c r="S39" s="299" t="n">
        <v>0.125</v>
      </c>
      <c r="T39" s="299" t="n">
        <v>0.155</v>
      </c>
      <c r="U39" s="299" t="n">
        <v>0.04</v>
      </c>
      <c r="V39" s="299" t="n">
        <v>0.5</v>
      </c>
      <c r="W39" s="299" t="n">
        <v>0.145</v>
      </c>
      <c r="X39" s="299" t="n">
        <v>0.175</v>
      </c>
      <c r="Y39" s="299" t="n">
        <v>-0.0275</v>
      </c>
      <c r="Z39" s="299" t="n">
        <v>-0.0525</v>
      </c>
      <c r="AA39" s="299" t="n">
        <v>0.0075</v>
      </c>
      <c r="AB39" s="299" t="n">
        <v>-0.0175</v>
      </c>
      <c r="AC39" s="299" t="n">
        <v>0.0025</v>
      </c>
      <c r="AD39" s="299" t="n">
        <v>-0.0225</v>
      </c>
      <c r="AE39" s="299" t="n">
        <v>-0.0725</v>
      </c>
      <c r="AF39" s="299" t="n">
        <v>-0.065</v>
      </c>
      <c r="AG39" s="299" t="n">
        <v>-0.0875</v>
      </c>
      <c r="AH39" s="299" t="n">
        <v>-0.0165</v>
      </c>
      <c r="AI39" s="299" t="n">
        <v>-0.0725</v>
      </c>
      <c r="AJ39" s="299" t="n">
        <v>-0.105</v>
      </c>
      <c r="AK39" s="299" t="n">
        <v>-0.0175</v>
      </c>
      <c r="AL39" s="299" t="n">
        <v>0.0225</v>
      </c>
      <c r="AM39" s="299" t="n">
        <v>0.4</v>
      </c>
      <c r="AN39" s="299" t="n">
        <v>0.0175</v>
      </c>
      <c r="AO39" s="299" t="n">
        <v>-0.51</v>
      </c>
      <c r="AP39" s="299" t="n">
        <v>-0.0875</v>
      </c>
      <c r="AQ39" s="299" t="n">
        <v>-0.22</v>
      </c>
      <c r="AR39" s="299" t="n">
        <v>-0.3</v>
      </c>
      <c r="AS39" s="299" t="n">
        <v>-0.42</v>
      </c>
      <c r="AT39" s="299" t="n">
        <v>-0.51</v>
      </c>
      <c r="AU39" s="299" t="n">
        <v>0.21</v>
      </c>
      <c r="AV39" s="299" t="n">
        <v>-0.51</v>
      </c>
      <c r="AW39" s="299" t="n">
        <v>-0.1475</v>
      </c>
      <c r="AX39" s="299" t="n">
        <v>-0.07</v>
      </c>
      <c r="AY39" s="299" t="n">
        <v>-0.0875</v>
      </c>
      <c r="AZ39" s="299" t="n">
        <v>-0.065</v>
      </c>
      <c r="BA39" s="299" t="n">
        <v>-0.09</v>
      </c>
      <c r="BB39" s="299" t="n">
        <v>-0.0215</v>
      </c>
      <c r="BC39" s="299" t="n">
        <v>-0.07</v>
      </c>
      <c r="BD39" s="299" t="n">
        <v>-0.0125</v>
      </c>
      <c r="BE39" s="299" t="n">
        <v>-0.0725</v>
      </c>
      <c r="BF39" s="299" t="n">
        <v>0.075</v>
      </c>
      <c r="BG39" s="299" t="n">
        <v>0.145</v>
      </c>
      <c r="BH39" s="299" t="n">
        <v>0.155</v>
      </c>
      <c r="BI39" s="299" t="n">
        <v>0.125</v>
      </c>
      <c r="BJ39" s="299" t="n">
        <v>0.36</v>
      </c>
      <c r="BK39" s="299" t="n">
        <v>0</v>
      </c>
      <c r="BL39" s="299" t="n">
        <v>-0.015</v>
      </c>
      <c r="BM39" s="299" t="n">
        <v>0.005</v>
      </c>
      <c r="BN39" s="299" t="n">
        <v>-0.01</v>
      </c>
      <c r="BO39" s="299" t="n">
        <v>0.02</v>
      </c>
      <c r="BP39" s="299" t="n">
        <v>0.005</v>
      </c>
      <c r="BQ39" s="299" t="n">
        <v>0.0025</v>
      </c>
      <c r="BR39" s="299" t="n">
        <v>0.01</v>
      </c>
      <c r="BS39" s="0" t="n">
        <v>0.005</v>
      </c>
      <c r="BT39" s="0" t="n">
        <v>0.03</v>
      </c>
      <c r="BU39" s="0" t="n">
        <v>0.03</v>
      </c>
      <c r="BV39" s="0" t="n">
        <v>0.03</v>
      </c>
    </row>
    <row r="40" customFormat="false" ht="12.75" hidden="false" customHeight="false" outlineLevel="0" collapsed="false">
      <c r="A40" s="301" t="e">
        <f aca="false">#REF!-B40</f>
        <v>#REF!</v>
      </c>
      <c r="B40" s="301" t="n">
        <v>3.14</v>
      </c>
      <c r="C40" s="308" t="n">
        <f aca="false">EOMONTH(C39,0)+1</f>
        <v>38292</v>
      </c>
      <c r="D40" s="0" t="n">
        <v>3.452</v>
      </c>
      <c r="E40" s="301" t="n">
        <v>0.315</v>
      </c>
      <c r="F40" s="299" t="n">
        <v>0.0415503422333172</v>
      </c>
      <c r="G40" s="299" t="n">
        <v>-0.13</v>
      </c>
      <c r="H40" s="299" t="n">
        <v>-0.15</v>
      </c>
      <c r="I40" s="310" t="n">
        <v>-0.01</v>
      </c>
      <c r="J40" s="310" t="n">
        <v>-0.1375</v>
      </c>
      <c r="K40" s="299" t="n">
        <v>0</v>
      </c>
      <c r="L40" s="299" t="n">
        <v>-0.0525</v>
      </c>
      <c r="M40" s="299" t="n">
        <v>-0.1</v>
      </c>
      <c r="N40" s="299" t="n">
        <v>-0.12</v>
      </c>
      <c r="O40" s="299" t="n">
        <v>-0.12</v>
      </c>
      <c r="P40" s="299" t="n">
        <v>-0.13</v>
      </c>
      <c r="Q40" s="299" t="n">
        <v>-0.085</v>
      </c>
      <c r="R40" s="299" t="n">
        <v>-0.0625</v>
      </c>
      <c r="S40" s="299" t="n">
        <v>0.145</v>
      </c>
      <c r="T40" s="299" t="n">
        <v>0.195</v>
      </c>
      <c r="U40" s="299" t="n">
        <v>0.125</v>
      </c>
      <c r="V40" s="299" t="n">
        <v>0.5</v>
      </c>
      <c r="W40" s="299" t="n">
        <v>0.195</v>
      </c>
      <c r="X40" s="299" t="n">
        <v>0.21</v>
      </c>
      <c r="Y40" s="299" t="n">
        <v>-0.025</v>
      </c>
      <c r="Z40" s="299" t="n">
        <v>-0.0375</v>
      </c>
      <c r="AA40" s="299" t="n">
        <v>0.0035</v>
      </c>
      <c r="AB40" s="299" t="n">
        <v>-0.019</v>
      </c>
      <c r="AC40" s="299" t="n">
        <v>0.0025</v>
      </c>
      <c r="AD40" s="299" t="n">
        <v>-0.0225</v>
      </c>
      <c r="AE40" s="299" t="n">
        <v>-0.075</v>
      </c>
      <c r="AF40" s="299" t="n">
        <v>-0.0675</v>
      </c>
      <c r="AG40" s="299" t="n">
        <v>-0.09</v>
      </c>
      <c r="AH40" s="299" t="n">
        <v>-0.018</v>
      </c>
      <c r="AI40" s="299" t="n">
        <v>-0.0675</v>
      </c>
      <c r="AJ40" s="299" t="n">
        <v>-0.1075</v>
      </c>
      <c r="AK40" s="299" t="n">
        <v>-0.0125</v>
      </c>
      <c r="AL40" s="299" t="n">
        <v>0.0275</v>
      </c>
      <c r="AM40" s="299" t="n">
        <v>0.645</v>
      </c>
      <c r="AN40" s="299" t="n">
        <v>-0.025</v>
      </c>
      <c r="AO40" s="299" t="n">
        <v>-0.35</v>
      </c>
      <c r="AP40" s="299" t="n">
        <v>-0.085</v>
      </c>
      <c r="AQ40" s="299" t="n">
        <v>-0.135</v>
      </c>
      <c r="AR40" s="299" t="n">
        <v>0.248</v>
      </c>
      <c r="AS40" s="299" t="n">
        <v>-0.27</v>
      </c>
      <c r="AT40" s="299" t="n">
        <v>-0.35</v>
      </c>
      <c r="AU40" s="299" t="n">
        <v>0.2</v>
      </c>
      <c r="AV40" s="299" t="n">
        <v>-0.35</v>
      </c>
      <c r="AW40" s="299" t="n">
        <v>-0.155</v>
      </c>
      <c r="AX40" s="299" t="n">
        <v>-0.0675</v>
      </c>
      <c r="AY40" s="299" t="n">
        <v>-0.095</v>
      </c>
      <c r="AZ40" s="299" t="n">
        <v>-0.0525</v>
      </c>
      <c r="BA40" s="299" t="n">
        <v>-0.085</v>
      </c>
      <c r="BB40" s="299" t="n">
        <v>-0.023</v>
      </c>
      <c r="BC40" s="299" t="n">
        <v>-0.0725</v>
      </c>
      <c r="BD40" s="299" t="n">
        <v>-0.055</v>
      </c>
      <c r="BE40" s="299" t="n">
        <v>-0.075</v>
      </c>
      <c r="BF40" s="299" t="n">
        <v>0.15</v>
      </c>
      <c r="BG40" s="299" t="n">
        <v>0.23</v>
      </c>
      <c r="BH40" s="299" t="n">
        <v>0.195</v>
      </c>
      <c r="BI40" s="299" t="n">
        <v>0.145</v>
      </c>
      <c r="BJ40" s="299" t="n">
        <v>0.46</v>
      </c>
      <c r="BK40" s="299" t="n">
        <v>0</v>
      </c>
      <c r="BL40" s="299" t="n">
        <v>-0.02</v>
      </c>
      <c r="BM40" s="299" t="n">
        <v>0.005</v>
      </c>
      <c r="BN40" s="299" t="n">
        <v>0</v>
      </c>
      <c r="BO40" s="299" t="n">
        <v>0.035</v>
      </c>
      <c r="BP40" s="299" t="n">
        <v>0.005</v>
      </c>
      <c r="BQ40" s="299" t="n">
        <v>0.005</v>
      </c>
      <c r="BR40" s="299" t="n">
        <v>0.055</v>
      </c>
      <c r="BS40" s="0" t="n">
        <v>0.02</v>
      </c>
      <c r="BT40" s="0" t="n">
        <v>0.03</v>
      </c>
      <c r="BU40" s="0" t="n">
        <v>0.03</v>
      </c>
      <c r="BV40" s="0" t="n">
        <v>0.04</v>
      </c>
    </row>
    <row r="41" customFormat="false" ht="12.75" hidden="false" customHeight="false" outlineLevel="0" collapsed="false">
      <c r="A41" s="301" t="e">
        <f aca="false">#REF!-B41</f>
        <v>#REF!</v>
      </c>
      <c r="B41" s="301" t="n">
        <v>3.12</v>
      </c>
      <c r="C41" s="308" t="n">
        <f aca="false">EOMONTH(C40,0)+1</f>
        <v>38322</v>
      </c>
      <c r="D41" s="0" t="n">
        <v>3.595</v>
      </c>
      <c r="E41" s="301" t="n">
        <v>0.315</v>
      </c>
      <c r="F41" s="299" t="n">
        <v>0.0421066930146625</v>
      </c>
      <c r="G41" s="299" t="n">
        <v>-0.1325</v>
      </c>
      <c r="H41" s="299" t="n">
        <v>-0.1525</v>
      </c>
      <c r="I41" s="310" t="n">
        <v>-0.005</v>
      </c>
      <c r="J41" s="310" t="n">
        <v>-0.1375</v>
      </c>
      <c r="K41" s="299" t="n">
        <v>0.005</v>
      </c>
      <c r="L41" s="299" t="n">
        <v>-0.0525</v>
      </c>
      <c r="M41" s="299" t="n">
        <v>-0.1025</v>
      </c>
      <c r="N41" s="299" t="n">
        <v>-0.1225</v>
      </c>
      <c r="O41" s="299" t="n">
        <v>-0.1225</v>
      </c>
      <c r="P41" s="299" t="n">
        <v>-0.1325</v>
      </c>
      <c r="Q41" s="299" t="n">
        <v>-0.085</v>
      </c>
      <c r="R41" s="299" t="n">
        <v>-0.0625</v>
      </c>
      <c r="S41" s="299" t="n">
        <v>0.145</v>
      </c>
      <c r="T41" s="299" t="n">
        <v>0.195</v>
      </c>
      <c r="U41" s="299" t="n">
        <v>0.125</v>
      </c>
      <c r="V41" s="299" t="n">
        <v>0.5</v>
      </c>
      <c r="W41" s="299" t="n">
        <v>0.215</v>
      </c>
      <c r="X41" s="299" t="n">
        <v>0.29</v>
      </c>
      <c r="Y41" s="299" t="n">
        <v>-0.025</v>
      </c>
      <c r="Z41" s="299" t="n">
        <v>-0.0375</v>
      </c>
      <c r="AA41" s="299" t="n">
        <v>0.0035</v>
      </c>
      <c r="AB41" s="299" t="n">
        <v>-0.019</v>
      </c>
      <c r="AC41" s="299" t="n">
        <v>0.0025</v>
      </c>
      <c r="AD41" s="299" t="n">
        <v>-0.0225</v>
      </c>
      <c r="AE41" s="299" t="n">
        <v>-0.075</v>
      </c>
      <c r="AF41" s="299" t="n">
        <v>-0.0675</v>
      </c>
      <c r="AG41" s="299" t="n">
        <v>-0.09</v>
      </c>
      <c r="AH41" s="299" t="n">
        <v>-0.0155</v>
      </c>
      <c r="AI41" s="299" t="n">
        <v>-0.0675</v>
      </c>
      <c r="AJ41" s="299" t="n">
        <v>-0.1075</v>
      </c>
      <c r="AK41" s="299" t="n">
        <v>-0.0125</v>
      </c>
      <c r="AL41" s="299" t="n">
        <v>0.0275</v>
      </c>
      <c r="AM41" s="299" t="n">
        <v>0.9</v>
      </c>
      <c r="AN41" s="299" t="n">
        <v>-0.0475</v>
      </c>
      <c r="AO41" s="299" t="n">
        <v>-0.35</v>
      </c>
      <c r="AP41" s="299" t="n">
        <v>-0.085</v>
      </c>
      <c r="AQ41" s="299" t="n">
        <v>-0.135</v>
      </c>
      <c r="AR41" s="299" t="n">
        <v>0.308</v>
      </c>
      <c r="AS41" s="299" t="n">
        <v>-0.27</v>
      </c>
      <c r="AT41" s="299" t="n">
        <v>-0.35</v>
      </c>
      <c r="AU41" s="299" t="n">
        <v>0.2</v>
      </c>
      <c r="AV41" s="299" t="n">
        <v>-0.35</v>
      </c>
      <c r="AW41" s="299" t="n">
        <v>-0.1825</v>
      </c>
      <c r="AX41" s="299" t="n">
        <v>-0.0675</v>
      </c>
      <c r="AY41" s="299" t="n">
        <v>-0.1225</v>
      </c>
      <c r="AZ41" s="299" t="n">
        <v>-0.0525</v>
      </c>
      <c r="BA41" s="299" t="n">
        <v>-0.1125</v>
      </c>
      <c r="BB41" s="299" t="n">
        <v>-0.0205</v>
      </c>
      <c r="BC41" s="299" t="n">
        <v>-0.0725</v>
      </c>
      <c r="BD41" s="299" t="n">
        <v>-0.0775</v>
      </c>
      <c r="BE41" s="299" t="n">
        <v>-0.075</v>
      </c>
      <c r="BF41" s="299" t="n">
        <v>0.15</v>
      </c>
      <c r="BG41" s="299" t="n">
        <v>0.23</v>
      </c>
      <c r="BH41" s="299" t="n">
        <v>0.195</v>
      </c>
      <c r="BI41" s="299" t="n">
        <v>0.145</v>
      </c>
      <c r="BJ41" s="299" t="n">
        <v>0.77</v>
      </c>
      <c r="BK41" s="299" t="n">
        <v>0</v>
      </c>
      <c r="BL41" s="299" t="n">
        <v>-0.025</v>
      </c>
      <c r="BM41" s="299" t="n">
        <v>0.005</v>
      </c>
      <c r="BN41" s="299" t="n">
        <v>0</v>
      </c>
      <c r="BO41" s="299" t="n">
        <v>0.035</v>
      </c>
      <c r="BP41" s="299" t="n">
        <v>0.005</v>
      </c>
      <c r="BQ41" s="299" t="n">
        <v>0.005</v>
      </c>
      <c r="BR41" s="299" t="n">
        <v>0.25</v>
      </c>
      <c r="BS41" s="0" t="n">
        <v>0.02</v>
      </c>
      <c r="BT41" s="0" t="n">
        <v>0.03</v>
      </c>
      <c r="BU41" s="0" t="n">
        <v>0.03</v>
      </c>
      <c r="BV41" s="0" t="n">
        <v>0.04</v>
      </c>
    </row>
    <row r="42" customFormat="false" ht="12.75" hidden="false" customHeight="false" outlineLevel="0" collapsed="false">
      <c r="A42" s="301" t="e">
        <f aca="false">#REF!-B42</f>
        <v>#REF!</v>
      </c>
      <c r="B42" s="301" t="n">
        <v>3.185</v>
      </c>
      <c r="C42" s="308" t="n">
        <f aca="false">EOMONTH(C41,0)+1</f>
        <v>38353</v>
      </c>
      <c r="D42" s="0" t="n">
        <v>3.655</v>
      </c>
      <c r="E42" s="301" t="n">
        <v>0.315</v>
      </c>
      <c r="F42" s="299" t="n">
        <v>0.0426576899474638</v>
      </c>
      <c r="G42" s="299" t="n">
        <v>-0.135</v>
      </c>
      <c r="H42" s="299" t="n">
        <v>-0.155</v>
      </c>
      <c r="I42" s="310" t="n">
        <v>0.015</v>
      </c>
      <c r="J42" s="310" t="n">
        <v>-0.1375</v>
      </c>
      <c r="K42" s="299" t="n">
        <v>0.025</v>
      </c>
      <c r="L42" s="299" t="n">
        <v>-0.0525</v>
      </c>
      <c r="M42" s="299" t="n">
        <v>-0.105</v>
      </c>
      <c r="N42" s="299" t="n">
        <v>-0.125</v>
      </c>
      <c r="O42" s="299" t="n">
        <v>-0.125</v>
      </c>
      <c r="P42" s="299" t="n">
        <v>-0.135</v>
      </c>
      <c r="Q42" s="299" t="n">
        <v>-0.085</v>
      </c>
      <c r="R42" s="299" t="n">
        <v>-0.0625</v>
      </c>
      <c r="S42" s="299" t="n">
        <v>0.145</v>
      </c>
      <c r="T42" s="299" t="n">
        <v>0.195</v>
      </c>
      <c r="U42" s="299" t="n">
        <v>0.125</v>
      </c>
      <c r="V42" s="299" t="n">
        <v>0.5</v>
      </c>
      <c r="W42" s="299" t="n">
        <v>0.235</v>
      </c>
      <c r="X42" s="299" t="n">
        <v>0.34</v>
      </c>
      <c r="Y42" s="299" t="n">
        <v>-0.025</v>
      </c>
      <c r="Z42" s="299" t="n">
        <v>-0.0375</v>
      </c>
      <c r="AA42" s="299" t="n">
        <v>0.0035</v>
      </c>
      <c r="AB42" s="299" t="n">
        <v>-0.019</v>
      </c>
      <c r="AC42" s="299" t="n">
        <v>0.0025</v>
      </c>
      <c r="AD42" s="299" t="n">
        <v>-0.0225</v>
      </c>
      <c r="AE42" s="299" t="n">
        <v>-0.075</v>
      </c>
      <c r="AF42" s="299" t="n">
        <v>-0.0675</v>
      </c>
      <c r="AG42" s="299" t="n">
        <v>-0.09</v>
      </c>
      <c r="AH42" s="299" t="n">
        <v>-0.0155</v>
      </c>
      <c r="AI42" s="299" t="n">
        <v>-0.0675</v>
      </c>
      <c r="AJ42" s="299" t="n">
        <v>-0.1075</v>
      </c>
      <c r="AK42" s="299" t="n">
        <v>-0.0125</v>
      </c>
      <c r="AL42" s="299" t="n">
        <v>0.0275</v>
      </c>
      <c r="AM42" s="299" t="n">
        <v>1.535</v>
      </c>
      <c r="AN42" s="299" t="n">
        <v>-0.05</v>
      </c>
      <c r="AO42" s="299" t="n">
        <v>-0.35</v>
      </c>
      <c r="AP42" s="299" t="n">
        <v>-0.085</v>
      </c>
      <c r="AQ42" s="299" t="n">
        <v>-0.135</v>
      </c>
      <c r="AR42" s="299" t="n">
        <v>0.378</v>
      </c>
      <c r="AS42" s="299" t="n">
        <v>-0.27</v>
      </c>
      <c r="AT42" s="299" t="n">
        <v>-0.35</v>
      </c>
      <c r="AU42" s="299" t="n">
        <v>0.2</v>
      </c>
      <c r="AV42" s="299" t="n">
        <v>-0.35</v>
      </c>
      <c r="AW42" s="299" t="n">
        <v>-0.1975</v>
      </c>
      <c r="AX42" s="299" t="n">
        <v>-0.0675</v>
      </c>
      <c r="AY42" s="299" t="n">
        <v>-0.1375</v>
      </c>
      <c r="AZ42" s="299" t="n">
        <v>-0.0525</v>
      </c>
      <c r="BA42" s="299" t="n">
        <v>-0.113</v>
      </c>
      <c r="BB42" s="299" t="n">
        <v>-0.0205</v>
      </c>
      <c r="BC42" s="299" t="n">
        <v>-0.0725</v>
      </c>
      <c r="BD42" s="299" t="n">
        <v>-0.08</v>
      </c>
      <c r="BE42" s="299" t="n">
        <v>-0.075</v>
      </c>
      <c r="BF42" s="299" t="n">
        <v>0.15</v>
      </c>
      <c r="BG42" s="299" t="n">
        <v>0.23</v>
      </c>
      <c r="BH42" s="299" t="n">
        <v>0.195</v>
      </c>
      <c r="BI42" s="299" t="n">
        <v>0.145</v>
      </c>
      <c r="BJ42" s="299" t="n">
        <v>1.04</v>
      </c>
      <c r="BK42" s="299" t="n">
        <v>0</v>
      </c>
      <c r="BL42" s="299" t="n">
        <v>-0.025</v>
      </c>
      <c r="BM42" s="299" t="n">
        <v>0.005</v>
      </c>
      <c r="BN42" s="299" t="n">
        <v>0</v>
      </c>
      <c r="BO42" s="299" t="n">
        <v>0.035</v>
      </c>
      <c r="BP42" s="299" t="n">
        <v>0.005</v>
      </c>
      <c r="BQ42" s="299" t="n">
        <v>0.005</v>
      </c>
      <c r="BR42" s="299" t="n">
        <v>0.45</v>
      </c>
      <c r="BS42" s="0" t="n">
        <v>0.02</v>
      </c>
      <c r="BT42" s="0" t="n">
        <v>0.03</v>
      </c>
      <c r="BU42" s="0" t="n">
        <v>0.03</v>
      </c>
      <c r="BV42" s="0" t="n">
        <v>0.04</v>
      </c>
    </row>
    <row r="43" customFormat="false" ht="12.75" hidden="false" customHeight="false" outlineLevel="0" collapsed="false">
      <c r="A43" s="301" t="e">
        <f aca="false">#REF!-B43</f>
        <v>#REF!</v>
      </c>
      <c r="B43" s="301" t="n">
        <v>3.18</v>
      </c>
      <c r="C43" s="308" t="n">
        <f aca="false">EOMONTH(C42,0)+1</f>
        <v>38384</v>
      </c>
      <c r="D43" s="0" t="n">
        <v>3.57</v>
      </c>
      <c r="E43" s="301" t="n">
        <v>0.3125</v>
      </c>
      <c r="F43" s="299" t="n">
        <v>0.0431890054626174</v>
      </c>
      <c r="G43" s="299" t="n">
        <v>-0.1275</v>
      </c>
      <c r="H43" s="299" t="n">
        <v>-0.1475</v>
      </c>
      <c r="I43" s="310" t="n">
        <v>0.01</v>
      </c>
      <c r="J43" s="310" t="n">
        <v>-0.1375</v>
      </c>
      <c r="K43" s="299" t="n">
        <v>0.02</v>
      </c>
      <c r="L43" s="299" t="n">
        <v>-0.0525</v>
      </c>
      <c r="M43" s="299" t="n">
        <v>-0.0975</v>
      </c>
      <c r="N43" s="299" t="n">
        <v>-0.1175</v>
      </c>
      <c r="O43" s="299" t="n">
        <v>-0.1175</v>
      </c>
      <c r="P43" s="299" t="n">
        <v>-0.1275</v>
      </c>
      <c r="Q43" s="299" t="n">
        <v>-0.085</v>
      </c>
      <c r="R43" s="299" t="n">
        <v>-0.0625</v>
      </c>
      <c r="S43" s="299" t="n">
        <v>0.145</v>
      </c>
      <c r="T43" s="299" t="n">
        <v>0.195</v>
      </c>
      <c r="U43" s="299" t="n">
        <v>0.125</v>
      </c>
      <c r="V43" s="299" t="n">
        <v>0.5</v>
      </c>
      <c r="W43" s="299" t="n">
        <v>0.235</v>
      </c>
      <c r="X43" s="299" t="n">
        <v>0.34</v>
      </c>
      <c r="Y43" s="299" t="n">
        <v>-0.025</v>
      </c>
      <c r="Z43" s="299" t="n">
        <v>-0.0375</v>
      </c>
      <c r="AA43" s="299" t="n">
        <v>0.0035</v>
      </c>
      <c r="AB43" s="299" t="n">
        <v>-0.019</v>
      </c>
      <c r="AC43" s="299" t="n">
        <v>0.0025</v>
      </c>
      <c r="AD43" s="299" t="n">
        <v>-0.0225</v>
      </c>
      <c r="AE43" s="299" t="n">
        <v>-0.075</v>
      </c>
      <c r="AF43" s="299" t="n">
        <v>-0.0675</v>
      </c>
      <c r="AG43" s="299" t="n">
        <v>-0.09</v>
      </c>
      <c r="AH43" s="299" t="n">
        <v>-0.0155</v>
      </c>
      <c r="AI43" s="299" t="n">
        <v>-0.0675</v>
      </c>
      <c r="AJ43" s="299" t="n">
        <v>-0.1075</v>
      </c>
      <c r="AK43" s="299" t="n">
        <v>-0.0125</v>
      </c>
      <c r="AL43" s="299" t="n">
        <v>0.0275</v>
      </c>
      <c r="AM43" s="299" t="n">
        <v>1.535</v>
      </c>
      <c r="AN43" s="299" t="n">
        <v>-0.0325</v>
      </c>
      <c r="AO43" s="299" t="n">
        <v>-0.35</v>
      </c>
      <c r="AP43" s="299" t="n">
        <v>-0.085</v>
      </c>
      <c r="AQ43" s="299" t="n">
        <v>-0.135</v>
      </c>
      <c r="AR43" s="299" t="n">
        <v>0.248</v>
      </c>
      <c r="AS43" s="299" t="n">
        <v>-0.27</v>
      </c>
      <c r="AT43" s="299" t="n">
        <v>-0.35</v>
      </c>
      <c r="AU43" s="299" t="n">
        <v>0.2</v>
      </c>
      <c r="AV43" s="299" t="n">
        <v>-0.35</v>
      </c>
      <c r="AW43" s="299" t="n">
        <v>-0.1875</v>
      </c>
      <c r="AX43" s="299" t="n">
        <v>-0.0675</v>
      </c>
      <c r="AY43" s="299" t="n">
        <v>-0.1275</v>
      </c>
      <c r="AZ43" s="299" t="n">
        <v>-0.0525</v>
      </c>
      <c r="BA43" s="299" t="n">
        <v>-0.113</v>
      </c>
      <c r="BB43" s="299" t="n">
        <v>-0.0205</v>
      </c>
      <c r="BC43" s="299" t="n">
        <v>-0.0725</v>
      </c>
      <c r="BD43" s="299" t="n">
        <v>-0.0625</v>
      </c>
      <c r="BE43" s="299" t="n">
        <v>-0.075</v>
      </c>
      <c r="BF43" s="299" t="n">
        <v>0.15</v>
      </c>
      <c r="BG43" s="299" t="n">
        <v>0.23</v>
      </c>
      <c r="BH43" s="299" t="n">
        <v>0.195</v>
      </c>
      <c r="BI43" s="299" t="n">
        <v>0.145</v>
      </c>
      <c r="BJ43" s="299" t="n">
        <v>1.04</v>
      </c>
      <c r="BK43" s="299" t="n">
        <v>0</v>
      </c>
      <c r="BL43" s="299" t="n">
        <v>-0.025</v>
      </c>
      <c r="BM43" s="299" t="n">
        <v>0.005</v>
      </c>
      <c r="BN43" s="299" t="n">
        <v>0</v>
      </c>
      <c r="BO43" s="299" t="n">
        <v>0.035</v>
      </c>
      <c r="BP43" s="299" t="n">
        <v>0.005</v>
      </c>
      <c r="BQ43" s="299" t="n">
        <v>0.005</v>
      </c>
      <c r="BR43" s="299" t="n">
        <v>0.45</v>
      </c>
      <c r="BS43" s="0" t="n">
        <v>0.02</v>
      </c>
      <c r="BT43" s="0" t="n">
        <v>0.03</v>
      </c>
      <c r="BU43" s="0" t="n">
        <v>0.03</v>
      </c>
      <c r="BV43" s="0" t="n">
        <v>0.04</v>
      </c>
    </row>
    <row r="44" customFormat="false" ht="12.75" hidden="false" customHeight="false" outlineLevel="0" collapsed="false">
      <c r="A44" s="301" t="e">
        <f aca="false">#REF!-B44</f>
        <v>#REF!</v>
      </c>
      <c r="B44" s="301" t="n">
        <v>3.17</v>
      </c>
      <c r="C44" s="308" t="n">
        <f aca="false">EOMONTH(C43,0)+1</f>
        <v>38412</v>
      </c>
      <c r="D44" s="0" t="n">
        <v>3.44</v>
      </c>
      <c r="E44" s="301" t="n">
        <v>0.3025</v>
      </c>
      <c r="F44" s="299" t="n">
        <v>0.0436689034285567</v>
      </c>
      <c r="G44" s="299" t="n">
        <v>-0.125</v>
      </c>
      <c r="H44" s="299" t="n">
        <v>-0.145</v>
      </c>
      <c r="I44" s="310" t="n">
        <v>-0.01</v>
      </c>
      <c r="J44" s="310" t="n">
        <v>-0.1375</v>
      </c>
      <c r="K44" s="299" t="n">
        <v>0</v>
      </c>
      <c r="L44" s="299" t="n">
        <v>-0.0525</v>
      </c>
      <c r="M44" s="299" t="n">
        <v>-0.095</v>
      </c>
      <c r="N44" s="299" t="n">
        <v>-0.115</v>
      </c>
      <c r="O44" s="299" t="n">
        <v>-0.115</v>
      </c>
      <c r="P44" s="299" t="n">
        <v>-0.125</v>
      </c>
      <c r="Q44" s="299" t="n">
        <v>-0.085</v>
      </c>
      <c r="R44" s="299" t="n">
        <v>-0.0625</v>
      </c>
      <c r="S44" s="299" t="n">
        <v>0.145</v>
      </c>
      <c r="T44" s="299" t="n">
        <v>0.195</v>
      </c>
      <c r="U44" s="299" t="n">
        <v>0.125</v>
      </c>
      <c r="V44" s="299" t="n">
        <v>0.5</v>
      </c>
      <c r="W44" s="299" t="n">
        <v>0.195</v>
      </c>
      <c r="X44" s="299" t="n">
        <v>0.29</v>
      </c>
      <c r="Y44" s="299" t="n">
        <v>-0.025</v>
      </c>
      <c r="Z44" s="299" t="n">
        <v>-0.0375</v>
      </c>
      <c r="AA44" s="299" t="n">
        <v>0.0035</v>
      </c>
      <c r="AB44" s="299" t="n">
        <v>-0.019</v>
      </c>
      <c r="AC44" s="299" t="n">
        <v>0.0025</v>
      </c>
      <c r="AD44" s="299" t="n">
        <v>-0.0225</v>
      </c>
      <c r="AE44" s="299" t="n">
        <v>-0.075</v>
      </c>
      <c r="AF44" s="299" t="n">
        <v>-0.0675</v>
      </c>
      <c r="AG44" s="299" t="n">
        <v>-0.09</v>
      </c>
      <c r="AH44" s="299" t="n">
        <v>-0.0155</v>
      </c>
      <c r="AI44" s="299" t="n">
        <v>-0.0675</v>
      </c>
      <c r="AJ44" s="299" t="n">
        <v>-0.1075</v>
      </c>
      <c r="AK44" s="299" t="n">
        <v>-0.0125</v>
      </c>
      <c r="AL44" s="299" t="n">
        <v>0.0275</v>
      </c>
      <c r="AM44" s="299" t="n">
        <v>0.635</v>
      </c>
      <c r="AN44" s="299" t="n">
        <v>-0.02</v>
      </c>
      <c r="AO44" s="299" t="n">
        <v>-0.35</v>
      </c>
      <c r="AP44" s="299" t="n">
        <v>-0.085</v>
      </c>
      <c r="AQ44" s="299" t="n">
        <v>-0.135</v>
      </c>
      <c r="AR44" s="299" t="n">
        <v>0.068</v>
      </c>
      <c r="AS44" s="299" t="n">
        <v>-0.27</v>
      </c>
      <c r="AT44" s="299" t="n">
        <v>-0.35</v>
      </c>
      <c r="AU44" s="299" t="n">
        <v>0.2</v>
      </c>
      <c r="AV44" s="299" t="n">
        <v>-0.35</v>
      </c>
      <c r="AW44" s="299" t="n">
        <v>-0.1775</v>
      </c>
      <c r="AX44" s="299" t="n">
        <v>-0.0675</v>
      </c>
      <c r="AY44" s="299" t="n">
        <v>-0.1175</v>
      </c>
      <c r="AZ44" s="299" t="n">
        <v>-0.0525</v>
      </c>
      <c r="BA44" s="299" t="n">
        <v>-0.113</v>
      </c>
      <c r="BB44" s="299" t="n">
        <v>-0.0205</v>
      </c>
      <c r="BC44" s="299" t="n">
        <v>-0.0725</v>
      </c>
      <c r="BD44" s="299" t="n">
        <v>-0.05</v>
      </c>
      <c r="BE44" s="299" t="n">
        <v>-0.075</v>
      </c>
      <c r="BF44" s="299" t="n">
        <v>0.15</v>
      </c>
      <c r="BG44" s="299" t="n">
        <v>0.23</v>
      </c>
      <c r="BH44" s="299" t="n">
        <v>0.195</v>
      </c>
      <c r="BI44" s="299" t="n">
        <v>0.145</v>
      </c>
      <c r="BJ44" s="299" t="n">
        <v>0.54</v>
      </c>
      <c r="BK44" s="299" t="n">
        <v>0</v>
      </c>
      <c r="BL44" s="299" t="n">
        <v>-0.02</v>
      </c>
      <c r="BM44" s="299" t="n">
        <v>0.005</v>
      </c>
      <c r="BN44" s="299" t="n">
        <v>0</v>
      </c>
      <c r="BO44" s="299" t="n">
        <v>0.035</v>
      </c>
      <c r="BP44" s="299" t="n">
        <v>0.005</v>
      </c>
      <c r="BQ44" s="299" t="n">
        <v>0.005</v>
      </c>
      <c r="BR44" s="299" t="n">
        <v>0.1</v>
      </c>
      <c r="BS44" s="0" t="n">
        <v>0.02</v>
      </c>
      <c r="BT44" s="0" t="n">
        <v>0.03</v>
      </c>
      <c r="BU44" s="0" t="n">
        <v>0.03</v>
      </c>
      <c r="BV44" s="0" t="n">
        <v>0.04</v>
      </c>
    </row>
    <row r="45" customFormat="false" ht="12.75" hidden="false" customHeight="false" outlineLevel="0" collapsed="false">
      <c r="A45" s="301" t="e">
        <f aca="false">#REF!-B45</f>
        <v>#REF!</v>
      </c>
      <c r="B45" s="301" t="n">
        <v>3.188</v>
      </c>
      <c r="C45" s="308" t="n">
        <f aca="false">EOMONTH(C44,0)+1</f>
        <v>38443</v>
      </c>
      <c r="D45" s="0" t="n">
        <v>3.255</v>
      </c>
      <c r="E45" s="301" t="n">
        <v>0.2925</v>
      </c>
      <c r="F45" s="299" t="n">
        <v>0.0441629859154538</v>
      </c>
      <c r="G45" s="299" t="n">
        <v>-0.13</v>
      </c>
      <c r="H45" s="299" t="n">
        <v>-0.15</v>
      </c>
      <c r="I45" s="310" t="n">
        <v>-0.09</v>
      </c>
      <c r="J45" s="310" t="n">
        <v>-0.1375</v>
      </c>
      <c r="K45" s="299" t="n">
        <v>-0.09</v>
      </c>
      <c r="L45" s="299" t="n">
        <v>-0.0625</v>
      </c>
      <c r="M45" s="299" t="n">
        <v>-0.1</v>
      </c>
      <c r="N45" s="299" t="n">
        <v>-0.12</v>
      </c>
      <c r="O45" s="299" t="n">
        <v>-0.12</v>
      </c>
      <c r="P45" s="299" t="n">
        <v>-0.13</v>
      </c>
      <c r="Q45" s="299" t="n">
        <v>-0.0875</v>
      </c>
      <c r="R45" s="299" t="n">
        <v>-0.0725</v>
      </c>
      <c r="S45" s="299" t="n">
        <v>0.115</v>
      </c>
      <c r="T45" s="299" t="n">
        <v>0.145</v>
      </c>
      <c r="U45" s="299" t="n">
        <v>0.04</v>
      </c>
      <c r="V45" s="299" t="n">
        <v>0.5</v>
      </c>
      <c r="W45" s="299" t="n">
        <v>0.145</v>
      </c>
      <c r="X45" s="299" t="n">
        <v>0.195</v>
      </c>
      <c r="Y45" s="299" t="n">
        <v>-0.0275</v>
      </c>
      <c r="Z45" s="299" t="n">
        <v>-0.05</v>
      </c>
      <c r="AA45" s="299" t="n">
        <v>0.011</v>
      </c>
      <c r="AB45" s="299" t="n">
        <v>-0.0115</v>
      </c>
      <c r="AC45" s="299" t="n">
        <v>0.0025</v>
      </c>
      <c r="AD45" s="299" t="n">
        <v>-0.0225</v>
      </c>
      <c r="AE45" s="299" t="n">
        <v>-0.0725</v>
      </c>
      <c r="AF45" s="299" t="n">
        <v>-0.065</v>
      </c>
      <c r="AG45" s="299" t="n">
        <v>-0.0875</v>
      </c>
      <c r="AH45" s="299" t="n">
        <v>-0.0155</v>
      </c>
      <c r="AI45" s="299" t="n">
        <v>-0.0725</v>
      </c>
      <c r="AJ45" s="299" t="n">
        <v>-0.1025</v>
      </c>
      <c r="AK45" s="299" t="n">
        <v>-0.0175</v>
      </c>
      <c r="AL45" s="299" t="n">
        <v>0.0225</v>
      </c>
      <c r="AM45" s="299" t="n">
        <v>0.38</v>
      </c>
      <c r="AN45" s="299" t="n">
        <v>0.0175</v>
      </c>
      <c r="AO45" s="299" t="n">
        <v>-0.5</v>
      </c>
      <c r="AP45" s="299" t="n">
        <v>-0.085</v>
      </c>
      <c r="AQ45" s="299" t="n">
        <v>-0.2</v>
      </c>
      <c r="AR45" s="299" t="n">
        <v>-0.25</v>
      </c>
      <c r="AS45" s="299" t="n">
        <v>-0.42</v>
      </c>
      <c r="AT45" s="299" t="n">
        <v>-0.5</v>
      </c>
      <c r="AU45" s="299" t="n">
        <v>0.23</v>
      </c>
      <c r="AV45" s="299" t="n">
        <v>-0.5</v>
      </c>
      <c r="AW45" s="299" t="n">
        <v>-0.218</v>
      </c>
      <c r="AX45" s="299" t="n">
        <v>-0.0675</v>
      </c>
      <c r="AY45" s="299" t="n">
        <v>-0.158</v>
      </c>
      <c r="AZ45" s="299" t="n">
        <v>-0.0625</v>
      </c>
      <c r="BA45" s="299" t="n">
        <v>-0.1355</v>
      </c>
      <c r="BB45" s="299" t="n">
        <v>-0.0205</v>
      </c>
      <c r="BC45" s="299" t="n">
        <v>-0.0675</v>
      </c>
      <c r="BD45" s="299" t="n">
        <v>-0.0125</v>
      </c>
      <c r="BE45" s="299" t="n">
        <v>-0.0725</v>
      </c>
      <c r="BF45" s="299" t="n">
        <v>0.06</v>
      </c>
      <c r="BG45" s="299" t="n">
        <v>0.14</v>
      </c>
      <c r="BH45" s="299" t="n">
        <v>0.145</v>
      </c>
      <c r="BI45" s="299" t="n">
        <v>0.115</v>
      </c>
      <c r="BJ45" s="299" t="n">
        <v>0.36</v>
      </c>
      <c r="BK45" s="299" t="n">
        <v>0</v>
      </c>
      <c r="BL45" s="299" t="n">
        <v>-0.015</v>
      </c>
      <c r="BM45" s="299" t="n">
        <v>0.005</v>
      </c>
      <c r="BN45" s="299" t="n">
        <v>-0.01</v>
      </c>
      <c r="BO45" s="299" t="n">
        <v>0.02</v>
      </c>
      <c r="BP45" s="299" t="n">
        <v>0.005</v>
      </c>
      <c r="BQ45" s="299" t="n">
        <v>0.0025</v>
      </c>
      <c r="BR45" s="299" t="n">
        <v>0.02</v>
      </c>
      <c r="BS45" s="0" t="n">
        <v>0.005</v>
      </c>
      <c r="BT45" s="0" t="n">
        <v>0.03</v>
      </c>
      <c r="BU45" s="0" t="n">
        <v>0.03</v>
      </c>
      <c r="BV45" s="0" t="n">
        <v>0.03</v>
      </c>
    </row>
    <row r="46" customFormat="false" ht="12.75" hidden="false" customHeight="false" outlineLevel="0" collapsed="false">
      <c r="A46" s="301" t="e">
        <f aca="false">#REF!-B46</f>
        <v>#REF!</v>
      </c>
      <c r="B46" s="301" t="n">
        <v>3.3</v>
      </c>
      <c r="C46" s="308" t="n">
        <f aca="false">EOMONTH(C45,0)+1</f>
        <v>38473</v>
      </c>
      <c r="D46" s="0" t="n">
        <v>3.25</v>
      </c>
      <c r="E46" s="301" t="n">
        <v>0.285</v>
      </c>
      <c r="F46" s="299" t="n">
        <v>0.0446087139677753</v>
      </c>
      <c r="G46" s="299" t="n">
        <v>-0.13</v>
      </c>
      <c r="H46" s="299" t="n">
        <v>-0.15</v>
      </c>
      <c r="I46" s="310" t="n">
        <v>-0.09</v>
      </c>
      <c r="J46" s="310" t="n">
        <v>-0.1375</v>
      </c>
      <c r="K46" s="299" t="n">
        <v>-0.09</v>
      </c>
      <c r="L46" s="299" t="n">
        <v>-0.0625</v>
      </c>
      <c r="M46" s="299" t="n">
        <v>-0.1</v>
      </c>
      <c r="N46" s="299" t="n">
        <v>-0.12</v>
      </c>
      <c r="O46" s="299" t="n">
        <v>-0.12</v>
      </c>
      <c r="P46" s="299" t="n">
        <v>-0.13</v>
      </c>
      <c r="Q46" s="299" t="n">
        <v>-0.0875</v>
      </c>
      <c r="R46" s="299" t="n">
        <v>-0.0725</v>
      </c>
      <c r="S46" s="299" t="n">
        <v>0.115</v>
      </c>
      <c r="T46" s="299" t="n">
        <v>0.145</v>
      </c>
      <c r="U46" s="299" t="n">
        <v>0.04</v>
      </c>
      <c r="V46" s="299" t="n">
        <v>0.5</v>
      </c>
      <c r="W46" s="299" t="n">
        <v>0.125</v>
      </c>
      <c r="X46" s="299" t="n">
        <v>0.135</v>
      </c>
      <c r="Y46" s="299" t="n">
        <v>-0.0275</v>
      </c>
      <c r="Z46" s="299" t="n">
        <v>-0.05</v>
      </c>
      <c r="AA46" s="299" t="n">
        <v>0.011</v>
      </c>
      <c r="AB46" s="299" t="n">
        <v>-0.0115</v>
      </c>
      <c r="AC46" s="299" t="n">
        <v>0.0025</v>
      </c>
      <c r="AD46" s="299" t="n">
        <v>-0.0225</v>
      </c>
      <c r="AE46" s="299" t="n">
        <v>-0.0725</v>
      </c>
      <c r="AF46" s="299" t="n">
        <v>-0.065</v>
      </c>
      <c r="AG46" s="299" t="n">
        <v>-0.0875</v>
      </c>
      <c r="AH46" s="299" t="n">
        <v>-0.0155</v>
      </c>
      <c r="AI46" s="299" t="n">
        <v>-0.0725</v>
      </c>
      <c r="AJ46" s="299" t="n">
        <v>-0.1025</v>
      </c>
      <c r="AK46" s="299" t="n">
        <v>-0.0175</v>
      </c>
      <c r="AL46" s="299" t="n">
        <v>0.0225</v>
      </c>
      <c r="AM46" s="299" t="n">
        <v>0.33</v>
      </c>
      <c r="AN46" s="299" t="n">
        <v>0.0175</v>
      </c>
      <c r="AO46" s="299" t="n">
        <v>-0.5</v>
      </c>
      <c r="AP46" s="299" t="n">
        <v>-0.085</v>
      </c>
      <c r="AQ46" s="299" t="n">
        <v>-0.2</v>
      </c>
      <c r="AR46" s="299" t="n">
        <v>-0.25</v>
      </c>
      <c r="AS46" s="299" t="n">
        <v>-0.42</v>
      </c>
      <c r="AT46" s="299" t="n">
        <v>-0.5</v>
      </c>
      <c r="AU46" s="299" t="n">
        <v>0.23</v>
      </c>
      <c r="AV46" s="299" t="n">
        <v>-0.5</v>
      </c>
      <c r="AW46" s="299" t="n">
        <v>-0.1955</v>
      </c>
      <c r="AX46" s="299" t="n">
        <v>-0.0675</v>
      </c>
      <c r="AY46" s="299" t="n">
        <v>-0.1355</v>
      </c>
      <c r="AZ46" s="299" t="n">
        <v>-0.0625</v>
      </c>
      <c r="BA46" s="299" t="n">
        <v>-0.128</v>
      </c>
      <c r="BB46" s="299" t="n">
        <v>-0.0205</v>
      </c>
      <c r="BC46" s="299" t="n">
        <v>-0.0675</v>
      </c>
      <c r="BD46" s="299" t="n">
        <v>-0.0125</v>
      </c>
      <c r="BE46" s="299" t="n">
        <v>-0.0725</v>
      </c>
      <c r="BF46" s="299" t="n">
        <v>0.06</v>
      </c>
      <c r="BG46" s="299" t="n">
        <v>0.14</v>
      </c>
      <c r="BH46" s="299" t="n">
        <v>0.145</v>
      </c>
      <c r="BI46" s="299" t="n">
        <v>0.115</v>
      </c>
      <c r="BJ46" s="299" t="n">
        <v>0.325</v>
      </c>
      <c r="BK46" s="299" t="n">
        <v>0</v>
      </c>
      <c r="BL46" s="299" t="n">
        <v>-0.015</v>
      </c>
      <c r="BM46" s="299" t="n">
        <v>0.005</v>
      </c>
      <c r="BN46" s="299" t="n">
        <v>-0.01</v>
      </c>
      <c r="BO46" s="299" t="n">
        <v>0.02</v>
      </c>
      <c r="BP46" s="299" t="n">
        <v>0.005</v>
      </c>
      <c r="BQ46" s="299" t="n">
        <v>0.0025</v>
      </c>
      <c r="BR46" s="299" t="n">
        <v>0.02</v>
      </c>
      <c r="BS46" s="0" t="n">
        <v>0.005</v>
      </c>
      <c r="BT46" s="0" t="n">
        <v>0.03</v>
      </c>
      <c r="BU46" s="0" t="n">
        <v>0.03</v>
      </c>
      <c r="BV46" s="0" t="n">
        <v>0.03</v>
      </c>
    </row>
    <row r="47" customFormat="false" ht="12.75" hidden="false" customHeight="false" outlineLevel="0" collapsed="false">
      <c r="A47" s="301" t="e">
        <f aca="false">#REF!-B47</f>
        <v>#REF!</v>
      </c>
      <c r="B47" s="301" t="n">
        <v>3.409</v>
      </c>
      <c r="C47" s="308" t="n">
        <f aca="false">EOMONTH(C46,0)+1</f>
        <v>38504</v>
      </c>
      <c r="D47" s="0" t="n">
        <v>3.285</v>
      </c>
      <c r="E47" s="301" t="n">
        <v>0.285</v>
      </c>
      <c r="F47" s="299" t="n">
        <v>0.0450692996917126</v>
      </c>
      <c r="G47" s="299" t="n">
        <v>-0.13</v>
      </c>
      <c r="H47" s="299" t="n">
        <v>-0.15</v>
      </c>
      <c r="I47" s="310" t="n">
        <v>-0.09</v>
      </c>
      <c r="J47" s="310" t="n">
        <v>-0.1375</v>
      </c>
      <c r="K47" s="299" t="n">
        <v>-0.09</v>
      </c>
      <c r="L47" s="299" t="n">
        <v>-0.0625</v>
      </c>
      <c r="M47" s="299" t="n">
        <v>-0.1</v>
      </c>
      <c r="N47" s="299" t="n">
        <v>-0.12</v>
      </c>
      <c r="O47" s="299" t="n">
        <v>-0.12</v>
      </c>
      <c r="P47" s="299" t="n">
        <v>-0.13</v>
      </c>
      <c r="Q47" s="299" t="n">
        <v>-0.0875</v>
      </c>
      <c r="R47" s="299" t="n">
        <v>-0.0725</v>
      </c>
      <c r="S47" s="299" t="n">
        <v>0.115</v>
      </c>
      <c r="T47" s="299" t="n">
        <v>0.145</v>
      </c>
      <c r="U47" s="299" t="n">
        <v>0.04</v>
      </c>
      <c r="V47" s="299" t="n">
        <v>0.5</v>
      </c>
      <c r="W47" s="299" t="n">
        <v>0.145</v>
      </c>
      <c r="X47" s="299" t="n">
        <v>0.165</v>
      </c>
      <c r="Y47" s="299" t="n">
        <v>-0.0275</v>
      </c>
      <c r="Z47" s="299" t="n">
        <v>-0.0475</v>
      </c>
      <c r="AA47" s="299" t="n">
        <v>0.0135</v>
      </c>
      <c r="AB47" s="299" t="n">
        <v>-0.009</v>
      </c>
      <c r="AC47" s="299" t="n">
        <v>0.0025</v>
      </c>
      <c r="AD47" s="299" t="n">
        <v>-0.0225</v>
      </c>
      <c r="AE47" s="299" t="n">
        <v>-0.0725</v>
      </c>
      <c r="AF47" s="299" t="n">
        <v>-0.065</v>
      </c>
      <c r="AG47" s="299" t="n">
        <v>-0.0875</v>
      </c>
      <c r="AH47" s="299" t="n">
        <v>-0.0155</v>
      </c>
      <c r="AI47" s="299" t="n">
        <v>-0.0725</v>
      </c>
      <c r="AJ47" s="299" t="n">
        <v>-0.1025</v>
      </c>
      <c r="AK47" s="299" t="n">
        <v>-0.0175</v>
      </c>
      <c r="AL47" s="299" t="n">
        <v>0.0225</v>
      </c>
      <c r="AM47" s="299" t="n">
        <v>0.37</v>
      </c>
      <c r="AN47" s="299" t="n">
        <v>0.0225</v>
      </c>
      <c r="AO47" s="299" t="n">
        <v>-0.5</v>
      </c>
      <c r="AP47" s="299" t="n">
        <v>-0.085</v>
      </c>
      <c r="AQ47" s="299" t="n">
        <v>-0.2</v>
      </c>
      <c r="AR47" s="299" t="n">
        <v>-0.25</v>
      </c>
      <c r="AS47" s="299" t="n">
        <v>-0.42</v>
      </c>
      <c r="AT47" s="299" t="n">
        <v>-0.5</v>
      </c>
      <c r="AU47" s="299" t="n">
        <v>0.23</v>
      </c>
      <c r="AV47" s="299" t="n">
        <v>-0.5</v>
      </c>
      <c r="AW47" s="299" t="n">
        <v>-0.143</v>
      </c>
      <c r="AX47" s="299" t="n">
        <v>-0.0675</v>
      </c>
      <c r="AY47" s="299" t="n">
        <v>-0.083</v>
      </c>
      <c r="AZ47" s="299" t="n">
        <v>-0.0625</v>
      </c>
      <c r="BA47" s="299" t="n">
        <v>-0.0855</v>
      </c>
      <c r="BB47" s="299" t="n">
        <v>-0.0205</v>
      </c>
      <c r="BC47" s="299" t="n">
        <v>-0.0675</v>
      </c>
      <c r="BD47" s="299" t="n">
        <v>-0.0075</v>
      </c>
      <c r="BE47" s="299" t="n">
        <v>-0.0725</v>
      </c>
      <c r="BF47" s="299" t="n">
        <v>0.06</v>
      </c>
      <c r="BG47" s="299" t="n">
        <v>0.14</v>
      </c>
      <c r="BH47" s="299" t="n">
        <v>0.145</v>
      </c>
      <c r="BI47" s="299" t="n">
        <v>0.115</v>
      </c>
      <c r="BJ47" s="299" t="n">
        <v>0.335</v>
      </c>
      <c r="BK47" s="299" t="n">
        <v>0</v>
      </c>
      <c r="BL47" s="299" t="n">
        <v>-0.015</v>
      </c>
      <c r="BM47" s="299" t="n">
        <v>0.005</v>
      </c>
      <c r="BN47" s="299" t="n">
        <v>-0.01</v>
      </c>
      <c r="BO47" s="299" t="n">
        <v>0.02</v>
      </c>
      <c r="BP47" s="299" t="n">
        <v>0.005</v>
      </c>
      <c r="BQ47" s="299" t="n">
        <v>0.0025</v>
      </c>
      <c r="BR47" s="299" t="n">
        <v>0.035</v>
      </c>
      <c r="BS47" s="0" t="n">
        <v>0.005</v>
      </c>
      <c r="BT47" s="0" t="n">
        <v>0.03</v>
      </c>
      <c r="BU47" s="0" t="n">
        <v>0.03</v>
      </c>
      <c r="BV47" s="0" t="n">
        <v>0.03</v>
      </c>
    </row>
    <row r="48" customFormat="false" ht="12.75" hidden="false" customHeight="false" outlineLevel="0" collapsed="false">
      <c r="A48" s="301" t="e">
        <f aca="false">#REF!-B48</f>
        <v>#REF!</v>
      </c>
      <c r="B48" s="301" t="n">
        <v>3.545</v>
      </c>
      <c r="C48" s="308" t="n">
        <f aca="false">EOMONTH(C47,0)+1</f>
        <v>38534</v>
      </c>
      <c r="D48" s="0" t="n">
        <v>3.325</v>
      </c>
      <c r="E48" s="301" t="n">
        <v>0.28</v>
      </c>
      <c r="F48" s="299" t="n">
        <v>0.0454931128840683</v>
      </c>
      <c r="G48" s="299" t="n">
        <v>-0.13</v>
      </c>
      <c r="H48" s="299" t="n">
        <v>-0.15</v>
      </c>
      <c r="I48" s="310" t="n">
        <v>-0.09</v>
      </c>
      <c r="J48" s="310" t="n">
        <v>-0.1375</v>
      </c>
      <c r="K48" s="299" t="n">
        <v>-0.09</v>
      </c>
      <c r="L48" s="299" t="n">
        <v>-0.0625</v>
      </c>
      <c r="M48" s="299" t="n">
        <v>-0.1</v>
      </c>
      <c r="N48" s="299" t="n">
        <v>-0.12</v>
      </c>
      <c r="O48" s="299" t="n">
        <v>-0.12</v>
      </c>
      <c r="P48" s="299" t="n">
        <v>-0.13</v>
      </c>
      <c r="Q48" s="299" t="n">
        <v>-0.0875</v>
      </c>
      <c r="R48" s="299" t="n">
        <v>-0.0725</v>
      </c>
      <c r="S48" s="299" t="n">
        <v>0.115</v>
      </c>
      <c r="T48" s="299" t="n">
        <v>0.145</v>
      </c>
      <c r="U48" s="299" t="n">
        <v>0.04</v>
      </c>
      <c r="V48" s="299" t="n">
        <v>0.5</v>
      </c>
      <c r="W48" s="299" t="n">
        <v>0.15</v>
      </c>
      <c r="X48" s="299" t="n">
        <v>0.205</v>
      </c>
      <c r="Y48" s="299" t="n">
        <v>-0.0275</v>
      </c>
      <c r="Z48" s="299" t="n">
        <v>-0.0475</v>
      </c>
      <c r="AA48" s="299" t="n">
        <v>0.0135</v>
      </c>
      <c r="AB48" s="299" t="n">
        <v>-0.009</v>
      </c>
      <c r="AC48" s="299" t="n">
        <v>0.0025</v>
      </c>
      <c r="AD48" s="299" t="n">
        <v>-0.0225</v>
      </c>
      <c r="AE48" s="299" t="n">
        <v>-0.0725</v>
      </c>
      <c r="AF48" s="299" t="n">
        <v>-0.065</v>
      </c>
      <c r="AG48" s="299" t="n">
        <v>-0.0875</v>
      </c>
      <c r="AH48" s="299" t="n">
        <v>-0.0155</v>
      </c>
      <c r="AI48" s="299" t="n">
        <v>-0.0725</v>
      </c>
      <c r="AJ48" s="299" t="n">
        <v>-0.1025</v>
      </c>
      <c r="AK48" s="299" t="n">
        <v>-0.0175</v>
      </c>
      <c r="AL48" s="299" t="n">
        <v>0.0225</v>
      </c>
      <c r="AM48" s="299" t="n">
        <v>0.41</v>
      </c>
      <c r="AN48" s="299" t="n">
        <v>0.025</v>
      </c>
      <c r="AO48" s="299" t="n">
        <v>-0.5</v>
      </c>
      <c r="AP48" s="299" t="n">
        <v>-0.085</v>
      </c>
      <c r="AQ48" s="299" t="n">
        <v>-0.2</v>
      </c>
      <c r="AR48" s="299" t="n">
        <v>-0.25</v>
      </c>
      <c r="AS48" s="299" t="n">
        <v>-0.42</v>
      </c>
      <c r="AT48" s="299" t="n">
        <v>-0.5</v>
      </c>
      <c r="AU48" s="299" t="n">
        <v>0.23</v>
      </c>
      <c r="AV48" s="299" t="n">
        <v>-0.5</v>
      </c>
      <c r="AW48" s="299" t="n">
        <v>-0.153</v>
      </c>
      <c r="AX48" s="299" t="n">
        <v>-0.0675</v>
      </c>
      <c r="AY48" s="299" t="n">
        <v>-0.093</v>
      </c>
      <c r="AZ48" s="299" t="n">
        <v>-0.0625</v>
      </c>
      <c r="BA48" s="299" t="n">
        <v>-0.083</v>
      </c>
      <c r="BB48" s="299" t="n">
        <v>-0.0205</v>
      </c>
      <c r="BC48" s="299" t="n">
        <v>-0.0675</v>
      </c>
      <c r="BD48" s="299" t="n">
        <v>-0.005</v>
      </c>
      <c r="BE48" s="299" t="n">
        <v>-0.0725</v>
      </c>
      <c r="BF48" s="299" t="n">
        <v>0.06</v>
      </c>
      <c r="BG48" s="299" t="n">
        <v>0.14</v>
      </c>
      <c r="BH48" s="299" t="n">
        <v>0.145</v>
      </c>
      <c r="BI48" s="299" t="n">
        <v>0.115</v>
      </c>
      <c r="BJ48" s="299" t="n">
        <v>0.35</v>
      </c>
      <c r="BK48" s="299" t="n">
        <v>0</v>
      </c>
      <c r="BL48" s="299" t="n">
        <v>-0.01</v>
      </c>
      <c r="BM48" s="299" t="n">
        <v>0.005</v>
      </c>
      <c r="BN48" s="299" t="n">
        <v>-0.01</v>
      </c>
      <c r="BO48" s="299" t="n">
        <v>0.02</v>
      </c>
      <c r="BP48" s="299" t="n">
        <v>0.005</v>
      </c>
      <c r="BQ48" s="299" t="n">
        <v>0.0025</v>
      </c>
      <c r="BR48" s="299" t="n">
        <v>0.035</v>
      </c>
      <c r="BS48" s="0" t="n">
        <v>0.005</v>
      </c>
      <c r="BT48" s="0" t="n">
        <v>0.03</v>
      </c>
      <c r="BU48" s="0" t="n">
        <v>0.03</v>
      </c>
      <c r="BV48" s="0" t="n">
        <v>0.03</v>
      </c>
    </row>
    <row r="49" customFormat="false" ht="12.75" hidden="false" customHeight="false" outlineLevel="0" collapsed="false">
      <c r="A49" s="301" t="e">
        <f aca="false">#REF!-B49</f>
        <v>#REF!</v>
      </c>
      <c r="B49" s="301" t="n">
        <v>3.422</v>
      </c>
      <c r="C49" s="308" t="n">
        <f aca="false">EOMONTH(C48,0)+1</f>
        <v>38565</v>
      </c>
      <c r="D49" s="0" t="n">
        <v>3.365</v>
      </c>
      <c r="E49" s="301" t="n">
        <v>0.28</v>
      </c>
      <c r="F49" s="299" t="n">
        <v>0.045909969215757</v>
      </c>
      <c r="G49" s="299" t="n">
        <v>-0.13</v>
      </c>
      <c r="H49" s="299" t="n">
        <v>-0.15</v>
      </c>
      <c r="I49" s="310" t="n">
        <v>-0.09</v>
      </c>
      <c r="J49" s="310" t="n">
        <v>-0.1375</v>
      </c>
      <c r="K49" s="299" t="n">
        <v>-0.09</v>
      </c>
      <c r="L49" s="299" t="n">
        <v>-0.0625</v>
      </c>
      <c r="M49" s="299" t="n">
        <v>-0.1</v>
      </c>
      <c r="N49" s="299" t="n">
        <v>-0.12</v>
      </c>
      <c r="O49" s="299" t="n">
        <v>-0.12</v>
      </c>
      <c r="P49" s="299" t="n">
        <v>-0.13</v>
      </c>
      <c r="Q49" s="299" t="n">
        <v>-0.0875</v>
      </c>
      <c r="R49" s="299" t="n">
        <v>-0.0725</v>
      </c>
      <c r="S49" s="299" t="n">
        <v>0.115</v>
      </c>
      <c r="T49" s="299" t="n">
        <v>0.145</v>
      </c>
      <c r="U49" s="299" t="n">
        <v>0.04</v>
      </c>
      <c r="V49" s="299" t="n">
        <v>0.5</v>
      </c>
      <c r="W49" s="299" t="n">
        <v>0.15</v>
      </c>
      <c r="X49" s="299" t="n">
        <v>0.205</v>
      </c>
      <c r="Y49" s="299" t="n">
        <v>-0.0275</v>
      </c>
      <c r="Z49" s="299" t="n">
        <v>-0.0475</v>
      </c>
      <c r="AA49" s="299" t="n">
        <v>0.0135</v>
      </c>
      <c r="AB49" s="299" t="n">
        <v>-0.009</v>
      </c>
      <c r="AC49" s="299" t="n">
        <v>0.0025</v>
      </c>
      <c r="AD49" s="299" t="n">
        <v>-0.0225</v>
      </c>
      <c r="AE49" s="299" t="n">
        <v>-0.0725</v>
      </c>
      <c r="AF49" s="299" t="n">
        <v>-0.065</v>
      </c>
      <c r="AG49" s="299" t="n">
        <v>-0.0875</v>
      </c>
      <c r="AH49" s="299" t="n">
        <v>-0.0155</v>
      </c>
      <c r="AI49" s="299" t="n">
        <v>-0.0725</v>
      </c>
      <c r="AJ49" s="299" t="n">
        <v>-0.1025</v>
      </c>
      <c r="AK49" s="299" t="n">
        <v>-0.0175</v>
      </c>
      <c r="AL49" s="299" t="n">
        <v>0.0225</v>
      </c>
      <c r="AM49" s="299" t="n">
        <v>0.41</v>
      </c>
      <c r="AN49" s="299" t="n">
        <v>0.0275</v>
      </c>
      <c r="AO49" s="299" t="n">
        <v>-0.5</v>
      </c>
      <c r="AP49" s="299" t="n">
        <v>-0.085</v>
      </c>
      <c r="AQ49" s="299" t="n">
        <v>-0.2</v>
      </c>
      <c r="AR49" s="299" t="n">
        <v>-0.25</v>
      </c>
      <c r="AS49" s="299" t="n">
        <v>-0.42</v>
      </c>
      <c r="AT49" s="299" t="n">
        <v>-0.5</v>
      </c>
      <c r="AU49" s="299" t="n">
        <v>0.23</v>
      </c>
      <c r="AV49" s="299" t="n">
        <v>-0.5</v>
      </c>
      <c r="AW49" s="299" t="n">
        <v>-0.148</v>
      </c>
      <c r="AX49" s="299" t="n">
        <v>-0.0675</v>
      </c>
      <c r="AY49" s="299" t="n">
        <v>-0.088</v>
      </c>
      <c r="AZ49" s="299" t="n">
        <v>-0.0625</v>
      </c>
      <c r="BA49" s="299" t="n">
        <v>-0.0805</v>
      </c>
      <c r="BB49" s="299" t="n">
        <v>-0.0205</v>
      </c>
      <c r="BC49" s="299" t="n">
        <v>-0.0675</v>
      </c>
      <c r="BD49" s="299" t="n">
        <v>-0.0025</v>
      </c>
      <c r="BE49" s="299" t="n">
        <v>-0.0725</v>
      </c>
      <c r="BF49" s="299" t="n">
        <v>0.06</v>
      </c>
      <c r="BG49" s="299" t="n">
        <v>0.14</v>
      </c>
      <c r="BH49" s="299" t="n">
        <v>0.145</v>
      </c>
      <c r="BI49" s="299" t="n">
        <v>0.115</v>
      </c>
      <c r="BJ49" s="299" t="n">
        <v>0.35</v>
      </c>
      <c r="BK49" s="299" t="n">
        <v>0</v>
      </c>
      <c r="BL49" s="299" t="n">
        <v>-0.01</v>
      </c>
      <c r="BM49" s="299" t="n">
        <v>0.005</v>
      </c>
      <c r="BN49" s="299" t="n">
        <v>-0.01</v>
      </c>
      <c r="BO49" s="299" t="n">
        <v>0.02</v>
      </c>
      <c r="BP49" s="299" t="n">
        <v>0.005</v>
      </c>
      <c r="BQ49" s="299" t="n">
        <v>0.0025</v>
      </c>
      <c r="BR49" s="299" t="n">
        <v>0.01</v>
      </c>
      <c r="BS49" s="0" t="n">
        <v>0.005</v>
      </c>
      <c r="BT49" s="0" t="n">
        <v>0.03</v>
      </c>
      <c r="BU49" s="0" t="n">
        <v>0.03</v>
      </c>
      <c r="BV49" s="0" t="n">
        <v>0.03</v>
      </c>
    </row>
    <row r="50" customFormat="false" ht="12.75" hidden="false" customHeight="false" outlineLevel="0" collapsed="false">
      <c r="A50" s="301" t="e">
        <f aca="false">#REF!-B50</f>
        <v>#REF!</v>
      </c>
      <c r="B50" s="301" t="n">
        <v>3.267</v>
      </c>
      <c r="C50" s="308" t="n">
        <f aca="false">EOMONTH(C49,0)+1</f>
        <v>38596</v>
      </c>
      <c r="D50" s="0" t="n">
        <v>3.36</v>
      </c>
      <c r="E50" s="301" t="n">
        <v>0.28</v>
      </c>
      <c r="F50" s="299" t="n">
        <v>0.04632682560558</v>
      </c>
      <c r="G50" s="299" t="n">
        <v>-0.13</v>
      </c>
      <c r="H50" s="299" t="n">
        <v>-0.15</v>
      </c>
      <c r="I50" s="310" t="n">
        <v>-0.09</v>
      </c>
      <c r="J50" s="310" t="n">
        <v>-0.1375</v>
      </c>
      <c r="K50" s="299" t="n">
        <v>-0.09</v>
      </c>
      <c r="L50" s="299" t="n">
        <v>-0.0625</v>
      </c>
      <c r="M50" s="299" t="n">
        <v>-0.1</v>
      </c>
      <c r="N50" s="299" t="n">
        <v>-0.12</v>
      </c>
      <c r="O50" s="299" t="n">
        <v>-0.12</v>
      </c>
      <c r="P50" s="299" t="n">
        <v>-0.13</v>
      </c>
      <c r="Q50" s="299" t="n">
        <v>-0.0875</v>
      </c>
      <c r="R50" s="299" t="n">
        <v>-0.0725</v>
      </c>
      <c r="S50" s="299" t="n">
        <v>0.115</v>
      </c>
      <c r="T50" s="299" t="n">
        <v>0.145</v>
      </c>
      <c r="U50" s="299" t="n">
        <v>0.04</v>
      </c>
      <c r="V50" s="299" t="n">
        <v>0.5</v>
      </c>
      <c r="W50" s="299" t="n">
        <v>0.125</v>
      </c>
      <c r="X50" s="299" t="n">
        <v>0.145</v>
      </c>
      <c r="Y50" s="299" t="n">
        <v>-0.0275</v>
      </c>
      <c r="Z50" s="299" t="n">
        <v>-0.0525</v>
      </c>
      <c r="AA50" s="299" t="n">
        <v>0.0085</v>
      </c>
      <c r="AB50" s="299" t="n">
        <v>-0.014</v>
      </c>
      <c r="AC50" s="299" t="n">
        <v>0.0025</v>
      </c>
      <c r="AD50" s="299" t="n">
        <v>-0.0225</v>
      </c>
      <c r="AE50" s="299" t="n">
        <v>-0.0725</v>
      </c>
      <c r="AF50" s="299" t="n">
        <v>-0.065</v>
      </c>
      <c r="AG50" s="299" t="n">
        <v>-0.0875</v>
      </c>
      <c r="AH50" s="299" t="n">
        <v>-0.0155</v>
      </c>
      <c r="AI50" s="299" t="n">
        <v>-0.0725</v>
      </c>
      <c r="AJ50" s="299" t="n">
        <v>-0.1025</v>
      </c>
      <c r="AK50" s="299" t="n">
        <v>-0.0175</v>
      </c>
      <c r="AL50" s="299" t="n">
        <v>0.0225</v>
      </c>
      <c r="AM50" s="299" t="n">
        <v>0.36</v>
      </c>
      <c r="AN50" s="299" t="n">
        <v>0.02</v>
      </c>
      <c r="AO50" s="299" t="n">
        <v>-0.5</v>
      </c>
      <c r="AP50" s="299" t="n">
        <v>-0.085</v>
      </c>
      <c r="AQ50" s="299" t="n">
        <v>-0.2</v>
      </c>
      <c r="AR50" s="299" t="n">
        <v>-0.25</v>
      </c>
      <c r="AS50" s="299" t="n">
        <v>-0.42</v>
      </c>
      <c r="AT50" s="299" t="n">
        <v>-0.5</v>
      </c>
      <c r="AU50" s="299" t="n">
        <v>0.23</v>
      </c>
      <c r="AV50" s="299" t="n">
        <v>-0.5</v>
      </c>
      <c r="AW50" s="299" t="n">
        <v>-0.158</v>
      </c>
      <c r="AX50" s="299" t="n">
        <v>-0.0675</v>
      </c>
      <c r="AY50" s="299" t="n">
        <v>-0.098</v>
      </c>
      <c r="AZ50" s="299" t="n">
        <v>-0.0625</v>
      </c>
      <c r="BA50" s="299" t="n">
        <v>-0.0855</v>
      </c>
      <c r="BB50" s="299" t="n">
        <v>-0.0205</v>
      </c>
      <c r="BC50" s="299" t="n">
        <v>-0.0675</v>
      </c>
      <c r="BD50" s="299" t="n">
        <v>-0.01</v>
      </c>
      <c r="BE50" s="299" t="n">
        <v>-0.0725</v>
      </c>
      <c r="BF50" s="299" t="n">
        <v>0.06</v>
      </c>
      <c r="BG50" s="299" t="n">
        <v>0.14</v>
      </c>
      <c r="BH50" s="299" t="n">
        <v>0.145</v>
      </c>
      <c r="BI50" s="299" t="n">
        <v>0.115</v>
      </c>
      <c r="BJ50" s="299" t="n">
        <v>0.315</v>
      </c>
      <c r="BK50" s="299" t="n">
        <v>0</v>
      </c>
      <c r="BL50" s="299" t="n">
        <v>-0.01</v>
      </c>
      <c r="BM50" s="299" t="n">
        <v>0.005</v>
      </c>
      <c r="BN50" s="299" t="n">
        <v>-0.01</v>
      </c>
      <c r="BO50" s="299" t="n">
        <v>0.02</v>
      </c>
      <c r="BP50" s="299" t="n">
        <v>0.005</v>
      </c>
      <c r="BQ50" s="299" t="n">
        <v>0.0025</v>
      </c>
      <c r="BR50" s="299" t="n">
        <v>0.01</v>
      </c>
      <c r="BS50" s="0" t="n">
        <v>0.005</v>
      </c>
      <c r="BT50" s="0" t="n">
        <v>0.03</v>
      </c>
      <c r="BU50" s="0" t="n">
        <v>0.03</v>
      </c>
      <c r="BV50" s="0" t="n">
        <v>0.03</v>
      </c>
    </row>
    <row r="51" customFormat="false" ht="12.75" hidden="false" customHeight="false" outlineLevel="0" collapsed="false">
      <c r="A51" s="301" t="e">
        <f aca="false">#REF!-B51</f>
        <v>#REF!</v>
      </c>
      <c r="B51" s="301" t="n">
        <v>3.115</v>
      </c>
      <c r="C51" s="308" t="n">
        <f aca="false">EOMONTH(C50,0)+1</f>
        <v>38626</v>
      </c>
      <c r="D51" s="0" t="n">
        <v>3.385</v>
      </c>
      <c r="E51" s="301" t="n">
        <v>0.28</v>
      </c>
      <c r="F51" s="299" t="n">
        <v>0.0467165492653465</v>
      </c>
      <c r="G51" s="299" t="n">
        <v>-0.13</v>
      </c>
      <c r="H51" s="299" t="n">
        <v>-0.15</v>
      </c>
      <c r="I51" s="310" t="n">
        <v>-0.09</v>
      </c>
      <c r="J51" s="310" t="n">
        <v>-0.1375</v>
      </c>
      <c r="K51" s="299" t="n">
        <v>-0.09</v>
      </c>
      <c r="L51" s="299" t="n">
        <v>-0.0625</v>
      </c>
      <c r="M51" s="299" t="n">
        <v>-0.1</v>
      </c>
      <c r="N51" s="299" t="n">
        <v>-0.12</v>
      </c>
      <c r="O51" s="299" t="n">
        <v>-0.12</v>
      </c>
      <c r="P51" s="299" t="n">
        <v>-0.13</v>
      </c>
      <c r="Q51" s="299" t="n">
        <v>-0.0875</v>
      </c>
      <c r="R51" s="299" t="n">
        <v>-0.0725</v>
      </c>
      <c r="S51" s="299" t="n">
        <v>0.115</v>
      </c>
      <c r="T51" s="299" t="n">
        <v>0.145</v>
      </c>
      <c r="U51" s="299" t="n">
        <v>0.04</v>
      </c>
      <c r="V51" s="299" t="n">
        <v>0.5</v>
      </c>
      <c r="W51" s="299" t="n">
        <v>0.145</v>
      </c>
      <c r="X51" s="299" t="n">
        <v>0.175</v>
      </c>
      <c r="Y51" s="299" t="n">
        <v>-0.0275</v>
      </c>
      <c r="Z51" s="299" t="n">
        <v>-0.0525</v>
      </c>
      <c r="AA51" s="299" t="n">
        <v>0.0085</v>
      </c>
      <c r="AB51" s="299" t="n">
        <v>-0.014</v>
      </c>
      <c r="AC51" s="299" t="n">
        <v>0.0025</v>
      </c>
      <c r="AD51" s="299" t="n">
        <v>-0.0225</v>
      </c>
      <c r="AE51" s="299" t="n">
        <v>-0.0725</v>
      </c>
      <c r="AF51" s="299" t="n">
        <v>-0.065</v>
      </c>
      <c r="AG51" s="299" t="n">
        <v>-0.0875</v>
      </c>
      <c r="AH51" s="299" t="n">
        <v>-0.0155</v>
      </c>
      <c r="AI51" s="299" t="n">
        <v>-0.0725</v>
      </c>
      <c r="AJ51" s="299" t="n">
        <v>-0.1025</v>
      </c>
      <c r="AK51" s="299" t="n">
        <v>-0.0175</v>
      </c>
      <c r="AL51" s="299" t="n">
        <v>0.0225</v>
      </c>
      <c r="AM51" s="299" t="n">
        <v>0.4</v>
      </c>
      <c r="AN51" s="299" t="n">
        <v>0.01</v>
      </c>
      <c r="AO51" s="299" t="n">
        <v>-0.5</v>
      </c>
      <c r="AP51" s="299" t="n">
        <v>-0.085</v>
      </c>
      <c r="AQ51" s="299" t="n">
        <v>-0.2</v>
      </c>
      <c r="AR51" s="299" t="n">
        <v>-0.25</v>
      </c>
      <c r="AS51" s="299" t="n">
        <v>-0.42</v>
      </c>
      <c r="AT51" s="299" t="n">
        <v>-0.5</v>
      </c>
      <c r="AU51" s="299" t="n">
        <v>0.23</v>
      </c>
      <c r="AV51" s="299" t="n">
        <v>-0.5</v>
      </c>
      <c r="AW51" s="299" t="n">
        <v>-0.1455</v>
      </c>
      <c r="AX51" s="299" t="n">
        <v>-0.0675</v>
      </c>
      <c r="AY51" s="299" t="n">
        <v>-0.0855</v>
      </c>
      <c r="AZ51" s="299" t="n">
        <v>-0.0625</v>
      </c>
      <c r="BA51" s="299" t="n">
        <v>-0.088</v>
      </c>
      <c r="BB51" s="299" t="n">
        <v>-0.0205</v>
      </c>
      <c r="BC51" s="299" t="n">
        <v>-0.0675</v>
      </c>
      <c r="BD51" s="299" t="n">
        <v>-0.02</v>
      </c>
      <c r="BE51" s="299" t="n">
        <v>-0.0725</v>
      </c>
      <c r="BF51" s="299" t="n">
        <v>0.06</v>
      </c>
      <c r="BG51" s="299" t="n">
        <v>0.14</v>
      </c>
      <c r="BH51" s="299" t="n">
        <v>0.145</v>
      </c>
      <c r="BI51" s="299" t="n">
        <v>0.115</v>
      </c>
      <c r="BJ51" s="299" t="n">
        <v>0.36</v>
      </c>
      <c r="BK51" s="299" t="n">
        <v>0</v>
      </c>
      <c r="BL51" s="299" t="n">
        <v>-0.015</v>
      </c>
      <c r="BM51" s="299" t="n">
        <v>0.005</v>
      </c>
      <c r="BN51" s="299" t="n">
        <v>-0.01</v>
      </c>
      <c r="BO51" s="299" t="n">
        <v>0.02</v>
      </c>
      <c r="BP51" s="299" t="n">
        <v>0.005</v>
      </c>
      <c r="BQ51" s="299" t="n">
        <v>0.0025</v>
      </c>
      <c r="BR51" s="299" t="n">
        <v>0.01</v>
      </c>
      <c r="BS51" s="0" t="n">
        <v>0.005</v>
      </c>
      <c r="BT51" s="0" t="n">
        <v>0.03</v>
      </c>
      <c r="BU51" s="0" t="n">
        <v>0.03</v>
      </c>
      <c r="BV51" s="0" t="n">
        <v>0.03</v>
      </c>
    </row>
    <row r="52" customFormat="false" ht="12.75" hidden="false" customHeight="false" outlineLevel="0" collapsed="false">
      <c r="A52" s="301" t="e">
        <f aca="false">#REF!-B52</f>
        <v>#REF!</v>
      </c>
      <c r="B52" s="301" t="n">
        <v>3.088</v>
      </c>
      <c r="C52" s="308" t="n">
        <f aca="false">EOMONTH(C51,0)+1</f>
        <v>38657</v>
      </c>
      <c r="D52" s="0" t="n">
        <v>3.537</v>
      </c>
      <c r="E52" s="301" t="n">
        <v>0.28</v>
      </c>
      <c r="F52" s="299" t="n">
        <v>0.0470928800068173</v>
      </c>
      <c r="G52" s="299" t="n">
        <v>-0.13</v>
      </c>
      <c r="H52" s="299" t="n">
        <v>-0.15</v>
      </c>
      <c r="I52" s="310" t="n">
        <v>-0.01</v>
      </c>
      <c r="J52" s="310" t="n">
        <v>-0.1375</v>
      </c>
      <c r="K52" s="299" t="n">
        <v>0</v>
      </c>
      <c r="L52" s="299" t="n">
        <v>-0.06</v>
      </c>
      <c r="M52" s="299" t="n">
        <v>-0.1</v>
      </c>
      <c r="N52" s="299" t="n">
        <v>-0.12</v>
      </c>
      <c r="O52" s="299" t="n">
        <v>-0.12</v>
      </c>
      <c r="P52" s="299" t="n">
        <v>-0.13</v>
      </c>
      <c r="Q52" s="299" t="n">
        <v>-0.0925</v>
      </c>
      <c r="R52" s="299" t="n">
        <v>-0.07</v>
      </c>
      <c r="S52" s="299" t="n">
        <v>0.155</v>
      </c>
      <c r="T52" s="299" t="n">
        <v>0.205</v>
      </c>
      <c r="U52" s="299" t="n">
        <v>0.125</v>
      </c>
      <c r="V52" s="299" t="n">
        <v>0.5</v>
      </c>
      <c r="W52" s="299" t="n">
        <v>0.195</v>
      </c>
      <c r="X52" s="299" t="n">
        <v>0.21</v>
      </c>
      <c r="Y52" s="299" t="n">
        <v>-0.025</v>
      </c>
      <c r="Z52" s="299" t="n">
        <v>-0.0375</v>
      </c>
      <c r="AA52" s="299" t="n">
        <v>0.0035</v>
      </c>
      <c r="AB52" s="299" t="n">
        <v>-0.019</v>
      </c>
      <c r="AC52" s="299" t="n">
        <v>0.0025</v>
      </c>
      <c r="AD52" s="299" t="n">
        <v>-0.0225</v>
      </c>
      <c r="AE52" s="299" t="n">
        <v>-0.075</v>
      </c>
      <c r="AF52" s="299" t="n">
        <v>-0.0675</v>
      </c>
      <c r="AG52" s="299" t="n">
        <v>-0.09</v>
      </c>
      <c r="AH52" s="299" t="n">
        <v>-0.017</v>
      </c>
      <c r="AI52" s="299" t="n">
        <v>-0.0665</v>
      </c>
      <c r="AJ52" s="299" t="n">
        <v>-0.115</v>
      </c>
      <c r="AK52" s="299" t="n">
        <v>-0.0115</v>
      </c>
      <c r="AL52" s="299" t="n">
        <v>0.0285</v>
      </c>
      <c r="AM52" s="299" t="n">
        <v>0.65</v>
      </c>
      <c r="AN52" s="299" t="n">
        <v>-0.0225</v>
      </c>
      <c r="AO52" s="299" t="n">
        <v>-0.34</v>
      </c>
      <c r="AP52" s="299" t="n">
        <v>-0.085</v>
      </c>
      <c r="AQ52" s="299" t="n">
        <v>-0.13</v>
      </c>
      <c r="AR52" s="299" t="n">
        <v>0.248</v>
      </c>
      <c r="AS52" s="299" t="n">
        <v>-0.26</v>
      </c>
      <c r="AT52" s="299" t="n">
        <v>-0.34</v>
      </c>
      <c r="AU52" s="299" t="n">
        <v>0.24</v>
      </c>
      <c r="AV52" s="299" t="n">
        <v>-0.34</v>
      </c>
      <c r="AW52" s="299" t="n">
        <v>-0.153</v>
      </c>
      <c r="AX52" s="299" t="n">
        <v>-0.0675</v>
      </c>
      <c r="AY52" s="299" t="n">
        <v>-0.093</v>
      </c>
      <c r="AZ52" s="299" t="n">
        <v>-0.06</v>
      </c>
      <c r="BA52" s="299" t="n">
        <v>-0.083</v>
      </c>
      <c r="BB52" s="299" t="n">
        <v>-0.022</v>
      </c>
      <c r="BC52" s="299" t="n">
        <v>-0.08</v>
      </c>
      <c r="BD52" s="299" t="n">
        <v>-0.0525</v>
      </c>
      <c r="BE52" s="299" t="n">
        <v>-0.075</v>
      </c>
      <c r="BF52" s="299" t="n">
        <v>0.15</v>
      </c>
      <c r="BG52" s="299" t="n">
        <v>0.23</v>
      </c>
      <c r="BH52" s="299" t="n">
        <v>0.205</v>
      </c>
      <c r="BI52" s="299" t="n">
        <v>0.155</v>
      </c>
      <c r="BJ52" s="299" t="n">
        <v>0.46</v>
      </c>
      <c r="BK52" s="299" t="n">
        <v>0</v>
      </c>
      <c r="BL52" s="299" t="n">
        <v>-0.02</v>
      </c>
      <c r="BM52" s="299" t="n">
        <v>0.005</v>
      </c>
      <c r="BN52" s="299" t="n">
        <v>0</v>
      </c>
      <c r="BO52" s="299" t="n">
        <v>0.035</v>
      </c>
      <c r="BP52" s="299" t="n">
        <v>0.005</v>
      </c>
      <c r="BQ52" s="299" t="n">
        <v>0.005</v>
      </c>
      <c r="BR52" s="299" t="n">
        <v>0.055</v>
      </c>
      <c r="BS52" s="0" t="n">
        <v>0.02</v>
      </c>
      <c r="BT52" s="0" t="n">
        <v>0.032</v>
      </c>
      <c r="BU52" s="0" t="n">
        <v>0.032</v>
      </c>
      <c r="BV52" s="0" t="n">
        <v>0.03</v>
      </c>
    </row>
    <row r="53" customFormat="false" ht="12.75" hidden="false" customHeight="false" outlineLevel="0" collapsed="false">
      <c r="A53" s="301" t="e">
        <f aca="false">#REF!-B53</f>
        <v>#REF!</v>
      </c>
      <c r="B53" s="301" t="n">
        <v>3.069</v>
      </c>
      <c r="C53" s="308" t="n">
        <f aca="false">EOMONTH(C52,0)+1</f>
        <v>38687</v>
      </c>
      <c r="D53" s="0" t="n">
        <v>3.68</v>
      </c>
      <c r="E53" s="301" t="n">
        <v>0.28</v>
      </c>
      <c r="F53" s="299" t="n">
        <v>0.0474570710920372</v>
      </c>
      <c r="G53" s="299" t="n">
        <v>-0.1325</v>
      </c>
      <c r="H53" s="299" t="n">
        <v>-0.1525</v>
      </c>
      <c r="I53" s="310" t="n">
        <v>-0.005</v>
      </c>
      <c r="J53" s="310" t="n">
        <v>-0.1375</v>
      </c>
      <c r="K53" s="299" t="n">
        <v>0.005</v>
      </c>
      <c r="L53" s="299" t="n">
        <v>-0.06</v>
      </c>
      <c r="M53" s="299" t="n">
        <v>-0.1025</v>
      </c>
      <c r="N53" s="299" t="n">
        <v>-0.1225</v>
      </c>
      <c r="O53" s="299" t="n">
        <v>-0.1225</v>
      </c>
      <c r="P53" s="299" t="n">
        <v>-0.1325</v>
      </c>
      <c r="Q53" s="299" t="n">
        <v>-0.0925</v>
      </c>
      <c r="R53" s="299" t="n">
        <v>-0.07</v>
      </c>
      <c r="S53" s="299" t="n">
        <v>0.155</v>
      </c>
      <c r="T53" s="299" t="n">
        <v>0.205</v>
      </c>
      <c r="U53" s="299" t="n">
        <v>0.125</v>
      </c>
      <c r="V53" s="299" t="n">
        <v>0.5</v>
      </c>
      <c r="W53" s="299" t="n">
        <v>0.215</v>
      </c>
      <c r="X53" s="299" t="n">
        <v>0.29</v>
      </c>
      <c r="Y53" s="299" t="n">
        <v>-0.025</v>
      </c>
      <c r="Z53" s="299" t="n">
        <v>-0.0375</v>
      </c>
      <c r="AA53" s="299" t="n">
        <v>0.0035</v>
      </c>
      <c r="AB53" s="299" t="n">
        <v>-0.019</v>
      </c>
      <c r="AC53" s="299" t="n">
        <v>0.0025</v>
      </c>
      <c r="AD53" s="299" t="n">
        <v>-0.0225</v>
      </c>
      <c r="AE53" s="299" t="n">
        <v>-0.075</v>
      </c>
      <c r="AF53" s="299" t="n">
        <v>-0.0675</v>
      </c>
      <c r="AG53" s="299" t="n">
        <v>-0.09</v>
      </c>
      <c r="AH53" s="299" t="n">
        <v>-0.0145</v>
      </c>
      <c r="AI53" s="299" t="n">
        <v>-0.0665</v>
      </c>
      <c r="AJ53" s="299" t="n">
        <v>-0.115</v>
      </c>
      <c r="AK53" s="299" t="n">
        <v>-0.0115</v>
      </c>
      <c r="AL53" s="299" t="n">
        <v>0.0285</v>
      </c>
      <c r="AM53" s="299" t="n">
        <v>0.98</v>
      </c>
      <c r="AN53" s="299" t="n">
        <v>-0.045</v>
      </c>
      <c r="AO53" s="299" t="n">
        <v>-0.34</v>
      </c>
      <c r="AP53" s="299" t="n">
        <v>-0.085</v>
      </c>
      <c r="AQ53" s="299" t="n">
        <v>-0.13</v>
      </c>
      <c r="AR53" s="299" t="n">
        <v>0.308</v>
      </c>
      <c r="AS53" s="299" t="n">
        <v>-0.26</v>
      </c>
      <c r="AT53" s="299" t="n">
        <v>-0.34</v>
      </c>
      <c r="AU53" s="299" t="n">
        <v>0.24</v>
      </c>
      <c r="AV53" s="299" t="n">
        <v>-0.34</v>
      </c>
      <c r="AW53" s="299" t="n">
        <v>-0.1805</v>
      </c>
      <c r="AX53" s="299" t="n">
        <v>-0.0675</v>
      </c>
      <c r="AY53" s="299" t="n">
        <v>-0.1205</v>
      </c>
      <c r="AZ53" s="299" t="n">
        <v>-0.06</v>
      </c>
      <c r="BA53" s="299" t="n">
        <v>-0.1105</v>
      </c>
      <c r="BB53" s="299" t="n">
        <v>-0.0195</v>
      </c>
      <c r="BC53" s="299" t="n">
        <v>-0.08</v>
      </c>
      <c r="BD53" s="299" t="n">
        <v>-0.075</v>
      </c>
      <c r="BE53" s="299" t="n">
        <v>-0.075</v>
      </c>
      <c r="BF53" s="299" t="n">
        <v>0.15</v>
      </c>
      <c r="BG53" s="299" t="n">
        <v>0.23</v>
      </c>
      <c r="BH53" s="299" t="n">
        <v>0.205</v>
      </c>
      <c r="BI53" s="299" t="n">
        <v>0.155</v>
      </c>
      <c r="BJ53" s="299" t="n">
        <v>0.77</v>
      </c>
      <c r="BK53" s="299" t="n">
        <v>0</v>
      </c>
      <c r="BL53" s="299" t="n">
        <v>-0.025</v>
      </c>
      <c r="BM53" s="299" t="n">
        <v>0.005</v>
      </c>
      <c r="BN53" s="299" t="n">
        <v>0</v>
      </c>
      <c r="BO53" s="299" t="n">
        <v>0.035</v>
      </c>
      <c r="BP53" s="299" t="n">
        <v>0.005</v>
      </c>
      <c r="BQ53" s="299" t="n">
        <v>0.005</v>
      </c>
      <c r="BR53" s="299" t="n">
        <v>0.25</v>
      </c>
      <c r="BS53" s="0" t="n">
        <v>0.02</v>
      </c>
      <c r="BT53" s="0" t="n">
        <v>0.032</v>
      </c>
      <c r="BU53" s="0" t="n">
        <v>0.032</v>
      </c>
      <c r="BV53" s="0" t="n">
        <v>0.03</v>
      </c>
    </row>
    <row r="54" customFormat="false" ht="12.75" hidden="false" customHeight="false" outlineLevel="0" collapsed="false">
      <c r="A54" s="301" t="e">
        <f aca="false">#REF!-B54</f>
        <v>#REF!</v>
      </c>
      <c r="B54" s="301" t="n">
        <v>3.134</v>
      </c>
      <c r="C54" s="308" t="n">
        <f aca="false">EOMONTH(C53,0)+1</f>
        <v>38718</v>
      </c>
      <c r="D54" s="0" t="n">
        <v>3.735</v>
      </c>
      <c r="E54" s="301" t="n">
        <v>0.285</v>
      </c>
      <c r="F54" s="299" t="n">
        <v>0.0478100678250022</v>
      </c>
      <c r="G54" s="299" t="n">
        <v>-0.135</v>
      </c>
      <c r="H54" s="299" t="n">
        <v>-0.155</v>
      </c>
      <c r="I54" s="310" t="n">
        <v>0.015</v>
      </c>
      <c r="J54" s="310" t="n">
        <v>-0.135</v>
      </c>
      <c r="K54" s="299" t="n">
        <v>0.025</v>
      </c>
      <c r="L54" s="299" t="n">
        <v>-0.06</v>
      </c>
      <c r="M54" s="299" t="n">
        <v>-0.105</v>
      </c>
      <c r="N54" s="299" t="n">
        <v>-0.125</v>
      </c>
      <c r="O54" s="299" t="n">
        <v>-0.125</v>
      </c>
      <c r="P54" s="299" t="n">
        <v>-0.135</v>
      </c>
      <c r="Q54" s="299" t="n">
        <v>-0.0925</v>
      </c>
      <c r="R54" s="299" t="n">
        <v>-0.07</v>
      </c>
      <c r="S54" s="299" t="n">
        <v>0.155</v>
      </c>
      <c r="T54" s="299" t="n">
        <v>0.205</v>
      </c>
      <c r="U54" s="299" t="n">
        <v>0.125</v>
      </c>
      <c r="V54" s="299" t="n">
        <v>0.5</v>
      </c>
      <c r="W54" s="299" t="n">
        <v>0.235</v>
      </c>
      <c r="X54" s="299" t="n">
        <v>0.34</v>
      </c>
      <c r="Y54" s="299" t="n">
        <v>-0.023</v>
      </c>
      <c r="Z54" s="299" t="n">
        <v>-0.0375</v>
      </c>
      <c r="AA54" s="299" t="n">
        <v>0.0035</v>
      </c>
      <c r="AB54" s="299" t="n">
        <v>-0.019</v>
      </c>
      <c r="AC54" s="299" t="n">
        <v>0.0025</v>
      </c>
      <c r="AD54" s="299" t="n">
        <v>-0.0225</v>
      </c>
      <c r="AE54" s="299" t="n">
        <v>-0.075</v>
      </c>
      <c r="AF54" s="299" t="n">
        <v>-0.0675</v>
      </c>
      <c r="AG54" s="299" t="n">
        <v>-0.09</v>
      </c>
      <c r="AH54" s="299" t="n">
        <v>-0.0145</v>
      </c>
      <c r="AI54" s="299" t="n">
        <v>-0.0665</v>
      </c>
      <c r="AJ54" s="299" t="n">
        <v>-0.115</v>
      </c>
      <c r="AK54" s="299" t="n">
        <v>-0.0115</v>
      </c>
      <c r="AL54" s="299" t="n">
        <v>0.0285</v>
      </c>
      <c r="AM54" s="299" t="n">
        <v>1.6</v>
      </c>
      <c r="AN54" s="299" t="n">
        <v>-0.0475</v>
      </c>
      <c r="AO54" s="299" t="n">
        <v>-0.34</v>
      </c>
      <c r="AP54" s="299" t="n">
        <v>-0.075</v>
      </c>
      <c r="AQ54" s="299" t="n">
        <v>-0.13</v>
      </c>
      <c r="AR54" s="299" t="n">
        <v>0.378</v>
      </c>
      <c r="AS54" s="299" t="n">
        <v>-0.26</v>
      </c>
      <c r="AT54" s="299" t="n">
        <v>-0.34</v>
      </c>
      <c r="AU54" s="299" t="n">
        <v>0.24</v>
      </c>
      <c r="AV54" s="299" t="n">
        <v>-0.34</v>
      </c>
      <c r="AW54" s="299" t="n">
        <v>-0.1955</v>
      </c>
      <c r="AX54" s="299" t="n">
        <v>-0.065</v>
      </c>
      <c r="AY54" s="299" t="n">
        <v>-0.1355</v>
      </c>
      <c r="AZ54" s="299" t="n">
        <v>-0.06</v>
      </c>
      <c r="BA54" s="299" t="n">
        <v>-0.111</v>
      </c>
      <c r="BB54" s="299" t="n">
        <v>-0.0195</v>
      </c>
      <c r="BC54" s="299" t="n">
        <v>-0.08</v>
      </c>
      <c r="BD54" s="299" t="n">
        <v>-0.0775</v>
      </c>
      <c r="BE54" s="299" t="n">
        <v>-0.075</v>
      </c>
      <c r="BF54" s="299" t="n">
        <v>0.15</v>
      </c>
      <c r="BG54" s="299" t="n">
        <v>0.23</v>
      </c>
      <c r="BH54" s="299" t="n">
        <v>0.205</v>
      </c>
      <c r="BI54" s="299" t="n">
        <v>0.155</v>
      </c>
      <c r="BJ54" s="299" t="n">
        <v>1.04</v>
      </c>
      <c r="BK54" s="299" t="n">
        <v>0</v>
      </c>
      <c r="BL54" s="299" t="n">
        <v>-0.025</v>
      </c>
      <c r="BM54" s="299" t="n">
        <v>0.005</v>
      </c>
      <c r="BN54" s="299" t="n">
        <v>0</v>
      </c>
      <c r="BO54" s="299" t="n">
        <v>0.035</v>
      </c>
      <c r="BP54" s="299" t="n">
        <v>0.005</v>
      </c>
      <c r="BQ54" s="299" t="n">
        <v>0.005</v>
      </c>
      <c r="BR54" s="299" t="n">
        <v>0.45</v>
      </c>
      <c r="BS54" s="0" t="n">
        <v>0.02</v>
      </c>
      <c r="BT54" s="0" t="n">
        <v>0.032</v>
      </c>
      <c r="BU54" s="0" t="n">
        <v>0.032</v>
      </c>
      <c r="BV54" s="0" t="n">
        <v>0.03</v>
      </c>
    </row>
    <row r="55" customFormat="false" ht="12.75" hidden="false" customHeight="false" outlineLevel="0" collapsed="false">
      <c r="A55" s="301" t="e">
        <f aca="false">#REF!-B55</f>
        <v>#REF!</v>
      </c>
      <c r="B55" s="301" t="n">
        <v>3.129</v>
      </c>
      <c r="C55" s="308" t="n">
        <f aca="false">EOMONTH(C54,0)+1</f>
        <v>38749</v>
      </c>
      <c r="D55" s="0" t="n">
        <v>3.65</v>
      </c>
      <c r="E55" s="301" t="n">
        <v>0.28</v>
      </c>
      <c r="F55" s="299" t="n">
        <v>0.0481206389556634</v>
      </c>
      <c r="G55" s="299" t="n">
        <v>-0.1275</v>
      </c>
      <c r="H55" s="299" t="n">
        <v>-0.1475</v>
      </c>
      <c r="I55" s="310" t="n">
        <v>0.01</v>
      </c>
      <c r="J55" s="310" t="n">
        <v>-0.135</v>
      </c>
      <c r="K55" s="299" t="n">
        <v>0.02</v>
      </c>
      <c r="L55" s="299" t="n">
        <v>-0.06</v>
      </c>
      <c r="M55" s="299" t="n">
        <v>-0.0975</v>
      </c>
      <c r="N55" s="299" t="n">
        <v>-0.1175</v>
      </c>
      <c r="O55" s="299" t="n">
        <v>-0.1175</v>
      </c>
      <c r="P55" s="299" t="n">
        <v>-0.1275</v>
      </c>
      <c r="Q55" s="299" t="n">
        <v>-0.0925</v>
      </c>
      <c r="R55" s="299" t="n">
        <v>-0.07</v>
      </c>
      <c r="S55" s="299" t="n">
        <v>0.155</v>
      </c>
      <c r="T55" s="299" t="n">
        <v>0.205</v>
      </c>
      <c r="U55" s="299" t="n">
        <v>0.125</v>
      </c>
      <c r="V55" s="299" t="n">
        <v>0.5</v>
      </c>
      <c r="W55" s="299" t="n">
        <v>0.235</v>
      </c>
      <c r="X55" s="299" t="n">
        <v>0.34</v>
      </c>
      <c r="Y55" s="299" t="n">
        <v>-0.023</v>
      </c>
      <c r="Z55" s="299" t="n">
        <v>-0.0375</v>
      </c>
      <c r="AA55" s="299" t="n">
        <v>0.0035</v>
      </c>
      <c r="AB55" s="299" t="n">
        <v>-0.019</v>
      </c>
      <c r="AC55" s="299" t="n">
        <v>0.0025</v>
      </c>
      <c r="AD55" s="299" t="n">
        <v>-0.0225</v>
      </c>
      <c r="AE55" s="299" t="n">
        <v>-0.075</v>
      </c>
      <c r="AF55" s="299" t="n">
        <v>-0.0675</v>
      </c>
      <c r="AG55" s="299" t="n">
        <v>-0.09</v>
      </c>
      <c r="AH55" s="299" t="n">
        <v>-0.0145</v>
      </c>
      <c r="AI55" s="299" t="n">
        <v>-0.0665</v>
      </c>
      <c r="AJ55" s="299" t="n">
        <v>-0.115</v>
      </c>
      <c r="AK55" s="299" t="n">
        <v>-0.0115</v>
      </c>
      <c r="AL55" s="299" t="n">
        <v>0.0285</v>
      </c>
      <c r="AM55" s="299" t="n">
        <v>1.6</v>
      </c>
      <c r="AN55" s="299" t="n">
        <v>-0.03</v>
      </c>
      <c r="AO55" s="299" t="n">
        <v>-0.34</v>
      </c>
      <c r="AP55" s="299" t="n">
        <v>-0.075</v>
      </c>
      <c r="AQ55" s="299" t="n">
        <v>-0.13</v>
      </c>
      <c r="AR55" s="299" t="n">
        <v>0.248</v>
      </c>
      <c r="AS55" s="299" t="n">
        <v>-0.26</v>
      </c>
      <c r="AT55" s="299" t="n">
        <v>-0.34</v>
      </c>
      <c r="AU55" s="299" t="n">
        <v>0.24</v>
      </c>
      <c r="AV55" s="299" t="n">
        <v>-0.34</v>
      </c>
      <c r="AW55" s="299" t="n">
        <v>-0.1855</v>
      </c>
      <c r="AX55" s="299" t="n">
        <v>-0.065</v>
      </c>
      <c r="AY55" s="299" t="n">
        <v>-0.1255</v>
      </c>
      <c r="AZ55" s="299" t="n">
        <v>-0.06</v>
      </c>
      <c r="BA55" s="299" t="n">
        <v>-0.111</v>
      </c>
      <c r="BB55" s="299" t="n">
        <v>-0.0195</v>
      </c>
      <c r="BC55" s="299" t="n">
        <v>-0.08</v>
      </c>
      <c r="BD55" s="299" t="n">
        <v>-0.06</v>
      </c>
      <c r="BE55" s="299" t="n">
        <v>-0.075</v>
      </c>
      <c r="BF55" s="299" t="n">
        <v>0.15</v>
      </c>
      <c r="BG55" s="299" t="n">
        <v>0.23</v>
      </c>
      <c r="BH55" s="299" t="n">
        <v>0.205</v>
      </c>
      <c r="BI55" s="299" t="n">
        <v>0.155</v>
      </c>
      <c r="BJ55" s="299" t="n">
        <v>1.04</v>
      </c>
      <c r="BK55" s="299" t="n">
        <v>0</v>
      </c>
      <c r="BL55" s="299" t="n">
        <v>-0.025</v>
      </c>
      <c r="BM55" s="299" t="n">
        <v>0.005</v>
      </c>
      <c r="BN55" s="299" t="n">
        <v>0</v>
      </c>
      <c r="BO55" s="299" t="n">
        <v>0.035</v>
      </c>
      <c r="BP55" s="299" t="n">
        <v>0.005</v>
      </c>
      <c r="BQ55" s="299" t="n">
        <v>0.005</v>
      </c>
      <c r="BR55" s="299" t="n">
        <v>0.45</v>
      </c>
      <c r="BS55" s="0" t="n">
        <v>0.02</v>
      </c>
      <c r="BT55" s="0" t="n">
        <v>0.032</v>
      </c>
      <c r="BU55" s="0" t="n">
        <v>0.032</v>
      </c>
      <c r="BV55" s="0" t="n">
        <v>0.03</v>
      </c>
    </row>
    <row r="56" customFormat="false" ht="12.75" hidden="false" customHeight="false" outlineLevel="0" collapsed="false">
      <c r="A56" s="301" t="e">
        <f aca="false">#REF!-B56</f>
        <v>#REF!</v>
      </c>
      <c r="B56" s="301" t="n">
        <v>3.118</v>
      </c>
      <c r="C56" s="308" t="n">
        <f aca="false">EOMONTH(C55,0)+1</f>
        <v>38777</v>
      </c>
      <c r="D56" s="0" t="n">
        <v>3.52</v>
      </c>
      <c r="E56" s="301" t="n">
        <v>0.27</v>
      </c>
      <c r="F56" s="299" t="n">
        <v>0.0484011548433219</v>
      </c>
      <c r="G56" s="299" t="n">
        <v>-0.125</v>
      </c>
      <c r="H56" s="299" t="n">
        <v>-0.145</v>
      </c>
      <c r="I56" s="310" t="n">
        <v>-0.01</v>
      </c>
      <c r="J56" s="310" t="n">
        <v>-0.135</v>
      </c>
      <c r="K56" s="299" t="n">
        <v>0</v>
      </c>
      <c r="L56" s="299" t="n">
        <v>-0.06</v>
      </c>
      <c r="M56" s="299" t="n">
        <v>-0.095</v>
      </c>
      <c r="N56" s="299" t="n">
        <v>-0.115</v>
      </c>
      <c r="O56" s="299" t="n">
        <v>-0.115</v>
      </c>
      <c r="P56" s="299" t="n">
        <v>-0.125</v>
      </c>
      <c r="Q56" s="299" t="n">
        <v>-0.0925</v>
      </c>
      <c r="R56" s="299" t="n">
        <v>-0.07</v>
      </c>
      <c r="S56" s="299" t="n">
        <v>0.155</v>
      </c>
      <c r="T56" s="299" t="n">
        <v>0.205</v>
      </c>
      <c r="U56" s="299" t="n">
        <v>0.125</v>
      </c>
      <c r="V56" s="299" t="n">
        <v>0.5</v>
      </c>
      <c r="W56" s="299" t="n">
        <v>0.195</v>
      </c>
      <c r="X56" s="299" t="n">
        <v>0.29</v>
      </c>
      <c r="Y56" s="299" t="n">
        <v>-0.023</v>
      </c>
      <c r="Z56" s="299" t="n">
        <v>-0.0375</v>
      </c>
      <c r="AA56" s="299" t="n">
        <v>0.011</v>
      </c>
      <c r="AB56" s="299" t="n">
        <v>-0.0115</v>
      </c>
      <c r="AC56" s="299" t="n">
        <v>0.0025</v>
      </c>
      <c r="AD56" s="299" t="n">
        <v>-0.0225</v>
      </c>
      <c r="AE56" s="299" t="n">
        <v>-0.075</v>
      </c>
      <c r="AF56" s="299" t="n">
        <v>-0.0675</v>
      </c>
      <c r="AG56" s="299" t="n">
        <v>-0.09</v>
      </c>
      <c r="AH56" s="299" t="n">
        <v>-0.0145</v>
      </c>
      <c r="AI56" s="299" t="n">
        <v>-0.0665</v>
      </c>
      <c r="AJ56" s="299" t="n">
        <v>-0.115</v>
      </c>
      <c r="AK56" s="299" t="n">
        <v>-0.0115</v>
      </c>
      <c r="AL56" s="299" t="n">
        <v>0.0285</v>
      </c>
      <c r="AM56" s="299" t="n">
        <v>0.64</v>
      </c>
      <c r="AN56" s="299" t="n">
        <v>-0.0175</v>
      </c>
      <c r="AO56" s="299" t="n">
        <v>-0.34</v>
      </c>
      <c r="AP56" s="299" t="n">
        <v>-0.075</v>
      </c>
      <c r="AQ56" s="299" t="n">
        <v>-0.13</v>
      </c>
      <c r="AR56" s="299" t="n">
        <v>0.068</v>
      </c>
      <c r="AS56" s="299" t="n">
        <v>-0.26</v>
      </c>
      <c r="AT56" s="299" t="n">
        <v>-0.34</v>
      </c>
      <c r="AU56" s="299" t="n">
        <v>0.24</v>
      </c>
      <c r="AV56" s="299" t="n">
        <v>-0.34</v>
      </c>
      <c r="AW56" s="299" t="n">
        <v>-0.1755</v>
      </c>
      <c r="AX56" s="299" t="n">
        <v>-0.065</v>
      </c>
      <c r="AY56" s="299" t="n">
        <v>-0.1155</v>
      </c>
      <c r="AZ56" s="299" t="n">
        <v>-0.06</v>
      </c>
      <c r="BA56" s="299" t="n">
        <v>-0.111</v>
      </c>
      <c r="BB56" s="299" t="n">
        <v>-0.0195</v>
      </c>
      <c r="BC56" s="299" t="n">
        <v>-0.08</v>
      </c>
      <c r="BD56" s="299" t="n">
        <v>-0.0475</v>
      </c>
      <c r="BE56" s="299" t="n">
        <v>-0.075</v>
      </c>
      <c r="BF56" s="299" t="n">
        <v>0.15</v>
      </c>
      <c r="BG56" s="299" t="n">
        <v>0.23</v>
      </c>
      <c r="BH56" s="299" t="n">
        <v>0.205</v>
      </c>
      <c r="BI56" s="299" t="n">
        <v>0.155</v>
      </c>
      <c r="BJ56" s="299" t="n">
        <v>0.54</v>
      </c>
      <c r="BK56" s="299" t="n">
        <v>0</v>
      </c>
      <c r="BL56" s="299" t="n">
        <v>-0.02</v>
      </c>
      <c r="BM56" s="299" t="n">
        <v>0.005</v>
      </c>
      <c r="BN56" s="299" t="n">
        <v>0</v>
      </c>
      <c r="BO56" s="299" t="n">
        <v>0.035</v>
      </c>
      <c r="BP56" s="299" t="n">
        <v>0.005</v>
      </c>
      <c r="BQ56" s="299" t="n">
        <v>0.005</v>
      </c>
      <c r="BR56" s="299" t="n">
        <v>0.1</v>
      </c>
      <c r="BS56" s="0" t="n">
        <v>0.02</v>
      </c>
      <c r="BT56" s="0" t="n">
        <v>0.032</v>
      </c>
      <c r="BU56" s="0" t="n">
        <v>0.032</v>
      </c>
      <c r="BV56" s="0" t="n">
        <v>0.03</v>
      </c>
    </row>
    <row r="57" customFormat="false" ht="12.75" hidden="false" customHeight="false" outlineLevel="0" collapsed="false">
      <c r="A57" s="301" t="e">
        <f aca="false">#REF!-B57</f>
        <v>#REF!</v>
      </c>
      <c r="B57" s="301" t="n">
        <v>3.135</v>
      </c>
      <c r="C57" s="308" t="n">
        <f aca="false">EOMONTH(C56,0)+1</f>
        <v>38808</v>
      </c>
      <c r="D57" s="0" t="n">
        <v>3.335</v>
      </c>
      <c r="E57" s="301" t="n">
        <v>0.25</v>
      </c>
      <c r="F57" s="299" t="n">
        <v>0.0487117260353274</v>
      </c>
      <c r="G57" s="299" t="n">
        <v>-0.13</v>
      </c>
      <c r="H57" s="299" t="n">
        <v>-0.15</v>
      </c>
      <c r="I57" s="310" t="n">
        <v>-0.09</v>
      </c>
      <c r="J57" s="310" t="n">
        <v>-0.135</v>
      </c>
      <c r="K57" s="299" t="n">
        <v>-0.09</v>
      </c>
      <c r="L57" s="299" t="n">
        <v>-0.0575</v>
      </c>
      <c r="M57" s="299" t="n">
        <v>-0.1</v>
      </c>
      <c r="N57" s="299" t="n">
        <v>-0.12</v>
      </c>
      <c r="O57" s="299" t="n">
        <v>-0.12</v>
      </c>
      <c r="P57" s="299" t="n">
        <v>-0.13</v>
      </c>
      <c r="Q57" s="299" t="n">
        <v>-0.0825</v>
      </c>
      <c r="R57" s="299" t="n">
        <v>-0.0675</v>
      </c>
      <c r="S57" s="299" t="n">
        <v>0.125</v>
      </c>
      <c r="T57" s="299" t="n">
        <v>0.155</v>
      </c>
      <c r="U57" s="299" t="n">
        <v>0.04</v>
      </c>
      <c r="V57" s="299" t="n">
        <v>0.5</v>
      </c>
      <c r="W57" s="299" t="n">
        <v>0.145</v>
      </c>
      <c r="X57" s="299" t="n">
        <v>0.195</v>
      </c>
      <c r="Y57" s="299" t="n">
        <v>-0.0255</v>
      </c>
      <c r="Z57" s="299" t="n">
        <v>-0.05</v>
      </c>
      <c r="AA57" s="299" t="n">
        <v>0.011</v>
      </c>
      <c r="AB57" s="299" t="n">
        <v>-0.0115</v>
      </c>
      <c r="AC57" s="299" t="n">
        <v>0.0025</v>
      </c>
      <c r="AD57" s="299" t="n">
        <v>-0.0225</v>
      </c>
      <c r="AE57" s="299" t="n">
        <v>-0.0725</v>
      </c>
      <c r="AF57" s="299" t="n">
        <v>-0.065</v>
      </c>
      <c r="AG57" s="299" t="n">
        <v>-0.0875</v>
      </c>
      <c r="AH57" s="299" t="n">
        <v>-0.0195</v>
      </c>
      <c r="AI57" s="299" t="n">
        <v>-0.072</v>
      </c>
      <c r="AJ57" s="299" t="n">
        <v>-0.0975</v>
      </c>
      <c r="AK57" s="299" t="n">
        <v>-0.017</v>
      </c>
      <c r="AL57" s="299" t="n">
        <v>0.023</v>
      </c>
      <c r="AM57" s="299" t="n">
        <v>0.38</v>
      </c>
      <c r="AN57" s="299" t="n">
        <v>0.02</v>
      </c>
      <c r="AO57" s="299" t="n">
        <v>-0.47</v>
      </c>
      <c r="AP57" s="299" t="n">
        <v>-0.075</v>
      </c>
      <c r="AQ57" s="299" t="n">
        <v>-0.195</v>
      </c>
      <c r="AR57" s="299" t="n">
        <v>-0.25</v>
      </c>
      <c r="AS57" s="299" t="n">
        <v>-0.39</v>
      </c>
      <c r="AT57" s="299" t="n">
        <v>-0.47</v>
      </c>
      <c r="AU57" s="299" t="n">
        <v>0.26</v>
      </c>
      <c r="AV57" s="299" t="n">
        <v>-0.47</v>
      </c>
      <c r="AW57" s="299" t="n">
        <v>-0.216</v>
      </c>
      <c r="AX57" s="299" t="n">
        <v>-0.065</v>
      </c>
      <c r="AY57" s="299" t="n">
        <v>-0.156</v>
      </c>
      <c r="AZ57" s="299" t="n">
        <v>-0.0575</v>
      </c>
      <c r="BA57" s="299" t="n">
        <v>-0.1335</v>
      </c>
      <c r="BB57" s="299" t="n">
        <v>-0.0195</v>
      </c>
      <c r="BC57" s="299" t="n">
        <v>-0.0625</v>
      </c>
      <c r="BD57" s="299" t="n">
        <v>-0.01</v>
      </c>
      <c r="BE57" s="299" t="n">
        <v>-0.0725</v>
      </c>
      <c r="BF57" s="299" t="n">
        <v>0.06</v>
      </c>
      <c r="BG57" s="299" t="n">
        <v>0.145</v>
      </c>
      <c r="BH57" s="299" t="n">
        <v>0.155</v>
      </c>
      <c r="BI57" s="299" t="n">
        <v>0.125</v>
      </c>
      <c r="BJ57" s="299" t="n">
        <v>0.36</v>
      </c>
      <c r="BK57" s="299" t="n">
        <v>0</v>
      </c>
      <c r="BL57" s="299" t="n">
        <v>-0.015</v>
      </c>
      <c r="BM57" s="299" t="n">
        <v>0.005</v>
      </c>
      <c r="BN57" s="299" t="n">
        <v>-0.01</v>
      </c>
      <c r="BO57" s="299" t="n">
        <v>0.02</v>
      </c>
      <c r="BP57" s="299" t="n">
        <v>0.005</v>
      </c>
      <c r="BQ57" s="299" t="n">
        <v>0.0025</v>
      </c>
      <c r="BR57" s="299" t="n">
        <v>0.02</v>
      </c>
      <c r="BS57" s="0" t="n">
        <v>0.005</v>
      </c>
      <c r="BT57" s="0" t="n">
        <v>0.032</v>
      </c>
      <c r="BU57" s="0" t="n">
        <v>0.032</v>
      </c>
      <c r="BV57" s="0" t="n">
        <v>0.03</v>
      </c>
    </row>
    <row r="58" customFormat="false" ht="12.75" hidden="false" customHeight="false" outlineLevel="0" collapsed="false">
      <c r="A58" s="301" t="e">
        <f aca="false">#REF!-B58</f>
        <v>#REF!</v>
      </c>
      <c r="B58" s="301" t="n">
        <v>3.242</v>
      </c>
      <c r="C58" s="308" t="n">
        <f aca="false">EOMONTH(C57,0)+1</f>
        <v>38838</v>
      </c>
      <c r="D58" s="0" t="n">
        <v>3.33</v>
      </c>
      <c r="E58" s="301" t="n">
        <v>0.245</v>
      </c>
      <c r="F58" s="299" t="n">
        <v>0.0490122788324676</v>
      </c>
      <c r="G58" s="299" t="n">
        <v>-0.13</v>
      </c>
      <c r="H58" s="299" t="n">
        <v>-0.15</v>
      </c>
      <c r="I58" s="310" t="n">
        <v>-0.09</v>
      </c>
      <c r="J58" s="310" t="n">
        <v>-0.135</v>
      </c>
      <c r="K58" s="299" t="n">
        <v>-0.09</v>
      </c>
      <c r="L58" s="299" t="n">
        <v>-0.0575</v>
      </c>
      <c r="M58" s="299" t="n">
        <v>-0.1</v>
      </c>
      <c r="N58" s="299" t="n">
        <v>-0.12</v>
      </c>
      <c r="O58" s="299" t="n">
        <v>-0.12</v>
      </c>
      <c r="P58" s="299" t="n">
        <v>-0.13</v>
      </c>
      <c r="Q58" s="299" t="n">
        <v>-0.0825</v>
      </c>
      <c r="R58" s="299" t="n">
        <v>-0.0675</v>
      </c>
      <c r="S58" s="299" t="n">
        <v>0.125</v>
      </c>
      <c r="T58" s="299" t="n">
        <v>0.155</v>
      </c>
      <c r="U58" s="299" t="n">
        <v>0.04</v>
      </c>
      <c r="V58" s="299" t="n">
        <v>0.5</v>
      </c>
      <c r="W58" s="299" t="n">
        <v>0.125</v>
      </c>
      <c r="X58" s="299" t="n">
        <v>0.135</v>
      </c>
      <c r="Y58" s="299" t="n">
        <v>-0.0255</v>
      </c>
      <c r="Z58" s="299" t="n">
        <v>-0.05</v>
      </c>
      <c r="AA58" s="299" t="n">
        <v>0.0135</v>
      </c>
      <c r="AB58" s="299" t="n">
        <v>-0.009</v>
      </c>
      <c r="AC58" s="299" t="n">
        <v>0.0025</v>
      </c>
      <c r="AD58" s="299" t="n">
        <v>-0.0225</v>
      </c>
      <c r="AE58" s="299" t="n">
        <v>-0.0725</v>
      </c>
      <c r="AF58" s="299" t="n">
        <v>-0.065</v>
      </c>
      <c r="AG58" s="299" t="n">
        <v>-0.0875</v>
      </c>
      <c r="AH58" s="299" t="n">
        <v>-0.0195</v>
      </c>
      <c r="AI58" s="299" t="n">
        <v>-0.072</v>
      </c>
      <c r="AJ58" s="299" t="n">
        <v>-0.0975</v>
      </c>
      <c r="AK58" s="299" t="n">
        <v>-0.017</v>
      </c>
      <c r="AL58" s="299" t="n">
        <v>0.023</v>
      </c>
      <c r="AM58" s="299" t="n">
        <v>0.33</v>
      </c>
      <c r="AN58" s="299" t="n">
        <v>0.02</v>
      </c>
      <c r="AO58" s="299" t="n">
        <v>-0.47</v>
      </c>
      <c r="AP58" s="299" t="n">
        <v>-0.075</v>
      </c>
      <c r="AQ58" s="299" t="n">
        <v>-0.195</v>
      </c>
      <c r="AR58" s="299" t="n">
        <v>-0.25</v>
      </c>
      <c r="AS58" s="299" t="n">
        <v>-0.39</v>
      </c>
      <c r="AT58" s="299" t="n">
        <v>-0.47</v>
      </c>
      <c r="AU58" s="299" t="n">
        <v>0.26</v>
      </c>
      <c r="AV58" s="299" t="n">
        <v>-0.47</v>
      </c>
      <c r="AW58" s="299" t="n">
        <v>-0.1935</v>
      </c>
      <c r="AX58" s="299" t="n">
        <v>-0.065</v>
      </c>
      <c r="AY58" s="299" t="n">
        <v>-0.1335</v>
      </c>
      <c r="AZ58" s="299" t="n">
        <v>-0.0575</v>
      </c>
      <c r="BA58" s="299" t="n">
        <v>-0.126</v>
      </c>
      <c r="BB58" s="299" t="n">
        <v>-0.0195</v>
      </c>
      <c r="BC58" s="299" t="n">
        <v>-0.0625</v>
      </c>
      <c r="BD58" s="299" t="n">
        <v>-0.01</v>
      </c>
      <c r="BE58" s="299" t="n">
        <v>-0.0725</v>
      </c>
      <c r="BF58" s="299" t="n">
        <v>0.06</v>
      </c>
      <c r="BG58" s="299" t="n">
        <v>0.145</v>
      </c>
      <c r="BH58" s="299" t="n">
        <v>0.155</v>
      </c>
      <c r="BI58" s="299" t="n">
        <v>0.125</v>
      </c>
      <c r="BJ58" s="299" t="n">
        <v>0.325</v>
      </c>
      <c r="BK58" s="299" t="n">
        <v>0</v>
      </c>
      <c r="BL58" s="299" t="n">
        <v>-0.015</v>
      </c>
      <c r="BM58" s="299" t="n">
        <v>0.005</v>
      </c>
      <c r="BN58" s="299" t="n">
        <v>-0.01</v>
      </c>
      <c r="BO58" s="299" t="n">
        <v>0.02</v>
      </c>
      <c r="BP58" s="299" t="n">
        <v>0.005</v>
      </c>
      <c r="BQ58" s="299" t="n">
        <v>0.0025</v>
      </c>
      <c r="BR58" s="299" t="n">
        <v>0.02</v>
      </c>
      <c r="BS58" s="0" t="n">
        <v>0.005</v>
      </c>
      <c r="BT58" s="0" t="n">
        <v>0.032</v>
      </c>
      <c r="BU58" s="0" t="n">
        <v>0.032</v>
      </c>
      <c r="BV58" s="0" t="n">
        <v>0.03</v>
      </c>
    </row>
    <row r="59" customFormat="false" ht="12.75" hidden="false" customHeight="false" outlineLevel="0" collapsed="false">
      <c r="A59" s="301" t="e">
        <f aca="false">#REF!-B59</f>
        <v>#REF!</v>
      </c>
      <c r="B59" s="301" t="n">
        <v>3.348</v>
      </c>
      <c r="C59" s="308" t="n">
        <f aca="false">EOMONTH(C58,0)+1</f>
        <v>38869</v>
      </c>
      <c r="D59" s="0" t="n">
        <v>3.365</v>
      </c>
      <c r="E59" s="301" t="n">
        <v>0.2475</v>
      </c>
      <c r="F59" s="299" t="n">
        <v>0.0493228500878793</v>
      </c>
      <c r="G59" s="299" t="n">
        <v>-0.13</v>
      </c>
      <c r="H59" s="299" t="n">
        <v>-0.15</v>
      </c>
      <c r="I59" s="310" t="n">
        <v>-0.09</v>
      </c>
      <c r="J59" s="310" t="n">
        <v>-0.135</v>
      </c>
      <c r="K59" s="299" t="n">
        <v>-0.09</v>
      </c>
      <c r="L59" s="299" t="n">
        <v>-0.0575</v>
      </c>
      <c r="M59" s="299" t="n">
        <v>-0.1</v>
      </c>
      <c r="N59" s="299" t="n">
        <v>-0.12</v>
      </c>
      <c r="O59" s="299" t="n">
        <v>-0.12</v>
      </c>
      <c r="P59" s="299" t="n">
        <v>-0.13</v>
      </c>
      <c r="Q59" s="299" t="n">
        <v>-0.0825</v>
      </c>
      <c r="R59" s="299" t="n">
        <v>-0.0675</v>
      </c>
      <c r="S59" s="299" t="n">
        <v>0.125</v>
      </c>
      <c r="T59" s="299" t="n">
        <v>0.155</v>
      </c>
      <c r="U59" s="299" t="n">
        <v>0.04</v>
      </c>
      <c r="V59" s="299" t="n">
        <v>0.5</v>
      </c>
      <c r="W59" s="299" t="n">
        <v>0.145</v>
      </c>
      <c r="X59" s="299" t="n">
        <v>0.165</v>
      </c>
      <c r="Y59" s="299" t="n">
        <v>-0.0255</v>
      </c>
      <c r="Z59" s="299" t="n">
        <v>-0.0475</v>
      </c>
      <c r="AA59" s="299" t="n">
        <v>0.0135</v>
      </c>
      <c r="AB59" s="299" t="n">
        <v>-0.009</v>
      </c>
      <c r="AC59" s="299" t="n">
        <v>0.0025</v>
      </c>
      <c r="AD59" s="299" t="n">
        <v>-0.0225</v>
      </c>
      <c r="AE59" s="299" t="n">
        <v>-0.0725</v>
      </c>
      <c r="AF59" s="299" t="n">
        <v>-0.065</v>
      </c>
      <c r="AG59" s="299" t="n">
        <v>-0.0875</v>
      </c>
      <c r="AH59" s="299" t="n">
        <v>-0.0195</v>
      </c>
      <c r="AI59" s="299" t="n">
        <v>-0.072</v>
      </c>
      <c r="AJ59" s="299" t="n">
        <v>-0.0975</v>
      </c>
      <c r="AK59" s="299" t="n">
        <v>-0.017</v>
      </c>
      <c r="AL59" s="299" t="n">
        <v>0.023</v>
      </c>
      <c r="AM59" s="299" t="n">
        <v>0.37</v>
      </c>
      <c r="AN59" s="299" t="n">
        <v>0.025</v>
      </c>
      <c r="AO59" s="299" t="n">
        <v>-0.47</v>
      </c>
      <c r="AP59" s="299" t="n">
        <v>-0.075</v>
      </c>
      <c r="AQ59" s="299" t="n">
        <v>-0.195</v>
      </c>
      <c r="AR59" s="299" t="n">
        <v>-0.25</v>
      </c>
      <c r="AS59" s="299" t="n">
        <v>-0.39</v>
      </c>
      <c r="AT59" s="299" t="n">
        <v>-0.47</v>
      </c>
      <c r="AU59" s="299" t="n">
        <v>0.26</v>
      </c>
      <c r="AV59" s="299" t="n">
        <v>-0.47</v>
      </c>
      <c r="AW59" s="299" t="n">
        <v>-0.141</v>
      </c>
      <c r="AX59" s="299" t="n">
        <v>-0.065</v>
      </c>
      <c r="AY59" s="299" t="n">
        <v>-0.081</v>
      </c>
      <c r="AZ59" s="299" t="n">
        <v>-0.0575</v>
      </c>
      <c r="BA59" s="299" t="n">
        <v>-0.0835</v>
      </c>
      <c r="BB59" s="299" t="n">
        <v>-0.0195</v>
      </c>
      <c r="BC59" s="299" t="n">
        <v>-0.0625</v>
      </c>
      <c r="BD59" s="299" t="n">
        <v>-0.005</v>
      </c>
      <c r="BE59" s="299" t="n">
        <v>-0.0725</v>
      </c>
      <c r="BF59" s="299" t="n">
        <v>0.06</v>
      </c>
      <c r="BG59" s="299" t="n">
        <v>0.145</v>
      </c>
      <c r="BH59" s="299" t="n">
        <v>0.155</v>
      </c>
      <c r="BI59" s="299" t="n">
        <v>0.125</v>
      </c>
      <c r="BJ59" s="299" t="n">
        <v>0.335</v>
      </c>
      <c r="BK59" s="299" t="n">
        <v>0</v>
      </c>
      <c r="BL59" s="299" t="n">
        <v>-0.015</v>
      </c>
      <c r="BM59" s="299" t="n">
        <v>0.005</v>
      </c>
      <c r="BN59" s="299" t="n">
        <v>-0.01</v>
      </c>
      <c r="BO59" s="299" t="n">
        <v>0.02</v>
      </c>
      <c r="BP59" s="299" t="n">
        <v>0.005</v>
      </c>
      <c r="BQ59" s="299" t="n">
        <v>0.0025</v>
      </c>
      <c r="BR59" s="299" t="n">
        <v>0.035</v>
      </c>
      <c r="BS59" s="0" t="n">
        <v>0.005</v>
      </c>
      <c r="BT59" s="0" t="n">
        <v>0.032</v>
      </c>
      <c r="BU59" s="0" t="n">
        <v>0.032</v>
      </c>
      <c r="BV59" s="0" t="n">
        <v>0.03</v>
      </c>
    </row>
    <row r="60" customFormat="false" ht="12.75" hidden="false" customHeight="false" outlineLevel="0" collapsed="false">
      <c r="A60" s="301" t="e">
        <f aca="false">#REF!-B60</f>
        <v>#REF!</v>
      </c>
      <c r="B60" s="301" t="n">
        <v>3.537</v>
      </c>
      <c r="C60" s="308" t="n">
        <f aca="false">EOMONTH(C59,0)+1</f>
        <v>38899</v>
      </c>
      <c r="D60" s="0" t="n">
        <v>3.405</v>
      </c>
      <c r="E60" s="301" t="n">
        <v>0.2475</v>
      </c>
      <c r="F60" s="299" t="n">
        <v>0.04962340294637</v>
      </c>
      <c r="G60" s="299" t="n">
        <v>-0.13</v>
      </c>
      <c r="H60" s="299" t="n">
        <v>-0.15</v>
      </c>
      <c r="I60" s="310" t="n">
        <v>-0.09</v>
      </c>
      <c r="J60" s="310" t="n">
        <v>-0.135</v>
      </c>
      <c r="K60" s="299" t="n">
        <v>-0.09</v>
      </c>
      <c r="L60" s="299" t="n">
        <v>-0.0575</v>
      </c>
      <c r="M60" s="299" t="n">
        <v>-0.1</v>
      </c>
      <c r="N60" s="299" t="n">
        <v>-0.12</v>
      </c>
      <c r="O60" s="299" t="n">
        <v>-0.12</v>
      </c>
      <c r="P60" s="299" t="n">
        <v>-0.13</v>
      </c>
      <c r="Q60" s="299" t="n">
        <v>-0.0825</v>
      </c>
      <c r="R60" s="299" t="n">
        <v>-0.0675</v>
      </c>
      <c r="S60" s="299" t="n">
        <v>0.125</v>
      </c>
      <c r="T60" s="299" t="n">
        <v>0.155</v>
      </c>
      <c r="U60" s="299" t="n">
        <v>0.04</v>
      </c>
      <c r="V60" s="299" t="n">
        <v>0.5</v>
      </c>
      <c r="W60" s="299" t="n">
        <v>0.15</v>
      </c>
      <c r="X60" s="299" t="n">
        <v>0.205</v>
      </c>
      <c r="Y60" s="299" t="n">
        <v>-0.0255</v>
      </c>
      <c r="Z60" s="299" t="n">
        <v>-0.0475</v>
      </c>
      <c r="AA60" s="299" t="n">
        <v>0.0135</v>
      </c>
      <c r="AB60" s="299" t="n">
        <v>-0.009</v>
      </c>
      <c r="AC60" s="299" t="n">
        <v>0.0025</v>
      </c>
      <c r="AD60" s="299" t="n">
        <v>-0.0225</v>
      </c>
      <c r="AE60" s="299" t="n">
        <v>-0.0725</v>
      </c>
      <c r="AF60" s="299" t="n">
        <v>-0.065</v>
      </c>
      <c r="AG60" s="299" t="n">
        <v>-0.0875</v>
      </c>
      <c r="AH60" s="299" t="n">
        <v>-0.0195</v>
      </c>
      <c r="AI60" s="299" t="n">
        <v>-0.072</v>
      </c>
      <c r="AJ60" s="299" t="n">
        <v>-0.0975</v>
      </c>
      <c r="AK60" s="299" t="n">
        <v>-0.017</v>
      </c>
      <c r="AL60" s="299" t="n">
        <v>0.023</v>
      </c>
      <c r="AM60" s="299" t="n">
        <v>0.41</v>
      </c>
      <c r="AN60" s="299" t="n">
        <v>0.0275</v>
      </c>
      <c r="AO60" s="299" t="n">
        <v>-0.47</v>
      </c>
      <c r="AP60" s="299" t="n">
        <v>-0.075</v>
      </c>
      <c r="AQ60" s="299" t="n">
        <v>-0.195</v>
      </c>
      <c r="AR60" s="299" t="n">
        <v>-0.25</v>
      </c>
      <c r="AS60" s="299" t="n">
        <v>-0.39</v>
      </c>
      <c r="AT60" s="299" t="n">
        <v>-0.47</v>
      </c>
      <c r="AU60" s="299" t="n">
        <v>0.26</v>
      </c>
      <c r="AV60" s="299" t="n">
        <v>-0.47</v>
      </c>
      <c r="AW60" s="299" t="n">
        <v>-0.151</v>
      </c>
      <c r="AX60" s="299" t="n">
        <v>-0.065</v>
      </c>
      <c r="AY60" s="299" t="n">
        <v>-0.091</v>
      </c>
      <c r="AZ60" s="299" t="n">
        <v>-0.0575</v>
      </c>
      <c r="BA60" s="299" t="n">
        <v>-0.081</v>
      </c>
      <c r="BB60" s="299" t="n">
        <v>-0.0195</v>
      </c>
      <c r="BC60" s="299" t="n">
        <v>-0.0625</v>
      </c>
      <c r="BD60" s="299" t="n">
        <v>-0.0025</v>
      </c>
      <c r="BE60" s="299" t="n">
        <v>-0.0725</v>
      </c>
      <c r="BF60" s="299" t="n">
        <v>0.06</v>
      </c>
      <c r="BG60" s="299" t="n">
        <v>0.145</v>
      </c>
      <c r="BH60" s="299" t="n">
        <v>0.155</v>
      </c>
      <c r="BI60" s="299" t="n">
        <v>0.125</v>
      </c>
      <c r="BJ60" s="299" t="n">
        <v>0.35</v>
      </c>
      <c r="BK60" s="299" t="n">
        <v>0</v>
      </c>
      <c r="BL60" s="299" t="n">
        <v>-0.01</v>
      </c>
      <c r="BM60" s="299" t="n">
        <v>0.005</v>
      </c>
      <c r="BN60" s="299" t="n">
        <v>-0.01</v>
      </c>
      <c r="BO60" s="299" t="n">
        <v>0.02</v>
      </c>
      <c r="BP60" s="299" t="n">
        <v>0.005</v>
      </c>
      <c r="BQ60" s="299" t="n">
        <v>0.0025</v>
      </c>
      <c r="BR60" s="299" t="n">
        <v>0.035</v>
      </c>
      <c r="BS60" s="0" t="n">
        <v>0.005</v>
      </c>
      <c r="BT60" s="0" t="n">
        <v>0.032</v>
      </c>
      <c r="BU60" s="0" t="n">
        <v>0.032</v>
      </c>
      <c r="BV60" s="0" t="n">
        <v>0.03</v>
      </c>
    </row>
    <row r="61" customFormat="false" ht="12.75" hidden="false" customHeight="false" outlineLevel="0" collapsed="false">
      <c r="A61" s="301" t="e">
        <f aca="false">#REF!-B61</f>
        <v>#REF!</v>
      </c>
      <c r="B61" s="301" t="n">
        <v>3.418</v>
      </c>
      <c r="C61" s="308" t="n">
        <f aca="false">EOMONTH(C60,0)+1</f>
        <v>38930</v>
      </c>
      <c r="D61" s="0" t="n">
        <v>3.445</v>
      </c>
      <c r="E61" s="301" t="n">
        <v>0.2475</v>
      </c>
      <c r="F61" s="299" t="n">
        <v>0.0499339742651683</v>
      </c>
      <c r="G61" s="299" t="n">
        <v>-0.13</v>
      </c>
      <c r="H61" s="299" t="n">
        <v>-0.15</v>
      </c>
      <c r="I61" s="310" t="n">
        <v>-0.09</v>
      </c>
      <c r="J61" s="310" t="n">
        <v>-0.135</v>
      </c>
      <c r="K61" s="299" t="n">
        <v>-0.09</v>
      </c>
      <c r="L61" s="299" t="n">
        <v>-0.0575</v>
      </c>
      <c r="M61" s="299" t="n">
        <v>-0.1</v>
      </c>
      <c r="N61" s="299" t="n">
        <v>-0.12</v>
      </c>
      <c r="O61" s="299" t="n">
        <v>-0.12</v>
      </c>
      <c r="P61" s="299" t="n">
        <v>-0.13</v>
      </c>
      <c r="Q61" s="299" t="n">
        <v>-0.0825</v>
      </c>
      <c r="R61" s="299" t="n">
        <v>-0.0675</v>
      </c>
      <c r="S61" s="299" t="n">
        <v>0.125</v>
      </c>
      <c r="T61" s="299" t="n">
        <v>0.155</v>
      </c>
      <c r="U61" s="299" t="n">
        <v>0.04</v>
      </c>
      <c r="V61" s="299" t="n">
        <v>0.5</v>
      </c>
      <c r="W61" s="299" t="n">
        <v>0.15</v>
      </c>
      <c r="X61" s="299" t="n">
        <v>0.205</v>
      </c>
      <c r="Y61" s="299" t="n">
        <v>-0.0255</v>
      </c>
      <c r="Z61" s="299" t="n">
        <v>-0.0475</v>
      </c>
      <c r="AA61" s="299" t="n">
        <v>0.0085</v>
      </c>
      <c r="AB61" s="299" t="n">
        <v>-0.014</v>
      </c>
      <c r="AC61" s="299" t="n">
        <v>0.0025</v>
      </c>
      <c r="AD61" s="299" t="n">
        <v>-0.0225</v>
      </c>
      <c r="AE61" s="299" t="n">
        <v>-0.0725</v>
      </c>
      <c r="AF61" s="299" t="n">
        <v>-0.065</v>
      </c>
      <c r="AG61" s="299" t="n">
        <v>-0.0875</v>
      </c>
      <c r="AH61" s="299" t="n">
        <v>-0.0195</v>
      </c>
      <c r="AI61" s="299" t="n">
        <v>-0.072</v>
      </c>
      <c r="AJ61" s="299" t="n">
        <v>-0.0975</v>
      </c>
      <c r="AK61" s="299" t="n">
        <v>-0.017</v>
      </c>
      <c r="AL61" s="299" t="n">
        <v>0.023</v>
      </c>
      <c r="AM61" s="299" t="n">
        <v>0.41</v>
      </c>
      <c r="AN61" s="299" t="n">
        <v>0.03</v>
      </c>
      <c r="AO61" s="299" t="n">
        <v>-0.47</v>
      </c>
      <c r="AP61" s="299" t="n">
        <v>-0.075</v>
      </c>
      <c r="AQ61" s="299" t="n">
        <v>-0.195</v>
      </c>
      <c r="AR61" s="299" t="n">
        <v>-0.25</v>
      </c>
      <c r="AS61" s="299" t="n">
        <v>-0.39</v>
      </c>
      <c r="AT61" s="299" t="n">
        <v>-0.47</v>
      </c>
      <c r="AU61" s="299" t="n">
        <v>0.26</v>
      </c>
      <c r="AV61" s="299" t="n">
        <v>-0.47</v>
      </c>
      <c r="AW61" s="299" t="n">
        <v>-0.146</v>
      </c>
      <c r="AX61" s="299" t="n">
        <v>-0.065</v>
      </c>
      <c r="AY61" s="299" t="n">
        <v>-0.086</v>
      </c>
      <c r="AZ61" s="299" t="n">
        <v>-0.0575</v>
      </c>
      <c r="BA61" s="299" t="n">
        <v>-0.0785</v>
      </c>
      <c r="BB61" s="299" t="n">
        <v>-0.0195</v>
      </c>
      <c r="BC61" s="299" t="n">
        <v>-0.0625</v>
      </c>
      <c r="BD61" s="299" t="n">
        <v>0</v>
      </c>
      <c r="BE61" s="299" t="n">
        <v>-0.0725</v>
      </c>
      <c r="BF61" s="299" t="n">
        <v>0.06</v>
      </c>
      <c r="BG61" s="299" t="n">
        <v>0.145</v>
      </c>
      <c r="BH61" s="299" t="n">
        <v>0.155</v>
      </c>
      <c r="BI61" s="299" t="n">
        <v>0.125</v>
      </c>
      <c r="BJ61" s="299" t="n">
        <v>0.35</v>
      </c>
      <c r="BK61" s="299" t="n">
        <v>0</v>
      </c>
      <c r="BL61" s="299" t="n">
        <v>-0.01</v>
      </c>
      <c r="BM61" s="299" t="n">
        <v>0.005</v>
      </c>
      <c r="BN61" s="299" t="n">
        <v>-0.01</v>
      </c>
      <c r="BO61" s="299" t="n">
        <v>0.02</v>
      </c>
      <c r="BP61" s="299" t="n">
        <v>0.005</v>
      </c>
      <c r="BQ61" s="299" t="n">
        <v>0.0025</v>
      </c>
      <c r="BR61" s="299" t="n">
        <v>0.01</v>
      </c>
      <c r="BS61" s="0" t="n">
        <v>0.005</v>
      </c>
      <c r="BT61" s="0" t="n">
        <v>0.032</v>
      </c>
      <c r="BU61" s="0" t="n">
        <v>0.032</v>
      </c>
      <c r="BV61" s="0" t="n">
        <v>0.03</v>
      </c>
    </row>
    <row r="62" customFormat="false" ht="12.75" hidden="false" customHeight="false" outlineLevel="0" collapsed="false">
      <c r="A62" s="301" t="e">
        <f aca="false">#REF!-B62</f>
        <v>#REF!</v>
      </c>
      <c r="B62" s="301" t="n">
        <v>3.266</v>
      </c>
      <c r="C62" s="308" t="n">
        <f aca="false">EOMONTH(C61,0)+1</f>
        <v>38961</v>
      </c>
      <c r="D62" s="0" t="n">
        <v>3.44</v>
      </c>
      <c r="E62" s="301" t="n">
        <v>0.2475</v>
      </c>
      <c r="F62" s="299" t="n">
        <v>0.0502445456161724</v>
      </c>
      <c r="G62" s="299" t="n">
        <v>-0.13</v>
      </c>
      <c r="H62" s="299" t="n">
        <v>-0.15</v>
      </c>
      <c r="I62" s="310" t="n">
        <v>-0.09</v>
      </c>
      <c r="J62" s="310" t="n">
        <v>-0.135</v>
      </c>
      <c r="K62" s="299" t="n">
        <v>-0.09</v>
      </c>
      <c r="L62" s="299" t="n">
        <v>-0.0575</v>
      </c>
      <c r="M62" s="299" t="n">
        <v>-0.1</v>
      </c>
      <c r="N62" s="299" t="n">
        <v>-0.12</v>
      </c>
      <c r="O62" s="299" t="n">
        <v>-0.12</v>
      </c>
      <c r="P62" s="299" t="n">
        <v>-0.13</v>
      </c>
      <c r="Q62" s="299" t="n">
        <v>-0.0825</v>
      </c>
      <c r="R62" s="299" t="n">
        <v>-0.0675</v>
      </c>
      <c r="S62" s="299" t="n">
        <v>0.125</v>
      </c>
      <c r="T62" s="299" t="n">
        <v>0.155</v>
      </c>
      <c r="U62" s="299" t="n">
        <v>0.04</v>
      </c>
      <c r="V62" s="299" t="n">
        <v>0.5</v>
      </c>
      <c r="W62" s="299" t="n">
        <v>0.125</v>
      </c>
      <c r="X62" s="299" t="n">
        <v>0.145</v>
      </c>
      <c r="Y62" s="299" t="n">
        <v>-0.0255</v>
      </c>
      <c r="Z62" s="299" t="n">
        <v>-0.0525</v>
      </c>
      <c r="AA62" s="299" t="n">
        <v>0.0085</v>
      </c>
      <c r="AB62" s="299" t="n">
        <v>-0.014</v>
      </c>
      <c r="AC62" s="299" t="n">
        <v>0.0025</v>
      </c>
      <c r="AD62" s="299" t="n">
        <v>-0.0225</v>
      </c>
      <c r="AE62" s="299" t="n">
        <v>-0.0725</v>
      </c>
      <c r="AF62" s="299" t="n">
        <v>-0.065</v>
      </c>
      <c r="AG62" s="299" t="n">
        <v>-0.0875</v>
      </c>
      <c r="AH62" s="299" t="n">
        <v>-0.0195</v>
      </c>
      <c r="AI62" s="299" t="n">
        <v>-0.072</v>
      </c>
      <c r="AJ62" s="299" t="n">
        <v>-0.0975</v>
      </c>
      <c r="AK62" s="299" t="n">
        <v>-0.017</v>
      </c>
      <c r="AL62" s="299" t="n">
        <v>0.023</v>
      </c>
      <c r="AM62" s="299" t="n">
        <v>0.36</v>
      </c>
      <c r="AN62" s="299" t="n">
        <v>0.0225</v>
      </c>
      <c r="AO62" s="299" t="n">
        <v>-0.47</v>
      </c>
      <c r="AP62" s="299" t="n">
        <v>-0.075</v>
      </c>
      <c r="AQ62" s="299" t="n">
        <v>-0.195</v>
      </c>
      <c r="AR62" s="299" t="n">
        <v>-0.25</v>
      </c>
      <c r="AS62" s="299" t="n">
        <v>-0.39</v>
      </c>
      <c r="AT62" s="299" t="n">
        <v>-0.47</v>
      </c>
      <c r="AU62" s="299" t="n">
        <v>0.26</v>
      </c>
      <c r="AV62" s="299" t="n">
        <v>-0.47</v>
      </c>
      <c r="AW62" s="299" t="n">
        <v>-0.156</v>
      </c>
      <c r="AX62" s="299" t="n">
        <v>-0.065</v>
      </c>
      <c r="AY62" s="299" t="n">
        <v>-0.096</v>
      </c>
      <c r="AZ62" s="299" t="n">
        <v>-0.0575</v>
      </c>
      <c r="BA62" s="299" t="n">
        <v>-0.0835</v>
      </c>
      <c r="BB62" s="299" t="n">
        <v>-0.0195</v>
      </c>
      <c r="BC62" s="299" t="n">
        <v>-0.0625</v>
      </c>
      <c r="BD62" s="299" t="n">
        <v>-0.0075</v>
      </c>
      <c r="BE62" s="299" t="n">
        <v>-0.0725</v>
      </c>
      <c r="BF62" s="299" t="n">
        <v>0.06</v>
      </c>
      <c r="BG62" s="299" t="n">
        <v>0.145</v>
      </c>
      <c r="BH62" s="299" t="n">
        <v>0.155</v>
      </c>
      <c r="BI62" s="299" t="n">
        <v>0.125</v>
      </c>
      <c r="BJ62" s="299" t="n">
        <v>0.315</v>
      </c>
      <c r="BK62" s="299" t="n">
        <v>0</v>
      </c>
      <c r="BL62" s="299" t="n">
        <v>-0.01</v>
      </c>
      <c r="BM62" s="299" t="n">
        <v>0.005</v>
      </c>
      <c r="BN62" s="299" t="n">
        <v>-0.01</v>
      </c>
      <c r="BO62" s="299" t="n">
        <v>0.02</v>
      </c>
      <c r="BP62" s="299" t="n">
        <v>0.005</v>
      </c>
      <c r="BQ62" s="299" t="n">
        <v>0.0025</v>
      </c>
      <c r="BR62" s="299" t="n">
        <v>0.01</v>
      </c>
      <c r="BS62" s="0" t="n">
        <v>0.005</v>
      </c>
      <c r="BT62" s="0" t="n">
        <v>0.032</v>
      </c>
      <c r="BU62" s="0" t="n">
        <v>0.032</v>
      </c>
      <c r="BV62" s="0" t="n">
        <v>0.03</v>
      </c>
    </row>
    <row r="63" customFormat="false" ht="12.75" hidden="false" customHeight="false" outlineLevel="0" collapsed="false">
      <c r="A63" s="301" t="e">
        <f aca="false">#REF!-B63</f>
        <v>#REF!</v>
      </c>
      <c r="B63" s="301" t="n">
        <v>3.117</v>
      </c>
      <c r="C63" s="308" t="n">
        <f aca="false">EOMONTH(C62,0)+1</f>
        <v>38991</v>
      </c>
      <c r="D63" s="0" t="n">
        <v>3.465</v>
      </c>
      <c r="E63" s="301" t="n">
        <v>0.2475</v>
      </c>
      <c r="F63" s="299" t="n">
        <v>0.0505450985671585</v>
      </c>
      <c r="G63" s="299" t="n">
        <v>-0.13</v>
      </c>
      <c r="H63" s="299" t="n">
        <v>-0.15</v>
      </c>
      <c r="I63" s="310" t="n">
        <v>-0.09</v>
      </c>
      <c r="J63" s="310" t="n">
        <v>-0.135</v>
      </c>
      <c r="K63" s="299" t="n">
        <v>-0.09</v>
      </c>
      <c r="L63" s="299" t="n">
        <v>-0.0575</v>
      </c>
      <c r="M63" s="299" t="n">
        <v>-0.1</v>
      </c>
      <c r="N63" s="299" t="n">
        <v>-0.12</v>
      </c>
      <c r="O63" s="299" t="n">
        <v>-0.12</v>
      </c>
      <c r="P63" s="299" t="n">
        <v>-0.13</v>
      </c>
      <c r="Q63" s="299" t="n">
        <v>-0.0825</v>
      </c>
      <c r="R63" s="299" t="n">
        <v>-0.0675</v>
      </c>
      <c r="S63" s="299" t="n">
        <v>0.125</v>
      </c>
      <c r="T63" s="299" t="n">
        <v>0.155</v>
      </c>
      <c r="U63" s="299" t="n">
        <v>0.04</v>
      </c>
      <c r="V63" s="299" t="n">
        <v>0.5</v>
      </c>
      <c r="W63" s="299" t="n">
        <v>0.145</v>
      </c>
      <c r="X63" s="299" t="n">
        <v>0.175</v>
      </c>
      <c r="Y63" s="299" t="n">
        <v>-0.0255</v>
      </c>
      <c r="Z63" s="299" t="n">
        <v>-0.0525</v>
      </c>
      <c r="AA63" s="299" t="n">
        <v>0.0035</v>
      </c>
      <c r="AB63" s="299" t="n">
        <v>-0.019</v>
      </c>
      <c r="AC63" s="299" t="n">
        <v>0.0025</v>
      </c>
      <c r="AD63" s="299" t="n">
        <v>-0.0225</v>
      </c>
      <c r="AE63" s="299" t="n">
        <v>-0.0725</v>
      </c>
      <c r="AF63" s="299" t="n">
        <v>-0.065</v>
      </c>
      <c r="AG63" s="299" t="n">
        <v>-0.0875</v>
      </c>
      <c r="AH63" s="299" t="n">
        <v>-0.0195</v>
      </c>
      <c r="AI63" s="299" t="n">
        <v>-0.072</v>
      </c>
      <c r="AJ63" s="299" t="n">
        <v>-0.0975</v>
      </c>
      <c r="AK63" s="299" t="n">
        <v>-0.017</v>
      </c>
      <c r="AL63" s="299" t="n">
        <v>0.023</v>
      </c>
      <c r="AM63" s="299" t="n">
        <v>0.4</v>
      </c>
      <c r="AN63" s="299" t="n">
        <v>0.0125</v>
      </c>
      <c r="AO63" s="299" t="n">
        <v>-0.47</v>
      </c>
      <c r="AP63" s="299" t="n">
        <v>-0.075</v>
      </c>
      <c r="AQ63" s="299" t="n">
        <v>-0.195</v>
      </c>
      <c r="AR63" s="299" t="n">
        <v>-0.25</v>
      </c>
      <c r="AS63" s="299" t="n">
        <v>-0.39</v>
      </c>
      <c r="AT63" s="299" t="n">
        <v>-0.47</v>
      </c>
      <c r="AU63" s="299" t="n">
        <v>0.26</v>
      </c>
      <c r="AV63" s="299" t="n">
        <v>-0.47</v>
      </c>
      <c r="AW63" s="299" t="n">
        <v>-0.1435</v>
      </c>
      <c r="AX63" s="299" t="n">
        <v>-0.065</v>
      </c>
      <c r="AY63" s="299" t="n">
        <v>-0.0835</v>
      </c>
      <c r="AZ63" s="299" t="n">
        <v>-0.0575</v>
      </c>
      <c r="BA63" s="299" t="n">
        <v>-0.086</v>
      </c>
      <c r="BB63" s="299" t="n">
        <v>-0.0195</v>
      </c>
      <c r="BC63" s="299" t="n">
        <v>-0.0625</v>
      </c>
      <c r="BD63" s="299" t="n">
        <v>-0.0175</v>
      </c>
      <c r="BE63" s="299" t="n">
        <v>-0.0725</v>
      </c>
      <c r="BF63" s="299" t="n">
        <v>0.06</v>
      </c>
      <c r="BG63" s="299" t="n">
        <v>0.145</v>
      </c>
      <c r="BH63" s="299" t="n">
        <v>0.155</v>
      </c>
      <c r="BI63" s="299" t="n">
        <v>0.125</v>
      </c>
      <c r="BJ63" s="299" t="n">
        <v>0.36</v>
      </c>
      <c r="BK63" s="299" t="n">
        <v>0</v>
      </c>
      <c r="BL63" s="299" t="n">
        <v>-0.015</v>
      </c>
      <c r="BM63" s="299" t="n">
        <v>0.005</v>
      </c>
      <c r="BN63" s="299" t="n">
        <v>-0.01</v>
      </c>
      <c r="BO63" s="299" t="n">
        <v>0.02</v>
      </c>
      <c r="BP63" s="299" t="n">
        <v>0.005</v>
      </c>
      <c r="BQ63" s="299" t="n">
        <v>0.0025</v>
      </c>
      <c r="BR63" s="299" t="n">
        <v>0.01</v>
      </c>
      <c r="BS63" s="0" t="n">
        <v>0.005</v>
      </c>
      <c r="BT63" s="0" t="n">
        <v>0.032</v>
      </c>
      <c r="BU63" s="0" t="n">
        <v>0.032</v>
      </c>
      <c r="BV63" s="0" t="n">
        <v>0.03</v>
      </c>
    </row>
    <row r="64" customFormat="false" ht="12.75" hidden="false" customHeight="false" outlineLevel="0" collapsed="false">
      <c r="A64" s="301" t="e">
        <f aca="false">#REF!-B64</f>
        <v>#REF!</v>
      </c>
      <c r="B64" s="301" t="n">
        <v>3.091</v>
      </c>
      <c r="C64" s="308" t="n">
        <f aca="false">EOMONTH(C63,0)+1</f>
        <v>39022</v>
      </c>
      <c r="D64" s="0" t="n">
        <v>3.617</v>
      </c>
      <c r="E64" s="301" t="n">
        <v>0.2475</v>
      </c>
      <c r="F64" s="299" t="n">
        <v>0.0508556699815208</v>
      </c>
      <c r="G64" s="299" t="n">
        <v>-0.13</v>
      </c>
      <c r="H64" s="299" t="n">
        <v>-0.15</v>
      </c>
      <c r="I64" s="310" t="n">
        <v>-0.01</v>
      </c>
      <c r="J64" s="310" t="n">
        <v>-0.135</v>
      </c>
      <c r="K64" s="299" t="n">
        <v>0</v>
      </c>
      <c r="L64" s="299" t="n">
        <v>-0.0575</v>
      </c>
      <c r="M64" s="299" t="n">
        <v>-0.1</v>
      </c>
      <c r="N64" s="299" t="n">
        <v>-0.12</v>
      </c>
      <c r="O64" s="299" t="n">
        <v>-0.12</v>
      </c>
      <c r="P64" s="299" t="n">
        <v>-0.13</v>
      </c>
      <c r="Q64" s="299" t="n">
        <v>-0.09</v>
      </c>
      <c r="R64" s="299" t="n">
        <v>-0.0675</v>
      </c>
      <c r="S64" s="299" t="n">
        <v>0.155</v>
      </c>
      <c r="T64" s="299" t="n">
        <v>0.205</v>
      </c>
      <c r="U64" s="299" t="n">
        <v>0.13</v>
      </c>
      <c r="V64" s="299" t="n">
        <v>0.5</v>
      </c>
      <c r="W64" s="299" t="n">
        <v>0.195</v>
      </c>
      <c r="X64" s="299" t="n">
        <v>0.21</v>
      </c>
      <c r="Y64" s="299" t="n">
        <v>-0.023</v>
      </c>
      <c r="Z64" s="299" t="n">
        <v>-0.035</v>
      </c>
      <c r="AA64" s="299" t="n">
        <v>0.0045</v>
      </c>
      <c r="AB64" s="299" t="n">
        <v>-0.0155</v>
      </c>
      <c r="AC64" s="299" t="n">
        <v>0.0025</v>
      </c>
      <c r="AD64" s="299" t="n">
        <v>-0.0225</v>
      </c>
      <c r="AE64" s="299" t="n">
        <v>-0.075</v>
      </c>
      <c r="AF64" s="299" t="n">
        <v>-0.0675</v>
      </c>
      <c r="AG64" s="299" t="n">
        <v>-0.09</v>
      </c>
      <c r="AH64" s="299" t="n">
        <v>-0.016</v>
      </c>
      <c r="AI64" s="299" t="n">
        <v>-0.066</v>
      </c>
      <c r="AJ64" s="299" t="n">
        <v>-0.1125</v>
      </c>
      <c r="AK64" s="299" t="n">
        <v>-0.011</v>
      </c>
      <c r="AL64" s="299" t="n">
        <v>0.029</v>
      </c>
      <c r="AM64" s="299" t="n">
        <v>0.65</v>
      </c>
      <c r="AN64" s="299" t="n">
        <v>-0.0225</v>
      </c>
      <c r="AO64" s="299" t="n">
        <v>-0.34</v>
      </c>
      <c r="AP64" s="299" t="n">
        <v>-0.075</v>
      </c>
      <c r="AQ64" s="299" t="n">
        <v>-0.13</v>
      </c>
      <c r="AR64" s="299" t="n">
        <v>0.248</v>
      </c>
      <c r="AS64" s="299" t="n">
        <v>-0.26</v>
      </c>
      <c r="AT64" s="299" t="n">
        <v>-0.34</v>
      </c>
      <c r="AU64" s="299" t="n">
        <v>0.24</v>
      </c>
      <c r="AV64" s="299" t="n">
        <v>-0.34</v>
      </c>
      <c r="AW64" s="299" t="n">
        <v>-0.151</v>
      </c>
      <c r="AX64" s="299" t="n">
        <v>-0.065</v>
      </c>
      <c r="AY64" s="299" t="n">
        <v>-0.091</v>
      </c>
      <c r="AZ64" s="299" t="n">
        <v>-0.0575</v>
      </c>
      <c r="BA64" s="299" t="n">
        <v>-0.081</v>
      </c>
      <c r="BB64" s="299" t="n">
        <v>-0.021</v>
      </c>
      <c r="BC64" s="299" t="n">
        <v>-0.0775</v>
      </c>
      <c r="BD64" s="299" t="n">
        <v>-0.0525</v>
      </c>
      <c r="BE64" s="299" t="n">
        <v>-0.075</v>
      </c>
      <c r="BF64" s="299" t="n">
        <v>0.15</v>
      </c>
      <c r="BG64" s="299" t="n">
        <v>0.235</v>
      </c>
      <c r="BH64" s="299" t="n">
        <v>0.205</v>
      </c>
      <c r="BI64" s="299" t="n">
        <v>0.155</v>
      </c>
      <c r="BJ64" s="299" t="n">
        <v>0.46</v>
      </c>
      <c r="BK64" s="299" t="n">
        <v>0</v>
      </c>
      <c r="BL64" s="299" t="n">
        <v>-0.02</v>
      </c>
      <c r="BM64" s="299" t="n">
        <v>0.005</v>
      </c>
      <c r="BN64" s="299" t="n">
        <v>0</v>
      </c>
      <c r="BO64" s="299" t="n">
        <v>0.035</v>
      </c>
      <c r="BP64" s="299" t="n">
        <v>0.005</v>
      </c>
      <c r="BQ64" s="299" t="n">
        <v>0.005</v>
      </c>
      <c r="BR64" s="299" t="n">
        <v>0.055</v>
      </c>
      <c r="BS64" s="0" t="n">
        <v>0.02</v>
      </c>
      <c r="BT64" s="0" t="n">
        <v>0.034</v>
      </c>
      <c r="BU64" s="0" t="n">
        <v>0.034</v>
      </c>
      <c r="BV64" s="0" t="n">
        <v>0.03</v>
      </c>
    </row>
    <row r="65" customFormat="false" ht="12.75" hidden="false" customHeight="false" outlineLevel="0" collapsed="false">
      <c r="A65" s="301" t="e">
        <f aca="false">#REF!-B65</f>
        <v>#REF!</v>
      </c>
      <c r="B65" s="301" t="n">
        <v>3.073</v>
      </c>
      <c r="C65" s="308" t="n">
        <f aca="false">EOMONTH(C64,0)+1</f>
        <v>39052</v>
      </c>
      <c r="D65" s="0" t="n">
        <v>3.76</v>
      </c>
      <c r="E65" s="301" t="n">
        <v>0.2475</v>
      </c>
      <c r="F65" s="299" t="n">
        <v>0.0511562229938121</v>
      </c>
      <c r="G65" s="299" t="n">
        <v>-0.1325</v>
      </c>
      <c r="H65" s="299" t="n">
        <v>-0.1525</v>
      </c>
      <c r="I65" s="310" t="n">
        <v>-0.005</v>
      </c>
      <c r="J65" s="310" t="n">
        <v>-0.135</v>
      </c>
      <c r="K65" s="299" t="n">
        <v>0.005</v>
      </c>
      <c r="L65" s="299" t="n">
        <v>-0.0575</v>
      </c>
      <c r="M65" s="299" t="n">
        <v>-0.1025</v>
      </c>
      <c r="N65" s="299" t="n">
        <v>-0.1225</v>
      </c>
      <c r="O65" s="299" t="n">
        <v>-0.1225</v>
      </c>
      <c r="P65" s="299" t="n">
        <v>-0.1325</v>
      </c>
      <c r="Q65" s="299" t="n">
        <v>-0.09</v>
      </c>
      <c r="R65" s="299" t="n">
        <v>-0.0675</v>
      </c>
      <c r="S65" s="299" t="n">
        <v>0.155</v>
      </c>
      <c r="T65" s="299" t="n">
        <v>0.205</v>
      </c>
      <c r="U65" s="299" t="n">
        <v>0.13</v>
      </c>
      <c r="V65" s="299" t="n">
        <v>0.5</v>
      </c>
      <c r="W65" s="299" t="n">
        <v>0.215</v>
      </c>
      <c r="X65" s="299" t="n">
        <v>0.29</v>
      </c>
      <c r="Y65" s="299" t="n">
        <v>-0.023</v>
      </c>
      <c r="Z65" s="299" t="n">
        <v>-0.035</v>
      </c>
      <c r="AA65" s="299" t="n">
        <v>0.0045</v>
      </c>
      <c r="AB65" s="299" t="n">
        <v>-0.0155</v>
      </c>
      <c r="AC65" s="299" t="n">
        <v>0.0025</v>
      </c>
      <c r="AD65" s="299" t="n">
        <v>-0.0225</v>
      </c>
      <c r="AE65" s="299" t="n">
        <v>-0.075</v>
      </c>
      <c r="AF65" s="299" t="n">
        <v>-0.0655</v>
      </c>
      <c r="AG65" s="299" t="n">
        <v>-0.088</v>
      </c>
      <c r="AH65" s="299" t="n">
        <v>-0.0135</v>
      </c>
      <c r="AI65" s="299" t="n">
        <v>-0.066</v>
      </c>
      <c r="AJ65" s="299" t="n">
        <v>-0.1125</v>
      </c>
      <c r="AK65" s="299" t="n">
        <v>-0.011</v>
      </c>
      <c r="AL65" s="299" t="n">
        <v>0.029</v>
      </c>
      <c r="AM65" s="299" t="n">
        <v>0.98</v>
      </c>
      <c r="AN65" s="299" t="n">
        <v>-0.045</v>
      </c>
      <c r="AO65" s="299" t="n">
        <v>-0.34</v>
      </c>
      <c r="AP65" s="299" t="n">
        <v>-0.075</v>
      </c>
      <c r="AQ65" s="299" t="n">
        <v>-0.13</v>
      </c>
      <c r="AR65" s="299" t="n">
        <v>0.308</v>
      </c>
      <c r="AS65" s="299" t="n">
        <v>-0.26</v>
      </c>
      <c r="AT65" s="299" t="n">
        <v>-0.34</v>
      </c>
      <c r="AU65" s="299" t="n">
        <v>0.24</v>
      </c>
      <c r="AV65" s="299" t="n">
        <v>-0.34</v>
      </c>
      <c r="AW65" s="299" t="n">
        <v>-0.1785</v>
      </c>
      <c r="AX65" s="299" t="n">
        <v>-0.065</v>
      </c>
      <c r="AY65" s="299" t="n">
        <v>-0.1185</v>
      </c>
      <c r="AZ65" s="299" t="n">
        <v>-0.0575</v>
      </c>
      <c r="BA65" s="299" t="n">
        <v>-0.1085</v>
      </c>
      <c r="BB65" s="299" t="n">
        <v>-0.0185</v>
      </c>
      <c r="BC65" s="299" t="n">
        <v>-0.0775</v>
      </c>
      <c r="BD65" s="299" t="n">
        <v>-0.075</v>
      </c>
      <c r="BE65" s="299" t="n">
        <v>-0.075</v>
      </c>
      <c r="BF65" s="299" t="n">
        <v>0.15</v>
      </c>
      <c r="BG65" s="299" t="n">
        <v>0.235</v>
      </c>
      <c r="BH65" s="299" t="n">
        <v>0.205</v>
      </c>
      <c r="BI65" s="299" t="n">
        <v>0.155</v>
      </c>
      <c r="BJ65" s="299" t="n">
        <v>0.77</v>
      </c>
      <c r="BK65" s="299" t="n">
        <v>0</v>
      </c>
      <c r="BL65" s="299" t="n">
        <v>-0.025</v>
      </c>
      <c r="BM65" s="299" t="n">
        <v>0.005</v>
      </c>
      <c r="BN65" s="299" t="n">
        <v>0</v>
      </c>
      <c r="BO65" s="299" t="n">
        <v>0.035</v>
      </c>
      <c r="BP65" s="299" t="n">
        <v>0.005</v>
      </c>
      <c r="BQ65" s="299" t="n">
        <v>0.005</v>
      </c>
      <c r="BR65" s="299" t="n">
        <v>0.25</v>
      </c>
      <c r="BS65" s="0" t="n">
        <v>0.02</v>
      </c>
      <c r="BT65" s="0" t="n">
        <v>0.034</v>
      </c>
      <c r="BU65" s="0" t="n">
        <v>0.034</v>
      </c>
      <c r="BV65" s="0" t="n">
        <v>0.03</v>
      </c>
    </row>
    <row r="66" customFormat="false" ht="12.75" hidden="false" customHeight="false" outlineLevel="0" collapsed="false">
      <c r="A66" s="301" t="e">
        <f aca="false">#REF!-B66</f>
        <v>#REF!</v>
      </c>
      <c r="B66" s="301" t="n">
        <v>3.138</v>
      </c>
      <c r="C66" s="308" t="n">
        <f aca="false">EOMONTH(C65,0)+1</f>
        <v>39083</v>
      </c>
      <c r="D66" s="0" t="n">
        <v>3.8125</v>
      </c>
      <c r="E66" s="301" t="n">
        <v>0.2475</v>
      </c>
      <c r="F66" s="299" t="n">
        <v>0.051391857633718</v>
      </c>
      <c r="G66" s="299" t="n">
        <v>-0.135</v>
      </c>
      <c r="H66" s="299" t="n">
        <v>-0.155</v>
      </c>
      <c r="I66" s="310" t="n">
        <v>0.015</v>
      </c>
      <c r="J66" s="310" t="n">
        <v>-0.13</v>
      </c>
      <c r="K66" s="299" t="n">
        <v>0.025</v>
      </c>
      <c r="L66" s="299" t="n">
        <v>-0.0575</v>
      </c>
      <c r="M66" s="299" t="n">
        <v>-0.105</v>
      </c>
      <c r="N66" s="299" t="n">
        <v>-0.125</v>
      </c>
      <c r="O66" s="299" t="n">
        <v>-0.125</v>
      </c>
      <c r="P66" s="299" t="n">
        <v>-0.135</v>
      </c>
      <c r="Q66" s="299" t="n">
        <v>-0.09</v>
      </c>
      <c r="R66" s="299" t="n">
        <v>-0.0675</v>
      </c>
      <c r="S66" s="299" t="n">
        <v>0.155</v>
      </c>
      <c r="T66" s="299" t="n">
        <v>0.205</v>
      </c>
      <c r="U66" s="299" t="n">
        <v>0.13</v>
      </c>
      <c r="V66" s="299" t="n">
        <v>0.5</v>
      </c>
      <c r="W66" s="299" t="n">
        <v>0.235</v>
      </c>
      <c r="X66" s="299" t="n">
        <v>0.34</v>
      </c>
      <c r="Y66" s="299" t="n">
        <v>-0.021</v>
      </c>
      <c r="Z66" s="299" t="n">
        <v>-0.035</v>
      </c>
      <c r="AA66" s="299" t="n">
        <v>0.0045</v>
      </c>
      <c r="AB66" s="299" t="n">
        <v>-0.0155</v>
      </c>
      <c r="AC66" s="299" t="n">
        <v>0.0025</v>
      </c>
      <c r="AD66" s="299" t="n">
        <v>-0.0225</v>
      </c>
      <c r="AE66" s="299" t="n">
        <v>-0.075</v>
      </c>
      <c r="AF66" s="299" t="n">
        <v>-0.0655</v>
      </c>
      <c r="AG66" s="299" t="n">
        <v>-0.088</v>
      </c>
      <c r="AH66" s="299" t="n">
        <v>-0.0135</v>
      </c>
      <c r="AI66" s="299" t="n">
        <v>-0.066</v>
      </c>
      <c r="AJ66" s="299" t="n">
        <v>-0.1125</v>
      </c>
      <c r="AK66" s="299" t="n">
        <v>-0.011</v>
      </c>
      <c r="AL66" s="299" t="n">
        <v>0.029</v>
      </c>
      <c r="AM66" s="299" t="n">
        <v>1.6</v>
      </c>
      <c r="AN66" s="299" t="n">
        <v>-0.0475</v>
      </c>
      <c r="AO66" s="299" t="n">
        <v>-0.34</v>
      </c>
      <c r="AP66" s="299" t="n">
        <v>-0.07</v>
      </c>
      <c r="AQ66" s="299" t="n">
        <v>-0.13</v>
      </c>
      <c r="AR66" s="299" t="n">
        <v>0.378</v>
      </c>
      <c r="AS66" s="299" t="n">
        <v>-0.26</v>
      </c>
      <c r="AT66" s="299" t="n">
        <v>-0.34</v>
      </c>
      <c r="AU66" s="299" t="n">
        <v>0.24</v>
      </c>
      <c r="AV66" s="299" t="n">
        <v>-0.34</v>
      </c>
      <c r="AW66" s="299" t="n">
        <v>-0.1935</v>
      </c>
      <c r="AX66" s="299" t="n">
        <v>-0.06</v>
      </c>
      <c r="AY66" s="299" t="n">
        <v>-0.1335</v>
      </c>
      <c r="AZ66" s="299" t="n">
        <v>-0.0575</v>
      </c>
      <c r="BA66" s="299" t="n">
        <v>-0.109</v>
      </c>
      <c r="BB66" s="299" t="n">
        <v>-0.0185</v>
      </c>
      <c r="BC66" s="299" t="n">
        <v>-0.0775</v>
      </c>
      <c r="BD66" s="299" t="n">
        <v>-0.0775</v>
      </c>
      <c r="BE66" s="299" t="n">
        <v>-0.075</v>
      </c>
      <c r="BF66" s="299" t="n">
        <v>0.15</v>
      </c>
      <c r="BG66" s="299" t="n">
        <v>0.235</v>
      </c>
      <c r="BH66" s="299" t="n">
        <v>0.205</v>
      </c>
      <c r="BI66" s="299" t="n">
        <v>0.155</v>
      </c>
      <c r="BJ66" s="299" t="n">
        <v>1.04</v>
      </c>
      <c r="BK66" s="299" t="n">
        <v>0.0025</v>
      </c>
      <c r="BL66" s="299" t="n">
        <v>-0.025</v>
      </c>
      <c r="BM66" s="299" t="n">
        <v>0.005</v>
      </c>
      <c r="BN66" s="299" t="n">
        <v>0</v>
      </c>
      <c r="BO66" s="299" t="n">
        <v>0.035</v>
      </c>
      <c r="BP66" s="299" t="n">
        <v>0.005</v>
      </c>
      <c r="BQ66" s="299" t="n">
        <v>0.005</v>
      </c>
      <c r="BR66" s="299" t="n">
        <v>0.45</v>
      </c>
      <c r="BS66" s="0" t="n">
        <v>0.02</v>
      </c>
      <c r="BT66" s="0" t="n">
        <v>0.034</v>
      </c>
      <c r="BU66" s="0" t="n">
        <v>0.034</v>
      </c>
      <c r="BV66" s="0" t="n">
        <v>0.03</v>
      </c>
    </row>
    <row r="67" customFormat="false" ht="12.75" hidden="false" customHeight="false" outlineLevel="0" collapsed="false">
      <c r="A67" s="301" t="e">
        <f aca="false">#REF!-B67</f>
        <v>#REF!</v>
      </c>
      <c r="B67" s="301" t="n">
        <v>3.133</v>
      </c>
      <c r="C67" s="308" t="n">
        <f aca="false">EOMONTH(C66,0)+1</f>
        <v>39114</v>
      </c>
      <c r="D67" s="0" t="n">
        <v>3.7275</v>
      </c>
      <c r="E67" s="301" t="n">
        <v>0.2425</v>
      </c>
      <c r="F67" s="299" t="n">
        <v>0.0515733712395421</v>
      </c>
      <c r="G67" s="299" t="n">
        <v>-0.1275</v>
      </c>
      <c r="H67" s="299" t="n">
        <v>-0.1475</v>
      </c>
      <c r="I67" s="310" t="n">
        <v>0.01</v>
      </c>
      <c r="J67" s="310" t="n">
        <v>-0.13</v>
      </c>
      <c r="K67" s="299" t="n">
        <v>0.02</v>
      </c>
      <c r="L67" s="299" t="n">
        <v>-0.0575</v>
      </c>
      <c r="M67" s="299" t="n">
        <v>-0.0975</v>
      </c>
      <c r="N67" s="299" t="n">
        <v>-0.1175</v>
      </c>
      <c r="O67" s="299" t="n">
        <v>-0.1175</v>
      </c>
      <c r="P67" s="299" t="n">
        <v>-0.1275</v>
      </c>
      <c r="Q67" s="299" t="n">
        <v>-0.09</v>
      </c>
      <c r="R67" s="299" t="n">
        <v>-0.0675</v>
      </c>
      <c r="S67" s="299" t="n">
        <v>0.155</v>
      </c>
      <c r="T67" s="299" t="n">
        <v>0.205</v>
      </c>
      <c r="U67" s="299" t="n">
        <v>0.13</v>
      </c>
      <c r="V67" s="299" t="n">
        <v>0.5</v>
      </c>
      <c r="W67" s="299" t="n">
        <v>0.235</v>
      </c>
      <c r="X67" s="299" t="n">
        <v>0.34</v>
      </c>
      <c r="Y67" s="299" t="n">
        <v>-0.021</v>
      </c>
      <c r="Z67" s="299" t="n">
        <v>-0.035</v>
      </c>
      <c r="AA67" s="299" t="n">
        <v>0.0045</v>
      </c>
      <c r="AB67" s="299" t="n">
        <v>-0.0155</v>
      </c>
      <c r="AC67" s="299" t="n">
        <v>0.0025</v>
      </c>
      <c r="AD67" s="299" t="n">
        <v>-0.0225</v>
      </c>
      <c r="AE67" s="299" t="n">
        <v>-0.075</v>
      </c>
      <c r="AF67" s="299" t="n">
        <v>-0.0655</v>
      </c>
      <c r="AG67" s="299" t="n">
        <v>-0.088</v>
      </c>
      <c r="AH67" s="299" t="n">
        <v>-0.0135</v>
      </c>
      <c r="AI67" s="299" t="n">
        <v>-0.066</v>
      </c>
      <c r="AJ67" s="299" t="n">
        <v>-0.1125</v>
      </c>
      <c r="AK67" s="299" t="n">
        <v>-0.011</v>
      </c>
      <c r="AL67" s="299" t="n">
        <v>0.029</v>
      </c>
      <c r="AM67" s="299" t="n">
        <v>1.6</v>
      </c>
      <c r="AN67" s="299" t="n">
        <v>-0.03</v>
      </c>
      <c r="AO67" s="299" t="n">
        <v>-0.34</v>
      </c>
      <c r="AP67" s="299" t="n">
        <v>-0.07</v>
      </c>
      <c r="AQ67" s="299" t="n">
        <v>-0.13</v>
      </c>
      <c r="AR67" s="299" t="n">
        <v>0.248</v>
      </c>
      <c r="AS67" s="299" t="n">
        <v>-0.26</v>
      </c>
      <c r="AT67" s="299" t="n">
        <v>-0.34</v>
      </c>
      <c r="AU67" s="299" t="n">
        <v>0.24</v>
      </c>
      <c r="AV67" s="299" t="n">
        <v>-0.34</v>
      </c>
      <c r="AW67" s="299" t="n">
        <v>-0.1835</v>
      </c>
      <c r="AX67" s="299" t="n">
        <v>-0.06</v>
      </c>
      <c r="AY67" s="299" t="n">
        <v>-0.1235</v>
      </c>
      <c r="AZ67" s="299" t="n">
        <v>-0.0575</v>
      </c>
      <c r="BA67" s="299" t="n">
        <v>-0.109</v>
      </c>
      <c r="BB67" s="299" t="n">
        <v>-0.0185</v>
      </c>
      <c r="BC67" s="299" t="n">
        <v>-0.0775</v>
      </c>
      <c r="BD67" s="299" t="n">
        <v>-0.06</v>
      </c>
      <c r="BE67" s="299" t="n">
        <v>-0.075</v>
      </c>
      <c r="BF67" s="299" t="n">
        <v>0.15</v>
      </c>
      <c r="BG67" s="299" t="n">
        <v>0.235</v>
      </c>
      <c r="BH67" s="299" t="n">
        <v>0.205</v>
      </c>
      <c r="BI67" s="299" t="n">
        <v>0.155</v>
      </c>
      <c r="BJ67" s="299" t="n">
        <v>1.04</v>
      </c>
      <c r="BK67" s="299" t="n">
        <v>0.0025</v>
      </c>
      <c r="BL67" s="299" t="n">
        <v>-0.025</v>
      </c>
      <c r="BM67" s="299" t="n">
        <v>0.005</v>
      </c>
      <c r="BN67" s="299" t="n">
        <v>0</v>
      </c>
      <c r="BO67" s="299" t="n">
        <v>0.035</v>
      </c>
      <c r="BP67" s="299" t="n">
        <v>0.005</v>
      </c>
      <c r="BQ67" s="299" t="n">
        <v>0.005</v>
      </c>
      <c r="BR67" s="299" t="n">
        <v>0.45</v>
      </c>
      <c r="BS67" s="0" t="n">
        <v>0.02</v>
      </c>
      <c r="BT67" s="0" t="n">
        <v>0.034</v>
      </c>
      <c r="BU67" s="0" t="n">
        <v>0.034</v>
      </c>
      <c r="BV67" s="0" t="n">
        <v>0.03</v>
      </c>
    </row>
    <row r="68" customFormat="false" ht="12.75" hidden="false" customHeight="false" outlineLevel="0" collapsed="false">
      <c r="A68" s="301" t="e">
        <f aca="false">#REF!-B68</f>
        <v>#REF!</v>
      </c>
      <c r="B68" s="301" t="n">
        <v>3.121</v>
      </c>
      <c r="C68" s="308" t="n">
        <f aca="false">EOMONTH(C67,0)+1</f>
        <v>39142</v>
      </c>
      <c r="D68" s="0" t="n">
        <v>3.5975</v>
      </c>
      <c r="E68" s="301" t="n">
        <v>0.24</v>
      </c>
      <c r="F68" s="299" t="n">
        <v>0.0517373190219916</v>
      </c>
      <c r="G68" s="299" t="n">
        <v>-0.125</v>
      </c>
      <c r="H68" s="299" t="n">
        <v>-0.145</v>
      </c>
      <c r="I68" s="310" t="n">
        <v>-0.01</v>
      </c>
      <c r="J68" s="310" t="n">
        <v>-0.13</v>
      </c>
      <c r="K68" s="299" t="n">
        <v>0</v>
      </c>
      <c r="L68" s="299" t="n">
        <v>-0.0575</v>
      </c>
      <c r="M68" s="299" t="n">
        <v>-0.095</v>
      </c>
      <c r="N68" s="299" t="n">
        <v>-0.115</v>
      </c>
      <c r="O68" s="299" t="n">
        <v>-0.115</v>
      </c>
      <c r="P68" s="299" t="n">
        <v>-0.125</v>
      </c>
      <c r="Q68" s="299" t="n">
        <v>-0.09</v>
      </c>
      <c r="R68" s="299" t="n">
        <v>-0.0675</v>
      </c>
      <c r="S68" s="299" t="n">
        <v>0.155</v>
      </c>
      <c r="T68" s="299" t="n">
        <v>0.205</v>
      </c>
      <c r="U68" s="299" t="n">
        <v>0.13</v>
      </c>
      <c r="V68" s="299" t="n">
        <v>0.5</v>
      </c>
      <c r="W68" s="299" t="n">
        <v>0.195</v>
      </c>
      <c r="X68" s="299" t="n">
        <v>0.29</v>
      </c>
      <c r="Y68" s="299" t="n">
        <v>-0.021</v>
      </c>
      <c r="Z68" s="299" t="n">
        <v>-0.035</v>
      </c>
      <c r="AA68" s="299" t="n">
        <v>0.012</v>
      </c>
      <c r="AB68" s="299" t="n">
        <v>-0.008</v>
      </c>
      <c r="AC68" s="299" t="n">
        <v>0.0025</v>
      </c>
      <c r="AD68" s="299" t="n">
        <v>-0.0225</v>
      </c>
      <c r="AE68" s="299" t="n">
        <v>-0.075</v>
      </c>
      <c r="AF68" s="299" t="n">
        <v>-0.0655</v>
      </c>
      <c r="AG68" s="299" t="n">
        <v>-0.088</v>
      </c>
      <c r="AH68" s="299" t="n">
        <v>-0.0135</v>
      </c>
      <c r="AI68" s="299" t="n">
        <v>-0.066</v>
      </c>
      <c r="AJ68" s="299" t="n">
        <v>-0.1125</v>
      </c>
      <c r="AK68" s="299" t="n">
        <v>-0.011</v>
      </c>
      <c r="AL68" s="299" t="n">
        <v>0.029</v>
      </c>
      <c r="AM68" s="299" t="n">
        <v>0.64</v>
      </c>
      <c r="AN68" s="299" t="n">
        <v>-0.0175</v>
      </c>
      <c r="AO68" s="299" t="n">
        <v>-0.34</v>
      </c>
      <c r="AP68" s="299" t="n">
        <v>-0.07</v>
      </c>
      <c r="AQ68" s="299" t="n">
        <v>-0.13</v>
      </c>
      <c r="AR68" s="299" t="n">
        <v>0.068</v>
      </c>
      <c r="AS68" s="299" t="n">
        <v>-0.26</v>
      </c>
      <c r="AT68" s="299" t="n">
        <v>-0.34</v>
      </c>
      <c r="AU68" s="299" t="n">
        <v>0.24</v>
      </c>
      <c r="AV68" s="299" t="n">
        <v>-0.34</v>
      </c>
      <c r="AW68" s="299" t="n">
        <v>-0.1735</v>
      </c>
      <c r="AX68" s="299" t="n">
        <v>-0.06</v>
      </c>
      <c r="AY68" s="299" t="n">
        <v>-0.1135</v>
      </c>
      <c r="AZ68" s="299" t="n">
        <v>-0.0575</v>
      </c>
      <c r="BA68" s="299" t="n">
        <v>-0.109</v>
      </c>
      <c r="BB68" s="299" t="n">
        <v>-0.0185</v>
      </c>
      <c r="BC68" s="299" t="n">
        <v>-0.0775</v>
      </c>
      <c r="BD68" s="299" t="n">
        <v>-0.0475</v>
      </c>
      <c r="BE68" s="299" t="n">
        <v>-0.075</v>
      </c>
      <c r="BF68" s="299" t="n">
        <v>0.15</v>
      </c>
      <c r="BG68" s="299" t="n">
        <v>0.235</v>
      </c>
      <c r="BH68" s="299" t="n">
        <v>0.205</v>
      </c>
      <c r="BI68" s="299" t="n">
        <v>0.155</v>
      </c>
      <c r="BJ68" s="299" t="n">
        <v>0.54</v>
      </c>
      <c r="BK68" s="299" t="n">
        <v>0.0025</v>
      </c>
      <c r="BL68" s="299" t="n">
        <v>-0.02</v>
      </c>
      <c r="BM68" s="299" t="n">
        <v>0.005</v>
      </c>
      <c r="BN68" s="299" t="n">
        <v>0</v>
      </c>
      <c r="BO68" s="299" t="n">
        <v>0.035</v>
      </c>
      <c r="BP68" s="299" t="n">
        <v>0.005</v>
      </c>
      <c r="BQ68" s="299" t="n">
        <v>0.005</v>
      </c>
      <c r="BR68" s="299" t="n">
        <v>0.1</v>
      </c>
      <c r="BS68" s="0" t="n">
        <v>0.02</v>
      </c>
      <c r="BT68" s="0" t="n">
        <v>0.034</v>
      </c>
      <c r="BU68" s="0" t="n">
        <v>0.034</v>
      </c>
      <c r="BV68" s="0" t="n">
        <v>0.03</v>
      </c>
    </row>
    <row r="69" customFormat="false" ht="12.75" hidden="false" customHeight="false" outlineLevel="0" collapsed="false">
      <c r="A69" s="301" t="e">
        <f aca="false">#REF!-B69</f>
        <v>#REF!</v>
      </c>
      <c r="B69" s="301" t="n">
        <v>3.137</v>
      </c>
      <c r="C69" s="308" t="n">
        <f aca="false">EOMONTH(C68,0)+1</f>
        <v>39173</v>
      </c>
      <c r="D69" s="0" t="n">
        <v>3.4125</v>
      </c>
      <c r="E69" s="301" t="n">
        <v>0.24</v>
      </c>
      <c r="F69" s="299" t="n">
        <v>0.0519188326487345</v>
      </c>
      <c r="G69" s="299" t="n">
        <v>-0.13</v>
      </c>
      <c r="H69" s="299" t="n">
        <v>-0.15</v>
      </c>
      <c r="I69" s="310" t="n">
        <v>-0.09</v>
      </c>
      <c r="J69" s="310" t="n">
        <v>-0.13</v>
      </c>
      <c r="K69" s="299" t="n">
        <v>-0.09</v>
      </c>
      <c r="L69" s="299" t="n">
        <v>-0.055</v>
      </c>
      <c r="M69" s="299" t="n">
        <v>-0.075</v>
      </c>
      <c r="N69" s="299" t="n">
        <v>-0.12</v>
      </c>
      <c r="O69" s="299" t="n">
        <v>-0.12</v>
      </c>
      <c r="P69" s="299" t="n">
        <v>-0.13</v>
      </c>
      <c r="Q69" s="299" t="n">
        <v>-0.08</v>
      </c>
      <c r="R69" s="299" t="n">
        <v>-0.065</v>
      </c>
      <c r="S69" s="299" t="n">
        <v>0.125</v>
      </c>
      <c r="T69" s="299" t="n">
        <v>0.155</v>
      </c>
      <c r="U69" s="299" t="n">
        <v>0.04</v>
      </c>
      <c r="V69" s="299" t="n">
        <v>0.5</v>
      </c>
      <c r="W69" s="299" t="n">
        <v>0.145</v>
      </c>
      <c r="X69" s="299" t="n">
        <v>0.195</v>
      </c>
      <c r="Y69" s="299" t="n">
        <v>-0.0235</v>
      </c>
      <c r="Z69" s="299" t="n">
        <v>-0.05</v>
      </c>
      <c r="AA69" s="299" t="n">
        <v>0.012</v>
      </c>
      <c r="AB69" s="299" t="n">
        <v>-0.008</v>
      </c>
      <c r="AC69" s="299" t="n">
        <v>0.0025</v>
      </c>
      <c r="AD69" s="299" t="n">
        <v>-0.0225</v>
      </c>
      <c r="AE69" s="299" t="n">
        <v>-0.0725</v>
      </c>
      <c r="AF69" s="299" t="n">
        <v>-0.063</v>
      </c>
      <c r="AG69" s="299" t="n">
        <v>-0.0855</v>
      </c>
      <c r="AH69" s="299" t="n">
        <v>-0.0185</v>
      </c>
      <c r="AI69" s="299" t="n">
        <v>-0.072</v>
      </c>
      <c r="AJ69" s="299" t="n">
        <v>-0.095</v>
      </c>
      <c r="AK69" s="299" t="n">
        <v>-0.017</v>
      </c>
      <c r="AL69" s="299" t="n">
        <v>0.023</v>
      </c>
      <c r="AM69" s="299" t="n">
        <v>0.38</v>
      </c>
      <c r="AN69" s="299" t="n">
        <v>0.02</v>
      </c>
      <c r="AO69" s="299" t="n">
        <v>-0.47</v>
      </c>
      <c r="AP69" s="299" t="n">
        <v>-0.07</v>
      </c>
      <c r="AQ69" s="299" t="n">
        <v>-0.195</v>
      </c>
      <c r="AR69" s="299" t="n">
        <v>-0.25</v>
      </c>
      <c r="AS69" s="299" t="n">
        <v>-0.39</v>
      </c>
      <c r="AT69" s="299" t="n">
        <v>-0.47</v>
      </c>
      <c r="AU69" s="299" t="n">
        <v>0.26</v>
      </c>
      <c r="AV69" s="299" t="n">
        <v>-0.47</v>
      </c>
      <c r="AW69" s="299" t="n">
        <v>-0.214</v>
      </c>
      <c r="AX69" s="299" t="n">
        <v>-0.06</v>
      </c>
      <c r="AY69" s="299" t="n">
        <v>-0.154</v>
      </c>
      <c r="AZ69" s="299" t="n">
        <v>-0.055</v>
      </c>
      <c r="BA69" s="299" t="n">
        <v>-0.1315</v>
      </c>
      <c r="BB69" s="299" t="n">
        <v>-0.0185</v>
      </c>
      <c r="BC69" s="299" t="n">
        <v>-0.06</v>
      </c>
      <c r="BD69" s="299" t="n">
        <v>-0.01</v>
      </c>
      <c r="BE69" s="299" t="n">
        <v>-0.0725</v>
      </c>
      <c r="BF69" s="299" t="n">
        <v>0.06</v>
      </c>
      <c r="BG69" s="299" t="n">
        <v>0.155</v>
      </c>
      <c r="BH69" s="299" t="n">
        <v>0.155</v>
      </c>
      <c r="BI69" s="299" t="n">
        <v>0.125</v>
      </c>
      <c r="BJ69" s="299" t="n">
        <v>0.36</v>
      </c>
      <c r="BK69" s="299" t="n">
        <v>0.0025</v>
      </c>
      <c r="BL69" s="299" t="n">
        <v>-0.015</v>
      </c>
      <c r="BM69" s="299" t="n">
        <v>0.005</v>
      </c>
      <c r="BN69" s="299" t="n">
        <v>-0.01</v>
      </c>
      <c r="BO69" s="299" t="n">
        <v>0.02</v>
      </c>
      <c r="BP69" s="299" t="n">
        <v>0.005</v>
      </c>
      <c r="BQ69" s="299" t="n">
        <v>0.0025</v>
      </c>
      <c r="BR69" s="299" t="n">
        <v>0.02</v>
      </c>
      <c r="BS69" s="0" t="n">
        <v>0.005</v>
      </c>
      <c r="BT69" s="0" t="n">
        <v>0.034</v>
      </c>
      <c r="BU69" s="0" t="n">
        <v>0.034</v>
      </c>
      <c r="BV69" s="0" t="n">
        <v>0.03</v>
      </c>
    </row>
    <row r="70" customFormat="false" ht="12.75" hidden="false" customHeight="false" outlineLevel="0" collapsed="false">
      <c r="A70" s="301" t="e">
        <f aca="false">#REF!-B70</f>
        <v>#REF!</v>
      </c>
      <c r="B70" s="301" t="n">
        <v>3.239</v>
      </c>
      <c r="C70" s="308" t="n">
        <f aca="false">EOMONTH(C69,0)+1</f>
        <v>39203</v>
      </c>
      <c r="D70" s="0" t="n">
        <v>3.4075</v>
      </c>
      <c r="E70" s="301" t="n">
        <v>0.24</v>
      </c>
      <c r="F70" s="299" t="n">
        <v>0.0520944910076597</v>
      </c>
      <c r="G70" s="299" t="n">
        <v>-0.13</v>
      </c>
      <c r="H70" s="299" t="n">
        <v>-0.15</v>
      </c>
      <c r="I70" s="310" t="n">
        <v>-0.09</v>
      </c>
      <c r="J70" s="310" t="n">
        <v>-0.13</v>
      </c>
      <c r="K70" s="299" t="n">
        <v>-0.09</v>
      </c>
      <c r="L70" s="299" t="n">
        <v>-0.055</v>
      </c>
      <c r="M70" s="299" t="n">
        <v>-0.075</v>
      </c>
      <c r="N70" s="299" t="n">
        <v>-0.12</v>
      </c>
      <c r="O70" s="299" t="n">
        <v>-0.12</v>
      </c>
      <c r="P70" s="299" t="n">
        <v>-0.13</v>
      </c>
      <c r="Q70" s="299" t="n">
        <v>-0.08</v>
      </c>
      <c r="R70" s="299" t="n">
        <v>-0.065</v>
      </c>
      <c r="S70" s="299" t="n">
        <v>0.125</v>
      </c>
      <c r="T70" s="299" t="n">
        <v>0.155</v>
      </c>
      <c r="U70" s="299" t="n">
        <v>0.04</v>
      </c>
      <c r="V70" s="299" t="n">
        <v>0.5</v>
      </c>
      <c r="W70" s="299" t="n">
        <v>0.125</v>
      </c>
      <c r="X70" s="299" t="n">
        <v>0.135</v>
      </c>
      <c r="Y70" s="299" t="n">
        <v>-0.0235</v>
      </c>
      <c r="Z70" s="299" t="n">
        <v>-0.05</v>
      </c>
      <c r="AA70" s="299" t="n">
        <v>0.0145</v>
      </c>
      <c r="AB70" s="299" t="n">
        <v>-0.0055</v>
      </c>
      <c r="AC70" s="299" t="n">
        <v>0.0025</v>
      </c>
      <c r="AD70" s="299" t="n">
        <v>-0.0225</v>
      </c>
      <c r="AE70" s="299" t="n">
        <v>-0.0725</v>
      </c>
      <c r="AF70" s="299" t="n">
        <v>-0.063</v>
      </c>
      <c r="AG70" s="299" t="n">
        <v>-0.0855</v>
      </c>
      <c r="AH70" s="299" t="n">
        <v>-0.0185</v>
      </c>
      <c r="AI70" s="299" t="n">
        <v>-0.072</v>
      </c>
      <c r="AJ70" s="299" t="n">
        <v>-0.095</v>
      </c>
      <c r="AK70" s="299" t="n">
        <v>-0.017</v>
      </c>
      <c r="AL70" s="299" t="n">
        <v>0.023</v>
      </c>
      <c r="AM70" s="299" t="n">
        <v>0.33</v>
      </c>
      <c r="AN70" s="299" t="n">
        <v>0.02</v>
      </c>
      <c r="AO70" s="299" t="n">
        <v>-0.47</v>
      </c>
      <c r="AP70" s="299" t="n">
        <v>-0.07</v>
      </c>
      <c r="AQ70" s="299" t="n">
        <v>-0.195</v>
      </c>
      <c r="AR70" s="299" t="n">
        <v>-0.25</v>
      </c>
      <c r="AS70" s="299" t="n">
        <v>-0.39</v>
      </c>
      <c r="AT70" s="299" t="n">
        <v>-0.47</v>
      </c>
      <c r="AU70" s="299" t="n">
        <v>0.26</v>
      </c>
      <c r="AV70" s="299" t="n">
        <v>-0.47</v>
      </c>
      <c r="AW70" s="299" t="n">
        <v>-0.1915</v>
      </c>
      <c r="AX70" s="299" t="n">
        <v>-0.06</v>
      </c>
      <c r="AY70" s="299" t="n">
        <v>-0.1315</v>
      </c>
      <c r="AZ70" s="299" t="n">
        <v>-0.055</v>
      </c>
      <c r="BA70" s="299" t="n">
        <v>-0.124</v>
      </c>
      <c r="BB70" s="299" t="n">
        <v>-0.0185</v>
      </c>
      <c r="BC70" s="299" t="n">
        <v>-0.06</v>
      </c>
      <c r="BD70" s="299" t="n">
        <v>-0.01</v>
      </c>
      <c r="BE70" s="299" t="n">
        <v>-0.0725</v>
      </c>
      <c r="BF70" s="299" t="n">
        <v>0.06</v>
      </c>
      <c r="BG70" s="299" t="n">
        <v>0.155</v>
      </c>
      <c r="BH70" s="299" t="n">
        <v>0.155</v>
      </c>
      <c r="BI70" s="299" t="n">
        <v>0.125</v>
      </c>
      <c r="BJ70" s="299" t="n">
        <v>0.325</v>
      </c>
      <c r="BK70" s="299" t="n">
        <v>0.0025</v>
      </c>
      <c r="BL70" s="299" t="n">
        <v>-0.015</v>
      </c>
      <c r="BM70" s="299" t="n">
        <v>0.005</v>
      </c>
      <c r="BN70" s="299" t="n">
        <v>-0.01</v>
      </c>
      <c r="BO70" s="299" t="n">
        <v>0.02</v>
      </c>
      <c r="BP70" s="299" t="n">
        <v>0.005</v>
      </c>
      <c r="BQ70" s="299" t="n">
        <v>0.0025</v>
      </c>
      <c r="BR70" s="299" t="n">
        <v>0.02</v>
      </c>
      <c r="BS70" s="0" t="n">
        <v>0.005</v>
      </c>
      <c r="BT70" s="0" t="n">
        <v>0.034</v>
      </c>
      <c r="BU70" s="0" t="n">
        <v>0.034</v>
      </c>
      <c r="BV70" s="0" t="n">
        <v>0.03</v>
      </c>
    </row>
    <row r="71" customFormat="false" ht="12.75" hidden="false" customHeight="false" outlineLevel="0" collapsed="false">
      <c r="A71" s="301" t="e">
        <f aca="false">#REF!-B71</f>
        <v>#REF!</v>
      </c>
      <c r="B71" s="301" t="n">
        <v>3.342</v>
      </c>
      <c r="C71" s="308" t="n">
        <f aca="false">EOMONTH(C70,0)+1</f>
        <v>39234</v>
      </c>
      <c r="D71" s="0" t="n">
        <v>3.4425</v>
      </c>
      <c r="E71" s="301" t="n">
        <v>0.24</v>
      </c>
      <c r="F71" s="299" t="n">
        <v>0.0522760046560284</v>
      </c>
      <c r="G71" s="299" t="n">
        <v>-0.13</v>
      </c>
      <c r="H71" s="299" t="n">
        <v>-0.15</v>
      </c>
      <c r="I71" s="310" t="n">
        <v>-0.09</v>
      </c>
      <c r="J71" s="310" t="n">
        <v>-0.13</v>
      </c>
      <c r="K71" s="299" t="n">
        <v>-0.09</v>
      </c>
      <c r="L71" s="299" t="n">
        <v>-0.055</v>
      </c>
      <c r="M71" s="299" t="n">
        <v>-0.075</v>
      </c>
      <c r="N71" s="299" t="n">
        <v>-0.12</v>
      </c>
      <c r="O71" s="299" t="n">
        <v>-0.12</v>
      </c>
      <c r="P71" s="299" t="n">
        <v>-0.13</v>
      </c>
      <c r="Q71" s="299" t="n">
        <v>-0.08</v>
      </c>
      <c r="R71" s="299" t="n">
        <v>-0.065</v>
      </c>
      <c r="S71" s="299" t="n">
        <v>0.125</v>
      </c>
      <c r="T71" s="299" t="n">
        <v>0.155</v>
      </c>
      <c r="U71" s="299" t="n">
        <v>0.04</v>
      </c>
      <c r="V71" s="299" t="n">
        <v>0.5</v>
      </c>
      <c r="W71" s="299" t="n">
        <v>0.145</v>
      </c>
      <c r="X71" s="299" t="n">
        <v>0.165</v>
      </c>
      <c r="Y71" s="299" t="n">
        <v>-0.0235</v>
      </c>
      <c r="Z71" s="299" t="n">
        <v>-0.0475</v>
      </c>
      <c r="AA71" s="299" t="n">
        <v>0.0145</v>
      </c>
      <c r="AB71" s="299" t="n">
        <v>-0.0055</v>
      </c>
      <c r="AC71" s="299" t="n">
        <v>0.0025</v>
      </c>
      <c r="AD71" s="299" t="n">
        <v>-0.0225</v>
      </c>
      <c r="AE71" s="299" t="n">
        <v>-0.0725</v>
      </c>
      <c r="AF71" s="299" t="n">
        <v>-0.063</v>
      </c>
      <c r="AG71" s="299" t="n">
        <v>-0.0855</v>
      </c>
      <c r="AH71" s="299" t="n">
        <v>-0.0185</v>
      </c>
      <c r="AI71" s="299" t="n">
        <v>-0.072</v>
      </c>
      <c r="AJ71" s="299" t="n">
        <v>-0.095</v>
      </c>
      <c r="AK71" s="299" t="n">
        <v>-0.017</v>
      </c>
      <c r="AL71" s="299" t="n">
        <v>0.023</v>
      </c>
      <c r="AM71" s="299" t="n">
        <v>0.37</v>
      </c>
      <c r="AN71" s="299" t="n">
        <v>0.025</v>
      </c>
      <c r="AO71" s="299" t="n">
        <v>-0.47</v>
      </c>
      <c r="AP71" s="299" t="n">
        <v>-0.07</v>
      </c>
      <c r="AQ71" s="299" t="n">
        <v>-0.195</v>
      </c>
      <c r="AR71" s="299" t="n">
        <v>-0.25</v>
      </c>
      <c r="AS71" s="299" t="n">
        <v>-0.39</v>
      </c>
      <c r="AT71" s="299" t="n">
        <v>-0.47</v>
      </c>
      <c r="AU71" s="299" t="n">
        <v>0.26</v>
      </c>
      <c r="AV71" s="299" t="n">
        <v>-0.47</v>
      </c>
      <c r="AW71" s="299" t="n">
        <v>-0.139</v>
      </c>
      <c r="AX71" s="299" t="n">
        <v>-0.06</v>
      </c>
      <c r="AY71" s="299" t="n">
        <v>-0.079</v>
      </c>
      <c r="AZ71" s="299" t="n">
        <v>-0.055</v>
      </c>
      <c r="BA71" s="299" t="n">
        <v>-0.0815</v>
      </c>
      <c r="BB71" s="299" t="n">
        <v>-0.0185</v>
      </c>
      <c r="BC71" s="299" t="n">
        <v>-0.06</v>
      </c>
      <c r="BD71" s="299" t="n">
        <v>-0.005</v>
      </c>
      <c r="BE71" s="299" t="n">
        <v>-0.0725</v>
      </c>
      <c r="BF71" s="299" t="n">
        <v>0.06</v>
      </c>
      <c r="BG71" s="299" t="n">
        <v>0.155</v>
      </c>
      <c r="BH71" s="299" t="n">
        <v>0.155</v>
      </c>
      <c r="BI71" s="299" t="n">
        <v>0.125</v>
      </c>
      <c r="BJ71" s="299" t="n">
        <v>0.335</v>
      </c>
      <c r="BK71" s="299" t="n">
        <v>0.0025</v>
      </c>
      <c r="BL71" s="299" t="n">
        <v>-0.015</v>
      </c>
      <c r="BM71" s="299" t="n">
        <v>0.005</v>
      </c>
      <c r="BN71" s="299" t="n">
        <v>-0.01</v>
      </c>
      <c r="BO71" s="299" t="n">
        <v>0.02</v>
      </c>
      <c r="BP71" s="299" t="n">
        <v>0.005</v>
      </c>
      <c r="BQ71" s="299" t="n">
        <v>0.0025</v>
      </c>
      <c r="BR71" s="299" t="n">
        <v>0.035</v>
      </c>
      <c r="BS71" s="0" t="n">
        <v>0.005</v>
      </c>
      <c r="BT71" s="0" t="n">
        <v>0.034</v>
      </c>
      <c r="BU71" s="0" t="n">
        <v>0.034</v>
      </c>
      <c r="BV71" s="0" t="n">
        <v>0.03</v>
      </c>
    </row>
    <row r="72" customFormat="false" ht="12.75" hidden="false" customHeight="false" outlineLevel="0" collapsed="false">
      <c r="A72" s="301" t="e">
        <f aca="false">#REF!-B72</f>
        <v>#REF!</v>
      </c>
      <c r="B72" s="301" t="n">
        <v>3.544</v>
      </c>
      <c r="C72" s="308" t="n">
        <f aca="false">EOMONTH(C71,0)+1</f>
        <v>39264</v>
      </c>
      <c r="D72" s="0" t="n">
        <v>3.4825</v>
      </c>
      <c r="E72" s="301" t="n">
        <v>0.24</v>
      </c>
      <c r="F72" s="299" t="n">
        <v>0.0524516630358791</v>
      </c>
      <c r="G72" s="299" t="n">
        <v>-0.13</v>
      </c>
      <c r="H72" s="299" t="n">
        <v>-0.15</v>
      </c>
      <c r="I72" s="310" t="n">
        <v>-0.09</v>
      </c>
      <c r="J72" s="310" t="n">
        <v>-0.13</v>
      </c>
      <c r="K72" s="299" t="n">
        <v>-0.09</v>
      </c>
      <c r="L72" s="299" t="n">
        <v>-0.055</v>
      </c>
      <c r="M72" s="299" t="n">
        <v>-0.075</v>
      </c>
      <c r="N72" s="299" t="n">
        <v>-0.12</v>
      </c>
      <c r="O72" s="299" t="n">
        <v>-0.12</v>
      </c>
      <c r="P72" s="299" t="n">
        <v>-0.13</v>
      </c>
      <c r="Q72" s="299" t="n">
        <v>-0.08</v>
      </c>
      <c r="R72" s="299" t="n">
        <v>-0.065</v>
      </c>
      <c r="S72" s="299" t="n">
        <v>0.125</v>
      </c>
      <c r="T72" s="299" t="n">
        <v>0.155</v>
      </c>
      <c r="U72" s="299" t="n">
        <v>0.04</v>
      </c>
      <c r="V72" s="299" t="n">
        <v>0.5</v>
      </c>
      <c r="W72" s="299" t="n">
        <v>0.15</v>
      </c>
      <c r="X72" s="299" t="n">
        <v>0.205</v>
      </c>
      <c r="Y72" s="299" t="n">
        <v>-0.0235</v>
      </c>
      <c r="Z72" s="299" t="n">
        <v>-0.0475</v>
      </c>
      <c r="AA72" s="299" t="n">
        <v>0.0145</v>
      </c>
      <c r="AB72" s="299" t="n">
        <v>-0.0055</v>
      </c>
      <c r="AC72" s="299" t="n">
        <v>0.0025</v>
      </c>
      <c r="AD72" s="299" t="n">
        <v>-0.0225</v>
      </c>
      <c r="AE72" s="299" t="n">
        <v>-0.0725</v>
      </c>
      <c r="AF72" s="299" t="n">
        <v>-0.063</v>
      </c>
      <c r="AG72" s="299" t="n">
        <v>-0.0855</v>
      </c>
      <c r="AH72" s="299" t="n">
        <v>-0.0185</v>
      </c>
      <c r="AI72" s="299" t="n">
        <v>-0.072</v>
      </c>
      <c r="AJ72" s="299" t="n">
        <v>-0.095</v>
      </c>
      <c r="AK72" s="299" t="n">
        <v>-0.017</v>
      </c>
      <c r="AL72" s="299" t="n">
        <v>0.023</v>
      </c>
      <c r="AM72" s="299" t="n">
        <v>0.41</v>
      </c>
      <c r="AN72" s="299" t="n">
        <v>0.0275</v>
      </c>
      <c r="AO72" s="299" t="n">
        <v>-0.47</v>
      </c>
      <c r="AP72" s="299" t="n">
        <v>-0.07</v>
      </c>
      <c r="AQ72" s="299" t="n">
        <v>-0.195</v>
      </c>
      <c r="AR72" s="299" t="n">
        <v>-0.25</v>
      </c>
      <c r="AS72" s="299" t="n">
        <v>-0.39</v>
      </c>
      <c r="AT72" s="299" t="n">
        <v>-0.47</v>
      </c>
      <c r="AU72" s="299" t="n">
        <v>0.26</v>
      </c>
      <c r="AV72" s="299" t="n">
        <v>-0.47</v>
      </c>
      <c r="AW72" s="299" t="n">
        <v>-0.149</v>
      </c>
      <c r="AX72" s="299" t="n">
        <v>-0.06</v>
      </c>
      <c r="AY72" s="299" t="n">
        <v>-0.089</v>
      </c>
      <c r="AZ72" s="299" t="n">
        <v>-0.055</v>
      </c>
      <c r="BA72" s="299" t="n">
        <v>-0.079</v>
      </c>
      <c r="BB72" s="299" t="n">
        <v>-0.0185</v>
      </c>
      <c r="BC72" s="299" t="n">
        <v>-0.06</v>
      </c>
      <c r="BD72" s="299" t="n">
        <v>-0.0025</v>
      </c>
      <c r="BE72" s="299" t="n">
        <v>-0.0725</v>
      </c>
      <c r="BF72" s="299" t="n">
        <v>0.06</v>
      </c>
      <c r="BG72" s="299" t="n">
        <v>0.155</v>
      </c>
      <c r="BH72" s="299" t="n">
        <v>0.155</v>
      </c>
      <c r="BI72" s="299" t="n">
        <v>0.125</v>
      </c>
      <c r="BJ72" s="299" t="n">
        <v>0.35</v>
      </c>
      <c r="BK72" s="299" t="n">
        <v>0.0025</v>
      </c>
      <c r="BL72" s="299" t="n">
        <v>-0.01</v>
      </c>
      <c r="BM72" s="299" t="n">
        <v>0.005</v>
      </c>
      <c r="BN72" s="299" t="n">
        <v>-0.01</v>
      </c>
      <c r="BO72" s="299" t="n">
        <v>0.02</v>
      </c>
      <c r="BP72" s="299" t="n">
        <v>0.005</v>
      </c>
      <c r="BQ72" s="299" t="n">
        <v>0.0025</v>
      </c>
      <c r="BR72" s="299" t="n">
        <v>0.035</v>
      </c>
      <c r="BS72" s="0" t="n">
        <v>0.005</v>
      </c>
      <c r="BT72" s="0" t="n">
        <v>0.034</v>
      </c>
      <c r="BU72" s="0" t="n">
        <v>0.034</v>
      </c>
      <c r="BV72" s="0" t="n">
        <v>0.03</v>
      </c>
    </row>
    <row r="73" customFormat="false" ht="12.75" hidden="false" customHeight="false" outlineLevel="0" collapsed="false">
      <c r="A73" s="301" t="e">
        <f aca="false">#REF!-B73</f>
        <v>#REF!</v>
      </c>
      <c r="B73" s="301" t="n">
        <v>3.429</v>
      </c>
      <c r="C73" s="308" t="n">
        <f aca="false">EOMONTH(C72,0)+1</f>
        <v>39295</v>
      </c>
      <c r="D73" s="0" t="n">
        <v>3.5225</v>
      </c>
      <c r="E73" s="301" t="n">
        <v>0.24</v>
      </c>
      <c r="F73" s="299" t="n">
        <v>0.0526331767058688</v>
      </c>
      <c r="G73" s="299" t="n">
        <v>-0.13</v>
      </c>
      <c r="H73" s="299" t="n">
        <v>-0.15</v>
      </c>
      <c r="I73" s="310" t="n">
        <v>-0.09</v>
      </c>
      <c r="J73" s="310" t="n">
        <v>-0.13</v>
      </c>
      <c r="K73" s="299" t="n">
        <v>-0.09</v>
      </c>
      <c r="L73" s="299" t="n">
        <v>-0.055</v>
      </c>
      <c r="M73" s="299" t="n">
        <v>-0.075</v>
      </c>
      <c r="N73" s="299" t="n">
        <v>-0.12</v>
      </c>
      <c r="O73" s="299" t="n">
        <v>-0.12</v>
      </c>
      <c r="P73" s="299" t="n">
        <v>-0.13</v>
      </c>
      <c r="Q73" s="299" t="n">
        <v>-0.08</v>
      </c>
      <c r="R73" s="299" t="n">
        <v>-0.065</v>
      </c>
      <c r="S73" s="299" t="n">
        <v>0.125</v>
      </c>
      <c r="T73" s="299" t="n">
        <v>0.155</v>
      </c>
      <c r="U73" s="299" t="n">
        <v>0.04</v>
      </c>
      <c r="V73" s="299" t="n">
        <v>0.5</v>
      </c>
      <c r="W73" s="299" t="n">
        <v>0.15</v>
      </c>
      <c r="X73" s="299" t="n">
        <v>0.205</v>
      </c>
      <c r="Y73" s="299" t="n">
        <v>-0.0235</v>
      </c>
      <c r="Z73" s="299" t="n">
        <v>-0.0475</v>
      </c>
      <c r="AA73" s="299" t="n">
        <v>0.0095</v>
      </c>
      <c r="AB73" s="299" t="n">
        <v>-0.0105</v>
      </c>
      <c r="AC73" s="299" t="n">
        <v>0.0025</v>
      </c>
      <c r="AD73" s="299" t="n">
        <v>-0.0225</v>
      </c>
      <c r="AE73" s="299" t="n">
        <v>-0.0725</v>
      </c>
      <c r="AF73" s="299" t="n">
        <v>-0.063</v>
      </c>
      <c r="AG73" s="299" t="n">
        <v>-0.0855</v>
      </c>
      <c r="AH73" s="299" t="n">
        <v>-0.0185</v>
      </c>
      <c r="AI73" s="299" t="n">
        <v>-0.072</v>
      </c>
      <c r="AJ73" s="299" t="n">
        <v>-0.095</v>
      </c>
      <c r="AK73" s="299" t="n">
        <v>-0.017</v>
      </c>
      <c r="AL73" s="299" t="n">
        <v>0.023</v>
      </c>
      <c r="AM73" s="299" t="n">
        <v>0.41</v>
      </c>
      <c r="AN73" s="299" t="n">
        <v>0.03</v>
      </c>
      <c r="AO73" s="299" t="n">
        <v>-0.47</v>
      </c>
      <c r="AP73" s="299" t="n">
        <v>-0.07</v>
      </c>
      <c r="AQ73" s="299" t="n">
        <v>-0.195</v>
      </c>
      <c r="AR73" s="299" t="n">
        <v>-0.25</v>
      </c>
      <c r="AS73" s="299" t="n">
        <v>-0.39</v>
      </c>
      <c r="AT73" s="299" t="n">
        <v>-0.47</v>
      </c>
      <c r="AU73" s="299" t="n">
        <v>0.26</v>
      </c>
      <c r="AV73" s="299" t="n">
        <v>-0.47</v>
      </c>
      <c r="AW73" s="299" t="n">
        <v>-0.144</v>
      </c>
      <c r="AX73" s="299" t="n">
        <v>-0.06</v>
      </c>
      <c r="AY73" s="299" t="n">
        <v>-0.084</v>
      </c>
      <c r="AZ73" s="299" t="n">
        <v>-0.055</v>
      </c>
      <c r="BA73" s="299" t="n">
        <v>-0.0765</v>
      </c>
      <c r="BB73" s="299" t="n">
        <v>-0.0185</v>
      </c>
      <c r="BC73" s="299" t="n">
        <v>-0.06</v>
      </c>
      <c r="BD73" s="299" t="n">
        <v>0</v>
      </c>
      <c r="BE73" s="299" t="n">
        <v>-0.0725</v>
      </c>
      <c r="BF73" s="299" t="n">
        <v>0.06</v>
      </c>
      <c r="BG73" s="299" t="n">
        <v>0.155</v>
      </c>
      <c r="BH73" s="299" t="n">
        <v>0.155</v>
      </c>
      <c r="BI73" s="299" t="n">
        <v>0.125</v>
      </c>
      <c r="BJ73" s="299" t="n">
        <v>0.35</v>
      </c>
      <c r="BK73" s="299" t="n">
        <v>0.0025</v>
      </c>
      <c r="BL73" s="299" t="n">
        <v>-0.01</v>
      </c>
      <c r="BM73" s="299" t="n">
        <v>0.005</v>
      </c>
      <c r="BN73" s="299" t="n">
        <v>-0.01</v>
      </c>
      <c r="BO73" s="299" t="n">
        <v>0.02</v>
      </c>
      <c r="BP73" s="299" t="n">
        <v>0.005</v>
      </c>
      <c r="BQ73" s="299" t="n">
        <v>0.0025</v>
      </c>
      <c r="BR73" s="299" t="n">
        <v>0.01</v>
      </c>
      <c r="BS73" s="0" t="n">
        <v>0.005</v>
      </c>
      <c r="BT73" s="0" t="n">
        <v>0.034</v>
      </c>
      <c r="BU73" s="0" t="n">
        <v>0.034</v>
      </c>
      <c r="BV73" s="0" t="n">
        <v>0.03</v>
      </c>
    </row>
    <row r="74" customFormat="false" ht="12.75" hidden="false" customHeight="false" outlineLevel="0" collapsed="false">
      <c r="A74" s="301" t="e">
        <f aca="false">#REF!-B74</f>
        <v>#REF!</v>
      </c>
      <c r="B74" s="301" t="n">
        <v>3.28</v>
      </c>
      <c r="C74" s="308" t="n">
        <f aca="false">EOMONTH(C73,0)+1</f>
        <v>39326</v>
      </c>
      <c r="D74" s="0" t="n">
        <v>3.5175</v>
      </c>
      <c r="E74" s="301" t="n">
        <v>0.24</v>
      </c>
      <c r="F74" s="299" t="n">
        <v>0.0528146903868447</v>
      </c>
      <c r="G74" s="299" t="n">
        <v>-0.13</v>
      </c>
      <c r="H74" s="299" t="n">
        <v>-0.15</v>
      </c>
      <c r="I74" s="310" t="n">
        <v>-0.09</v>
      </c>
      <c r="J74" s="310" t="n">
        <v>-0.13</v>
      </c>
      <c r="K74" s="299" t="n">
        <v>-0.09</v>
      </c>
      <c r="L74" s="299" t="n">
        <v>-0.055</v>
      </c>
      <c r="M74" s="299" t="n">
        <v>-0.075</v>
      </c>
      <c r="N74" s="299" t="n">
        <v>-0.12</v>
      </c>
      <c r="O74" s="299" t="n">
        <v>-0.12</v>
      </c>
      <c r="P74" s="299" t="n">
        <v>-0.13</v>
      </c>
      <c r="Q74" s="299" t="n">
        <v>-0.08</v>
      </c>
      <c r="R74" s="299" t="n">
        <v>-0.065</v>
      </c>
      <c r="S74" s="299" t="n">
        <v>0.125</v>
      </c>
      <c r="T74" s="299" t="n">
        <v>0.155</v>
      </c>
      <c r="U74" s="299" t="n">
        <v>0.04</v>
      </c>
      <c r="V74" s="299" t="n">
        <v>0.5</v>
      </c>
      <c r="W74" s="299" t="n">
        <v>0.125</v>
      </c>
      <c r="X74" s="299" t="n">
        <v>0.145</v>
      </c>
      <c r="Y74" s="299" t="n">
        <v>-0.0235</v>
      </c>
      <c r="Z74" s="299" t="n">
        <v>-0.0525</v>
      </c>
      <c r="AA74" s="299" t="n">
        <v>0.0095</v>
      </c>
      <c r="AB74" s="299" t="n">
        <v>-0.0105</v>
      </c>
      <c r="AC74" s="299" t="n">
        <v>0.0025</v>
      </c>
      <c r="AD74" s="299" t="n">
        <v>-0.0225</v>
      </c>
      <c r="AE74" s="299" t="n">
        <v>-0.0725</v>
      </c>
      <c r="AF74" s="299" t="n">
        <v>-0.063</v>
      </c>
      <c r="AG74" s="299" t="n">
        <v>-0.0855</v>
      </c>
      <c r="AH74" s="299" t="n">
        <v>-0.0185</v>
      </c>
      <c r="AI74" s="299" t="n">
        <v>-0.072</v>
      </c>
      <c r="AJ74" s="299" t="n">
        <v>-0.095</v>
      </c>
      <c r="AK74" s="299" t="n">
        <v>-0.017</v>
      </c>
      <c r="AL74" s="299" t="n">
        <v>0.023</v>
      </c>
      <c r="AM74" s="299" t="n">
        <v>0.36</v>
      </c>
      <c r="AN74" s="299" t="n">
        <v>0.0225</v>
      </c>
      <c r="AO74" s="299" t="n">
        <v>-0.47</v>
      </c>
      <c r="AP74" s="299" t="n">
        <v>-0.07</v>
      </c>
      <c r="AQ74" s="299" t="n">
        <v>-0.195</v>
      </c>
      <c r="AR74" s="299" t="n">
        <v>-0.25</v>
      </c>
      <c r="AS74" s="299" t="n">
        <v>-0.39</v>
      </c>
      <c r="AT74" s="299" t="n">
        <v>-0.47</v>
      </c>
      <c r="AU74" s="299" t="n">
        <v>0.26</v>
      </c>
      <c r="AV74" s="299" t="n">
        <v>-0.47</v>
      </c>
      <c r="AW74" s="299" t="n">
        <v>-0.154</v>
      </c>
      <c r="AX74" s="299" t="n">
        <v>-0.06</v>
      </c>
      <c r="AY74" s="299" t="n">
        <v>-0.094</v>
      </c>
      <c r="AZ74" s="299" t="n">
        <v>-0.055</v>
      </c>
      <c r="BA74" s="299" t="n">
        <v>-0.0815</v>
      </c>
      <c r="BB74" s="299" t="n">
        <v>-0.0185</v>
      </c>
      <c r="BC74" s="299" t="n">
        <v>-0.06</v>
      </c>
      <c r="BD74" s="299" t="n">
        <v>-0.0075</v>
      </c>
      <c r="BE74" s="299" t="n">
        <v>-0.0725</v>
      </c>
      <c r="BF74" s="299" t="n">
        <v>0.06</v>
      </c>
      <c r="BG74" s="299" t="n">
        <v>0.155</v>
      </c>
      <c r="BH74" s="299" t="n">
        <v>0.155</v>
      </c>
      <c r="BI74" s="299" t="n">
        <v>0.125</v>
      </c>
      <c r="BJ74" s="299" t="n">
        <v>0.315</v>
      </c>
      <c r="BK74" s="299" t="n">
        <v>0.0025</v>
      </c>
      <c r="BL74" s="299" t="n">
        <v>-0.01</v>
      </c>
      <c r="BM74" s="299" t="n">
        <v>0.005</v>
      </c>
      <c r="BN74" s="299" t="n">
        <v>-0.01</v>
      </c>
      <c r="BO74" s="299" t="n">
        <v>0.02</v>
      </c>
      <c r="BP74" s="299" t="n">
        <v>0.005</v>
      </c>
      <c r="BQ74" s="299" t="n">
        <v>0.0025</v>
      </c>
      <c r="BR74" s="299" t="n">
        <v>0.01</v>
      </c>
      <c r="BS74" s="0" t="n">
        <v>0.005</v>
      </c>
      <c r="BT74" s="0" t="n">
        <v>0.034</v>
      </c>
      <c r="BU74" s="0" t="n">
        <v>0.034</v>
      </c>
      <c r="BV74" s="0" t="n">
        <v>0.03</v>
      </c>
    </row>
    <row r="75" customFormat="false" ht="12.75" hidden="false" customHeight="false" outlineLevel="0" collapsed="false">
      <c r="A75" s="301" t="e">
        <f aca="false">#REF!-B75</f>
        <v>#REF!</v>
      </c>
      <c r="B75" s="301" t="n">
        <v>3.134</v>
      </c>
      <c r="C75" s="308" t="n">
        <f aca="false">EOMONTH(C74,0)+1</f>
        <v>39356</v>
      </c>
      <c r="D75" s="0" t="n">
        <v>3.5425</v>
      </c>
      <c r="E75" s="301" t="n">
        <v>0.24</v>
      </c>
      <c r="F75" s="299" t="n">
        <v>0.0529903487982488</v>
      </c>
      <c r="G75" s="299" t="n">
        <v>-0.13</v>
      </c>
      <c r="H75" s="299" t="n">
        <v>-0.15</v>
      </c>
      <c r="I75" s="310" t="n">
        <v>-0.09</v>
      </c>
      <c r="J75" s="310" t="n">
        <v>-0.13</v>
      </c>
      <c r="K75" s="299" t="n">
        <v>-0.09</v>
      </c>
      <c r="L75" s="299" t="n">
        <v>-0.055</v>
      </c>
      <c r="M75" s="299" t="n">
        <v>-0.075</v>
      </c>
      <c r="N75" s="299" t="n">
        <v>-0.12</v>
      </c>
      <c r="O75" s="299" t="n">
        <v>-0.12</v>
      </c>
      <c r="P75" s="299" t="n">
        <v>-0.13</v>
      </c>
      <c r="Q75" s="299" t="n">
        <v>-0.08</v>
      </c>
      <c r="R75" s="299" t="n">
        <v>-0.065</v>
      </c>
      <c r="S75" s="299" t="n">
        <v>0.125</v>
      </c>
      <c r="T75" s="299" t="n">
        <v>0.155</v>
      </c>
      <c r="U75" s="299" t="n">
        <v>0.04</v>
      </c>
      <c r="V75" s="299" t="n">
        <v>0.5</v>
      </c>
      <c r="W75" s="299" t="n">
        <v>0.145</v>
      </c>
      <c r="X75" s="299" t="n">
        <v>0.175</v>
      </c>
      <c r="Y75" s="299" t="n">
        <v>-0.0235</v>
      </c>
      <c r="Z75" s="299" t="n">
        <v>-0.0525</v>
      </c>
      <c r="AA75" s="299" t="n">
        <v>0.0045</v>
      </c>
      <c r="AB75" s="299" t="n">
        <v>-0.0155</v>
      </c>
      <c r="AC75" s="299" t="n">
        <v>0.0025</v>
      </c>
      <c r="AD75" s="299" t="n">
        <v>-0.0225</v>
      </c>
      <c r="AE75" s="299" t="n">
        <v>-0.0725</v>
      </c>
      <c r="AF75" s="299" t="n">
        <v>-0.063</v>
      </c>
      <c r="AG75" s="299" t="n">
        <v>-0.0855</v>
      </c>
      <c r="AH75" s="299" t="n">
        <v>-0.0185</v>
      </c>
      <c r="AI75" s="299" t="n">
        <v>-0.072</v>
      </c>
      <c r="AJ75" s="299" t="n">
        <v>-0.095</v>
      </c>
      <c r="AK75" s="299" t="n">
        <v>-0.017</v>
      </c>
      <c r="AL75" s="299" t="n">
        <v>0.023</v>
      </c>
      <c r="AM75" s="299" t="n">
        <v>0.4</v>
      </c>
      <c r="AN75" s="299" t="n">
        <v>0.0125</v>
      </c>
      <c r="AO75" s="299" t="n">
        <v>-0.47</v>
      </c>
      <c r="AP75" s="299" t="n">
        <v>-0.07</v>
      </c>
      <c r="AQ75" s="299" t="n">
        <v>-0.195</v>
      </c>
      <c r="AR75" s="299" t="n">
        <v>-0.25</v>
      </c>
      <c r="AS75" s="299" t="n">
        <v>-0.39</v>
      </c>
      <c r="AT75" s="299" t="n">
        <v>-0.47</v>
      </c>
      <c r="AU75" s="299" t="n">
        <v>0.26</v>
      </c>
      <c r="AV75" s="299" t="n">
        <v>-0.47</v>
      </c>
      <c r="AW75" s="299" t="n">
        <v>-0.1415</v>
      </c>
      <c r="AX75" s="299" t="n">
        <v>-0.06</v>
      </c>
      <c r="AY75" s="299" t="n">
        <v>-0.0815</v>
      </c>
      <c r="AZ75" s="299" t="n">
        <v>-0.055</v>
      </c>
      <c r="BA75" s="299" t="n">
        <v>-0.084</v>
      </c>
      <c r="BB75" s="299" t="n">
        <v>-0.0185</v>
      </c>
      <c r="BC75" s="299" t="n">
        <v>-0.06</v>
      </c>
      <c r="BD75" s="299" t="n">
        <v>-0.0175</v>
      </c>
      <c r="BE75" s="299" t="n">
        <v>-0.0725</v>
      </c>
      <c r="BF75" s="299" t="n">
        <v>0.06</v>
      </c>
      <c r="BG75" s="299" t="n">
        <v>0.155</v>
      </c>
      <c r="BH75" s="299" t="n">
        <v>0.155</v>
      </c>
      <c r="BI75" s="299" t="n">
        <v>0.125</v>
      </c>
      <c r="BJ75" s="299" t="n">
        <v>0.36</v>
      </c>
      <c r="BK75" s="299" t="n">
        <v>0.0025</v>
      </c>
      <c r="BL75" s="299" t="n">
        <v>-0.015</v>
      </c>
      <c r="BM75" s="299" t="n">
        <v>0.005</v>
      </c>
      <c r="BN75" s="299" t="n">
        <v>-0.01</v>
      </c>
      <c r="BO75" s="299" t="n">
        <v>0.02</v>
      </c>
      <c r="BP75" s="299" t="n">
        <v>0.005</v>
      </c>
      <c r="BQ75" s="299" t="n">
        <v>0.0025</v>
      </c>
      <c r="BR75" s="299" t="n">
        <v>0.01</v>
      </c>
      <c r="BS75" s="0" t="n">
        <v>0.005</v>
      </c>
      <c r="BT75" s="0" t="n">
        <v>0.034</v>
      </c>
      <c r="BU75" s="0" t="n">
        <v>0.034</v>
      </c>
      <c r="BV75" s="0" t="n">
        <v>0.03</v>
      </c>
    </row>
    <row r="76" customFormat="false" ht="12.75" hidden="false" customHeight="false" outlineLevel="0" collapsed="false">
      <c r="A76" s="301" t="e">
        <f aca="false">#REF!-B76</f>
        <v>#REF!</v>
      </c>
      <c r="B76" s="301" t="n">
        <v>3.109</v>
      </c>
      <c r="C76" s="308" t="n">
        <f aca="false">EOMONTH(C75,0)+1</f>
        <v>39387</v>
      </c>
      <c r="D76" s="0" t="n">
        <v>3.6945</v>
      </c>
      <c r="E76" s="301" t="n">
        <v>0.24</v>
      </c>
      <c r="F76" s="299" t="n">
        <v>0.0531718625008408</v>
      </c>
      <c r="G76" s="299" t="n">
        <v>-0.13</v>
      </c>
      <c r="H76" s="299" t="n">
        <v>-0.15</v>
      </c>
      <c r="I76" s="310" t="n">
        <v>-0.01</v>
      </c>
      <c r="J76" s="310" t="n">
        <v>-0.13</v>
      </c>
      <c r="K76" s="299" t="n">
        <v>0</v>
      </c>
      <c r="L76" s="299" t="n">
        <v>-0.055</v>
      </c>
      <c r="M76" s="299" t="n">
        <v>-0.09</v>
      </c>
      <c r="N76" s="299" t="n">
        <v>-0.12</v>
      </c>
      <c r="O76" s="299" t="n">
        <v>-0.12</v>
      </c>
      <c r="P76" s="299" t="n">
        <v>-0.13</v>
      </c>
      <c r="Q76" s="299" t="n">
        <v>-0.0925</v>
      </c>
      <c r="R76" s="299" t="n">
        <v>-0.065</v>
      </c>
      <c r="S76" s="299" t="n">
        <v>0.155</v>
      </c>
      <c r="T76" s="299" t="n">
        <v>0.205</v>
      </c>
      <c r="U76" s="299" t="n">
        <v>0.13</v>
      </c>
      <c r="V76" s="299" t="n">
        <v>0.5</v>
      </c>
      <c r="W76" s="299" t="n">
        <v>0.195</v>
      </c>
      <c r="X76" s="299" t="n">
        <v>0.21</v>
      </c>
      <c r="Y76" s="299" t="n">
        <v>-0.021</v>
      </c>
      <c r="Z76" s="299" t="n">
        <v>-0.035</v>
      </c>
      <c r="AA76" s="299" t="n">
        <v>0.0055</v>
      </c>
      <c r="AB76" s="299" t="n">
        <v>-0.0145</v>
      </c>
      <c r="AC76" s="299" t="n">
        <v>0.0025</v>
      </c>
      <c r="AD76" s="299" t="n">
        <v>-0.0225</v>
      </c>
      <c r="AE76" s="299" t="n">
        <v>-0.075</v>
      </c>
      <c r="AF76" s="299" t="n">
        <v>-0.0655</v>
      </c>
      <c r="AG76" s="299" t="n">
        <v>-0.088</v>
      </c>
      <c r="AH76" s="299" t="n">
        <v>-0.015</v>
      </c>
      <c r="AI76" s="299" t="n">
        <v>-0.065</v>
      </c>
      <c r="AJ76" s="299" t="n">
        <v>-0.12</v>
      </c>
      <c r="AK76" s="299" t="n">
        <v>-0.01</v>
      </c>
      <c r="AL76" s="299" t="n">
        <v>0.03</v>
      </c>
      <c r="AM76" s="299" t="n">
        <v>0.65</v>
      </c>
      <c r="AN76" s="299" t="n">
        <v>-0.0225</v>
      </c>
      <c r="AO76" s="299" t="n">
        <v>-0.34</v>
      </c>
      <c r="AP76" s="299" t="n">
        <v>-0.07</v>
      </c>
      <c r="AQ76" s="299" t="n">
        <v>-0.13</v>
      </c>
      <c r="AR76" s="299" t="n">
        <v>0.248</v>
      </c>
      <c r="AS76" s="299" t="n">
        <v>-0.26</v>
      </c>
      <c r="AT76" s="299" t="n">
        <v>0</v>
      </c>
      <c r="AU76" s="299" t="n">
        <v>0.24</v>
      </c>
      <c r="AV76" s="299" t="n">
        <v>-0.34</v>
      </c>
      <c r="AW76" s="299" t="n">
        <v>-0.149</v>
      </c>
      <c r="AX76" s="299" t="n">
        <v>-0.06</v>
      </c>
      <c r="AY76" s="299" t="n">
        <v>-0.089</v>
      </c>
      <c r="AZ76" s="299" t="n">
        <v>-0.055</v>
      </c>
      <c r="BA76" s="299" t="n">
        <v>-0.079</v>
      </c>
      <c r="BB76" s="299" t="n">
        <v>-0.02</v>
      </c>
      <c r="BC76" s="299" t="n">
        <v>-0.075</v>
      </c>
      <c r="BD76" s="299" t="n">
        <v>-0.0525</v>
      </c>
      <c r="BE76" s="299" t="n">
        <v>-0.075</v>
      </c>
      <c r="BF76" s="299" t="n">
        <v>0.15</v>
      </c>
      <c r="BG76" s="299" t="n">
        <v>0.205</v>
      </c>
      <c r="BH76" s="299" t="n">
        <v>0.205</v>
      </c>
      <c r="BI76" s="299" t="n">
        <v>0.155</v>
      </c>
      <c r="BJ76" s="299" t="n">
        <v>0.46</v>
      </c>
      <c r="BK76" s="299" t="n">
        <v>0.0025</v>
      </c>
      <c r="BL76" s="299" t="n">
        <v>-0.02</v>
      </c>
      <c r="BM76" s="299" t="n">
        <v>0.005</v>
      </c>
      <c r="BN76" s="299" t="n">
        <v>0</v>
      </c>
      <c r="BO76" s="299" t="n">
        <v>0</v>
      </c>
      <c r="BP76" s="299" t="n">
        <v>0.005</v>
      </c>
      <c r="BQ76" s="299" t="n">
        <v>0.005</v>
      </c>
      <c r="BR76" s="299" t="n">
        <v>0.055</v>
      </c>
      <c r="BS76" s="0" t="n">
        <v>0.02</v>
      </c>
      <c r="BT76" s="0" t="n">
        <v>0.036</v>
      </c>
      <c r="BU76" s="0" t="n">
        <v>0.036</v>
      </c>
      <c r="BV76" s="0" t="n">
        <v>0.03</v>
      </c>
    </row>
    <row r="77" customFormat="false" ht="12.75" hidden="false" customHeight="false" outlineLevel="0" collapsed="false">
      <c r="A77" s="301" t="e">
        <f aca="false">#REF!-B77</f>
        <v>#REF!</v>
      </c>
      <c r="B77" s="301" t="n">
        <v>3.092</v>
      </c>
      <c r="C77" s="308" t="n">
        <f aca="false">EOMONTH(C76,0)+1</f>
        <v>39417</v>
      </c>
      <c r="D77" s="0" t="n">
        <v>3.8375</v>
      </c>
      <c r="E77" s="301" t="n">
        <v>0.24</v>
      </c>
      <c r="F77" s="299" t="n">
        <v>0.0533475209331611</v>
      </c>
      <c r="G77" s="299" t="n">
        <v>-0.1325</v>
      </c>
      <c r="H77" s="299" t="n">
        <v>-0.1525</v>
      </c>
      <c r="I77" s="310" t="n">
        <v>-0.005</v>
      </c>
      <c r="J77" s="310" t="n">
        <v>-0.13</v>
      </c>
      <c r="K77" s="299" t="n">
        <v>0.005</v>
      </c>
      <c r="L77" s="299" t="n">
        <v>-0.055</v>
      </c>
      <c r="M77" s="299" t="n">
        <v>-0.09</v>
      </c>
      <c r="N77" s="299" t="n">
        <v>-0.1225</v>
      </c>
      <c r="O77" s="299" t="n">
        <v>-0.1225</v>
      </c>
      <c r="P77" s="299" t="n">
        <v>-0.1325</v>
      </c>
      <c r="Q77" s="299" t="n">
        <v>-0.0925</v>
      </c>
      <c r="R77" s="299" t="n">
        <v>-0.065</v>
      </c>
      <c r="S77" s="299" t="n">
        <v>0.155</v>
      </c>
      <c r="T77" s="299" t="n">
        <v>0.205</v>
      </c>
      <c r="U77" s="299" t="n">
        <v>0.13</v>
      </c>
      <c r="V77" s="299" t="n">
        <v>0.5</v>
      </c>
      <c r="W77" s="299" t="n">
        <v>0.215</v>
      </c>
      <c r="X77" s="299" t="n">
        <v>0.29</v>
      </c>
      <c r="Y77" s="299" t="n">
        <v>-0.021</v>
      </c>
      <c r="Z77" s="299" t="n">
        <v>-0.035</v>
      </c>
      <c r="AA77" s="299" t="n">
        <v>0.0055</v>
      </c>
      <c r="AB77" s="299" t="n">
        <v>-0.0145</v>
      </c>
      <c r="AC77" s="299" t="n">
        <v>0.0025</v>
      </c>
      <c r="AD77" s="299" t="n">
        <v>-0.0225</v>
      </c>
      <c r="AE77" s="299" t="n">
        <v>-0.075</v>
      </c>
      <c r="AF77" s="299" t="n">
        <v>-0.0635</v>
      </c>
      <c r="AG77" s="299" t="n">
        <v>-0.086</v>
      </c>
      <c r="AH77" s="299" t="n">
        <v>-0.0125</v>
      </c>
      <c r="AI77" s="299" t="n">
        <v>-0.065</v>
      </c>
      <c r="AJ77" s="299" t="n">
        <v>-0.12</v>
      </c>
      <c r="AK77" s="299" t="n">
        <v>-0.01</v>
      </c>
      <c r="AL77" s="299" t="n">
        <v>0.03</v>
      </c>
      <c r="AM77" s="299" t="n">
        <v>0.98</v>
      </c>
      <c r="AN77" s="299" t="n">
        <v>-0.045</v>
      </c>
      <c r="AO77" s="299" t="n">
        <v>-0.34</v>
      </c>
      <c r="AP77" s="299" t="n">
        <v>-0.07</v>
      </c>
      <c r="AQ77" s="299" t="n">
        <v>-0.13</v>
      </c>
      <c r="AR77" s="299" t="n">
        <v>0.308</v>
      </c>
      <c r="AS77" s="299" t="n">
        <v>-0.26</v>
      </c>
      <c r="AT77" s="299" t="n">
        <v>0</v>
      </c>
      <c r="AU77" s="299" t="n">
        <v>0.24</v>
      </c>
      <c r="AV77" s="299" t="n">
        <v>-0.34</v>
      </c>
      <c r="AW77" s="299" t="n">
        <v>-0.1765</v>
      </c>
      <c r="AX77" s="299" t="n">
        <v>-0.06</v>
      </c>
      <c r="AY77" s="299" t="n">
        <v>-0.1165</v>
      </c>
      <c r="AZ77" s="299" t="n">
        <v>-0.055</v>
      </c>
      <c r="BA77" s="299" t="n">
        <v>-0.1065</v>
      </c>
      <c r="BB77" s="299" t="n">
        <v>-0.0175</v>
      </c>
      <c r="BC77" s="299" t="n">
        <v>-0.075</v>
      </c>
      <c r="BD77" s="299" t="n">
        <v>-0.075</v>
      </c>
      <c r="BE77" s="299" t="n">
        <v>-0.075</v>
      </c>
      <c r="BF77" s="299" t="n">
        <v>0.15</v>
      </c>
      <c r="BG77" s="299" t="n">
        <v>0.205</v>
      </c>
      <c r="BH77" s="299" t="n">
        <v>0.205</v>
      </c>
      <c r="BI77" s="299" t="n">
        <v>0.155</v>
      </c>
      <c r="BJ77" s="299" t="n">
        <v>0.77</v>
      </c>
      <c r="BK77" s="299" t="n">
        <v>0.0025</v>
      </c>
      <c r="BL77" s="299" t="n">
        <v>-0.025</v>
      </c>
      <c r="BM77" s="299" t="n">
        <v>0.005</v>
      </c>
      <c r="BN77" s="299" t="n">
        <v>0</v>
      </c>
      <c r="BO77" s="299" t="n">
        <v>0</v>
      </c>
      <c r="BP77" s="299" t="n">
        <v>0.005</v>
      </c>
      <c r="BQ77" s="299" t="n">
        <v>0.005</v>
      </c>
      <c r="BR77" s="299" t="n">
        <v>0.25</v>
      </c>
      <c r="BS77" s="0" t="n">
        <v>0.02</v>
      </c>
      <c r="BT77" s="0" t="n">
        <v>0.036</v>
      </c>
      <c r="BU77" s="0" t="n">
        <v>0.036</v>
      </c>
      <c r="BV77" s="0" t="n">
        <v>0.03</v>
      </c>
    </row>
    <row r="78" customFormat="false" ht="12.75" hidden="false" customHeight="false" outlineLevel="0" collapsed="false">
      <c r="A78" s="301" t="e">
        <f aca="false">#REF!-B78</f>
        <v>#REF!</v>
      </c>
      <c r="B78" s="301" t="n">
        <v>3.157</v>
      </c>
      <c r="C78" s="308" t="n">
        <f aca="false">EOMONTH(C77,0)+1</f>
        <v>39448</v>
      </c>
      <c r="D78" s="0" t="n">
        <v>3.8875</v>
      </c>
      <c r="E78" s="301" t="n">
        <v>0.24</v>
      </c>
      <c r="F78" s="299" t="n">
        <v>0.0535290346573647</v>
      </c>
      <c r="G78" s="299" t="n">
        <v>-0.135</v>
      </c>
      <c r="H78" s="299" t="n">
        <v>-0.155</v>
      </c>
      <c r="I78" s="310" t="n">
        <v>0.015</v>
      </c>
      <c r="J78" s="310" t="n">
        <v>-0.13</v>
      </c>
      <c r="K78" s="299" t="n">
        <v>0.025</v>
      </c>
      <c r="L78" s="299" t="n">
        <v>-0.055</v>
      </c>
      <c r="M78" s="299" t="n">
        <v>-0.09</v>
      </c>
      <c r="N78" s="299" t="n">
        <v>-0.125</v>
      </c>
      <c r="O78" s="299" t="n">
        <v>-0.125</v>
      </c>
      <c r="P78" s="299" t="n">
        <v>-0.135</v>
      </c>
      <c r="Q78" s="299" t="n">
        <v>-0.10125</v>
      </c>
      <c r="R78" s="299" t="n">
        <v>-0.065</v>
      </c>
      <c r="S78" s="299" t="n">
        <v>0.155</v>
      </c>
      <c r="T78" s="299" t="n">
        <v>0.205</v>
      </c>
      <c r="U78" s="299" t="n">
        <v>0.13</v>
      </c>
      <c r="V78" s="299" t="n">
        <v>0.5</v>
      </c>
      <c r="W78" s="299" t="n">
        <v>0.235</v>
      </c>
      <c r="X78" s="299" t="n">
        <v>0.34</v>
      </c>
      <c r="Y78" s="299" t="n">
        <v>-0.019</v>
      </c>
      <c r="Z78" s="299" t="n">
        <v>-0.035</v>
      </c>
      <c r="AA78" s="299" t="n">
        <v>0.0055</v>
      </c>
      <c r="AB78" s="299" t="n">
        <v>-0.0145</v>
      </c>
      <c r="AC78" s="299" t="n">
        <v>0.0025</v>
      </c>
      <c r="AD78" s="299" t="n">
        <v>-0.0225</v>
      </c>
      <c r="AE78" s="299" t="n">
        <v>-0.075</v>
      </c>
      <c r="AF78" s="299" t="n">
        <v>-0.0635</v>
      </c>
      <c r="AG78" s="299" t="n">
        <v>-0.086</v>
      </c>
      <c r="AH78" s="299" t="n">
        <v>-0.0125</v>
      </c>
      <c r="AI78" s="299" t="n">
        <v>-0.065</v>
      </c>
      <c r="AJ78" s="299" t="n">
        <v>-0.1375</v>
      </c>
      <c r="AK78" s="299" t="n">
        <v>-0.01</v>
      </c>
      <c r="AL78" s="299" t="n">
        <v>0.03</v>
      </c>
      <c r="AM78" s="299" t="n">
        <v>1.6</v>
      </c>
      <c r="AN78" s="299" t="n">
        <v>-0.0475</v>
      </c>
      <c r="AO78" s="299" t="n">
        <v>-0.34</v>
      </c>
      <c r="AP78" s="299" t="n">
        <v>-0.07</v>
      </c>
      <c r="AQ78" s="299" t="n">
        <v>-0.13</v>
      </c>
      <c r="AR78" s="299" t="n">
        <v>0.378</v>
      </c>
      <c r="AS78" s="299" t="n">
        <v>-0.26</v>
      </c>
      <c r="AT78" s="299" t="n">
        <v>0</v>
      </c>
      <c r="AU78" s="299" t="n">
        <v>0.24</v>
      </c>
      <c r="AV78" s="299" t="n">
        <v>-0.34</v>
      </c>
      <c r="AW78" s="299" t="n">
        <v>-0.1915</v>
      </c>
      <c r="AX78" s="299" t="n">
        <v>-0.06</v>
      </c>
      <c r="AY78" s="299" t="n">
        <v>-0.1315</v>
      </c>
      <c r="AZ78" s="299" t="n">
        <v>-0.055</v>
      </c>
      <c r="BA78" s="299" t="n">
        <v>-0.107</v>
      </c>
      <c r="BB78" s="299" t="n">
        <v>-0.0175</v>
      </c>
      <c r="BC78" s="299" t="n">
        <v>-0.075</v>
      </c>
      <c r="BD78" s="299" t="n">
        <v>-0.0775</v>
      </c>
      <c r="BE78" s="299" t="n">
        <v>-0.075</v>
      </c>
      <c r="BF78" s="299" t="n">
        <v>0.15</v>
      </c>
      <c r="BG78" s="299" t="n">
        <v>0.205</v>
      </c>
      <c r="BH78" s="299" t="n">
        <v>0.205</v>
      </c>
      <c r="BI78" s="299" t="n">
        <v>0.155</v>
      </c>
      <c r="BJ78" s="299" t="n">
        <v>1.04</v>
      </c>
      <c r="BK78" s="299" t="n">
        <v>0.0025</v>
      </c>
      <c r="BL78" s="299" t="n">
        <v>-0.025</v>
      </c>
      <c r="BM78" s="299" t="n">
        <v>0.005</v>
      </c>
      <c r="BN78" s="299" t="n">
        <v>0</v>
      </c>
      <c r="BO78" s="299" t="n">
        <v>0</v>
      </c>
      <c r="BP78" s="299" t="n">
        <v>0.005</v>
      </c>
      <c r="BQ78" s="299" t="n">
        <v>0.005</v>
      </c>
      <c r="BR78" s="299" t="n">
        <v>0.45</v>
      </c>
      <c r="BS78" s="0" t="n">
        <v>0.02</v>
      </c>
      <c r="BT78" s="0" t="n">
        <v>0.036</v>
      </c>
      <c r="BU78" s="0" t="n">
        <v>0.036</v>
      </c>
      <c r="BV78" s="0" t="n">
        <v>0.03</v>
      </c>
    </row>
    <row r="79" customFormat="false" ht="12.75" hidden="false" customHeight="false" outlineLevel="0" collapsed="false">
      <c r="A79" s="301" t="e">
        <f aca="false">#REF!-B79</f>
        <v>#REF!</v>
      </c>
      <c r="B79" s="301" t="n">
        <v>3.152</v>
      </c>
      <c r="C79" s="308" t="n">
        <f aca="false">EOMONTH(C78,0)+1</f>
        <v>39479</v>
      </c>
      <c r="D79" s="0" t="n">
        <v>3.8025</v>
      </c>
      <c r="E79" s="301" t="n">
        <v>0.24</v>
      </c>
      <c r="F79" s="299" t="n">
        <v>0.0537105483925497</v>
      </c>
      <c r="G79" s="299" t="n">
        <v>-0.1275</v>
      </c>
      <c r="H79" s="299" t="n">
        <v>-0.1475</v>
      </c>
      <c r="I79" s="310" t="n">
        <v>0.01</v>
      </c>
      <c r="J79" s="310" t="n">
        <v>-0.13</v>
      </c>
      <c r="K79" s="299" t="n">
        <v>0.02</v>
      </c>
      <c r="L79" s="299" t="n">
        <v>-0.055</v>
      </c>
      <c r="M79" s="299" t="n">
        <v>-0.09</v>
      </c>
      <c r="N79" s="299" t="n">
        <v>-0.1175</v>
      </c>
      <c r="O79" s="299" t="n">
        <v>-0.1175</v>
      </c>
      <c r="P79" s="299" t="n">
        <v>-0.1275</v>
      </c>
      <c r="Q79" s="299" t="n">
        <v>-0.0925</v>
      </c>
      <c r="R79" s="299" t="n">
        <v>-0.065</v>
      </c>
      <c r="S79" s="299" t="n">
        <v>0.155</v>
      </c>
      <c r="T79" s="299" t="n">
        <v>0.205</v>
      </c>
      <c r="U79" s="299" t="n">
        <v>0.13</v>
      </c>
      <c r="V79" s="299" t="n">
        <v>0.5</v>
      </c>
      <c r="W79" s="299" t="n">
        <v>0.235</v>
      </c>
      <c r="X79" s="299" t="n">
        <v>0.34</v>
      </c>
      <c r="Y79" s="299" t="n">
        <v>-0.019</v>
      </c>
      <c r="Z79" s="299" t="n">
        <v>-0.035</v>
      </c>
      <c r="AA79" s="299" t="n">
        <v>0.0055</v>
      </c>
      <c r="AB79" s="299" t="n">
        <v>-0.0145</v>
      </c>
      <c r="AC79" s="299" t="n">
        <v>0.0025</v>
      </c>
      <c r="AD79" s="299" t="n">
        <v>-0.0225</v>
      </c>
      <c r="AE79" s="299" t="n">
        <v>-0.075</v>
      </c>
      <c r="AF79" s="299" t="n">
        <v>-0.0635</v>
      </c>
      <c r="AG79" s="299" t="n">
        <v>-0.086</v>
      </c>
      <c r="AH79" s="299" t="n">
        <v>-0.0125</v>
      </c>
      <c r="AI79" s="299" t="n">
        <v>-0.065</v>
      </c>
      <c r="AJ79" s="299" t="n">
        <v>-0.12</v>
      </c>
      <c r="AK79" s="299" t="n">
        <v>-0.01</v>
      </c>
      <c r="AL79" s="299" t="n">
        <v>0.03</v>
      </c>
      <c r="AM79" s="299" t="n">
        <v>1.6</v>
      </c>
      <c r="AN79" s="299" t="n">
        <v>-0.03</v>
      </c>
      <c r="AO79" s="299" t="n">
        <v>-0.34</v>
      </c>
      <c r="AP79" s="299" t="n">
        <v>-0.07</v>
      </c>
      <c r="AQ79" s="299" t="n">
        <v>-0.13</v>
      </c>
      <c r="AR79" s="299" t="n">
        <v>0.248</v>
      </c>
      <c r="AS79" s="299" t="n">
        <v>-0.26</v>
      </c>
      <c r="AT79" s="299" t="n">
        <v>0</v>
      </c>
      <c r="AU79" s="299" t="n">
        <v>0.24</v>
      </c>
      <c r="AV79" s="299" t="n">
        <v>-0.34</v>
      </c>
      <c r="AW79" s="299" t="n">
        <v>-0.1815</v>
      </c>
      <c r="AX79" s="299" t="n">
        <v>-0.06</v>
      </c>
      <c r="AY79" s="299" t="n">
        <v>-0.1215</v>
      </c>
      <c r="AZ79" s="299" t="n">
        <v>-0.055</v>
      </c>
      <c r="BA79" s="299" t="n">
        <v>-0.107</v>
      </c>
      <c r="BB79" s="299" t="n">
        <v>-0.0175</v>
      </c>
      <c r="BC79" s="299" t="n">
        <v>-0.075</v>
      </c>
      <c r="BD79" s="299" t="n">
        <v>-0.06</v>
      </c>
      <c r="BE79" s="299" t="n">
        <v>-0.075</v>
      </c>
      <c r="BF79" s="299" t="n">
        <v>0.15</v>
      </c>
      <c r="BG79" s="299" t="n">
        <v>0.205</v>
      </c>
      <c r="BH79" s="299" t="n">
        <v>0.205</v>
      </c>
      <c r="BI79" s="299" t="n">
        <v>0.155</v>
      </c>
      <c r="BJ79" s="299" t="n">
        <v>1.04</v>
      </c>
      <c r="BK79" s="299" t="n">
        <v>0.0025</v>
      </c>
      <c r="BL79" s="299" t="n">
        <v>-0.025</v>
      </c>
      <c r="BM79" s="299" t="n">
        <v>0.005</v>
      </c>
      <c r="BN79" s="299" t="n">
        <v>0</v>
      </c>
      <c r="BO79" s="299" t="n">
        <v>0</v>
      </c>
      <c r="BP79" s="299" t="n">
        <v>0.005</v>
      </c>
      <c r="BQ79" s="299" t="n">
        <v>0.005</v>
      </c>
      <c r="BR79" s="299" t="n">
        <v>0.45</v>
      </c>
      <c r="BS79" s="0" t="n">
        <v>0.02</v>
      </c>
      <c r="BT79" s="0" t="n">
        <v>0.036</v>
      </c>
      <c r="BU79" s="0" t="n">
        <v>0.036</v>
      </c>
      <c r="BV79" s="0" t="n">
        <v>0.03</v>
      </c>
    </row>
    <row r="80" customFormat="false" ht="12.75" hidden="false" customHeight="false" outlineLevel="0" collapsed="false">
      <c r="A80" s="301" t="e">
        <f aca="false">#REF!-B80</f>
        <v>#REF!</v>
      </c>
      <c r="B80" s="301" t="n">
        <v>3.139</v>
      </c>
      <c r="C80" s="308" t="n">
        <f aca="false">EOMONTH(C79,0)+1</f>
        <v>39508</v>
      </c>
      <c r="D80" s="0" t="n">
        <v>3.6725</v>
      </c>
      <c r="E80" s="301" t="n">
        <v>0.235</v>
      </c>
      <c r="F80" s="299" t="n">
        <v>0.0538803515741155</v>
      </c>
      <c r="G80" s="299" t="n">
        <v>-0.125</v>
      </c>
      <c r="H80" s="299" t="n">
        <v>-0.145</v>
      </c>
      <c r="I80" s="310" t="n">
        <v>-0.01</v>
      </c>
      <c r="J80" s="310" t="n">
        <v>-0.13</v>
      </c>
      <c r="K80" s="299" t="n">
        <v>0</v>
      </c>
      <c r="L80" s="299" t="n">
        <v>-0.055</v>
      </c>
      <c r="M80" s="299" t="n">
        <v>-0.09</v>
      </c>
      <c r="N80" s="299" t="n">
        <v>-0.115</v>
      </c>
      <c r="O80" s="299" t="n">
        <v>-0.115</v>
      </c>
      <c r="P80" s="299" t="n">
        <v>-0.125</v>
      </c>
      <c r="Q80" s="299" t="n">
        <v>-0.08625</v>
      </c>
      <c r="R80" s="299" t="n">
        <v>-0.065</v>
      </c>
      <c r="S80" s="299" t="n">
        <v>0.155</v>
      </c>
      <c r="T80" s="299" t="n">
        <v>0.205</v>
      </c>
      <c r="U80" s="299" t="n">
        <v>0.13</v>
      </c>
      <c r="V80" s="299" t="n">
        <v>0.5</v>
      </c>
      <c r="W80" s="299" t="n">
        <v>0.195</v>
      </c>
      <c r="X80" s="299" t="n">
        <v>0.29</v>
      </c>
      <c r="Y80" s="299" t="n">
        <v>-0.019</v>
      </c>
      <c r="Z80" s="299" t="n">
        <v>-0.035</v>
      </c>
      <c r="AA80" s="299" t="n">
        <v>0.013</v>
      </c>
      <c r="AB80" s="299" t="n">
        <v>-0.007</v>
      </c>
      <c r="AC80" s="299" t="n">
        <v>0.0025</v>
      </c>
      <c r="AD80" s="299" t="n">
        <v>-0.0225</v>
      </c>
      <c r="AE80" s="299" t="n">
        <v>-0.075</v>
      </c>
      <c r="AF80" s="299" t="n">
        <v>-0.0635</v>
      </c>
      <c r="AG80" s="299" t="n">
        <v>-0.086</v>
      </c>
      <c r="AH80" s="299" t="n">
        <v>-0.0125</v>
      </c>
      <c r="AI80" s="299" t="n">
        <v>-0.065</v>
      </c>
      <c r="AJ80" s="299" t="n">
        <v>-0.1075</v>
      </c>
      <c r="AK80" s="299" t="n">
        <v>-0.01</v>
      </c>
      <c r="AL80" s="299" t="n">
        <v>0.03</v>
      </c>
      <c r="AM80" s="299" t="n">
        <v>0.64</v>
      </c>
      <c r="AN80" s="299" t="n">
        <v>-0.0175</v>
      </c>
      <c r="AO80" s="299" t="n">
        <v>-0.34</v>
      </c>
      <c r="AP80" s="299" t="n">
        <v>-0.07</v>
      </c>
      <c r="AQ80" s="299" t="n">
        <v>-0.13</v>
      </c>
      <c r="AR80" s="299" t="n">
        <v>0.068</v>
      </c>
      <c r="AS80" s="299" t="n">
        <v>-0.26</v>
      </c>
      <c r="AT80" s="299" t="n">
        <v>0</v>
      </c>
      <c r="AU80" s="299" t="n">
        <v>0.24</v>
      </c>
      <c r="AV80" s="299" t="n">
        <v>-0.34</v>
      </c>
      <c r="AW80" s="299" t="n">
        <v>-0.1715</v>
      </c>
      <c r="AX80" s="299" t="n">
        <v>-0.06</v>
      </c>
      <c r="AY80" s="299" t="n">
        <v>-0.1115</v>
      </c>
      <c r="AZ80" s="299" t="n">
        <v>-0.055</v>
      </c>
      <c r="BA80" s="299" t="n">
        <v>-0.107</v>
      </c>
      <c r="BB80" s="299" t="n">
        <v>-0.0175</v>
      </c>
      <c r="BC80" s="299" t="n">
        <v>-0.075</v>
      </c>
      <c r="BD80" s="299" t="n">
        <v>-0.0475</v>
      </c>
      <c r="BE80" s="299" t="n">
        <v>-0.075</v>
      </c>
      <c r="BF80" s="299" t="n">
        <v>0.15</v>
      </c>
      <c r="BG80" s="299" t="n">
        <v>0.205</v>
      </c>
      <c r="BH80" s="299" t="n">
        <v>0.205</v>
      </c>
      <c r="BI80" s="299" t="n">
        <v>0.155</v>
      </c>
      <c r="BJ80" s="299" t="n">
        <v>0.54</v>
      </c>
      <c r="BK80" s="299" t="n">
        <v>0.0025</v>
      </c>
      <c r="BL80" s="299" t="n">
        <v>-0.02</v>
      </c>
      <c r="BM80" s="299" t="n">
        <v>0.005</v>
      </c>
      <c r="BN80" s="299" t="n">
        <v>0</v>
      </c>
      <c r="BO80" s="299" t="n">
        <v>0</v>
      </c>
      <c r="BP80" s="299" t="n">
        <v>0.005</v>
      </c>
      <c r="BQ80" s="299" t="n">
        <v>0.005</v>
      </c>
      <c r="BR80" s="299" t="n">
        <v>0.1</v>
      </c>
      <c r="BS80" s="0" t="n">
        <v>0.02</v>
      </c>
      <c r="BT80" s="0" t="n">
        <v>0.036</v>
      </c>
      <c r="BU80" s="0" t="n">
        <v>0.036</v>
      </c>
      <c r="BV80" s="0" t="n">
        <v>0.03</v>
      </c>
    </row>
    <row r="81" customFormat="false" ht="12.75" hidden="false" customHeight="false" outlineLevel="0" collapsed="false">
      <c r="A81" s="301" t="e">
        <f aca="false">#REF!-B81</f>
        <v>#REF!</v>
      </c>
      <c r="B81" s="301" t="n">
        <v>3.154</v>
      </c>
      <c r="C81" s="308" t="n">
        <f aca="false">EOMONTH(C80,0)+1</f>
        <v>39539</v>
      </c>
      <c r="D81" s="0" t="n">
        <v>3.4875</v>
      </c>
      <c r="E81" s="301" t="n">
        <v>0.23</v>
      </c>
      <c r="F81" s="299" t="n">
        <v>0.0540618653305529</v>
      </c>
      <c r="G81" s="299" t="n">
        <v>-0.13</v>
      </c>
      <c r="H81" s="299" t="n">
        <v>-0.15</v>
      </c>
      <c r="I81" s="310" t="n">
        <v>-0.09</v>
      </c>
      <c r="J81" s="310" t="n">
        <v>-0.13</v>
      </c>
      <c r="K81" s="299" t="n">
        <v>-0.09</v>
      </c>
      <c r="L81" s="299" t="n">
        <v>-0.0525</v>
      </c>
      <c r="M81" s="299" t="n">
        <v>-0.0725</v>
      </c>
      <c r="N81" s="299" t="n">
        <v>-0.12</v>
      </c>
      <c r="O81" s="299" t="n">
        <v>-0.12</v>
      </c>
      <c r="P81" s="299" t="n">
        <v>-0.13</v>
      </c>
      <c r="Q81" s="299" t="n">
        <v>-0.06625</v>
      </c>
      <c r="R81" s="299" t="n">
        <v>-0.0625</v>
      </c>
      <c r="S81" s="299" t="n">
        <v>0.125</v>
      </c>
      <c r="T81" s="299" t="n">
        <v>0.155</v>
      </c>
      <c r="U81" s="299" t="n">
        <v>0.04</v>
      </c>
      <c r="V81" s="299" t="n">
        <v>0.5</v>
      </c>
      <c r="W81" s="299" t="n">
        <v>0.145</v>
      </c>
      <c r="X81" s="299" t="n">
        <v>0.195</v>
      </c>
      <c r="Y81" s="299" t="n">
        <v>-0.0215</v>
      </c>
      <c r="Z81" s="299" t="n">
        <v>-0.05</v>
      </c>
      <c r="AA81" s="299" t="n">
        <v>0.013</v>
      </c>
      <c r="AB81" s="299" t="n">
        <v>-0.0045</v>
      </c>
      <c r="AC81" s="299" t="n">
        <v>0.0025</v>
      </c>
      <c r="AD81" s="299" t="n">
        <v>-0.0225</v>
      </c>
      <c r="AE81" s="299" t="n">
        <v>-0.0725</v>
      </c>
      <c r="AF81" s="299" t="n">
        <v>-0.061</v>
      </c>
      <c r="AG81" s="299" t="n">
        <v>-0.0835</v>
      </c>
      <c r="AH81" s="299" t="n">
        <v>-0.0175</v>
      </c>
      <c r="AI81" s="299" t="n">
        <v>-0.072</v>
      </c>
      <c r="AJ81" s="299" t="n">
        <v>-0.07</v>
      </c>
      <c r="AK81" s="299" t="n">
        <v>-0.017</v>
      </c>
      <c r="AL81" s="299" t="n">
        <v>0.023</v>
      </c>
      <c r="AM81" s="299" t="n">
        <v>0.38</v>
      </c>
      <c r="AN81" s="299" t="n">
        <v>0.02</v>
      </c>
      <c r="AO81" s="299" t="n">
        <v>-0.47</v>
      </c>
      <c r="AP81" s="299" t="n">
        <v>-0.07</v>
      </c>
      <c r="AQ81" s="299" t="n">
        <v>-0.195</v>
      </c>
      <c r="AR81" s="299" t="n">
        <v>-0.25</v>
      </c>
      <c r="AS81" s="299" t="n">
        <v>-0.39</v>
      </c>
      <c r="AT81" s="299" t="n">
        <v>0</v>
      </c>
      <c r="AU81" s="299" t="n">
        <v>0.26</v>
      </c>
      <c r="AV81" s="299" t="n">
        <v>-0.47</v>
      </c>
      <c r="AW81" s="299" t="n">
        <v>-0.212</v>
      </c>
      <c r="AX81" s="299" t="n">
        <v>-0.06</v>
      </c>
      <c r="AY81" s="299" t="n">
        <v>-0.152</v>
      </c>
      <c r="AZ81" s="299" t="n">
        <v>-0.0525</v>
      </c>
      <c r="BA81" s="299" t="n">
        <v>-0.1295</v>
      </c>
      <c r="BB81" s="299" t="n">
        <v>-0.0175</v>
      </c>
      <c r="BC81" s="299" t="n">
        <v>-0.0575</v>
      </c>
      <c r="BD81" s="299" t="n">
        <v>-0.01</v>
      </c>
      <c r="BE81" s="299" t="n">
        <v>-0.0725</v>
      </c>
      <c r="BF81" s="299" t="n">
        <v>0.06</v>
      </c>
      <c r="BG81" s="299" t="n">
        <v>0.155</v>
      </c>
      <c r="BH81" s="299" t="n">
        <v>0.155</v>
      </c>
      <c r="BI81" s="299" t="n">
        <v>0.125</v>
      </c>
      <c r="BJ81" s="299" t="n">
        <v>0.36</v>
      </c>
      <c r="BK81" s="299" t="n">
        <v>0.0025</v>
      </c>
      <c r="BL81" s="299" t="n">
        <v>-0.015</v>
      </c>
      <c r="BM81" s="299" t="n">
        <v>0.005</v>
      </c>
      <c r="BN81" s="299" t="n">
        <v>-0.01</v>
      </c>
      <c r="BO81" s="299" t="n">
        <v>0</v>
      </c>
      <c r="BP81" s="299" t="n">
        <v>0.005</v>
      </c>
      <c r="BQ81" s="299" t="n">
        <v>0.0025</v>
      </c>
      <c r="BR81" s="299" t="n">
        <v>0.02</v>
      </c>
      <c r="BS81" s="0" t="n">
        <v>0.005</v>
      </c>
      <c r="BT81" s="0" t="n">
        <v>0.036</v>
      </c>
      <c r="BU81" s="0" t="n">
        <v>0.036</v>
      </c>
      <c r="BV81" s="0" t="n">
        <v>0.03</v>
      </c>
    </row>
    <row r="82" customFormat="false" ht="12.75" hidden="false" customHeight="false" outlineLevel="0" collapsed="false">
      <c r="A82" s="301" t="e">
        <f aca="false">#REF!-B82</f>
        <v>#REF!</v>
      </c>
      <c r="B82" s="301" t="n">
        <v>3.251</v>
      </c>
      <c r="C82" s="308" t="n">
        <f aca="false">EOMONTH(C81,0)+1</f>
        <v>39569</v>
      </c>
      <c r="D82" s="0" t="n">
        <v>3.4825</v>
      </c>
      <c r="E82" s="301" t="n">
        <v>0.23</v>
      </c>
      <c r="F82" s="299" t="n">
        <v>0.0542375238149777</v>
      </c>
      <c r="G82" s="299" t="n">
        <v>-0.13</v>
      </c>
      <c r="H82" s="299" t="n">
        <v>-0.15</v>
      </c>
      <c r="I82" s="310" t="n">
        <v>-0.09</v>
      </c>
      <c r="J82" s="310" t="n">
        <v>-0.13</v>
      </c>
      <c r="K82" s="299" t="n">
        <v>-0.09</v>
      </c>
      <c r="L82" s="299" t="n">
        <v>-0.0525</v>
      </c>
      <c r="M82" s="299" t="n">
        <v>-0.0725</v>
      </c>
      <c r="N82" s="299" t="n">
        <v>-0.12</v>
      </c>
      <c r="O82" s="299" t="n">
        <v>-0.12</v>
      </c>
      <c r="P82" s="299" t="n">
        <v>-0.13</v>
      </c>
      <c r="Q82" s="299" t="n">
        <v>-0.06625</v>
      </c>
      <c r="R82" s="299" t="n">
        <v>-0.0625</v>
      </c>
      <c r="S82" s="299" t="n">
        <v>0.125</v>
      </c>
      <c r="T82" s="299" t="n">
        <v>0.155</v>
      </c>
      <c r="U82" s="299" t="n">
        <v>0.04</v>
      </c>
      <c r="V82" s="299" t="n">
        <v>0.5</v>
      </c>
      <c r="W82" s="299" t="n">
        <v>0.125</v>
      </c>
      <c r="X82" s="299" t="n">
        <v>0.135</v>
      </c>
      <c r="Y82" s="299" t="n">
        <v>-0.0215</v>
      </c>
      <c r="Z82" s="299" t="n">
        <v>-0.05</v>
      </c>
      <c r="AA82" s="299" t="n">
        <v>0.0155</v>
      </c>
      <c r="AB82" s="299" t="n">
        <v>-0.002</v>
      </c>
      <c r="AC82" s="299" t="n">
        <v>0.0025</v>
      </c>
      <c r="AD82" s="299" t="n">
        <v>-0.0225</v>
      </c>
      <c r="AE82" s="299" t="n">
        <v>-0.0725</v>
      </c>
      <c r="AF82" s="299" t="n">
        <v>-0.061</v>
      </c>
      <c r="AG82" s="299" t="n">
        <v>-0.0835</v>
      </c>
      <c r="AH82" s="299" t="n">
        <v>-0.0175</v>
      </c>
      <c r="AI82" s="299" t="n">
        <v>-0.072</v>
      </c>
      <c r="AJ82" s="299" t="n">
        <v>-0.07</v>
      </c>
      <c r="AK82" s="299" t="n">
        <v>-0.017</v>
      </c>
      <c r="AL82" s="299" t="n">
        <v>0.023</v>
      </c>
      <c r="AM82" s="299" t="n">
        <v>0.33</v>
      </c>
      <c r="AN82" s="299" t="n">
        <v>0.02</v>
      </c>
      <c r="AO82" s="299" t="n">
        <v>-0.47</v>
      </c>
      <c r="AP82" s="299" t="n">
        <v>-0.07</v>
      </c>
      <c r="AQ82" s="299" t="n">
        <v>-0.195</v>
      </c>
      <c r="AR82" s="299" t="n">
        <v>-0.25</v>
      </c>
      <c r="AS82" s="299" t="n">
        <v>-0.39</v>
      </c>
      <c r="AT82" s="299" t="n">
        <v>0</v>
      </c>
      <c r="AU82" s="299" t="n">
        <v>0.26</v>
      </c>
      <c r="AV82" s="299" t="n">
        <v>-0.47</v>
      </c>
      <c r="AW82" s="299" t="n">
        <v>-0.1895</v>
      </c>
      <c r="AX82" s="299" t="n">
        <v>-0.06</v>
      </c>
      <c r="AY82" s="299" t="n">
        <v>-0.1295</v>
      </c>
      <c r="AZ82" s="299" t="n">
        <v>-0.0525</v>
      </c>
      <c r="BA82" s="299" t="n">
        <v>-0.122</v>
      </c>
      <c r="BB82" s="299" t="n">
        <v>-0.0175</v>
      </c>
      <c r="BC82" s="299" t="n">
        <v>-0.0575</v>
      </c>
      <c r="BD82" s="299" t="n">
        <v>-0.01</v>
      </c>
      <c r="BE82" s="299" t="n">
        <v>-0.0725</v>
      </c>
      <c r="BF82" s="299" t="n">
        <v>0.06</v>
      </c>
      <c r="BG82" s="299" t="n">
        <v>0.155</v>
      </c>
      <c r="BH82" s="299" t="n">
        <v>0.155</v>
      </c>
      <c r="BI82" s="299" t="n">
        <v>0.125</v>
      </c>
      <c r="BJ82" s="299" t="n">
        <v>0.325</v>
      </c>
      <c r="BK82" s="299" t="n">
        <v>0.0025</v>
      </c>
      <c r="BL82" s="299" t="n">
        <v>-0.015</v>
      </c>
      <c r="BM82" s="299" t="n">
        <v>0.005</v>
      </c>
      <c r="BN82" s="299" t="n">
        <v>-0.01</v>
      </c>
      <c r="BO82" s="299" t="n">
        <v>0</v>
      </c>
      <c r="BP82" s="299" t="n">
        <v>0.005</v>
      </c>
      <c r="BQ82" s="299" t="n">
        <v>0.0025</v>
      </c>
      <c r="BR82" s="299" t="n">
        <v>0.02</v>
      </c>
      <c r="BS82" s="0" t="n">
        <v>0.005</v>
      </c>
      <c r="BT82" s="0" t="n">
        <v>0.036</v>
      </c>
      <c r="BU82" s="0" t="n">
        <v>0.036</v>
      </c>
      <c r="BV82" s="0" t="n">
        <v>0.03</v>
      </c>
    </row>
    <row r="83" customFormat="false" ht="12.75" hidden="false" customHeight="false" outlineLevel="0" collapsed="false">
      <c r="A83" s="301" t="e">
        <f aca="false">#REF!-B83</f>
        <v>#REF!</v>
      </c>
      <c r="B83" s="301" t="n">
        <v>3.351</v>
      </c>
      <c r="C83" s="308" t="n">
        <f aca="false">EOMONTH(C82,0)+1</f>
        <v>39600</v>
      </c>
      <c r="D83" s="0" t="n">
        <v>3.5175</v>
      </c>
      <c r="E83" s="301" t="n">
        <v>0.23</v>
      </c>
      <c r="F83" s="299" t="n">
        <v>0.0544190375930174</v>
      </c>
      <c r="G83" s="299" t="n">
        <v>-0.13</v>
      </c>
      <c r="H83" s="299" t="n">
        <v>-0.15</v>
      </c>
      <c r="I83" s="310" t="n">
        <v>-0.09</v>
      </c>
      <c r="J83" s="310" t="n">
        <v>-0.13</v>
      </c>
      <c r="K83" s="299" t="n">
        <v>-0.09</v>
      </c>
      <c r="L83" s="299" t="n">
        <v>-0.0525</v>
      </c>
      <c r="M83" s="299" t="n">
        <v>-0.0725</v>
      </c>
      <c r="N83" s="299" t="n">
        <v>-0.12</v>
      </c>
      <c r="O83" s="299" t="n">
        <v>-0.12</v>
      </c>
      <c r="P83" s="299" t="n">
        <v>-0.13</v>
      </c>
      <c r="Q83" s="299" t="n">
        <v>-0.06375</v>
      </c>
      <c r="R83" s="299" t="n">
        <v>-0.0625</v>
      </c>
      <c r="S83" s="299" t="n">
        <v>0.125</v>
      </c>
      <c r="T83" s="299" t="n">
        <v>0.155</v>
      </c>
      <c r="U83" s="299" t="n">
        <v>0.04</v>
      </c>
      <c r="V83" s="299" t="n">
        <v>0.5</v>
      </c>
      <c r="W83" s="299" t="n">
        <v>0.145</v>
      </c>
      <c r="X83" s="299" t="n">
        <v>0.165</v>
      </c>
      <c r="Y83" s="299" t="n">
        <v>-0.0215</v>
      </c>
      <c r="Z83" s="299" t="n">
        <v>-0.0475</v>
      </c>
      <c r="AA83" s="299" t="n">
        <v>0.0155</v>
      </c>
      <c r="AB83" s="299" t="n">
        <v>-0.002</v>
      </c>
      <c r="AC83" s="299" t="n">
        <v>0.0025</v>
      </c>
      <c r="AD83" s="299" t="n">
        <v>-0.0225</v>
      </c>
      <c r="AE83" s="299" t="n">
        <v>-0.0725</v>
      </c>
      <c r="AF83" s="299" t="n">
        <v>-0.061</v>
      </c>
      <c r="AG83" s="299" t="n">
        <v>-0.0835</v>
      </c>
      <c r="AH83" s="299" t="n">
        <v>-0.0175</v>
      </c>
      <c r="AI83" s="299" t="n">
        <v>-0.072</v>
      </c>
      <c r="AJ83" s="299" t="n">
        <v>-0.065</v>
      </c>
      <c r="AK83" s="299" t="n">
        <v>-0.017</v>
      </c>
      <c r="AL83" s="299" t="n">
        <v>0.023</v>
      </c>
      <c r="AM83" s="299" t="n">
        <v>0.37</v>
      </c>
      <c r="AN83" s="299" t="n">
        <v>0.025</v>
      </c>
      <c r="AO83" s="299" t="n">
        <v>-0.47</v>
      </c>
      <c r="AP83" s="299" t="n">
        <v>-0.07</v>
      </c>
      <c r="AQ83" s="299" t="n">
        <v>-0.195</v>
      </c>
      <c r="AR83" s="299" t="n">
        <v>-0.25</v>
      </c>
      <c r="AS83" s="299" t="n">
        <v>-0.39</v>
      </c>
      <c r="AT83" s="299" t="n">
        <v>0</v>
      </c>
      <c r="AU83" s="299" t="n">
        <v>0.26</v>
      </c>
      <c r="AV83" s="299" t="n">
        <v>-0.47</v>
      </c>
      <c r="AW83" s="299" t="n">
        <v>-0.137</v>
      </c>
      <c r="AX83" s="299" t="n">
        <v>-0.06</v>
      </c>
      <c r="AY83" s="299" t="n">
        <v>-0.077</v>
      </c>
      <c r="AZ83" s="299" t="n">
        <v>-0.0525</v>
      </c>
      <c r="BA83" s="299" t="n">
        <v>-0.0795</v>
      </c>
      <c r="BB83" s="299" t="n">
        <v>-0.0175</v>
      </c>
      <c r="BC83" s="299" t="n">
        <v>-0.0575</v>
      </c>
      <c r="BD83" s="299" t="n">
        <v>-0.005</v>
      </c>
      <c r="BE83" s="299" t="n">
        <v>-0.0725</v>
      </c>
      <c r="BF83" s="299" t="n">
        <v>0.06</v>
      </c>
      <c r="BG83" s="299" t="n">
        <v>0.155</v>
      </c>
      <c r="BH83" s="299" t="n">
        <v>0.155</v>
      </c>
      <c r="BI83" s="299" t="n">
        <v>0.125</v>
      </c>
      <c r="BJ83" s="299" t="n">
        <v>0.335</v>
      </c>
      <c r="BK83" s="299" t="n">
        <v>0.0025</v>
      </c>
      <c r="BL83" s="299" t="n">
        <v>-0.015</v>
      </c>
      <c r="BM83" s="299" t="n">
        <v>0.005</v>
      </c>
      <c r="BN83" s="299" t="n">
        <v>-0.01</v>
      </c>
      <c r="BO83" s="299" t="n">
        <v>0</v>
      </c>
      <c r="BP83" s="299" t="n">
        <v>0.005</v>
      </c>
      <c r="BQ83" s="299" t="n">
        <v>0.0025</v>
      </c>
      <c r="BR83" s="299" t="n">
        <v>0.035</v>
      </c>
      <c r="BS83" s="0" t="n">
        <v>0.005</v>
      </c>
      <c r="BT83" s="0" t="n">
        <v>0.036</v>
      </c>
      <c r="BU83" s="0" t="n">
        <v>0.036</v>
      </c>
      <c r="BV83" s="0" t="n">
        <v>0.03</v>
      </c>
    </row>
    <row r="84" customFormat="false" ht="12.75" hidden="false" customHeight="false" outlineLevel="0" collapsed="false">
      <c r="A84" s="301" t="e">
        <f aca="false">#REF!-B84</f>
        <v>#REF!</v>
      </c>
      <c r="B84" s="301" t="n">
        <v>3.566</v>
      </c>
      <c r="C84" s="308" t="n">
        <f aca="false">EOMONTH(C83,0)+1</f>
        <v>39630</v>
      </c>
      <c r="D84" s="0" t="n">
        <v>3.5575</v>
      </c>
      <c r="E84" s="301" t="n">
        <v>0.23</v>
      </c>
      <c r="F84" s="299" t="n">
        <v>0.0545946960983459</v>
      </c>
      <c r="G84" s="299" t="n">
        <v>-0.13</v>
      </c>
      <c r="H84" s="299" t="n">
        <v>-0.15</v>
      </c>
      <c r="I84" s="310" t="n">
        <v>-0.09</v>
      </c>
      <c r="J84" s="310" t="n">
        <v>-0.13</v>
      </c>
      <c r="K84" s="299" t="n">
        <v>-0.09</v>
      </c>
      <c r="L84" s="299" t="n">
        <v>-0.0525</v>
      </c>
      <c r="M84" s="299" t="n">
        <v>-0.0725</v>
      </c>
      <c r="N84" s="299" t="n">
        <v>-0.12</v>
      </c>
      <c r="O84" s="299" t="n">
        <v>-0.12</v>
      </c>
      <c r="P84" s="299" t="n">
        <v>-0.13</v>
      </c>
      <c r="Q84" s="299" t="n">
        <v>-0.0625</v>
      </c>
      <c r="R84" s="299" t="n">
        <v>-0.0625</v>
      </c>
      <c r="S84" s="299" t="n">
        <v>0.125</v>
      </c>
      <c r="T84" s="299" t="n">
        <v>0.155</v>
      </c>
      <c r="U84" s="299" t="n">
        <v>0.04</v>
      </c>
      <c r="V84" s="299" t="n">
        <v>0.5</v>
      </c>
      <c r="W84" s="299" t="n">
        <v>0.15</v>
      </c>
      <c r="X84" s="299" t="n">
        <v>0.205</v>
      </c>
      <c r="Y84" s="299" t="n">
        <v>-0.0215</v>
      </c>
      <c r="Z84" s="299" t="n">
        <v>-0.0475</v>
      </c>
      <c r="AA84" s="299" t="n">
        <v>0.0155</v>
      </c>
      <c r="AB84" s="299" t="n">
        <v>-0.002</v>
      </c>
      <c r="AC84" s="299" t="n">
        <v>0.0025</v>
      </c>
      <c r="AD84" s="299" t="n">
        <v>-0.0225</v>
      </c>
      <c r="AE84" s="299" t="n">
        <v>-0.0725</v>
      </c>
      <c r="AF84" s="299" t="n">
        <v>-0.061</v>
      </c>
      <c r="AG84" s="299" t="n">
        <v>-0.0835</v>
      </c>
      <c r="AH84" s="299" t="n">
        <v>-0.0175</v>
      </c>
      <c r="AI84" s="299" t="n">
        <v>-0.072</v>
      </c>
      <c r="AJ84" s="299" t="n">
        <v>-0.0625</v>
      </c>
      <c r="AK84" s="299" t="n">
        <v>-0.017</v>
      </c>
      <c r="AL84" s="299" t="n">
        <v>0.023</v>
      </c>
      <c r="AM84" s="299" t="n">
        <v>0.41</v>
      </c>
      <c r="AN84" s="299" t="n">
        <v>0.0275</v>
      </c>
      <c r="AO84" s="299" t="n">
        <v>-0.47</v>
      </c>
      <c r="AP84" s="299" t="n">
        <v>-0.07</v>
      </c>
      <c r="AQ84" s="299" t="n">
        <v>-0.195</v>
      </c>
      <c r="AR84" s="299" t="n">
        <v>-0.25</v>
      </c>
      <c r="AS84" s="299" t="n">
        <v>-0.39</v>
      </c>
      <c r="AT84" s="299" t="n">
        <v>0</v>
      </c>
      <c r="AU84" s="299" t="n">
        <v>0.26</v>
      </c>
      <c r="AV84" s="299" t="n">
        <v>-0.47</v>
      </c>
      <c r="AW84" s="299" t="n">
        <v>-0.147</v>
      </c>
      <c r="AX84" s="299" t="n">
        <v>-0.06</v>
      </c>
      <c r="AY84" s="299" t="n">
        <v>-0.087</v>
      </c>
      <c r="AZ84" s="299" t="n">
        <v>-0.0525</v>
      </c>
      <c r="BA84" s="299" t="n">
        <v>-0.077</v>
      </c>
      <c r="BB84" s="299" t="n">
        <v>-0.0175</v>
      </c>
      <c r="BC84" s="299" t="n">
        <v>-0.0575</v>
      </c>
      <c r="BD84" s="299" t="n">
        <v>-0.0025</v>
      </c>
      <c r="BE84" s="299" t="n">
        <v>-0.0725</v>
      </c>
      <c r="BF84" s="299" t="n">
        <v>0.06</v>
      </c>
      <c r="BG84" s="299" t="n">
        <v>0.155</v>
      </c>
      <c r="BH84" s="299" t="n">
        <v>0.155</v>
      </c>
      <c r="BI84" s="299" t="n">
        <v>0.125</v>
      </c>
      <c r="BJ84" s="299" t="n">
        <v>0.35</v>
      </c>
      <c r="BK84" s="299" t="n">
        <v>0.0025</v>
      </c>
      <c r="BL84" s="299" t="n">
        <v>-0.01</v>
      </c>
      <c r="BM84" s="299" t="n">
        <v>0.005</v>
      </c>
      <c r="BN84" s="299" t="n">
        <v>-0.01</v>
      </c>
      <c r="BO84" s="299" t="n">
        <v>0</v>
      </c>
      <c r="BP84" s="299" t="n">
        <v>0.005</v>
      </c>
      <c r="BQ84" s="299" t="n">
        <v>0.0025</v>
      </c>
      <c r="BR84" s="299" t="n">
        <v>0.035</v>
      </c>
      <c r="BS84" s="0" t="n">
        <v>0.005</v>
      </c>
      <c r="BT84" s="0" t="n">
        <v>0.036</v>
      </c>
      <c r="BU84" s="0" t="n">
        <v>0.036</v>
      </c>
      <c r="BV84" s="0" t="n">
        <v>0.03</v>
      </c>
    </row>
    <row r="85" customFormat="false" ht="12.75" hidden="false" customHeight="false" outlineLevel="0" collapsed="false">
      <c r="A85" s="301" t="e">
        <f aca="false">#REF!-B85</f>
        <v>#REF!</v>
      </c>
      <c r="B85" s="301" t="n">
        <v>3.455</v>
      </c>
      <c r="C85" s="308" t="n">
        <f aca="false">EOMONTH(C84,0)+1</f>
        <v>39661</v>
      </c>
      <c r="D85" s="0" t="n">
        <v>3.5975</v>
      </c>
      <c r="E85" s="301" t="n">
        <v>0.23</v>
      </c>
      <c r="F85" s="299" t="n">
        <v>0.0547762098979847</v>
      </c>
      <c r="G85" s="299" t="n">
        <v>-0.13</v>
      </c>
      <c r="H85" s="299" t="n">
        <v>-0.15</v>
      </c>
      <c r="I85" s="310" t="n">
        <v>-0.09</v>
      </c>
      <c r="J85" s="310" t="n">
        <v>-0.13</v>
      </c>
      <c r="K85" s="299" t="n">
        <v>-0.09</v>
      </c>
      <c r="L85" s="299" t="n">
        <v>-0.0525</v>
      </c>
      <c r="M85" s="299" t="n">
        <v>-0.0725</v>
      </c>
      <c r="N85" s="299" t="n">
        <v>-0.12</v>
      </c>
      <c r="O85" s="299" t="n">
        <v>-0.12</v>
      </c>
      <c r="P85" s="299" t="n">
        <v>-0.13</v>
      </c>
      <c r="Q85" s="299" t="n">
        <v>-0.06125</v>
      </c>
      <c r="R85" s="299" t="n">
        <v>-0.0625</v>
      </c>
      <c r="S85" s="299" t="n">
        <v>0.125</v>
      </c>
      <c r="T85" s="299" t="n">
        <v>0.155</v>
      </c>
      <c r="U85" s="299" t="n">
        <v>0.04</v>
      </c>
      <c r="V85" s="299" t="n">
        <v>0.5</v>
      </c>
      <c r="W85" s="299" t="n">
        <v>0.15</v>
      </c>
      <c r="X85" s="299" t="n">
        <v>0.205</v>
      </c>
      <c r="Y85" s="299" t="n">
        <v>-0.0215</v>
      </c>
      <c r="Z85" s="299" t="n">
        <v>-0.0475</v>
      </c>
      <c r="AA85" s="299" t="n">
        <v>0.0105</v>
      </c>
      <c r="AB85" s="299" t="n">
        <v>-0.007</v>
      </c>
      <c r="AC85" s="299" t="n">
        <v>0.0025</v>
      </c>
      <c r="AD85" s="299" t="n">
        <v>-0.0225</v>
      </c>
      <c r="AE85" s="299" t="n">
        <v>-0.0725</v>
      </c>
      <c r="AF85" s="299" t="n">
        <v>-0.061</v>
      </c>
      <c r="AG85" s="299" t="n">
        <v>-0.0835</v>
      </c>
      <c r="AH85" s="299" t="n">
        <v>-0.0175</v>
      </c>
      <c r="AI85" s="299" t="n">
        <v>-0.072</v>
      </c>
      <c r="AJ85" s="299" t="n">
        <v>-0.06</v>
      </c>
      <c r="AK85" s="299" t="n">
        <v>-0.017</v>
      </c>
      <c r="AL85" s="299" t="n">
        <v>0.023</v>
      </c>
      <c r="AM85" s="299" t="n">
        <v>0.41</v>
      </c>
      <c r="AN85" s="299" t="n">
        <v>0.03</v>
      </c>
      <c r="AO85" s="299" t="n">
        <v>-0.47</v>
      </c>
      <c r="AP85" s="299" t="n">
        <v>-0.07</v>
      </c>
      <c r="AQ85" s="299" t="n">
        <v>-0.195</v>
      </c>
      <c r="AR85" s="299" t="n">
        <v>-0.25</v>
      </c>
      <c r="AS85" s="299" t="n">
        <v>-0.39</v>
      </c>
      <c r="AT85" s="299" t="n">
        <v>0</v>
      </c>
      <c r="AU85" s="299" t="n">
        <v>0.26</v>
      </c>
      <c r="AV85" s="299" t="n">
        <v>-0.47</v>
      </c>
      <c r="AW85" s="299" t="n">
        <v>-0.142</v>
      </c>
      <c r="AX85" s="299" t="n">
        <v>-0.06</v>
      </c>
      <c r="AY85" s="299" t="n">
        <v>-0.082</v>
      </c>
      <c r="AZ85" s="299" t="n">
        <v>-0.0525</v>
      </c>
      <c r="BA85" s="299" t="n">
        <v>-0.0745</v>
      </c>
      <c r="BB85" s="299" t="n">
        <v>-0.0175</v>
      </c>
      <c r="BC85" s="299" t="n">
        <v>-0.0575</v>
      </c>
      <c r="BD85" s="299" t="n">
        <v>0</v>
      </c>
      <c r="BE85" s="299" t="n">
        <v>-0.0725</v>
      </c>
      <c r="BF85" s="299" t="n">
        <v>0.06</v>
      </c>
      <c r="BG85" s="299" t="n">
        <v>0.155</v>
      </c>
      <c r="BH85" s="299" t="n">
        <v>0.155</v>
      </c>
      <c r="BI85" s="299" t="n">
        <v>0.125</v>
      </c>
      <c r="BJ85" s="299" t="n">
        <v>0.35</v>
      </c>
      <c r="BK85" s="299" t="n">
        <v>0.0025</v>
      </c>
      <c r="BL85" s="299" t="n">
        <v>-0.01</v>
      </c>
      <c r="BM85" s="299" t="n">
        <v>0.005</v>
      </c>
      <c r="BN85" s="299" t="n">
        <v>-0.01</v>
      </c>
      <c r="BO85" s="299" t="n">
        <v>0</v>
      </c>
      <c r="BP85" s="299" t="n">
        <v>0.005</v>
      </c>
      <c r="BQ85" s="299" t="n">
        <v>0.0025</v>
      </c>
      <c r="BR85" s="299" t="n">
        <v>0.01</v>
      </c>
      <c r="BS85" s="0" t="n">
        <v>0.005</v>
      </c>
      <c r="BT85" s="0" t="n">
        <v>0.036</v>
      </c>
      <c r="BU85" s="0" t="n">
        <v>0.036</v>
      </c>
      <c r="BV85" s="0" t="n">
        <v>0.03</v>
      </c>
    </row>
    <row r="86" customFormat="false" ht="12.75" hidden="false" customHeight="false" outlineLevel="0" collapsed="false">
      <c r="A86" s="301" t="e">
        <f aca="false">#REF!-B86</f>
        <v>#REF!</v>
      </c>
      <c r="B86" s="301" t="n">
        <v>3.309</v>
      </c>
      <c r="C86" s="308" t="n">
        <f aca="false">EOMONTH(C85,0)+1</f>
        <v>39692</v>
      </c>
      <c r="D86" s="0" t="n">
        <v>3.5925</v>
      </c>
      <c r="E86" s="301" t="n">
        <v>0.23</v>
      </c>
      <c r="F86" s="299" t="n">
        <v>0.0549577237085983</v>
      </c>
      <c r="G86" s="299" t="n">
        <v>-0.13</v>
      </c>
      <c r="H86" s="299" t="n">
        <v>-0.15</v>
      </c>
      <c r="I86" s="310" t="n">
        <v>-0.09</v>
      </c>
      <c r="J86" s="310" t="n">
        <v>-0.13</v>
      </c>
      <c r="K86" s="299" t="n">
        <v>-0.09</v>
      </c>
      <c r="L86" s="299" t="n">
        <v>-0.0525</v>
      </c>
      <c r="M86" s="299" t="n">
        <v>-0.0725</v>
      </c>
      <c r="N86" s="299" t="n">
        <v>-0.12</v>
      </c>
      <c r="O86" s="299" t="n">
        <v>-0.12</v>
      </c>
      <c r="P86" s="299" t="n">
        <v>-0.13</v>
      </c>
      <c r="Q86" s="299" t="n">
        <v>-0.065</v>
      </c>
      <c r="R86" s="299" t="n">
        <v>-0.0625</v>
      </c>
      <c r="S86" s="299" t="n">
        <v>0.125</v>
      </c>
      <c r="T86" s="299" t="n">
        <v>0.155</v>
      </c>
      <c r="U86" s="299" t="n">
        <v>0.04</v>
      </c>
      <c r="V86" s="299" t="n">
        <v>0.5</v>
      </c>
      <c r="W86" s="299" t="n">
        <v>0.125</v>
      </c>
      <c r="X86" s="299" t="n">
        <v>0.145</v>
      </c>
      <c r="Y86" s="299" t="n">
        <v>-0.0215</v>
      </c>
      <c r="Z86" s="299" t="n">
        <v>-0.0525</v>
      </c>
      <c r="AA86" s="299" t="n">
        <v>0.0105</v>
      </c>
      <c r="AB86" s="299" t="n">
        <v>-0.007</v>
      </c>
      <c r="AC86" s="299" t="n">
        <v>0.0025</v>
      </c>
      <c r="AD86" s="299" t="n">
        <v>-0.0225</v>
      </c>
      <c r="AE86" s="299" t="n">
        <v>-0.0725</v>
      </c>
      <c r="AF86" s="299" t="n">
        <v>-0.061</v>
      </c>
      <c r="AG86" s="299" t="n">
        <v>-0.0835</v>
      </c>
      <c r="AH86" s="299" t="n">
        <v>-0.0175</v>
      </c>
      <c r="AI86" s="299" t="n">
        <v>-0.072</v>
      </c>
      <c r="AJ86" s="299" t="n">
        <v>-0.0675</v>
      </c>
      <c r="AK86" s="299" t="n">
        <v>-0.017</v>
      </c>
      <c r="AL86" s="299" t="n">
        <v>0.023</v>
      </c>
      <c r="AM86" s="299" t="n">
        <v>0.36</v>
      </c>
      <c r="AN86" s="299" t="n">
        <v>0.0225</v>
      </c>
      <c r="AO86" s="299" t="n">
        <v>-0.47</v>
      </c>
      <c r="AP86" s="299" t="n">
        <v>-0.07</v>
      </c>
      <c r="AQ86" s="299" t="n">
        <v>-0.195</v>
      </c>
      <c r="AR86" s="299" t="n">
        <v>-0.25</v>
      </c>
      <c r="AS86" s="299" t="n">
        <v>-0.39</v>
      </c>
      <c r="AT86" s="299" t="n">
        <v>0</v>
      </c>
      <c r="AU86" s="299" t="n">
        <v>0.26</v>
      </c>
      <c r="AV86" s="299" t="n">
        <v>-0.47</v>
      </c>
      <c r="AW86" s="299" t="n">
        <v>-0.152</v>
      </c>
      <c r="AX86" s="299" t="n">
        <v>-0.06</v>
      </c>
      <c r="AY86" s="299" t="n">
        <v>-0.092</v>
      </c>
      <c r="AZ86" s="299" t="n">
        <v>-0.0525</v>
      </c>
      <c r="BA86" s="299" t="n">
        <v>-0.0795</v>
      </c>
      <c r="BB86" s="299" t="n">
        <v>-0.0175</v>
      </c>
      <c r="BC86" s="299" t="n">
        <v>-0.0575</v>
      </c>
      <c r="BD86" s="299" t="n">
        <v>-0.0075</v>
      </c>
      <c r="BE86" s="299" t="n">
        <v>-0.0725</v>
      </c>
      <c r="BF86" s="299" t="n">
        <v>0.06</v>
      </c>
      <c r="BG86" s="299" t="n">
        <v>0.155</v>
      </c>
      <c r="BH86" s="299" t="n">
        <v>0.155</v>
      </c>
      <c r="BI86" s="299" t="n">
        <v>0.125</v>
      </c>
      <c r="BJ86" s="299" t="n">
        <v>0.315</v>
      </c>
      <c r="BK86" s="299" t="n">
        <v>0.0025</v>
      </c>
      <c r="BL86" s="299" t="n">
        <v>-0.01</v>
      </c>
      <c r="BM86" s="299" t="n">
        <v>0.005</v>
      </c>
      <c r="BN86" s="299" t="n">
        <v>-0.01</v>
      </c>
      <c r="BO86" s="299" t="n">
        <v>0</v>
      </c>
      <c r="BP86" s="299" t="n">
        <v>0.005</v>
      </c>
      <c r="BQ86" s="299" t="n">
        <v>0.0025</v>
      </c>
      <c r="BR86" s="299" t="n">
        <v>0.01</v>
      </c>
      <c r="BS86" s="0" t="n">
        <v>0.005</v>
      </c>
      <c r="BT86" s="0" t="n">
        <v>0.036</v>
      </c>
      <c r="BU86" s="0" t="n">
        <v>0.036</v>
      </c>
      <c r="BV86" s="0" t="n">
        <v>0.03</v>
      </c>
    </row>
    <row r="87" customFormat="false" ht="12.75" hidden="false" customHeight="false" outlineLevel="0" collapsed="false">
      <c r="A87" s="301" t="e">
        <f aca="false">#REF!-B87</f>
        <v>#REF!</v>
      </c>
      <c r="B87" s="301" t="n">
        <v>3.166</v>
      </c>
      <c r="C87" s="308" t="n">
        <f aca="false">EOMONTH(C86,0)+1</f>
        <v>39722</v>
      </c>
      <c r="D87" s="0" t="n">
        <v>3.6175</v>
      </c>
      <c r="E87" s="301" t="n">
        <v>0.23</v>
      </c>
      <c r="F87" s="299" t="n">
        <v>0.0551333822454474</v>
      </c>
      <c r="G87" s="299" t="n">
        <v>-0.13</v>
      </c>
      <c r="H87" s="299" t="n">
        <v>-0.15</v>
      </c>
      <c r="I87" s="310" t="n">
        <v>-0.09</v>
      </c>
      <c r="J87" s="310" t="n">
        <v>-0.13</v>
      </c>
      <c r="K87" s="299" t="n">
        <v>-0.09</v>
      </c>
      <c r="L87" s="299" t="n">
        <v>-0.0525</v>
      </c>
      <c r="M87" s="299" t="n">
        <v>-0.0725</v>
      </c>
      <c r="N87" s="299" t="n">
        <v>-0.12</v>
      </c>
      <c r="O87" s="299" t="n">
        <v>-0.12</v>
      </c>
      <c r="P87" s="299" t="n">
        <v>-0.13</v>
      </c>
      <c r="Q87" s="299" t="n">
        <v>-0.07</v>
      </c>
      <c r="R87" s="299" t="n">
        <v>-0.0625</v>
      </c>
      <c r="S87" s="299" t="n">
        <v>0.125</v>
      </c>
      <c r="T87" s="299" t="n">
        <v>0.155</v>
      </c>
      <c r="U87" s="299" t="n">
        <v>0.04</v>
      </c>
      <c r="V87" s="299" t="n">
        <v>0.5</v>
      </c>
      <c r="W87" s="299" t="n">
        <v>0.145</v>
      </c>
      <c r="X87" s="299" t="n">
        <v>0.175</v>
      </c>
      <c r="Y87" s="299" t="n">
        <v>-0.0215</v>
      </c>
      <c r="Z87" s="299" t="n">
        <v>-0.0525</v>
      </c>
      <c r="AA87" s="299" t="n">
        <v>0.0055</v>
      </c>
      <c r="AB87" s="299" t="n">
        <v>-0.012</v>
      </c>
      <c r="AC87" s="299" t="n">
        <v>0.0025</v>
      </c>
      <c r="AD87" s="299" t="n">
        <v>-0.0225</v>
      </c>
      <c r="AE87" s="299" t="n">
        <v>-0.0725</v>
      </c>
      <c r="AF87" s="299" t="n">
        <v>-0.061</v>
      </c>
      <c r="AG87" s="299" t="n">
        <v>-0.0835</v>
      </c>
      <c r="AH87" s="299" t="n">
        <v>-0.0175</v>
      </c>
      <c r="AI87" s="299" t="n">
        <v>-0.072</v>
      </c>
      <c r="AJ87" s="299" t="n">
        <v>-0.0775</v>
      </c>
      <c r="AK87" s="299" t="n">
        <v>-0.017</v>
      </c>
      <c r="AL87" s="299" t="n">
        <v>0.023</v>
      </c>
      <c r="AM87" s="299" t="n">
        <v>0.4</v>
      </c>
      <c r="AN87" s="299" t="n">
        <v>0.0125</v>
      </c>
      <c r="AO87" s="299" t="n">
        <v>-0.47</v>
      </c>
      <c r="AP87" s="299" t="n">
        <v>-0.07</v>
      </c>
      <c r="AQ87" s="299" t="n">
        <v>-0.195</v>
      </c>
      <c r="AR87" s="299" t="n">
        <v>-0.25</v>
      </c>
      <c r="AS87" s="299" t="n">
        <v>-0.39</v>
      </c>
      <c r="AT87" s="299" t="n">
        <v>0</v>
      </c>
      <c r="AU87" s="299" t="n">
        <v>0.26</v>
      </c>
      <c r="AV87" s="299" t="n">
        <v>-0.47</v>
      </c>
      <c r="AW87" s="299" t="n">
        <v>-0.1395</v>
      </c>
      <c r="AX87" s="299" t="n">
        <v>-0.06</v>
      </c>
      <c r="AY87" s="299" t="n">
        <v>-0.0795</v>
      </c>
      <c r="AZ87" s="299" t="n">
        <v>-0.0525</v>
      </c>
      <c r="BA87" s="299" t="n">
        <v>-0.082</v>
      </c>
      <c r="BB87" s="299" t="n">
        <v>-0.0175</v>
      </c>
      <c r="BC87" s="299" t="n">
        <v>-0.0575</v>
      </c>
      <c r="BD87" s="299" t="n">
        <v>-0.0175</v>
      </c>
      <c r="BE87" s="299" t="n">
        <v>-0.0725</v>
      </c>
      <c r="BF87" s="299" t="n">
        <v>0.06</v>
      </c>
      <c r="BG87" s="299" t="n">
        <v>0.155</v>
      </c>
      <c r="BH87" s="299" t="n">
        <v>0.155</v>
      </c>
      <c r="BI87" s="299" t="n">
        <v>0.125</v>
      </c>
      <c r="BJ87" s="299" t="n">
        <v>0.36</v>
      </c>
      <c r="BK87" s="299" t="n">
        <v>0.0025</v>
      </c>
      <c r="BL87" s="299" t="n">
        <v>-0.015</v>
      </c>
      <c r="BM87" s="299" t="n">
        <v>0.005</v>
      </c>
      <c r="BN87" s="299" t="n">
        <v>-0.01</v>
      </c>
      <c r="BO87" s="299" t="n">
        <v>0</v>
      </c>
      <c r="BP87" s="299" t="n">
        <v>0.005</v>
      </c>
      <c r="BQ87" s="299" t="n">
        <v>0.0025</v>
      </c>
      <c r="BR87" s="299" t="n">
        <v>0.01</v>
      </c>
      <c r="BS87" s="0" t="n">
        <v>0.005</v>
      </c>
      <c r="BT87" s="0" t="n">
        <v>0.036</v>
      </c>
      <c r="BU87" s="0" t="n">
        <v>0.036</v>
      </c>
      <c r="BV87" s="0" t="n">
        <v>0.03</v>
      </c>
    </row>
    <row r="88" customFormat="false" ht="12.75" hidden="false" customHeight="false" outlineLevel="0" collapsed="false">
      <c r="A88" s="301" t="e">
        <f aca="false">#REF!-B88</f>
        <v>#REF!</v>
      </c>
      <c r="B88" s="301" t="n">
        <v>3.142</v>
      </c>
      <c r="C88" s="308" t="n">
        <f aca="false">EOMONTH(C87,0)+1</f>
        <v>39753</v>
      </c>
      <c r="D88" s="0" t="n">
        <v>3.7695</v>
      </c>
      <c r="E88" s="301" t="n">
        <v>0.23</v>
      </c>
      <c r="F88" s="299" t="n">
        <v>0.0553148960776539</v>
      </c>
      <c r="G88" s="299" t="n">
        <v>-0.13</v>
      </c>
      <c r="H88" s="299" t="n">
        <v>-0.15</v>
      </c>
      <c r="I88" s="310" t="n">
        <v>-0.01</v>
      </c>
      <c r="J88" s="310" t="n">
        <v>-0.13</v>
      </c>
      <c r="K88" s="299" t="n">
        <v>0</v>
      </c>
      <c r="L88" s="299" t="n">
        <v>-0.0525</v>
      </c>
      <c r="M88" s="299" t="n">
        <v>-0.0875</v>
      </c>
      <c r="N88" s="299" t="n">
        <v>-0.12</v>
      </c>
      <c r="O88" s="299" t="n">
        <v>-0.12</v>
      </c>
      <c r="P88" s="299" t="n">
        <v>-0.13</v>
      </c>
      <c r="Q88" s="299" t="n">
        <v>-0.0825</v>
      </c>
      <c r="R88" s="299" t="n">
        <v>-0.0525</v>
      </c>
      <c r="S88" s="299" t="n">
        <v>0.155</v>
      </c>
      <c r="T88" s="299" t="n">
        <v>0.175</v>
      </c>
      <c r="U88" s="299" t="n">
        <v>0.13</v>
      </c>
      <c r="V88" s="299" t="n">
        <v>0.5</v>
      </c>
      <c r="W88" s="299" t="n">
        <v>0.195</v>
      </c>
      <c r="X88" s="299" t="n">
        <v>0.21</v>
      </c>
      <c r="Y88" s="299" t="n">
        <v>-0.019</v>
      </c>
      <c r="Z88" s="299" t="n">
        <v>-0.035</v>
      </c>
      <c r="AA88" s="299" t="n">
        <v>0.0065</v>
      </c>
      <c r="AB88" s="299" t="n">
        <v>-0.0135</v>
      </c>
      <c r="AC88" s="299" t="n">
        <v>0.0025</v>
      </c>
      <c r="AD88" s="299" t="n">
        <v>-0.0225</v>
      </c>
      <c r="AE88" s="299" t="n">
        <v>-0.075</v>
      </c>
      <c r="AF88" s="299" t="n">
        <v>-0.0635</v>
      </c>
      <c r="AG88" s="299" t="n">
        <v>-0.086</v>
      </c>
      <c r="AH88" s="299" t="n">
        <v>-0.014</v>
      </c>
      <c r="AI88" s="299" t="n">
        <v>-0.064</v>
      </c>
      <c r="AJ88" s="299" t="n">
        <v>-0.1125</v>
      </c>
      <c r="AK88" s="299" t="n">
        <v>-0.008999999</v>
      </c>
      <c r="AL88" s="299" t="n">
        <v>0.031</v>
      </c>
      <c r="AM88" s="299" t="n">
        <v>0.65</v>
      </c>
      <c r="AN88" s="299" t="n">
        <v>-0.0225</v>
      </c>
      <c r="AO88" s="299" t="n">
        <v>-0.34</v>
      </c>
      <c r="AP88" s="299" t="n">
        <v>-0.07</v>
      </c>
      <c r="AQ88" s="299" t="n">
        <v>-0.13</v>
      </c>
      <c r="AR88" s="299" t="n">
        <v>0.248</v>
      </c>
      <c r="AS88" s="299" t="n">
        <v>-0.26</v>
      </c>
      <c r="AT88" s="299" t="n">
        <v>0</v>
      </c>
      <c r="AU88" s="299" t="n">
        <v>0.24</v>
      </c>
      <c r="AV88" s="299" t="n">
        <v>-0.34</v>
      </c>
      <c r="AW88" s="299" t="n">
        <v>-0.147</v>
      </c>
      <c r="AX88" s="299" t="n">
        <v>-0.06</v>
      </c>
      <c r="AY88" s="299" t="n">
        <v>-0.087</v>
      </c>
      <c r="AZ88" s="299" t="n">
        <v>-0.0525</v>
      </c>
      <c r="BA88" s="299" t="n">
        <v>-0.077</v>
      </c>
      <c r="BB88" s="299" t="n">
        <v>-0.019</v>
      </c>
      <c r="BC88" s="299" t="n">
        <v>-0.0725</v>
      </c>
      <c r="BD88" s="299" t="n">
        <v>-0.0525</v>
      </c>
      <c r="BE88" s="299" t="n">
        <v>-0.075</v>
      </c>
      <c r="BF88" s="299" t="n">
        <v>0</v>
      </c>
      <c r="BG88" s="299" t="n">
        <v>0.17</v>
      </c>
      <c r="BH88" s="299" t="n">
        <v>0.175</v>
      </c>
      <c r="BI88" s="299" t="n">
        <v>0.155</v>
      </c>
      <c r="BJ88" s="299" t="n">
        <v>0.46</v>
      </c>
      <c r="BK88" s="299" t="n">
        <v>0.0025</v>
      </c>
      <c r="BL88" s="299" t="n">
        <v>-0.02</v>
      </c>
      <c r="BM88" s="299" t="n">
        <v>0.005</v>
      </c>
      <c r="BN88" s="299" t="n">
        <v>0</v>
      </c>
      <c r="BO88" s="299" t="n">
        <v>0</v>
      </c>
      <c r="BP88" s="299" t="n">
        <v>0.005</v>
      </c>
      <c r="BQ88" s="299" t="n">
        <v>0.005</v>
      </c>
      <c r="BR88" s="299" t="n">
        <v>0.055</v>
      </c>
      <c r="BS88" s="0" t="n">
        <v>0.02</v>
      </c>
      <c r="BT88" s="0" t="n">
        <v>0.038</v>
      </c>
      <c r="BU88" s="0" t="n">
        <v>0.038</v>
      </c>
      <c r="BV88" s="0" t="n">
        <v>0.03</v>
      </c>
    </row>
    <row r="89" customFormat="false" ht="12.75" hidden="false" customHeight="false" outlineLevel="0" collapsed="false">
      <c r="A89" s="301" t="e">
        <f aca="false">#REF!-B89</f>
        <v>#REF!</v>
      </c>
      <c r="B89" s="301" t="n">
        <v>3.126</v>
      </c>
      <c r="C89" s="308" t="n">
        <f aca="false">EOMONTH(C88,0)+1</f>
        <v>39783</v>
      </c>
      <c r="D89" s="0" t="n">
        <v>3.9125</v>
      </c>
      <c r="E89" s="301" t="n">
        <v>0.23</v>
      </c>
      <c r="F89" s="299" t="n">
        <v>0.0554905546353979</v>
      </c>
      <c r="G89" s="299" t="n">
        <v>-0.1325</v>
      </c>
      <c r="H89" s="299" t="n">
        <v>-0.1525</v>
      </c>
      <c r="I89" s="310" t="n">
        <v>-0.005</v>
      </c>
      <c r="J89" s="310" t="n">
        <v>-0.13</v>
      </c>
      <c r="K89" s="299" t="n">
        <v>0.005</v>
      </c>
      <c r="L89" s="299" t="n">
        <v>-0.0525</v>
      </c>
      <c r="M89" s="299" t="n">
        <v>-0.0875</v>
      </c>
      <c r="N89" s="299" t="n">
        <v>-0.1225</v>
      </c>
      <c r="O89" s="299" t="n">
        <v>-0.1225</v>
      </c>
      <c r="P89" s="299" t="n">
        <v>-0.1325</v>
      </c>
      <c r="Q89" s="299" t="n">
        <v>-0.09375</v>
      </c>
      <c r="R89" s="299" t="n">
        <v>-0.0525</v>
      </c>
      <c r="S89" s="299" t="n">
        <v>0.155</v>
      </c>
      <c r="T89" s="299" t="n">
        <v>0.175</v>
      </c>
      <c r="U89" s="299" t="n">
        <v>0.13</v>
      </c>
      <c r="V89" s="299" t="n">
        <v>0.5</v>
      </c>
      <c r="W89" s="299" t="n">
        <v>0.215</v>
      </c>
      <c r="X89" s="299" t="n">
        <v>0.29</v>
      </c>
      <c r="Y89" s="299" t="n">
        <v>-0.019</v>
      </c>
      <c r="Z89" s="299" t="n">
        <v>-0.035</v>
      </c>
      <c r="AA89" s="299" t="n">
        <v>0.0065</v>
      </c>
      <c r="AB89" s="299" t="n">
        <v>-0.0135</v>
      </c>
      <c r="AC89" s="299" t="n">
        <v>0.0025</v>
      </c>
      <c r="AD89" s="299" t="n">
        <v>-0.0225</v>
      </c>
      <c r="AE89" s="299" t="n">
        <v>-0.075</v>
      </c>
      <c r="AF89" s="299" t="n">
        <v>-0.0615</v>
      </c>
      <c r="AG89" s="299" t="n">
        <v>-0.084</v>
      </c>
      <c r="AH89" s="299" t="n">
        <v>-0.0115</v>
      </c>
      <c r="AI89" s="299" t="n">
        <v>-0.064</v>
      </c>
      <c r="AJ89" s="299" t="n">
        <v>-0.135</v>
      </c>
      <c r="AK89" s="299" t="n">
        <v>-0.008999999</v>
      </c>
      <c r="AL89" s="299" t="n">
        <v>0.031</v>
      </c>
      <c r="AM89" s="299" t="n">
        <v>0.98</v>
      </c>
      <c r="AN89" s="299" t="n">
        <v>-0.045</v>
      </c>
      <c r="AO89" s="299" t="n">
        <v>-0.34</v>
      </c>
      <c r="AP89" s="299" t="n">
        <v>-0.07</v>
      </c>
      <c r="AQ89" s="299" t="n">
        <v>-0.13</v>
      </c>
      <c r="AR89" s="299" t="n">
        <v>0.308</v>
      </c>
      <c r="AS89" s="299" t="n">
        <v>-0.26</v>
      </c>
      <c r="AT89" s="299" t="n">
        <v>0</v>
      </c>
      <c r="AU89" s="299" t="n">
        <v>0.24</v>
      </c>
      <c r="AV89" s="299" t="n">
        <v>-0.34</v>
      </c>
      <c r="AW89" s="299" t="n">
        <v>-0.1745</v>
      </c>
      <c r="AX89" s="299" t="n">
        <v>-0.06</v>
      </c>
      <c r="AY89" s="299" t="n">
        <v>-0.1145</v>
      </c>
      <c r="AZ89" s="299" t="n">
        <v>-0.0525</v>
      </c>
      <c r="BA89" s="299" t="n">
        <v>-0.1045</v>
      </c>
      <c r="BB89" s="299" t="n">
        <v>-0.0165</v>
      </c>
      <c r="BC89" s="299" t="n">
        <v>-0.0725</v>
      </c>
      <c r="BD89" s="299" t="n">
        <v>-0.075</v>
      </c>
      <c r="BE89" s="299" t="n">
        <v>-0.075</v>
      </c>
      <c r="BF89" s="299" t="n">
        <v>0</v>
      </c>
      <c r="BG89" s="299" t="n">
        <v>0.17</v>
      </c>
      <c r="BH89" s="299" t="n">
        <v>0.175</v>
      </c>
      <c r="BI89" s="299" t="n">
        <v>0.155</v>
      </c>
      <c r="BJ89" s="299" t="n">
        <v>0.77</v>
      </c>
      <c r="BK89" s="299" t="n">
        <v>0.0025</v>
      </c>
      <c r="BL89" s="299" t="n">
        <v>-0.025</v>
      </c>
      <c r="BM89" s="299" t="n">
        <v>0.005</v>
      </c>
      <c r="BN89" s="299" t="n">
        <v>0</v>
      </c>
      <c r="BO89" s="299" t="n">
        <v>0</v>
      </c>
      <c r="BP89" s="299" t="n">
        <v>0.005</v>
      </c>
      <c r="BQ89" s="299" t="n">
        <v>0.005</v>
      </c>
      <c r="BR89" s="299" t="n">
        <v>0.25</v>
      </c>
      <c r="BS89" s="0" t="n">
        <v>0.02</v>
      </c>
      <c r="BT89" s="0" t="n">
        <v>0.038</v>
      </c>
      <c r="BU89" s="0" t="n">
        <v>0.038</v>
      </c>
      <c r="BV89" s="0" t="n">
        <v>0.03</v>
      </c>
    </row>
    <row r="90" customFormat="false" ht="12.75" hidden="false" customHeight="false" outlineLevel="0" collapsed="false">
      <c r="A90" s="301" t="e">
        <f aca="false">#REF!-B90</f>
        <v>#REF!</v>
      </c>
      <c r="B90" s="301" t="n">
        <v>3.191</v>
      </c>
      <c r="C90" s="308" t="n">
        <f aca="false">EOMONTH(C89,0)+1</f>
        <v>39814</v>
      </c>
      <c r="D90" s="0" t="n">
        <v>3.965</v>
      </c>
      <c r="E90" s="301" t="n">
        <v>0.23</v>
      </c>
      <c r="F90" s="299" t="n">
        <v>0.0556292858091121</v>
      </c>
      <c r="G90" s="299" t="n">
        <v>-0.135</v>
      </c>
      <c r="H90" s="299" t="n">
        <v>-0.155</v>
      </c>
      <c r="I90" s="310" t="n">
        <v>0.015</v>
      </c>
      <c r="J90" s="310" t="n">
        <v>-0.13</v>
      </c>
      <c r="K90" s="299" t="n">
        <v>0.025</v>
      </c>
      <c r="L90" s="299" t="n">
        <v>-0.0525</v>
      </c>
      <c r="M90" s="299" t="n">
        <v>-0.0875</v>
      </c>
      <c r="N90" s="299" t="n">
        <v>-0.125</v>
      </c>
      <c r="O90" s="299" t="n">
        <v>-0.125</v>
      </c>
      <c r="P90" s="299" t="n">
        <v>-0.135</v>
      </c>
      <c r="Q90" s="299" t="n">
        <v>-0.095</v>
      </c>
      <c r="R90" s="299" t="n">
        <v>-0.0525</v>
      </c>
      <c r="S90" s="299" t="n">
        <v>0.155</v>
      </c>
      <c r="T90" s="299" t="n">
        <v>0.175</v>
      </c>
      <c r="U90" s="299" t="n">
        <v>0.13</v>
      </c>
      <c r="V90" s="299" t="n">
        <v>0.5</v>
      </c>
      <c r="W90" s="299" t="n">
        <v>0.235</v>
      </c>
      <c r="X90" s="299" t="n">
        <v>0.34</v>
      </c>
      <c r="Y90" s="299" t="n">
        <v>-0.017</v>
      </c>
      <c r="Z90" s="299" t="n">
        <v>-0.035</v>
      </c>
      <c r="AA90" s="299" t="n">
        <v>0.0065</v>
      </c>
      <c r="AB90" s="299" t="n">
        <v>-0.0135</v>
      </c>
      <c r="AC90" s="299" t="n">
        <v>0.0025</v>
      </c>
      <c r="AD90" s="299" t="n">
        <v>-0.0225</v>
      </c>
      <c r="AE90" s="299" t="n">
        <v>-0.075</v>
      </c>
      <c r="AF90" s="299" t="n">
        <v>-0.0615</v>
      </c>
      <c r="AG90" s="299" t="n">
        <v>-0.084</v>
      </c>
      <c r="AH90" s="299" t="n">
        <v>-0.0115</v>
      </c>
      <c r="AI90" s="299" t="n">
        <v>-0.064</v>
      </c>
      <c r="AJ90" s="299" t="n">
        <v>-0.1375</v>
      </c>
      <c r="AK90" s="299" t="n">
        <v>-0.008999999</v>
      </c>
      <c r="AL90" s="299" t="n">
        <v>0.031</v>
      </c>
      <c r="AM90" s="299" t="n">
        <v>1.6</v>
      </c>
      <c r="AN90" s="299" t="n">
        <v>-0.0475</v>
      </c>
      <c r="AO90" s="299" t="n">
        <v>-0.34</v>
      </c>
      <c r="AP90" s="299" t="n">
        <v>-0.07</v>
      </c>
      <c r="AQ90" s="299" t="n">
        <v>-0.13</v>
      </c>
      <c r="AR90" s="299" t="n">
        <v>0.378</v>
      </c>
      <c r="AS90" s="299" t="n">
        <v>-0.26</v>
      </c>
      <c r="AT90" s="299" t="n">
        <v>0</v>
      </c>
      <c r="AU90" s="299" t="n">
        <v>0.24</v>
      </c>
      <c r="AV90" s="299" t="n">
        <v>-0.34</v>
      </c>
      <c r="AW90" s="299" t="n">
        <v>-0.1895</v>
      </c>
      <c r="AX90" s="299" t="n">
        <v>-0.06</v>
      </c>
      <c r="AY90" s="299" t="n">
        <v>-0.1295</v>
      </c>
      <c r="AZ90" s="299" t="n">
        <v>-0.0525</v>
      </c>
      <c r="BA90" s="299" t="n">
        <v>-0.105</v>
      </c>
      <c r="BB90" s="299" t="n">
        <v>-0.0165</v>
      </c>
      <c r="BC90" s="299" t="n">
        <v>-0.0725</v>
      </c>
      <c r="BD90" s="299" t="n">
        <v>-0.0775</v>
      </c>
      <c r="BE90" s="299" t="n">
        <v>-0.075</v>
      </c>
      <c r="BF90" s="299" t="n">
        <v>0</v>
      </c>
      <c r="BG90" s="299" t="n">
        <v>0.17</v>
      </c>
      <c r="BH90" s="299" t="n">
        <v>0.175</v>
      </c>
      <c r="BI90" s="299" t="n">
        <v>0.155</v>
      </c>
      <c r="BJ90" s="299" t="n">
        <v>1.04</v>
      </c>
      <c r="BK90" s="299" t="n">
        <v>0.0025</v>
      </c>
      <c r="BL90" s="299" t="n">
        <v>-0.025</v>
      </c>
      <c r="BM90" s="299" t="n">
        <v>0.005</v>
      </c>
      <c r="BN90" s="299" t="n">
        <v>0</v>
      </c>
      <c r="BO90" s="299" t="n">
        <v>0</v>
      </c>
      <c r="BP90" s="299" t="n">
        <v>0.005</v>
      </c>
      <c r="BQ90" s="299" t="n">
        <v>0.005</v>
      </c>
      <c r="BR90" s="299" t="n">
        <v>0.45</v>
      </c>
      <c r="BS90" s="0" t="n">
        <v>0.02</v>
      </c>
      <c r="BT90" s="0" t="n">
        <v>0.038</v>
      </c>
      <c r="BU90" s="0" t="n">
        <v>0.038</v>
      </c>
      <c r="BV90" s="0" t="n">
        <v>0.03</v>
      </c>
    </row>
    <row r="91" customFormat="false" ht="12.75" hidden="false" customHeight="false" outlineLevel="0" collapsed="false">
      <c r="A91" s="301" t="e">
        <f aca="false">#REF!-B91</f>
        <v>#REF!</v>
      </c>
      <c r="B91" s="301" t="n">
        <v>3.186</v>
      </c>
      <c r="C91" s="308" t="n">
        <f aca="false">EOMONTH(C90,0)+1</f>
        <v>39845</v>
      </c>
      <c r="D91" s="0" t="n">
        <v>3.88</v>
      </c>
      <c r="E91" s="301" t="n">
        <v>0.2275</v>
      </c>
      <c r="F91" s="299" t="n">
        <v>0.055732784192704</v>
      </c>
      <c r="G91" s="299" t="n">
        <v>-0.1275</v>
      </c>
      <c r="H91" s="299" t="n">
        <v>-0.1475</v>
      </c>
      <c r="I91" s="310" t="n">
        <v>0.01</v>
      </c>
      <c r="J91" s="310" t="n">
        <v>-0.13</v>
      </c>
      <c r="K91" s="299" t="n">
        <v>0.02</v>
      </c>
      <c r="L91" s="299" t="n">
        <v>-0.0525</v>
      </c>
      <c r="M91" s="299" t="n">
        <v>-0.0875</v>
      </c>
      <c r="N91" s="299" t="n">
        <v>-0.1175</v>
      </c>
      <c r="O91" s="299" t="n">
        <v>-0.1175</v>
      </c>
      <c r="P91" s="299" t="n">
        <v>-0.1275</v>
      </c>
      <c r="Q91" s="299" t="n">
        <v>-0.08625</v>
      </c>
      <c r="R91" s="299" t="n">
        <v>-0.0525</v>
      </c>
      <c r="S91" s="299" t="n">
        <v>0.155</v>
      </c>
      <c r="T91" s="299" t="n">
        <v>0.175</v>
      </c>
      <c r="U91" s="299" t="n">
        <v>0.13</v>
      </c>
      <c r="V91" s="299" t="n">
        <v>0.5</v>
      </c>
      <c r="W91" s="299" t="n">
        <v>0.235</v>
      </c>
      <c r="X91" s="299" t="n">
        <v>0.34</v>
      </c>
      <c r="Y91" s="299" t="n">
        <v>-0.017</v>
      </c>
      <c r="Z91" s="299" t="n">
        <v>-0.035</v>
      </c>
      <c r="AA91" s="299" t="n">
        <v>0.0065</v>
      </c>
      <c r="AB91" s="299" t="n">
        <v>-0.0135</v>
      </c>
      <c r="AC91" s="299" t="n">
        <v>0.0025</v>
      </c>
      <c r="AD91" s="299" t="n">
        <v>-0.0225</v>
      </c>
      <c r="AE91" s="299" t="n">
        <v>-0.075</v>
      </c>
      <c r="AF91" s="299" t="n">
        <v>-0.0615</v>
      </c>
      <c r="AG91" s="299" t="n">
        <v>-0.084</v>
      </c>
      <c r="AH91" s="299" t="n">
        <v>-0.0115</v>
      </c>
      <c r="AI91" s="299" t="n">
        <v>-0.064</v>
      </c>
      <c r="AJ91" s="299" t="n">
        <v>-0.12</v>
      </c>
      <c r="AK91" s="299" t="n">
        <v>-0.008999999</v>
      </c>
      <c r="AL91" s="299" t="n">
        <v>0.031</v>
      </c>
      <c r="AM91" s="299" t="n">
        <v>1.6</v>
      </c>
      <c r="AN91" s="299" t="n">
        <v>-0.03</v>
      </c>
      <c r="AO91" s="299" t="n">
        <v>-0.34</v>
      </c>
      <c r="AP91" s="299" t="n">
        <v>-0.07</v>
      </c>
      <c r="AQ91" s="299" t="n">
        <v>-0.13</v>
      </c>
      <c r="AR91" s="299" t="n">
        <v>0.248</v>
      </c>
      <c r="AS91" s="299" t="n">
        <v>-0.26</v>
      </c>
      <c r="AT91" s="299" t="n">
        <v>0</v>
      </c>
      <c r="AU91" s="299" t="n">
        <v>0.24</v>
      </c>
      <c r="AV91" s="299" t="n">
        <v>-0.34</v>
      </c>
      <c r="AW91" s="299" t="n">
        <v>-0.1795</v>
      </c>
      <c r="AX91" s="299" t="n">
        <v>-0.06</v>
      </c>
      <c r="AY91" s="299" t="n">
        <v>-0.1195</v>
      </c>
      <c r="AZ91" s="299" t="n">
        <v>-0.0525</v>
      </c>
      <c r="BA91" s="299" t="n">
        <v>-0.105</v>
      </c>
      <c r="BB91" s="299" t="n">
        <v>-0.0165</v>
      </c>
      <c r="BC91" s="299" t="n">
        <v>-0.0725</v>
      </c>
      <c r="BD91" s="299" t="n">
        <v>-0.06</v>
      </c>
      <c r="BE91" s="299" t="n">
        <v>-0.075</v>
      </c>
      <c r="BF91" s="299" t="n">
        <v>0</v>
      </c>
      <c r="BG91" s="299" t="n">
        <v>0.17</v>
      </c>
      <c r="BH91" s="299" t="n">
        <v>0.175</v>
      </c>
      <c r="BI91" s="299" t="n">
        <v>0.155</v>
      </c>
      <c r="BJ91" s="299" t="n">
        <v>1.04</v>
      </c>
      <c r="BK91" s="299" t="n">
        <v>0.0025</v>
      </c>
      <c r="BL91" s="299" t="n">
        <v>-0.025</v>
      </c>
      <c r="BM91" s="299" t="n">
        <v>0.005</v>
      </c>
      <c r="BN91" s="299" t="n">
        <v>0</v>
      </c>
      <c r="BO91" s="299" t="n">
        <v>0</v>
      </c>
      <c r="BP91" s="299" t="n">
        <v>0.005</v>
      </c>
      <c r="BQ91" s="299" t="n">
        <v>0.005</v>
      </c>
      <c r="BR91" s="299" t="n">
        <v>0.45</v>
      </c>
      <c r="BS91" s="0" t="n">
        <v>0.02</v>
      </c>
      <c r="BT91" s="0" t="n">
        <v>0.038</v>
      </c>
      <c r="BU91" s="0" t="n">
        <v>0.038</v>
      </c>
      <c r="BV91" s="0" t="n">
        <v>0.03</v>
      </c>
    </row>
    <row r="92" customFormat="false" ht="12.75" hidden="false" customHeight="false" outlineLevel="0" collapsed="false">
      <c r="A92" s="301" t="e">
        <f aca="false">#REF!-B92</f>
        <v>#REF!</v>
      </c>
      <c r="B92" s="301" t="n">
        <v>3.172</v>
      </c>
      <c r="C92" s="308" t="n">
        <f aca="false">EOMONTH(C91,0)+1</f>
        <v>39873</v>
      </c>
      <c r="D92" s="0" t="n">
        <v>3.75</v>
      </c>
      <c r="E92" s="301" t="n">
        <v>0.22</v>
      </c>
      <c r="F92" s="299" t="n">
        <v>0.0558262666067555</v>
      </c>
      <c r="G92" s="299" t="n">
        <v>-0.125</v>
      </c>
      <c r="H92" s="299" t="n">
        <v>-0.145</v>
      </c>
      <c r="I92" s="310" t="n">
        <v>-0.01</v>
      </c>
      <c r="J92" s="310" t="n">
        <v>-0.13</v>
      </c>
      <c r="K92" s="299" t="n">
        <v>0</v>
      </c>
      <c r="L92" s="299" t="n">
        <v>-0.0525</v>
      </c>
      <c r="M92" s="299" t="n">
        <v>-0.0875</v>
      </c>
      <c r="N92" s="299" t="n">
        <v>-0.115</v>
      </c>
      <c r="O92" s="299" t="n">
        <v>-0.115</v>
      </c>
      <c r="P92" s="299" t="n">
        <v>-0.125</v>
      </c>
      <c r="Q92" s="299" t="n">
        <v>-0.08</v>
      </c>
      <c r="R92" s="299" t="n">
        <v>-0.0525</v>
      </c>
      <c r="S92" s="299" t="n">
        <v>0.155</v>
      </c>
      <c r="T92" s="299" t="n">
        <v>0.175</v>
      </c>
      <c r="U92" s="299" t="n">
        <v>0.13</v>
      </c>
      <c r="V92" s="299" t="n">
        <v>0.5</v>
      </c>
      <c r="W92" s="299" t="n">
        <v>0.195</v>
      </c>
      <c r="X92" s="299" t="n">
        <v>0.29</v>
      </c>
      <c r="Y92" s="299" t="n">
        <v>-0.017</v>
      </c>
      <c r="Z92" s="299" t="n">
        <v>-0.035</v>
      </c>
      <c r="AA92" s="299" t="n">
        <v>0.014</v>
      </c>
      <c r="AB92" s="299" t="n">
        <v>-0.006</v>
      </c>
      <c r="AC92" s="299" t="n">
        <v>0.0025</v>
      </c>
      <c r="AD92" s="299" t="n">
        <v>-0.0225</v>
      </c>
      <c r="AE92" s="299" t="n">
        <v>-0.075</v>
      </c>
      <c r="AF92" s="299" t="n">
        <v>-0.0615</v>
      </c>
      <c r="AG92" s="299" t="n">
        <v>-0.084</v>
      </c>
      <c r="AH92" s="299" t="n">
        <v>-0.0115</v>
      </c>
      <c r="AI92" s="299" t="n">
        <v>-0.064</v>
      </c>
      <c r="AJ92" s="299" t="n">
        <v>-0.1075</v>
      </c>
      <c r="AK92" s="299" t="n">
        <v>-0.008999999</v>
      </c>
      <c r="AL92" s="299" t="n">
        <v>0.031</v>
      </c>
      <c r="AM92" s="299" t="n">
        <v>0.64</v>
      </c>
      <c r="AN92" s="299" t="n">
        <v>-0.0175</v>
      </c>
      <c r="AO92" s="299" t="n">
        <v>-0.34</v>
      </c>
      <c r="AP92" s="299" t="n">
        <v>-0.07</v>
      </c>
      <c r="AQ92" s="299" t="n">
        <v>-0.13</v>
      </c>
      <c r="AR92" s="299" t="n">
        <v>0.068</v>
      </c>
      <c r="AS92" s="299" t="n">
        <v>-0.26</v>
      </c>
      <c r="AT92" s="299" t="n">
        <v>0</v>
      </c>
      <c r="AU92" s="299" t="n">
        <v>0.24</v>
      </c>
      <c r="AV92" s="299" t="n">
        <v>-0.34</v>
      </c>
      <c r="AW92" s="299" t="n">
        <v>-0.1695</v>
      </c>
      <c r="AX92" s="299" t="n">
        <v>-0.06</v>
      </c>
      <c r="AY92" s="299" t="n">
        <v>-0.1095</v>
      </c>
      <c r="AZ92" s="299" t="n">
        <v>-0.0525</v>
      </c>
      <c r="BA92" s="299" t="n">
        <v>-0.105</v>
      </c>
      <c r="BB92" s="299" t="n">
        <v>-0.0165</v>
      </c>
      <c r="BC92" s="299" t="n">
        <v>-0.0725</v>
      </c>
      <c r="BD92" s="299" t="n">
        <v>-0.0475</v>
      </c>
      <c r="BE92" s="299" t="n">
        <v>-0.075</v>
      </c>
      <c r="BF92" s="299" t="n">
        <v>0</v>
      </c>
      <c r="BG92" s="299" t="n">
        <v>0.17</v>
      </c>
      <c r="BH92" s="299" t="n">
        <v>0.175</v>
      </c>
      <c r="BI92" s="299" t="n">
        <v>0.155</v>
      </c>
      <c r="BJ92" s="299" t="n">
        <v>0.54</v>
      </c>
      <c r="BK92" s="299" t="n">
        <v>0.0025</v>
      </c>
      <c r="BL92" s="299" t="n">
        <v>-0.02</v>
      </c>
      <c r="BM92" s="299" t="n">
        <v>0.005</v>
      </c>
      <c r="BN92" s="299" t="n">
        <v>0</v>
      </c>
      <c r="BO92" s="299" t="n">
        <v>0</v>
      </c>
      <c r="BP92" s="299" t="n">
        <v>0.005</v>
      </c>
      <c r="BQ92" s="299" t="n">
        <v>0.005</v>
      </c>
      <c r="BR92" s="299" t="n">
        <v>0.1</v>
      </c>
      <c r="BS92" s="0" t="n">
        <v>0.02</v>
      </c>
      <c r="BT92" s="0" t="n">
        <v>0.038</v>
      </c>
      <c r="BU92" s="0" t="n">
        <v>0.038</v>
      </c>
      <c r="BV92" s="0" t="n">
        <v>0.03</v>
      </c>
    </row>
    <row r="93" customFormat="false" ht="12.75" hidden="false" customHeight="false" outlineLevel="0" collapsed="false">
      <c r="A93" s="301" t="e">
        <f aca="false">#REF!-B93</f>
        <v>#REF!</v>
      </c>
      <c r="B93" s="301" t="n">
        <v>3.186</v>
      </c>
      <c r="C93" s="308" t="n">
        <f aca="false">EOMONTH(C92,0)+1</f>
        <v>39904</v>
      </c>
      <c r="D93" s="0" t="n">
        <v>3.565</v>
      </c>
      <c r="E93" s="301" t="n">
        <v>0.2025</v>
      </c>
      <c r="F93" s="299" t="n">
        <v>0.0559297649971344</v>
      </c>
      <c r="G93" s="299" t="n">
        <v>-0.13</v>
      </c>
      <c r="H93" s="299" t="n">
        <v>-0.15</v>
      </c>
      <c r="I93" s="310" t="n">
        <v>-0.09</v>
      </c>
      <c r="J93" s="310" t="n">
        <v>-0.13</v>
      </c>
      <c r="K93" s="299" t="n">
        <v>-0.09</v>
      </c>
      <c r="L93" s="299" t="n">
        <v>-0.05</v>
      </c>
      <c r="M93" s="299" t="n">
        <v>-0.07</v>
      </c>
      <c r="N93" s="299" t="n">
        <v>-0.12</v>
      </c>
      <c r="O93" s="299" t="n">
        <v>-0.12</v>
      </c>
      <c r="P93" s="299" t="n">
        <v>-0.13</v>
      </c>
      <c r="Q93" s="299" t="n">
        <v>-0.06</v>
      </c>
      <c r="R93" s="299" t="n">
        <v>-0.05</v>
      </c>
      <c r="S93" s="299" t="n">
        <v>0.125</v>
      </c>
      <c r="T93" s="299" t="n">
        <v>0.145</v>
      </c>
      <c r="U93" s="299" t="n">
        <v>0.04</v>
      </c>
      <c r="V93" s="299" t="n">
        <v>0.5</v>
      </c>
      <c r="W93" s="299" t="n">
        <v>0.145</v>
      </c>
      <c r="X93" s="299" t="n">
        <v>0.195</v>
      </c>
      <c r="Y93" s="299" t="n">
        <v>-0.0195</v>
      </c>
      <c r="Z93" s="299" t="n">
        <v>-0.05</v>
      </c>
      <c r="AA93" s="299" t="n">
        <v>0.014</v>
      </c>
      <c r="AB93" s="299" t="n">
        <v>-0.006</v>
      </c>
      <c r="AC93" s="299" t="n">
        <v>0.0025</v>
      </c>
      <c r="AD93" s="299" t="n">
        <v>-0.0225</v>
      </c>
      <c r="AE93" s="299" t="n">
        <v>-0.0725</v>
      </c>
      <c r="AF93" s="299" t="n">
        <v>-0.059</v>
      </c>
      <c r="AG93" s="299" t="n">
        <v>-0.0815</v>
      </c>
      <c r="AH93" s="299" t="n">
        <v>-0.0165</v>
      </c>
      <c r="AI93" s="299" t="n">
        <v>-0.072</v>
      </c>
      <c r="AJ93" s="299" t="n">
        <v>-0.07</v>
      </c>
      <c r="AK93" s="299" t="n">
        <v>-0.017</v>
      </c>
      <c r="AL93" s="299" t="n">
        <v>0.023</v>
      </c>
      <c r="AM93" s="299" t="n">
        <v>0.38</v>
      </c>
      <c r="AN93" s="299" t="n">
        <v>0.02</v>
      </c>
      <c r="AO93" s="299" t="n">
        <v>-0.47</v>
      </c>
      <c r="AP93" s="299" t="n">
        <v>-0.07</v>
      </c>
      <c r="AQ93" s="299" t="n">
        <v>-0.195</v>
      </c>
      <c r="AR93" s="299" t="n">
        <v>-0.25</v>
      </c>
      <c r="AS93" s="299" t="n">
        <v>-0.39</v>
      </c>
      <c r="AT93" s="299" t="n">
        <v>0</v>
      </c>
      <c r="AU93" s="299" t="n">
        <v>0.26</v>
      </c>
      <c r="AV93" s="299" t="n">
        <v>-0.47</v>
      </c>
      <c r="AW93" s="299" t="n">
        <v>-0.21</v>
      </c>
      <c r="AX93" s="299" t="n">
        <v>-0.06</v>
      </c>
      <c r="AY93" s="299" t="n">
        <v>-0.15</v>
      </c>
      <c r="AZ93" s="299" t="n">
        <v>-0.05</v>
      </c>
      <c r="BA93" s="299" t="n">
        <v>-0.1275</v>
      </c>
      <c r="BB93" s="299" t="n">
        <v>-0.0165</v>
      </c>
      <c r="BC93" s="299" t="n">
        <v>-0.055</v>
      </c>
      <c r="BD93" s="299" t="n">
        <v>-0.01</v>
      </c>
      <c r="BE93" s="299" t="n">
        <v>-0.0725</v>
      </c>
      <c r="BF93" s="299" t="n">
        <v>0</v>
      </c>
      <c r="BG93" s="299" t="n">
        <v>0.14</v>
      </c>
      <c r="BH93" s="299" t="n">
        <v>0.145</v>
      </c>
      <c r="BI93" s="299" t="n">
        <v>0.125</v>
      </c>
      <c r="BJ93" s="299" t="n">
        <v>0.36</v>
      </c>
      <c r="BK93" s="299" t="n">
        <v>0.0025</v>
      </c>
      <c r="BL93" s="299" t="n">
        <v>-0.015</v>
      </c>
      <c r="BM93" s="299" t="n">
        <v>0.005</v>
      </c>
      <c r="BN93" s="299" t="n">
        <v>-0.01</v>
      </c>
      <c r="BO93" s="299" t="n">
        <v>0</v>
      </c>
      <c r="BP93" s="299" t="n">
        <v>0.005</v>
      </c>
      <c r="BQ93" s="299" t="n">
        <v>0.0025</v>
      </c>
      <c r="BR93" s="299" t="n">
        <v>0.02</v>
      </c>
      <c r="BS93" s="0" t="n">
        <v>0.005</v>
      </c>
      <c r="BT93" s="0" t="n">
        <v>0.038</v>
      </c>
      <c r="BU93" s="0" t="n">
        <v>0.038</v>
      </c>
      <c r="BV93" s="0" t="n">
        <v>0.03</v>
      </c>
    </row>
    <row r="94" customFormat="false" ht="12.75" hidden="false" customHeight="false" outlineLevel="0" collapsed="false">
      <c r="A94" s="301" t="e">
        <f aca="false">#REF!-B94</f>
        <v>#REF!</v>
      </c>
      <c r="B94" s="301" t="n">
        <v>3.278</v>
      </c>
      <c r="C94" s="308" t="n">
        <f aca="false">EOMONTH(C93,0)+1</f>
        <v>39934</v>
      </c>
      <c r="D94" s="0" t="n">
        <v>3.56</v>
      </c>
      <c r="E94" s="301" t="n">
        <v>0.2025</v>
      </c>
      <c r="F94" s="299" t="n">
        <v>0.0560299247331555</v>
      </c>
      <c r="G94" s="299" t="n">
        <v>-0.13</v>
      </c>
      <c r="H94" s="299" t="n">
        <v>-0.15</v>
      </c>
      <c r="I94" s="310" t="n">
        <v>-0.09</v>
      </c>
      <c r="J94" s="310" t="n">
        <v>-0.13</v>
      </c>
      <c r="K94" s="299" t="n">
        <v>-0.09</v>
      </c>
      <c r="L94" s="299" t="n">
        <v>-0.05</v>
      </c>
      <c r="M94" s="299" t="n">
        <v>-0.07</v>
      </c>
      <c r="N94" s="299" t="n">
        <v>-0.12</v>
      </c>
      <c r="O94" s="299" t="n">
        <v>-0.12</v>
      </c>
      <c r="P94" s="299" t="n">
        <v>-0.13</v>
      </c>
      <c r="Q94" s="299" t="n">
        <v>-0.06</v>
      </c>
      <c r="R94" s="299" t="n">
        <v>-0.05</v>
      </c>
      <c r="S94" s="299" t="n">
        <v>0.125</v>
      </c>
      <c r="T94" s="299" t="n">
        <v>0.145</v>
      </c>
      <c r="U94" s="299" t="n">
        <v>0.04</v>
      </c>
      <c r="V94" s="299" t="n">
        <v>0.5</v>
      </c>
      <c r="W94" s="299" t="n">
        <v>0.125</v>
      </c>
      <c r="X94" s="299" t="n">
        <v>0.135</v>
      </c>
      <c r="Y94" s="299" t="n">
        <v>-0.0195</v>
      </c>
      <c r="Z94" s="299" t="n">
        <v>-0.05</v>
      </c>
      <c r="AA94" s="299" t="n">
        <v>0.0165</v>
      </c>
      <c r="AB94" s="299" t="n">
        <v>-0.0035</v>
      </c>
      <c r="AC94" s="299" t="n">
        <v>0.0025</v>
      </c>
      <c r="AD94" s="299" t="n">
        <v>-0.0225</v>
      </c>
      <c r="AE94" s="299" t="n">
        <v>-0.0725</v>
      </c>
      <c r="AF94" s="299" t="n">
        <v>-0.059</v>
      </c>
      <c r="AG94" s="299" t="n">
        <v>-0.0815</v>
      </c>
      <c r="AH94" s="299" t="n">
        <v>-0.0165</v>
      </c>
      <c r="AI94" s="299" t="n">
        <v>-0.072</v>
      </c>
      <c r="AJ94" s="299" t="n">
        <v>-0.07</v>
      </c>
      <c r="AK94" s="299" t="n">
        <v>-0.017</v>
      </c>
      <c r="AL94" s="299" t="n">
        <v>0.023</v>
      </c>
      <c r="AM94" s="299" t="n">
        <v>0.33</v>
      </c>
      <c r="AN94" s="299" t="n">
        <v>0.02</v>
      </c>
      <c r="AO94" s="299" t="n">
        <v>-0.47</v>
      </c>
      <c r="AP94" s="299" t="n">
        <v>-0.07</v>
      </c>
      <c r="AQ94" s="299" t="n">
        <v>-0.195</v>
      </c>
      <c r="AR94" s="299" t="n">
        <v>-0.25</v>
      </c>
      <c r="AS94" s="299" t="n">
        <v>-0.39</v>
      </c>
      <c r="AT94" s="299" t="n">
        <v>0</v>
      </c>
      <c r="AU94" s="299" t="n">
        <v>0.26</v>
      </c>
      <c r="AV94" s="299" t="n">
        <v>-0.47</v>
      </c>
      <c r="AW94" s="299" t="n">
        <v>-0.1875</v>
      </c>
      <c r="AX94" s="299" t="n">
        <v>-0.06</v>
      </c>
      <c r="AY94" s="299" t="n">
        <v>-0.1275</v>
      </c>
      <c r="AZ94" s="299" t="n">
        <v>-0.05</v>
      </c>
      <c r="BA94" s="299" t="n">
        <v>-0.12</v>
      </c>
      <c r="BB94" s="299" t="n">
        <v>-0.0165</v>
      </c>
      <c r="BC94" s="299" t="n">
        <v>-0.055</v>
      </c>
      <c r="BD94" s="299" t="n">
        <v>-0.01</v>
      </c>
      <c r="BE94" s="299" t="n">
        <v>-0.0725</v>
      </c>
      <c r="BF94" s="299" t="n">
        <v>0</v>
      </c>
      <c r="BG94" s="299" t="n">
        <v>0.14</v>
      </c>
      <c r="BH94" s="299" t="n">
        <v>0.145</v>
      </c>
      <c r="BI94" s="299" t="n">
        <v>0.125</v>
      </c>
      <c r="BJ94" s="299" t="n">
        <v>0.325</v>
      </c>
      <c r="BK94" s="299" t="n">
        <v>0.0025</v>
      </c>
      <c r="BL94" s="299" t="n">
        <v>-0.015</v>
      </c>
      <c r="BM94" s="299" t="n">
        <v>0.005</v>
      </c>
      <c r="BN94" s="299" t="n">
        <v>-0.01</v>
      </c>
      <c r="BO94" s="299" t="n">
        <v>0</v>
      </c>
      <c r="BP94" s="299" t="n">
        <v>0.005</v>
      </c>
      <c r="BQ94" s="299" t="n">
        <v>0.0025</v>
      </c>
      <c r="BR94" s="299" t="n">
        <v>0.02</v>
      </c>
      <c r="BS94" s="0" t="n">
        <v>0.005</v>
      </c>
      <c r="BT94" s="0" t="n">
        <v>0.038</v>
      </c>
      <c r="BU94" s="0" t="n">
        <v>0.038</v>
      </c>
      <c r="BV94" s="0" t="n">
        <v>0.03</v>
      </c>
    </row>
    <row r="95" customFormat="false" ht="12.75" hidden="false" customHeight="false" outlineLevel="0" collapsed="false">
      <c r="A95" s="301" t="e">
        <f aca="false">#REF!-B95</f>
        <v>#REF!</v>
      </c>
      <c r="B95" s="301" t="n">
        <v>3.375</v>
      </c>
      <c r="C95" s="308" t="n">
        <f aca="false">EOMONTH(C94,0)+1</f>
        <v>39965</v>
      </c>
      <c r="D95" s="0" t="n">
        <v>3.595</v>
      </c>
      <c r="E95" s="301" t="n">
        <v>0.2025</v>
      </c>
      <c r="F95" s="299" t="n">
        <v>0.0561334231305515</v>
      </c>
      <c r="G95" s="299" t="n">
        <v>-0.13</v>
      </c>
      <c r="H95" s="299" t="n">
        <v>-0.15</v>
      </c>
      <c r="I95" s="310" t="n">
        <v>-0.09</v>
      </c>
      <c r="J95" s="310" t="n">
        <v>-0.13</v>
      </c>
      <c r="K95" s="299" t="n">
        <v>-0.09</v>
      </c>
      <c r="L95" s="299" t="n">
        <v>-0.05</v>
      </c>
      <c r="M95" s="299" t="n">
        <v>-0.07</v>
      </c>
      <c r="N95" s="299" t="n">
        <v>-0.12</v>
      </c>
      <c r="O95" s="299" t="n">
        <v>-0.12</v>
      </c>
      <c r="P95" s="299" t="n">
        <v>-0.13</v>
      </c>
      <c r="Q95" s="299" t="n">
        <v>-0.0575</v>
      </c>
      <c r="R95" s="299" t="n">
        <v>-0.05</v>
      </c>
      <c r="S95" s="299" t="n">
        <v>0.125</v>
      </c>
      <c r="T95" s="299" t="n">
        <v>0.145</v>
      </c>
      <c r="U95" s="299" t="n">
        <v>0.04</v>
      </c>
      <c r="V95" s="299" t="n">
        <v>0.5</v>
      </c>
      <c r="W95" s="299" t="n">
        <v>0.145</v>
      </c>
      <c r="X95" s="299" t="n">
        <v>0.165</v>
      </c>
      <c r="Y95" s="299" t="n">
        <v>-0.0195</v>
      </c>
      <c r="Z95" s="299" t="n">
        <v>-0.0475</v>
      </c>
      <c r="AA95" s="299" t="n">
        <v>0.0165</v>
      </c>
      <c r="AB95" s="299" t="n">
        <v>-0.0035</v>
      </c>
      <c r="AC95" s="299" t="n">
        <v>0.0025</v>
      </c>
      <c r="AD95" s="299" t="n">
        <v>-0.0225</v>
      </c>
      <c r="AE95" s="299" t="n">
        <v>-0.0725</v>
      </c>
      <c r="AF95" s="299" t="n">
        <v>-0.059</v>
      </c>
      <c r="AG95" s="299" t="n">
        <v>-0.0815</v>
      </c>
      <c r="AH95" s="299" t="n">
        <v>-0.0165</v>
      </c>
      <c r="AI95" s="299" t="n">
        <v>-0.072</v>
      </c>
      <c r="AJ95" s="299" t="n">
        <v>-0.065</v>
      </c>
      <c r="AK95" s="299" t="n">
        <v>-0.017</v>
      </c>
      <c r="AL95" s="299" t="n">
        <v>0.023</v>
      </c>
      <c r="AM95" s="299" t="n">
        <v>0.37</v>
      </c>
      <c r="AN95" s="299" t="n">
        <v>0.025</v>
      </c>
      <c r="AO95" s="299" t="n">
        <v>-0.47</v>
      </c>
      <c r="AP95" s="299" t="n">
        <v>-0.07</v>
      </c>
      <c r="AQ95" s="299" t="n">
        <v>-0.195</v>
      </c>
      <c r="AR95" s="299" t="n">
        <v>-0.25</v>
      </c>
      <c r="AS95" s="299" t="n">
        <v>-0.39</v>
      </c>
      <c r="AT95" s="299" t="n">
        <v>0</v>
      </c>
      <c r="AU95" s="299" t="n">
        <v>0.26</v>
      </c>
      <c r="AV95" s="299" t="n">
        <v>-0.47</v>
      </c>
      <c r="AW95" s="299" t="n">
        <v>-0.135</v>
      </c>
      <c r="AX95" s="299" t="n">
        <v>-0.06</v>
      </c>
      <c r="AY95" s="299" t="n">
        <v>-0.075</v>
      </c>
      <c r="AZ95" s="299" t="n">
        <v>-0.05</v>
      </c>
      <c r="BA95" s="299" t="n">
        <v>-0.0775</v>
      </c>
      <c r="BB95" s="299" t="n">
        <v>-0.0165</v>
      </c>
      <c r="BC95" s="299" t="n">
        <v>-0.055</v>
      </c>
      <c r="BD95" s="299" t="n">
        <v>-0.005</v>
      </c>
      <c r="BE95" s="299" t="n">
        <v>-0.0725</v>
      </c>
      <c r="BF95" s="299" t="n">
        <v>0</v>
      </c>
      <c r="BG95" s="299" t="n">
        <v>0.14</v>
      </c>
      <c r="BH95" s="299" t="n">
        <v>0.145</v>
      </c>
      <c r="BI95" s="299" t="n">
        <v>0.125</v>
      </c>
      <c r="BJ95" s="299" t="n">
        <v>0.335</v>
      </c>
      <c r="BK95" s="299" t="n">
        <v>0.0025</v>
      </c>
      <c r="BL95" s="299" t="n">
        <v>-0.015</v>
      </c>
      <c r="BM95" s="299" t="n">
        <v>0.005</v>
      </c>
      <c r="BN95" s="299" t="n">
        <v>-0.01</v>
      </c>
      <c r="BO95" s="299" t="n">
        <v>0</v>
      </c>
      <c r="BP95" s="299" t="n">
        <v>0.005</v>
      </c>
      <c r="BQ95" s="299" t="n">
        <v>0.0025</v>
      </c>
      <c r="BR95" s="299" t="n">
        <v>0.035</v>
      </c>
      <c r="BS95" s="0" t="n">
        <v>0.005</v>
      </c>
      <c r="BT95" s="0" t="n">
        <v>0.038</v>
      </c>
      <c r="BU95" s="0" t="n">
        <v>0.038</v>
      </c>
      <c r="BV95" s="0" t="n">
        <v>0.03</v>
      </c>
    </row>
    <row r="96" customFormat="false" ht="12.75" hidden="false" customHeight="false" outlineLevel="0" collapsed="false">
      <c r="A96" s="301" t="e">
        <f aca="false">#REF!-B96</f>
        <v>#REF!</v>
      </c>
      <c r="B96" s="301" t="n">
        <v>3.603</v>
      </c>
      <c r="C96" s="308" t="n">
        <f aca="false">EOMONTH(C95,0)+1</f>
        <v>39995</v>
      </c>
      <c r="D96" s="0" t="n">
        <v>3.635</v>
      </c>
      <c r="E96" s="301" t="n">
        <v>0.2025</v>
      </c>
      <c r="F96" s="299" t="n">
        <v>0.0562335828733631</v>
      </c>
      <c r="G96" s="299" t="n">
        <v>-0.13</v>
      </c>
      <c r="H96" s="299" t="n">
        <v>-0.15</v>
      </c>
      <c r="I96" s="310" t="n">
        <v>-0.09</v>
      </c>
      <c r="J96" s="310" t="n">
        <v>-0.13</v>
      </c>
      <c r="K96" s="299" t="n">
        <v>-0.09</v>
      </c>
      <c r="L96" s="299" t="n">
        <v>-0.05</v>
      </c>
      <c r="M96" s="299" t="n">
        <v>-0.07</v>
      </c>
      <c r="N96" s="299" t="n">
        <v>-0.12</v>
      </c>
      <c r="O96" s="299" t="n">
        <v>-0.12</v>
      </c>
      <c r="P96" s="299" t="n">
        <v>-0.13</v>
      </c>
      <c r="Q96" s="299" t="n">
        <v>-0.05625</v>
      </c>
      <c r="R96" s="299" t="n">
        <v>-0.05</v>
      </c>
      <c r="S96" s="299" t="n">
        <v>0.125</v>
      </c>
      <c r="T96" s="299" t="n">
        <v>0.145</v>
      </c>
      <c r="U96" s="299" t="n">
        <v>0.04</v>
      </c>
      <c r="V96" s="299" t="n">
        <v>0.5</v>
      </c>
      <c r="W96" s="299" t="n">
        <v>0.15</v>
      </c>
      <c r="X96" s="299" t="n">
        <v>0.205</v>
      </c>
      <c r="Y96" s="299" t="n">
        <v>-0.0195</v>
      </c>
      <c r="Z96" s="299" t="n">
        <v>-0.0475</v>
      </c>
      <c r="AA96" s="299" t="n">
        <v>0.0165</v>
      </c>
      <c r="AB96" s="299" t="n">
        <v>-0.0035</v>
      </c>
      <c r="AC96" s="299" t="n">
        <v>0.0025</v>
      </c>
      <c r="AD96" s="299" t="n">
        <v>-0.0225</v>
      </c>
      <c r="AE96" s="299" t="n">
        <v>-0.0725</v>
      </c>
      <c r="AF96" s="299" t="n">
        <v>-0.059</v>
      </c>
      <c r="AG96" s="299" t="n">
        <v>-0.0815</v>
      </c>
      <c r="AH96" s="299" t="n">
        <v>-0.0165</v>
      </c>
      <c r="AI96" s="299" t="n">
        <v>-0.072</v>
      </c>
      <c r="AJ96" s="299" t="n">
        <v>-0.0625</v>
      </c>
      <c r="AK96" s="299" t="n">
        <v>-0.017</v>
      </c>
      <c r="AL96" s="299" t="n">
        <v>0.023</v>
      </c>
      <c r="AM96" s="299" t="n">
        <v>0.41</v>
      </c>
      <c r="AN96" s="299" t="n">
        <v>0.0275</v>
      </c>
      <c r="AO96" s="299" t="n">
        <v>-0.47</v>
      </c>
      <c r="AP96" s="299" t="n">
        <v>-0.07</v>
      </c>
      <c r="AQ96" s="299" t="n">
        <v>-0.195</v>
      </c>
      <c r="AR96" s="299" t="n">
        <v>-0.25</v>
      </c>
      <c r="AS96" s="299" t="n">
        <v>-0.39</v>
      </c>
      <c r="AT96" s="299" t="n">
        <v>0</v>
      </c>
      <c r="AU96" s="299" t="n">
        <v>0.26</v>
      </c>
      <c r="AV96" s="299" t="n">
        <v>-0.47</v>
      </c>
      <c r="AW96" s="299" t="n">
        <v>-0.145</v>
      </c>
      <c r="AX96" s="299" t="n">
        <v>-0.06</v>
      </c>
      <c r="AY96" s="299" t="n">
        <v>-0.085</v>
      </c>
      <c r="AZ96" s="299" t="n">
        <v>-0.05</v>
      </c>
      <c r="BA96" s="299" t="n">
        <v>-0.075</v>
      </c>
      <c r="BB96" s="299" t="n">
        <v>-0.0165</v>
      </c>
      <c r="BC96" s="299" t="n">
        <v>-0.055</v>
      </c>
      <c r="BD96" s="299" t="n">
        <v>-0.0025</v>
      </c>
      <c r="BE96" s="299" t="n">
        <v>-0.0725</v>
      </c>
      <c r="BF96" s="299" t="n">
        <v>0</v>
      </c>
      <c r="BG96" s="299" t="n">
        <v>0.14</v>
      </c>
      <c r="BH96" s="299" t="n">
        <v>0.145</v>
      </c>
      <c r="BI96" s="299" t="n">
        <v>0.125</v>
      </c>
      <c r="BJ96" s="299" t="n">
        <v>0.35</v>
      </c>
      <c r="BK96" s="299" t="n">
        <v>0.0025</v>
      </c>
      <c r="BL96" s="299" t="n">
        <v>-0.01</v>
      </c>
      <c r="BM96" s="299" t="n">
        <v>0.005</v>
      </c>
      <c r="BN96" s="299" t="n">
        <v>-0.01</v>
      </c>
      <c r="BO96" s="299" t="n">
        <v>0</v>
      </c>
      <c r="BP96" s="299" t="n">
        <v>0.005</v>
      </c>
      <c r="BQ96" s="299" t="n">
        <v>0.0025</v>
      </c>
      <c r="BR96" s="299" t="n">
        <v>0.035</v>
      </c>
      <c r="BS96" s="0" t="n">
        <v>0.005</v>
      </c>
      <c r="BT96" s="0" t="n">
        <v>0.038</v>
      </c>
      <c r="BU96" s="0" t="n">
        <v>0.038</v>
      </c>
      <c r="BV96" s="0" t="n">
        <v>0.03</v>
      </c>
    </row>
    <row r="97" customFormat="false" ht="12.75" hidden="false" customHeight="false" outlineLevel="0" collapsed="false">
      <c r="A97" s="301" t="e">
        <f aca="false">#REF!-B97</f>
        <v>#REF!</v>
      </c>
      <c r="B97" s="301" t="n">
        <v>3.496</v>
      </c>
      <c r="C97" s="308" t="n">
        <f aca="false">EOMONTH(C96,0)+1</f>
        <v>40026</v>
      </c>
      <c r="D97" s="0" t="n">
        <v>3.675</v>
      </c>
      <c r="E97" s="301" t="n">
        <v>0.2025</v>
      </c>
      <c r="F97" s="299" t="n">
        <v>0.0563370812777757</v>
      </c>
      <c r="G97" s="299" t="n">
        <v>-0.13</v>
      </c>
      <c r="H97" s="299" t="n">
        <v>-0.15</v>
      </c>
      <c r="I97" s="310" t="n">
        <v>-0.09</v>
      </c>
      <c r="J97" s="310" t="n">
        <v>-0.13</v>
      </c>
      <c r="K97" s="299" t="n">
        <v>-0.09</v>
      </c>
      <c r="L97" s="299" t="n">
        <v>-0.05</v>
      </c>
      <c r="M97" s="299" t="n">
        <v>-0.07</v>
      </c>
      <c r="N97" s="299" t="n">
        <v>-0.12</v>
      </c>
      <c r="O97" s="299" t="n">
        <v>-0.12</v>
      </c>
      <c r="P97" s="299" t="n">
        <v>-0.13</v>
      </c>
      <c r="Q97" s="299" t="n">
        <v>-0.055</v>
      </c>
      <c r="R97" s="299" t="n">
        <v>-0.05</v>
      </c>
      <c r="S97" s="299" t="n">
        <v>0.125</v>
      </c>
      <c r="T97" s="299" t="n">
        <v>0.145</v>
      </c>
      <c r="U97" s="299" t="n">
        <v>0.04</v>
      </c>
      <c r="V97" s="299" t="n">
        <v>0.5</v>
      </c>
      <c r="W97" s="299" t="n">
        <v>0.15</v>
      </c>
      <c r="X97" s="299" t="n">
        <v>0.205</v>
      </c>
      <c r="Y97" s="299" t="n">
        <v>-0.0195</v>
      </c>
      <c r="Z97" s="299" t="n">
        <v>-0.0475</v>
      </c>
      <c r="AA97" s="299" t="n">
        <v>0.0115</v>
      </c>
      <c r="AB97" s="299" t="n">
        <v>-0.0085</v>
      </c>
      <c r="AC97" s="299" t="n">
        <v>0.0025</v>
      </c>
      <c r="AD97" s="299" t="n">
        <v>-0.0225</v>
      </c>
      <c r="AE97" s="299" t="n">
        <v>-0.0725</v>
      </c>
      <c r="AF97" s="299" t="n">
        <v>-0.059</v>
      </c>
      <c r="AG97" s="299" t="n">
        <v>-0.0815</v>
      </c>
      <c r="AH97" s="299" t="n">
        <v>-0.0165</v>
      </c>
      <c r="AI97" s="299" t="n">
        <v>-0.072</v>
      </c>
      <c r="AJ97" s="299" t="n">
        <v>-0.06</v>
      </c>
      <c r="AK97" s="299" t="n">
        <v>-0.017</v>
      </c>
      <c r="AL97" s="299" t="n">
        <v>0.023</v>
      </c>
      <c r="AM97" s="299" t="n">
        <v>0.41</v>
      </c>
      <c r="AN97" s="299" t="n">
        <v>0.03</v>
      </c>
      <c r="AO97" s="299" t="n">
        <v>-0.47</v>
      </c>
      <c r="AP97" s="299" t="n">
        <v>-0.07</v>
      </c>
      <c r="AQ97" s="299" t="n">
        <v>-0.195</v>
      </c>
      <c r="AR97" s="299" t="n">
        <v>-0.25</v>
      </c>
      <c r="AS97" s="299" t="n">
        <v>-0.39</v>
      </c>
      <c r="AT97" s="299" t="n">
        <v>0</v>
      </c>
      <c r="AU97" s="299" t="n">
        <v>0.26</v>
      </c>
      <c r="AV97" s="299" t="n">
        <v>-0.47</v>
      </c>
      <c r="AW97" s="299" t="n">
        <v>-0.14</v>
      </c>
      <c r="AX97" s="299" t="n">
        <v>-0.06</v>
      </c>
      <c r="AY97" s="299" t="n">
        <v>-0.08</v>
      </c>
      <c r="AZ97" s="299" t="n">
        <v>-0.05</v>
      </c>
      <c r="BA97" s="299" t="n">
        <v>-0.0725</v>
      </c>
      <c r="BB97" s="299" t="n">
        <v>-0.0165</v>
      </c>
      <c r="BC97" s="299" t="n">
        <v>-0.055</v>
      </c>
      <c r="BD97" s="299" t="n">
        <v>0</v>
      </c>
      <c r="BE97" s="299" t="n">
        <v>-0.0725</v>
      </c>
      <c r="BF97" s="299" t="n">
        <v>0</v>
      </c>
      <c r="BG97" s="299" t="n">
        <v>0.14</v>
      </c>
      <c r="BH97" s="299" t="n">
        <v>0.145</v>
      </c>
      <c r="BI97" s="299" t="n">
        <v>0.125</v>
      </c>
      <c r="BJ97" s="299" t="n">
        <v>0.35</v>
      </c>
      <c r="BK97" s="299" t="n">
        <v>0.0025</v>
      </c>
      <c r="BL97" s="299" t="n">
        <v>-0.01</v>
      </c>
      <c r="BM97" s="299" t="n">
        <v>0.005</v>
      </c>
      <c r="BN97" s="299" t="n">
        <v>-0.01</v>
      </c>
      <c r="BO97" s="299" t="n">
        <v>0</v>
      </c>
      <c r="BP97" s="299" t="n">
        <v>0.005</v>
      </c>
      <c r="BQ97" s="299" t="n">
        <v>0.0025</v>
      </c>
      <c r="BR97" s="299" t="n">
        <v>0.01</v>
      </c>
      <c r="BS97" s="0" t="n">
        <v>0.005</v>
      </c>
      <c r="BT97" s="0" t="n">
        <v>0.038</v>
      </c>
      <c r="BU97" s="0" t="n">
        <v>0.038</v>
      </c>
      <c r="BV97" s="0" t="n">
        <v>0.03</v>
      </c>
    </row>
    <row r="98" customFormat="false" ht="12.75" hidden="false" customHeight="false" outlineLevel="0" collapsed="false">
      <c r="A98" s="301" t="e">
        <f aca="false">#REF!-B98</f>
        <v>#REF!</v>
      </c>
      <c r="B98" s="301" t="n">
        <v>3.353</v>
      </c>
      <c r="C98" s="308" t="n">
        <f aca="false">EOMONTH(C97,0)+1</f>
        <v>40057</v>
      </c>
      <c r="D98" s="0" t="n">
        <v>3.67</v>
      </c>
      <c r="E98" s="301" t="n">
        <v>0.2025</v>
      </c>
      <c r="F98" s="299" t="n">
        <v>0.0564405796857548</v>
      </c>
      <c r="G98" s="299" t="n">
        <v>-0.13</v>
      </c>
      <c r="H98" s="299" t="n">
        <v>-0.15</v>
      </c>
      <c r="I98" s="310" t="n">
        <v>-0.09</v>
      </c>
      <c r="J98" s="310" t="n">
        <v>-0.13</v>
      </c>
      <c r="K98" s="299" t="n">
        <v>-0.09</v>
      </c>
      <c r="L98" s="299" t="n">
        <v>-0.05</v>
      </c>
      <c r="M98" s="299" t="n">
        <v>-0.07</v>
      </c>
      <c r="N98" s="299" t="n">
        <v>-0.12</v>
      </c>
      <c r="O98" s="299" t="n">
        <v>-0.12</v>
      </c>
      <c r="P98" s="299" t="n">
        <v>-0.13</v>
      </c>
      <c r="Q98" s="299" t="n">
        <v>-0.05875</v>
      </c>
      <c r="R98" s="299" t="n">
        <v>-0.05</v>
      </c>
      <c r="S98" s="299" t="n">
        <v>0.125</v>
      </c>
      <c r="T98" s="299" t="n">
        <v>0.145</v>
      </c>
      <c r="U98" s="299" t="n">
        <v>0.04</v>
      </c>
      <c r="V98" s="299" t="n">
        <v>0.5</v>
      </c>
      <c r="W98" s="299" t="n">
        <v>0.125</v>
      </c>
      <c r="X98" s="299" t="n">
        <v>0.145</v>
      </c>
      <c r="Y98" s="299" t="n">
        <v>-0.0195</v>
      </c>
      <c r="Z98" s="299" t="n">
        <v>-0.0525</v>
      </c>
      <c r="AA98" s="299" t="n">
        <v>0.0115</v>
      </c>
      <c r="AB98" s="299" t="n">
        <v>-0.0085</v>
      </c>
      <c r="AC98" s="299" t="n">
        <v>0.0025</v>
      </c>
      <c r="AD98" s="299" t="n">
        <v>-0.0225</v>
      </c>
      <c r="AE98" s="299" t="n">
        <v>-0.0725</v>
      </c>
      <c r="AF98" s="299" t="n">
        <v>-0.059</v>
      </c>
      <c r="AG98" s="299" t="n">
        <v>-0.0815</v>
      </c>
      <c r="AH98" s="299" t="n">
        <v>-0.0165</v>
      </c>
      <c r="AI98" s="299" t="n">
        <v>-0.072</v>
      </c>
      <c r="AJ98" s="299" t="n">
        <v>-0.0675</v>
      </c>
      <c r="AK98" s="299" t="n">
        <v>-0.017</v>
      </c>
      <c r="AL98" s="299" t="n">
        <v>0.023</v>
      </c>
      <c r="AM98" s="299" t="n">
        <v>0.36</v>
      </c>
      <c r="AN98" s="299" t="n">
        <v>0.0225</v>
      </c>
      <c r="AO98" s="299" t="n">
        <v>-0.47</v>
      </c>
      <c r="AP98" s="299" t="n">
        <v>-0.07</v>
      </c>
      <c r="AQ98" s="299" t="n">
        <v>-0.195</v>
      </c>
      <c r="AR98" s="299" t="n">
        <v>-0.25</v>
      </c>
      <c r="AS98" s="299" t="n">
        <v>-0.39</v>
      </c>
      <c r="AT98" s="299" t="n">
        <v>0</v>
      </c>
      <c r="AU98" s="299" t="n">
        <v>0.26</v>
      </c>
      <c r="AV98" s="299" t="n">
        <v>-0.47</v>
      </c>
      <c r="AW98" s="299" t="n">
        <v>-0.15</v>
      </c>
      <c r="AX98" s="299" t="n">
        <v>-0.06</v>
      </c>
      <c r="AY98" s="299" t="n">
        <v>-0.09</v>
      </c>
      <c r="AZ98" s="299" t="n">
        <v>-0.05</v>
      </c>
      <c r="BA98" s="299" t="n">
        <v>-0.0775</v>
      </c>
      <c r="BB98" s="299" t="n">
        <v>-0.0165</v>
      </c>
      <c r="BC98" s="299" t="n">
        <v>-0.055</v>
      </c>
      <c r="BD98" s="299" t="n">
        <v>-0.0075</v>
      </c>
      <c r="BE98" s="299" t="n">
        <v>-0.0725</v>
      </c>
      <c r="BF98" s="299" t="n">
        <v>0</v>
      </c>
      <c r="BG98" s="299" t="n">
        <v>0.14</v>
      </c>
      <c r="BH98" s="299" t="n">
        <v>0.145</v>
      </c>
      <c r="BI98" s="299" t="n">
        <v>0.125</v>
      </c>
      <c r="BJ98" s="299" t="n">
        <v>0.315</v>
      </c>
      <c r="BK98" s="299" t="n">
        <v>0.0025</v>
      </c>
      <c r="BL98" s="299" t="n">
        <v>-0.01</v>
      </c>
      <c r="BM98" s="299" t="n">
        <v>0.005</v>
      </c>
      <c r="BN98" s="299" t="n">
        <v>-0.01</v>
      </c>
      <c r="BO98" s="299" t="n">
        <v>0</v>
      </c>
      <c r="BP98" s="299" t="n">
        <v>0.005</v>
      </c>
      <c r="BQ98" s="299" t="n">
        <v>0.0025</v>
      </c>
      <c r="BR98" s="299" t="n">
        <v>0.01</v>
      </c>
      <c r="BS98" s="0" t="n">
        <v>0.005</v>
      </c>
      <c r="BT98" s="0" t="n">
        <v>0.038</v>
      </c>
      <c r="BU98" s="0" t="n">
        <v>0.038</v>
      </c>
      <c r="BV98" s="0" t="n">
        <v>0.03</v>
      </c>
    </row>
    <row r="99" customFormat="false" ht="12.75" hidden="false" customHeight="false" outlineLevel="0" collapsed="false">
      <c r="A99" s="301" t="e">
        <f aca="false">#REF!-B99</f>
        <v>#REF!</v>
      </c>
      <c r="B99" s="301" t="n">
        <v>3.213</v>
      </c>
      <c r="C99" s="308" t="n">
        <f aca="false">EOMONTH(C98,0)+1</f>
        <v>40087</v>
      </c>
      <c r="D99" s="0" t="n">
        <v>3.695</v>
      </c>
      <c r="E99" s="301" t="n">
        <v>0.2025</v>
      </c>
      <c r="F99" s="299" t="n">
        <v>0.0565407394388062</v>
      </c>
      <c r="G99" s="299" t="n">
        <v>-0.13</v>
      </c>
      <c r="H99" s="299" t="n">
        <v>-0.15</v>
      </c>
      <c r="I99" s="310" t="n">
        <v>-0.09</v>
      </c>
      <c r="J99" s="310" t="n">
        <v>-0.13</v>
      </c>
      <c r="K99" s="299" t="n">
        <v>-0.09</v>
      </c>
      <c r="L99" s="299" t="n">
        <v>-0.05</v>
      </c>
      <c r="M99" s="299" t="n">
        <v>-0.07</v>
      </c>
      <c r="N99" s="299" t="n">
        <v>-0.12</v>
      </c>
      <c r="O99" s="299" t="n">
        <v>-0.12</v>
      </c>
      <c r="P99" s="299" t="n">
        <v>-0.13</v>
      </c>
      <c r="Q99" s="299" t="n">
        <v>-0.06375</v>
      </c>
      <c r="R99" s="299" t="n">
        <v>-0.05</v>
      </c>
      <c r="S99" s="299" t="n">
        <v>0.125</v>
      </c>
      <c r="T99" s="299" t="n">
        <v>0.145</v>
      </c>
      <c r="U99" s="299" t="n">
        <v>0.04</v>
      </c>
      <c r="V99" s="299" t="n">
        <v>0.5</v>
      </c>
      <c r="W99" s="299" t="n">
        <v>0.145</v>
      </c>
      <c r="X99" s="299" t="n">
        <v>0.175</v>
      </c>
      <c r="Y99" s="299" t="n">
        <v>-0.0195</v>
      </c>
      <c r="Z99" s="299" t="n">
        <v>-0.0525</v>
      </c>
      <c r="AA99" s="299" t="n">
        <v>0.0065</v>
      </c>
      <c r="AB99" s="299" t="n">
        <v>-0.0135</v>
      </c>
      <c r="AC99" s="299" t="n">
        <v>0.0025</v>
      </c>
      <c r="AD99" s="299" t="n">
        <v>-0.0225</v>
      </c>
      <c r="AE99" s="299" t="n">
        <v>-0.0725</v>
      </c>
      <c r="AF99" s="299" t="n">
        <v>-0.059</v>
      </c>
      <c r="AG99" s="299" t="n">
        <v>-0.0815</v>
      </c>
      <c r="AH99" s="299" t="n">
        <v>-0.0165</v>
      </c>
      <c r="AI99" s="299" t="n">
        <v>-0.072</v>
      </c>
      <c r="AJ99" s="299" t="n">
        <v>-0.0775</v>
      </c>
      <c r="AK99" s="299" t="n">
        <v>-0.017</v>
      </c>
      <c r="AL99" s="299" t="n">
        <v>0.023</v>
      </c>
      <c r="AM99" s="299" t="n">
        <v>0.4</v>
      </c>
      <c r="AN99" s="299" t="n">
        <v>0.0125</v>
      </c>
      <c r="AO99" s="299" t="n">
        <v>-0.47</v>
      </c>
      <c r="AP99" s="299" t="n">
        <v>-0.07</v>
      </c>
      <c r="AQ99" s="299" t="n">
        <v>-0.195</v>
      </c>
      <c r="AR99" s="299" t="n">
        <v>-0.25</v>
      </c>
      <c r="AS99" s="299" t="n">
        <v>-0.39</v>
      </c>
      <c r="AT99" s="299" t="n">
        <v>0</v>
      </c>
      <c r="AU99" s="299" t="n">
        <v>0.26</v>
      </c>
      <c r="AV99" s="299" t="n">
        <v>-0.47</v>
      </c>
      <c r="AW99" s="299" t="n">
        <v>-0.1375</v>
      </c>
      <c r="AX99" s="299" t="n">
        <v>-0.06</v>
      </c>
      <c r="AY99" s="299" t="n">
        <v>-0.0775</v>
      </c>
      <c r="AZ99" s="299" t="n">
        <v>-0.05</v>
      </c>
      <c r="BA99" s="299" t="n">
        <v>-0.08</v>
      </c>
      <c r="BB99" s="299" t="n">
        <v>-0.0165</v>
      </c>
      <c r="BC99" s="299" t="n">
        <v>-0.055</v>
      </c>
      <c r="BD99" s="299" t="n">
        <v>-0.0175</v>
      </c>
      <c r="BE99" s="299" t="n">
        <v>-0.0725</v>
      </c>
      <c r="BF99" s="299" t="n">
        <v>0</v>
      </c>
      <c r="BG99" s="299" t="n">
        <v>0.14</v>
      </c>
      <c r="BH99" s="299" t="n">
        <v>0.145</v>
      </c>
      <c r="BI99" s="299" t="n">
        <v>0.125</v>
      </c>
      <c r="BJ99" s="299" t="n">
        <v>0.36</v>
      </c>
      <c r="BK99" s="299" t="n">
        <v>0.0025</v>
      </c>
      <c r="BL99" s="299" t="n">
        <v>-0.015</v>
      </c>
      <c r="BM99" s="299" t="n">
        <v>0.005</v>
      </c>
      <c r="BN99" s="299" t="n">
        <v>-0.01</v>
      </c>
      <c r="BO99" s="299" t="n">
        <v>0</v>
      </c>
      <c r="BP99" s="299" t="n">
        <v>0.005</v>
      </c>
      <c r="BQ99" s="299" t="n">
        <v>0.0025</v>
      </c>
      <c r="BR99" s="299" t="n">
        <v>0.01</v>
      </c>
      <c r="BS99" s="0" t="n">
        <v>0.005</v>
      </c>
      <c r="BT99" s="0" t="n">
        <v>0.038</v>
      </c>
      <c r="BU99" s="0" t="n">
        <v>0.038</v>
      </c>
      <c r="BV99" s="0" t="n">
        <v>0.03</v>
      </c>
    </row>
    <row r="100" customFormat="false" ht="12.75" hidden="false" customHeight="false" outlineLevel="0" collapsed="false">
      <c r="A100" s="301" t="e">
        <f aca="false">#REF!-B100</f>
        <v>#REF!</v>
      </c>
      <c r="B100" s="301" t="n">
        <v>3.19</v>
      </c>
      <c r="C100" s="308" t="n">
        <f aca="false">EOMONTH(C99,0)+1</f>
        <v>40118</v>
      </c>
      <c r="D100" s="0" t="n">
        <v>3.847</v>
      </c>
      <c r="E100" s="301" t="n">
        <v>0.2025</v>
      </c>
      <c r="F100" s="299" t="n">
        <v>0.0566442378538001</v>
      </c>
      <c r="G100" s="299" t="n">
        <v>-0.13</v>
      </c>
      <c r="H100" s="299" t="n">
        <v>-0.15</v>
      </c>
      <c r="I100" s="310" t="n">
        <v>-0.01</v>
      </c>
      <c r="J100" s="310" t="n">
        <v>-0.13</v>
      </c>
      <c r="K100" s="299" t="n">
        <v>0</v>
      </c>
      <c r="L100" s="299" t="n">
        <v>-0.0495</v>
      </c>
      <c r="M100" s="299" t="n">
        <v>-0.0845</v>
      </c>
      <c r="N100" s="299" t="n">
        <v>-0.12</v>
      </c>
      <c r="O100" s="299" t="n">
        <v>-0.12</v>
      </c>
      <c r="P100" s="299" t="n">
        <v>-0.13</v>
      </c>
      <c r="Q100" s="299" t="n">
        <v>-0.081</v>
      </c>
      <c r="R100" s="299" t="n">
        <v>-0.0495</v>
      </c>
      <c r="S100" s="299" t="n">
        <v>0.155</v>
      </c>
      <c r="T100" s="299" t="n">
        <v>0.175</v>
      </c>
      <c r="U100" s="299" t="n">
        <v>0.13</v>
      </c>
      <c r="V100" s="299" t="n">
        <v>0.5</v>
      </c>
      <c r="W100" s="299" t="n">
        <v>0.195</v>
      </c>
      <c r="X100" s="299" t="n">
        <v>0.21</v>
      </c>
      <c r="Y100" s="299" t="n">
        <v>-0.017</v>
      </c>
      <c r="Z100" s="299" t="n">
        <v>-0.0335</v>
      </c>
      <c r="AA100" s="299" t="n">
        <v>0.0075</v>
      </c>
      <c r="AB100" s="299" t="n">
        <v>-0.01</v>
      </c>
      <c r="AC100" s="299" t="n">
        <v>0.0025</v>
      </c>
      <c r="AD100" s="299" t="n">
        <v>-0.0225</v>
      </c>
      <c r="AE100" s="299" t="n">
        <v>-0.075</v>
      </c>
      <c r="AF100" s="299" t="n">
        <v>-0.0615</v>
      </c>
      <c r="AG100" s="299" t="n">
        <v>-0.084</v>
      </c>
      <c r="AH100" s="299" t="n">
        <v>-0.013</v>
      </c>
      <c r="AI100" s="299" t="n">
        <v>-0.064</v>
      </c>
      <c r="AJ100" s="299" t="n">
        <v>-0.1125</v>
      </c>
      <c r="AK100" s="299" t="n">
        <v>-0.008999999</v>
      </c>
      <c r="AL100" s="299" t="n">
        <v>0.031</v>
      </c>
      <c r="AM100" s="299" t="n">
        <v>0.65</v>
      </c>
      <c r="AN100" s="299" t="n">
        <v>-0.0225</v>
      </c>
      <c r="AO100" s="299" t="n">
        <v>-0.34</v>
      </c>
      <c r="AP100" s="299" t="n">
        <v>-0.07</v>
      </c>
      <c r="AQ100" s="299" t="n">
        <v>-0.13</v>
      </c>
      <c r="AR100" s="299" t="n">
        <v>0.248</v>
      </c>
      <c r="AS100" s="299" t="n">
        <v>-0.26</v>
      </c>
      <c r="AT100" s="299" t="n">
        <v>0</v>
      </c>
      <c r="AU100" s="299" t="n">
        <v>0.24</v>
      </c>
      <c r="AV100" s="299" t="n">
        <v>-0.34</v>
      </c>
      <c r="AW100" s="299" t="n">
        <v>-0.145</v>
      </c>
      <c r="AX100" s="299" t="n">
        <v>-0.06</v>
      </c>
      <c r="AY100" s="299" t="n">
        <v>-0.085</v>
      </c>
      <c r="AZ100" s="299" t="n">
        <v>-0.0495</v>
      </c>
      <c r="BA100" s="299" t="n">
        <v>-0.075</v>
      </c>
      <c r="BB100" s="299" t="n">
        <v>-0.018</v>
      </c>
      <c r="BC100" s="299" t="n">
        <v>-0.0695</v>
      </c>
      <c r="BD100" s="299" t="n">
        <v>-0.0525</v>
      </c>
      <c r="BE100" s="299" t="n">
        <v>-0.075</v>
      </c>
      <c r="BF100" s="299" t="n">
        <v>0</v>
      </c>
      <c r="BG100" s="299" t="n">
        <v>0.17</v>
      </c>
      <c r="BH100" s="299" t="n">
        <v>0.175</v>
      </c>
      <c r="BI100" s="299" t="n">
        <v>0.155</v>
      </c>
      <c r="BJ100" s="299" t="n">
        <v>0.46</v>
      </c>
      <c r="BK100" s="299" t="n">
        <v>0.0025</v>
      </c>
      <c r="BL100" s="299" t="n">
        <v>-0.02</v>
      </c>
      <c r="BM100" s="299" t="n">
        <v>0.005</v>
      </c>
      <c r="BN100" s="299" t="n">
        <v>0</v>
      </c>
      <c r="BO100" s="299" t="n">
        <v>0</v>
      </c>
      <c r="BP100" s="299" t="n">
        <v>0.005</v>
      </c>
      <c r="BQ100" s="299" t="n">
        <v>0.005</v>
      </c>
      <c r="BR100" s="299" t="n">
        <v>0.055</v>
      </c>
      <c r="BS100" s="0" t="n">
        <v>0.02</v>
      </c>
      <c r="BT100" s="0" t="n">
        <v>0.04</v>
      </c>
      <c r="BU100" s="0" t="n">
        <v>0.04</v>
      </c>
      <c r="BV100" s="0" t="n">
        <v>0.03</v>
      </c>
    </row>
    <row r="101" customFormat="false" ht="12.75" hidden="false" customHeight="false" outlineLevel="0" collapsed="false">
      <c r="A101" s="301" t="e">
        <f aca="false">#REF!-B101</f>
        <v>#REF!</v>
      </c>
      <c r="B101" s="301" t="n">
        <v>3.175</v>
      </c>
      <c r="C101" s="308" t="n">
        <f aca="false">EOMONTH(C100,0)+1</f>
        <v>40148</v>
      </c>
      <c r="D101" s="0" t="n">
        <v>3.99</v>
      </c>
      <c r="E101" s="301" t="n">
        <v>0.2025</v>
      </c>
      <c r="F101" s="299" t="n">
        <v>0.0567443976136408</v>
      </c>
      <c r="G101" s="299" t="n">
        <v>-0.1325</v>
      </c>
      <c r="H101" s="299" t="n">
        <v>-0.1525</v>
      </c>
      <c r="I101" s="310" t="n">
        <v>-0.005</v>
      </c>
      <c r="J101" s="310" t="n">
        <v>-0.13</v>
      </c>
      <c r="K101" s="299" t="n">
        <v>0.005</v>
      </c>
      <c r="L101" s="299" t="n">
        <v>-0.0495</v>
      </c>
      <c r="M101" s="299" t="n">
        <v>-0.0845</v>
      </c>
      <c r="N101" s="299" t="n">
        <v>-0.1225</v>
      </c>
      <c r="O101" s="299" t="n">
        <v>-0.1225</v>
      </c>
      <c r="P101" s="299" t="n">
        <v>-0.1325</v>
      </c>
      <c r="Q101" s="299" t="n">
        <v>-0.09225</v>
      </c>
      <c r="R101" s="299" t="n">
        <v>-0.0495</v>
      </c>
      <c r="S101" s="299" t="n">
        <v>0.155</v>
      </c>
      <c r="T101" s="299" t="n">
        <v>0.175</v>
      </c>
      <c r="U101" s="299" t="n">
        <v>0.13</v>
      </c>
      <c r="V101" s="299" t="n">
        <v>0.5</v>
      </c>
      <c r="W101" s="299" t="n">
        <v>0.215</v>
      </c>
      <c r="X101" s="299" t="n">
        <v>0.29</v>
      </c>
      <c r="Y101" s="299" t="n">
        <v>-0.017</v>
      </c>
      <c r="Z101" s="299" t="n">
        <v>-0.0335</v>
      </c>
      <c r="AA101" s="299" t="n">
        <v>0.0075</v>
      </c>
      <c r="AB101" s="299" t="n">
        <v>-0.01</v>
      </c>
      <c r="AC101" s="299" t="n">
        <v>0.0025</v>
      </c>
      <c r="AD101" s="299" t="n">
        <v>-0.0225</v>
      </c>
      <c r="AE101" s="299" t="n">
        <v>-0.075</v>
      </c>
      <c r="AF101" s="299" t="n">
        <v>-0.0595</v>
      </c>
      <c r="AG101" s="299" t="n">
        <v>-0.082</v>
      </c>
      <c r="AH101" s="299" t="n">
        <v>-0.0105</v>
      </c>
      <c r="AI101" s="299" t="n">
        <v>-0.064</v>
      </c>
      <c r="AJ101" s="299" t="n">
        <v>-0.135</v>
      </c>
      <c r="AK101" s="299" t="n">
        <v>-0.008999999</v>
      </c>
      <c r="AL101" s="299" t="n">
        <v>0.031</v>
      </c>
      <c r="AM101" s="299" t="n">
        <v>0.98</v>
      </c>
      <c r="AN101" s="299" t="n">
        <v>-0.045</v>
      </c>
      <c r="AO101" s="299" t="n">
        <v>-0.34</v>
      </c>
      <c r="AP101" s="299" t="n">
        <v>-0.07</v>
      </c>
      <c r="AQ101" s="299" t="n">
        <v>-0.13</v>
      </c>
      <c r="AR101" s="299" t="n">
        <v>0.308</v>
      </c>
      <c r="AS101" s="299" t="n">
        <v>-0.26</v>
      </c>
      <c r="AT101" s="299" t="n">
        <v>0</v>
      </c>
      <c r="AU101" s="299" t="n">
        <v>0.24</v>
      </c>
      <c r="AV101" s="299" t="n">
        <v>-0.34</v>
      </c>
      <c r="AW101" s="299" t="n">
        <v>-0.1725</v>
      </c>
      <c r="AX101" s="299" t="n">
        <v>-0.06</v>
      </c>
      <c r="AY101" s="299" t="n">
        <v>-0.1125</v>
      </c>
      <c r="AZ101" s="299" t="n">
        <v>-0.0495</v>
      </c>
      <c r="BA101" s="299" t="n">
        <v>-0.1025</v>
      </c>
      <c r="BB101" s="299" t="n">
        <v>-0.0155</v>
      </c>
      <c r="BC101" s="299" t="n">
        <v>-0.0695</v>
      </c>
      <c r="BD101" s="299" t="n">
        <v>-0.075</v>
      </c>
      <c r="BE101" s="299" t="n">
        <v>-0.075</v>
      </c>
      <c r="BF101" s="299" t="n">
        <v>0</v>
      </c>
      <c r="BG101" s="299" t="n">
        <v>0.17</v>
      </c>
      <c r="BH101" s="299" t="n">
        <v>0.175</v>
      </c>
      <c r="BI101" s="299" t="n">
        <v>0.155</v>
      </c>
      <c r="BJ101" s="299" t="n">
        <v>0.77</v>
      </c>
      <c r="BK101" s="299" t="n">
        <v>0.0025</v>
      </c>
      <c r="BL101" s="299" t="n">
        <v>-0.025</v>
      </c>
      <c r="BM101" s="299" t="n">
        <v>0.005</v>
      </c>
      <c r="BN101" s="299" t="n">
        <v>0</v>
      </c>
      <c r="BO101" s="299" t="n">
        <v>0</v>
      </c>
      <c r="BP101" s="299" t="n">
        <v>0.005</v>
      </c>
      <c r="BQ101" s="299" t="n">
        <v>0.005</v>
      </c>
      <c r="BR101" s="299" t="n">
        <v>0.25</v>
      </c>
      <c r="BS101" s="0" t="n">
        <v>0.02</v>
      </c>
      <c r="BT101" s="0" t="n">
        <v>0.04</v>
      </c>
      <c r="BU101" s="0" t="n">
        <v>0.04</v>
      </c>
      <c r="BV101" s="0" t="n">
        <v>0.03</v>
      </c>
    </row>
    <row r="102" customFormat="false" ht="12.75" hidden="false" customHeight="false" outlineLevel="0" collapsed="false">
      <c r="A102" s="301" t="e">
        <f aca="false">#REF!-B102</f>
        <v>#REF!</v>
      </c>
      <c r="B102" s="301" t="n">
        <v>3.24</v>
      </c>
      <c r="C102" s="308" t="n">
        <f aca="false">EOMONTH(C101,0)+1</f>
        <v>40179</v>
      </c>
      <c r="D102" s="0" t="n">
        <v>4.045</v>
      </c>
      <c r="E102" s="301" t="n">
        <v>0.2025</v>
      </c>
      <c r="F102" s="299" t="n">
        <v>0.0568478960356496</v>
      </c>
      <c r="G102" s="299" t="n">
        <v>-0.135</v>
      </c>
      <c r="H102" s="299" t="n">
        <v>-0.155</v>
      </c>
      <c r="I102" s="310" t="n">
        <v>0.015</v>
      </c>
      <c r="J102" s="310" t="n">
        <v>-0.13</v>
      </c>
      <c r="K102" s="299" t="n">
        <v>0.025</v>
      </c>
      <c r="L102" s="299" t="n">
        <v>-0.0495</v>
      </c>
      <c r="M102" s="299" t="n">
        <v>-0.0845</v>
      </c>
      <c r="N102" s="299" t="n">
        <v>-0.125</v>
      </c>
      <c r="O102" s="299" t="n">
        <v>-0.125</v>
      </c>
      <c r="P102" s="299" t="n">
        <v>-0.135</v>
      </c>
      <c r="Q102" s="299" t="n">
        <v>-0.0935</v>
      </c>
      <c r="R102" s="299" t="n">
        <v>-0.0495</v>
      </c>
      <c r="S102" s="299" t="n">
        <v>0.155</v>
      </c>
      <c r="T102" s="299" t="n">
        <v>0.175</v>
      </c>
      <c r="U102" s="299" t="n">
        <v>0.13</v>
      </c>
      <c r="V102" s="299" t="n">
        <v>0.5</v>
      </c>
      <c r="W102" s="299" t="n">
        <v>0.235</v>
      </c>
      <c r="X102" s="299" t="n">
        <v>0.34</v>
      </c>
      <c r="Y102" s="299" t="n">
        <v>-0.015</v>
      </c>
      <c r="Z102" s="299" t="n">
        <v>-0.0335</v>
      </c>
      <c r="AA102" s="299" t="n">
        <v>0.0075</v>
      </c>
      <c r="AB102" s="299" t="n">
        <v>-0.01</v>
      </c>
      <c r="AC102" s="299" t="n">
        <v>0.0025</v>
      </c>
      <c r="AD102" s="299" t="n">
        <v>-0.0225</v>
      </c>
      <c r="AE102" s="299" t="n">
        <v>-0.075</v>
      </c>
      <c r="AF102" s="299" t="n">
        <v>-0.0595</v>
      </c>
      <c r="AG102" s="299" t="n">
        <v>-0.082</v>
      </c>
      <c r="AH102" s="299" t="n">
        <v>-0.0105</v>
      </c>
      <c r="AI102" s="299" t="n">
        <v>-0.064</v>
      </c>
      <c r="AJ102" s="299" t="n">
        <v>-0.1375</v>
      </c>
      <c r="AK102" s="299" t="n">
        <v>-0.008999999</v>
      </c>
      <c r="AL102" s="299" t="n">
        <v>0.031</v>
      </c>
      <c r="AM102" s="299" t="n">
        <v>1.6</v>
      </c>
      <c r="AN102" s="299" t="n">
        <v>-0.0475</v>
      </c>
      <c r="AO102" s="299" t="n">
        <v>-0.34</v>
      </c>
      <c r="AP102" s="299" t="n">
        <v>-0.07</v>
      </c>
      <c r="AQ102" s="299" t="n">
        <v>-0.13</v>
      </c>
      <c r="AR102" s="299" t="n">
        <v>0.378</v>
      </c>
      <c r="AS102" s="299" t="n">
        <v>-0.26</v>
      </c>
      <c r="AT102" s="299" t="n">
        <v>0</v>
      </c>
      <c r="AU102" s="299" t="n">
        <v>0.24</v>
      </c>
      <c r="AV102" s="299" t="n">
        <v>-0.34</v>
      </c>
      <c r="AW102" s="299" t="n">
        <v>-0.1875</v>
      </c>
      <c r="AX102" s="299" t="n">
        <v>-0.06</v>
      </c>
      <c r="AY102" s="299" t="n">
        <v>-0.1275</v>
      </c>
      <c r="AZ102" s="299" t="n">
        <v>-0.0495</v>
      </c>
      <c r="BA102" s="299" t="n">
        <v>-0.103</v>
      </c>
      <c r="BB102" s="299" t="n">
        <v>-0.0155</v>
      </c>
      <c r="BC102" s="299" t="n">
        <v>-0.0695</v>
      </c>
      <c r="BD102" s="299" t="n">
        <v>-0.0775</v>
      </c>
      <c r="BE102" s="299" t="n">
        <v>-0.075</v>
      </c>
      <c r="BF102" s="299" t="n">
        <v>0</v>
      </c>
      <c r="BG102" s="299" t="n">
        <v>0.17</v>
      </c>
      <c r="BH102" s="299" t="n">
        <v>0.175</v>
      </c>
      <c r="BI102" s="299" t="n">
        <v>0.155</v>
      </c>
      <c r="BJ102" s="299" t="n">
        <v>1.04</v>
      </c>
      <c r="BK102" s="299" t="n">
        <v>0.0025</v>
      </c>
      <c r="BL102" s="299" t="n">
        <v>-0.025</v>
      </c>
      <c r="BM102" s="299" t="n">
        <v>0.005</v>
      </c>
      <c r="BN102" s="299" t="n">
        <v>0</v>
      </c>
      <c r="BO102" s="299" t="n">
        <v>0</v>
      </c>
      <c r="BP102" s="299" t="n">
        <v>0.005</v>
      </c>
      <c r="BQ102" s="299" t="n">
        <v>0.005</v>
      </c>
      <c r="BR102" s="299" t="n">
        <v>0.45</v>
      </c>
      <c r="BS102" s="0" t="n">
        <v>0.02</v>
      </c>
      <c r="BT102" s="0" t="n">
        <v>0.04</v>
      </c>
      <c r="BU102" s="0" t="n">
        <v>0.04</v>
      </c>
      <c r="BV102" s="0" t="n">
        <v>0.03</v>
      </c>
    </row>
    <row r="103" customFormat="false" ht="12.75" hidden="false" customHeight="false" outlineLevel="0" collapsed="false">
      <c r="A103" s="301" t="e">
        <f aca="false">#REF!-B103</f>
        <v>#REF!</v>
      </c>
      <c r="B103" s="301" t="n">
        <v>3.235</v>
      </c>
      <c r="C103" s="308" t="n">
        <f aca="false">EOMONTH(C102,0)+1</f>
        <v>40210</v>
      </c>
      <c r="D103" s="0" t="n">
        <v>3.96</v>
      </c>
      <c r="E103" s="301" t="n">
        <v>0.2</v>
      </c>
      <c r="F103" s="299" t="n">
        <v>0.056951394461223</v>
      </c>
      <c r="G103" s="299" t="n">
        <v>-0.1275</v>
      </c>
      <c r="H103" s="299" t="n">
        <v>-0.1475</v>
      </c>
      <c r="I103" s="310" t="n">
        <v>0.01</v>
      </c>
      <c r="J103" s="310" t="n">
        <v>-0.13</v>
      </c>
      <c r="K103" s="299" t="n">
        <v>0.02</v>
      </c>
      <c r="L103" s="299" t="n">
        <v>-0.0495</v>
      </c>
      <c r="M103" s="299" t="n">
        <v>-0.0845</v>
      </c>
      <c r="N103" s="299" t="n">
        <v>-0.1175</v>
      </c>
      <c r="O103" s="299" t="n">
        <v>-0.1175</v>
      </c>
      <c r="P103" s="299" t="n">
        <v>-0.1275</v>
      </c>
      <c r="Q103" s="299" t="n">
        <v>-0.08475</v>
      </c>
      <c r="R103" s="299" t="n">
        <v>-0.0495</v>
      </c>
      <c r="S103" s="299" t="n">
        <v>0.155</v>
      </c>
      <c r="T103" s="299" t="n">
        <v>0.175</v>
      </c>
      <c r="U103" s="299" t="n">
        <v>0.13</v>
      </c>
      <c r="V103" s="299" t="n">
        <v>0.5</v>
      </c>
      <c r="W103" s="299" t="n">
        <v>0.235</v>
      </c>
      <c r="X103" s="299" t="n">
        <v>0.34</v>
      </c>
      <c r="Y103" s="299" t="n">
        <v>-0.015</v>
      </c>
      <c r="Z103" s="299" t="n">
        <v>-0.0335</v>
      </c>
      <c r="AA103" s="299" t="n">
        <v>0.0075</v>
      </c>
      <c r="AB103" s="299" t="n">
        <v>-0.01</v>
      </c>
      <c r="AC103" s="299" t="n">
        <v>0.0025</v>
      </c>
      <c r="AD103" s="299" t="n">
        <v>-0.0225</v>
      </c>
      <c r="AE103" s="299" t="n">
        <v>-0.075</v>
      </c>
      <c r="AF103" s="299" t="n">
        <v>-0.0595</v>
      </c>
      <c r="AG103" s="299" t="n">
        <v>-0.082</v>
      </c>
      <c r="AH103" s="299" t="n">
        <v>-0.0105</v>
      </c>
      <c r="AI103" s="299" t="n">
        <v>-0.064</v>
      </c>
      <c r="AJ103" s="299" t="n">
        <v>-0.12</v>
      </c>
      <c r="AK103" s="299" t="n">
        <v>-0.008999999</v>
      </c>
      <c r="AL103" s="299" t="n">
        <v>0.031</v>
      </c>
      <c r="AM103" s="299" t="n">
        <v>1.6</v>
      </c>
      <c r="AN103" s="299" t="n">
        <v>-0.03</v>
      </c>
      <c r="AO103" s="299" t="n">
        <v>-0.34</v>
      </c>
      <c r="AP103" s="299" t="n">
        <v>-0.07</v>
      </c>
      <c r="AQ103" s="299" t="n">
        <v>-0.13</v>
      </c>
      <c r="AR103" s="299" t="n">
        <v>0.248</v>
      </c>
      <c r="AS103" s="299" t="n">
        <v>-0.26</v>
      </c>
      <c r="AT103" s="299" t="n">
        <v>0</v>
      </c>
      <c r="AU103" s="299" t="n">
        <v>0.24</v>
      </c>
      <c r="AV103" s="299" t="n">
        <v>-0.34</v>
      </c>
      <c r="AW103" s="299" t="n">
        <v>-0.1775</v>
      </c>
      <c r="AX103" s="299" t="n">
        <v>-0.06</v>
      </c>
      <c r="AY103" s="299" t="n">
        <v>-0.1175</v>
      </c>
      <c r="AZ103" s="299" t="n">
        <v>-0.0495</v>
      </c>
      <c r="BA103" s="299" t="n">
        <v>-0.103</v>
      </c>
      <c r="BB103" s="299" t="n">
        <v>-0.0155</v>
      </c>
      <c r="BC103" s="299" t="n">
        <v>-0.0695</v>
      </c>
      <c r="BD103" s="299" t="n">
        <v>-0.06</v>
      </c>
      <c r="BE103" s="299" t="n">
        <v>-0.075</v>
      </c>
      <c r="BF103" s="299" t="n">
        <v>0</v>
      </c>
      <c r="BG103" s="299" t="n">
        <v>0.17</v>
      </c>
      <c r="BH103" s="299" t="n">
        <v>0.175</v>
      </c>
      <c r="BI103" s="299" t="n">
        <v>0.155</v>
      </c>
      <c r="BJ103" s="299" t="n">
        <v>1.04</v>
      </c>
      <c r="BK103" s="299" t="n">
        <v>0.0025</v>
      </c>
      <c r="BL103" s="299" t="n">
        <v>-0.025</v>
      </c>
      <c r="BM103" s="299" t="n">
        <v>0.005</v>
      </c>
      <c r="BN103" s="299" t="n">
        <v>0</v>
      </c>
      <c r="BO103" s="299" t="n">
        <v>0</v>
      </c>
      <c r="BP103" s="299" t="n">
        <v>0.005</v>
      </c>
      <c r="BQ103" s="299" t="n">
        <v>0.005</v>
      </c>
      <c r="BR103" s="299" t="n">
        <v>0.45</v>
      </c>
      <c r="BS103" s="0" t="n">
        <v>0.02</v>
      </c>
      <c r="BT103" s="0" t="n">
        <v>0.04</v>
      </c>
      <c r="BU103" s="0" t="n">
        <v>0.04</v>
      </c>
      <c r="BV103" s="0" t="n">
        <v>0.03</v>
      </c>
    </row>
    <row r="104" customFormat="false" ht="12.75" hidden="false" customHeight="false" outlineLevel="0" collapsed="false">
      <c r="A104" s="301" t="e">
        <f aca="false">#REF!-B104</f>
        <v>#REF!</v>
      </c>
      <c r="B104" s="301" t="n">
        <v>3.22</v>
      </c>
      <c r="C104" s="308" t="n">
        <f aca="false">EOMONTH(C103,0)+1</f>
        <v>40238</v>
      </c>
      <c r="D104" s="0" t="n">
        <v>3.83</v>
      </c>
      <c r="E104" s="301" t="n">
        <v>0.195</v>
      </c>
      <c r="F104" s="299" t="n">
        <v>0.0570448769131922</v>
      </c>
      <c r="G104" s="299" t="n">
        <v>-0.125</v>
      </c>
      <c r="H104" s="299" t="n">
        <v>-0.145</v>
      </c>
      <c r="I104" s="310" t="n">
        <v>-0.01</v>
      </c>
      <c r="J104" s="310" t="n">
        <v>-0.13</v>
      </c>
      <c r="K104" s="299" t="n">
        <v>0</v>
      </c>
      <c r="L104" s="299" t="n">
        <v>-0.0495</v>
      </c>
      <c r="M104" s="299" t="n">
        <v>-0.0845</v>
      </c>
      <c r="N104" s="299" t="n">
        <v>-0.115</v>
      </c>
      <c r="O104" s="299" t="n">
        <v>-0.115</v>
      </c>
      <c r="P104" s="299" t="n">
        <v>-0.125</v>
      </c>
      <c r="Q104" s="299" t="n">
        <v>-0.0785</v>
      </c>
      <c r="R104" s="299" t="n">
        <v>-0.0495</v>
      </c>
      <c r="S104" s="299" t="n">
        <v>0.155</v>
      </c>
      <c r="T104" s="299" t="n">
        <v>0.175</v>
      </c>
      <c r="U104" s="299" t="n">
        <v>0.13</v>
      </c>
      <c r="V104" s="299" t="n">
        <v>0.5</v>
      </c>
      <c r="W104" s="299" t="n">
        <v>0.195</v>
      </c>
      <c r="X104" s="299" t="n">
        <v>0.29</v>
      </c>
      <c r="Y104" s="299" t="n">
        <v>-0.015</v>
      </c>
      <c r="Z104" s="299" t="n">
        <v>-0.0335</v>
      </c>
      <c r="AA104" s="299" t="n">
        <v>0.015</v>
      </c>
      <c r="AB104" s="299" t="n">
        <v>-0.0025</v>
      </c>
      <c r="AC104" s="299" t="n">
        <v>0.0025</v>
      </c>
      <c r="AD104" s="299" t="n">
        <v>-0.0225</v>
      </c>
      <c r="AE104" s="299" t="n">
        <v>-0.075</v>
      </c>
      <c r="AF104" s="299" t="n">
        <v>-0.0595</v>
      </c>
      <c r="AG104" s="299" t="n">
        <v>-0.082</v>
      </c>
      <c r="AH104" s="299" t="n">
        <v>-0.0105</v>
      </c>
      <c r="AI104" s="299" t="n">
        <v>-0.064</v>
      </c>
      <c r="AJ104" s="299" t="n">
        <v>-0.1075</v>
      </c>
      <c r="AK104" s="299" t="n">
        <v>-0.008999999</v>
      </c>
      <c r="AL104" s="299" t="n">
        <v>0.031</v>
      </c>
      <c r="AM104" s="299" t="n">
        <v>0.64</v>
      </c>
      <c r="AN104" s="299" t="n">
        <v>-0.0175</v>
      </c>
      <c r="AO104" s="299" t="n">
        <v>-0.34</v>
      </c>
      <c r="AP104" s="299" t="n">
        <v>-0.07</v>
      </c>
      <c r="AQ104" s="299" t="n">
        <v>-0.13</v>
      </c>
      <c r="AR104" s="299" t="n">
        <v>0.068</v>
      </c>
      <c r="AS104" s="299" t="n">
        <v>-0.26</v>
      </c>
      <c r="AT104" s="299" t="n">
        <v>0</v>
      </c>
      <c r="AU104" s="299" t="n">
        <v>0.24</v>
      </c>
      <c r="AV104" s="299" t="n">
        <v>-0.34</v>
      </c>
      <c r="AW104" s="299" t="n">
        <v>-0.1675</v>
      </c>
      <c r="AX104" s="299" t="n">
        <v>-0.06</v>
      </c>
      <c r="AY104" s="299" t="n">
        <v>-0.1075</v>
      </c>
      <c r="AZ104" s="299" t="n">
        <v>-0.0495</v>
      </c>
      <c r="BA104" s="299" t="n">
        <v>-0.103</v>
      </c>
      <c r="BB104" s="299" t="n">
        <v>-0.0155</v>
      </c>
      <c r="BC104" s="299" t="n">
        <v>-0.0695</v>
      </c>
      <c r="BD104" s="299" t="n">
        <v>-0.0475</v>
      </c>
      <c r="BE104" s="299" t="n">
        <v>-0.075</v>
      </c>
      <c r="BF104" s="299" t="n">
        <v>0</v>
      </c>
      <c r="BG104" s="299" t="n">
        <v>0.17</v>
      </c>
      <c r="BH104" s="299" t="n">
        <v>0.175</v>
      </c>
      <c r="BI104" s="299" t="n">
        <v>0.155</v>
      </c>
      <c r="BJ104" s="299" t="n">
        <v>0.54</v>
      </c>
      <c r="BK104" s="299" t="n">
        <v>0.0025</v>
      </c>
      <c r="BL104" s="299" t="n">
        <v>-0.02</v>
      </c>
      <c r="BM104" s="299" t="n">
        <v>0.005</v>
      </c>
      <c r="BN104" s="299" t="n">
        <v>0</v>
      </c>
      <c r="BO104" s="299" t="n">
        <v>0</v>
      </c>
      <c r="BP104" s="299" t="n">
        <v>0.005</v>
      </c>
      <c r="BQ104" s="299" t="n">
        <v>0.005</v>
      </c>
      <c r="BR104" s="299" t="n">
        <v>0.1</v>
      </c>
      <c r="BS104" s="0" t="n">
        <v>0.02</v>
      </c>
      <c r="BT104" s="0" t="n">
        <v>0.04</v>
      </c>
      <c r="BU104" s="0" t="n">
        <v>0.04</v>
      </c>
      <c r="BV104" s="0" t="n">
        <v>0.03</v>
      </c>
    </row>
    <row r="105" customFormat="false" ht="12.75" hidden="false" customHeight="false" outlineLevel="0" collapsed="false">
      <c r="A105" s="301" t="e">
        <f aca="false">#REF!-B105</f>
        <v>#REF!</v>
      </c>
      <c r="B105" s="301" t="n">
        <v>3.233</v>
      </c>
      <c r="C105" s="308" t="n">
        <f aca="false">EOMONTH(C104,0)+1</f>
        <v>40269</v>
      </c>
      <c r="D105" s="0" t="n">
        <v>3.645</v>
      </c>
      <c r="E105" s="301" t="n">
        <v>0.19</v>
      </c>
      <c r="F105" s="299" t="n">
        <v>0.0571483753455491</v>
      </c>
      <c r="G105" s="299" t="n">
        <v>-0.13</v>
      </c>
      <c r="H105" s="299" t="n">
        <v>-0.15</v>
      </c>
      <c r="I105" s="310" t="n">
        <v>-0.09</v>
      </c>
      <c r="J105" s="310" t="n">
        <v>-0.13</v>
      </c>
      <c r="K105" s="299" t="n">
        <v>-0.09</v>
      </c>
      <c r="L105" s="299" t="n">
        <v>-0.047</v>
      </c>
      <c r="M105" s="299" t="n">
        <v>-0.067</v>
      </c>
      <c r="N105" s="299" t="n">
        <v>-0.12</v>
      </c>
      <c r="O105" s="299" t="n">
        <v>-0.12</v>
      </c>
      <c r="P105" s="299" t="n">
        <v>-0.13</v>
      </c>
      <c r="Q105" s="299" t="n">
        <v>-0.0585</v>
      </c>
      <c r="R105" s="299" t="n">
        <v>-0.047</v>
      </c>
      <c r="S105" s="299" t="n">
        <v>0.125</v>
      </c>
      <c r="T105" s="299" t="n">
        <v>0.145</v>
      </c>
      <c r="U105" s="299" t="n">
        <v>0.04</v>
      </c>
      <c r="V105" s="299" t="n">
        <v>0.5</v>
      </c>
      <c r="W105" s="299" t="n">
        <v>0.145</v>
      </c>
      <c r="X105" s="299" t="n">
        <v>0.195</v>
      </c>
      <c r="Y105" s="299" t="n">
        <v>-0.0175</v>
      </c>
      <c r="Z105" s="299" t="n">
        <v>-0.0485</v>
      </c>
      <c r="AA105" s="299" t="n">
        <v>0.015</v>
      </c>
      <c r="AB105" s="299" t="n">
        <v>-0.0025</v>
      </c>
      <c r="AC105" s="299" t="n">
        <v>0.0025</v>
      </c>
      <c r="AD105" s="299" t="n">
        <v>-0.0225</v>
      </c>
      <c r="AE105" s="299" t="n">
        <v>-0.0725</v>
      </c>
      <c r="AF105" s="299" t="n">
        <v>-0.057</v>
      </c>
      <c r="AG105" s="299" t="n">
        <v>-0.0795</v>
      </c>
      <c r="AH105" s="299" t="n">
        <v>-0.0155</v>
      </c>
      <c r="AI105" s="299" t="n">
        <v>-0.072</v>
      </c>
      <c r="AJ105" s="299" t="n">
        <v>-0.07</v>
      </c>
      <c r="AK105" s="299" t="n">
        <v>-0.017</v>
      </c>
      <c r="AL105" s="299" t="n">
        <v>0.023</v>
      </c>
      <c r="AM105" s="299" t="n">
        <v>0.38</v>
      </c>
      <c r="AN105" s="299" t="n">
        <v>0.02</v>
      </c>
      <c r="AO105" s="299" t="n">
        <v>-0.45</v>
      </c>
      <c r="AP105" s="299" t="n">
        <v>-0.07</v>
      </c>
      <c r="AQ105" s="299" t="n">
        <v>-0.195</v>
      </c>
      <c r="AR105" s="299" t="n">
        <v>-0.25</v>
      </c>
      <c r="AS105" s="299" t="n">
        <v>-0.37</v>
      </c>
      <c r="AT105" s="299" t="n">
        <v>0</v>
      </c>
      <c r="AU105" s="299" t="n">
        <v>0.26</v>
      </c>
      <c r="AV105" s="299" t="n">
        <v>-0.45</v>
      </c>
      <c r="AW105" s="299" t="n">
        <v>-0.208</v>
      </c>
      <c r="AX105" s="299" t="n">
        <v>-0.06</v>
      </c>
      <c r="AY105" s="299" t="n">
        <v>-0.148</v>
      </c>
      <c r="AZ105" s="299" t="n">
        <v>-0.047</v>
      </c>
      <c r="BA105" s="299" t="n">
        <v>-0.1255</v>
      </c>
      <c r="BB105" s="299" t="n">
        <v>-0.0155</v>
      </c>
      <c r="BC105" s="299" t="n">
        <v>-0.052</v>
      </c>
      <c r="BD105" s="299" t="n">
        <v>-0.01</v>
      </c>
      <c r="BE105" s="299" t="n">
        <v>-0.0725</v>
      </c>
      <c r="BF105" s="299" t="n">
        <v>0</v>
      </c>
      <c r="BG105" s="299" t="n">
        <v>0.14</v>
      </c>
      <c r="BH105" s="299" t="n">
        <v>0.145</v>
      </c>
      <c r="BI105" s="299" t="n">
        <v>0.125</v>
      </c>
      <c r="BJ105" s="299" t="n">
        <v>0.36</v>
      </c>
      <c r="BK105" s="299" t="n">
        <v>0.0025</v>
      </c>
      <c r="BL105" s="299" t="n">
        <v>-0.015</v>
      </c>
      <c r="BM105" s="299" t="n">
        <v>0.005</v>
      </c>
      <c r="BN105" s="299" t="n">
        <v>-0.01</v>
      </c>
      <c r="BO105" s="299" t="n">
        <v>0</v>
      </c>
      <c r="BP105" s="299" t="n">
        <v>0.005</v>
      </c>
      <c r="BQ105" s="299" t="n">
        <v>0.0025</v>
      </c>
      <c r="BR105" s="299" t="n">
        <v>0.02</v>
      </c>
      <c r="BS105" s="0" t="n">
        <v>0.005</v>
      </c>
      <c r="BT105" s="0" t="n">
        <v>0.04</v>
      </c>
      <c r="BU105" s="0" t="n">
        <v>0.04</v>
      </c>
      <c r="BV105" s="0" t="n">
        <v>0.03</v>
      </c>
    </row>
    <row r="106" customFormat="false" ht="12.75" hidden="false" customHeight="false" outlineLevel="0" collapsed="false">
      <c r="A106" s="301" t="e">
        <f aca="false">#REF!-B106</f>
        <v>#REF!</v>
      </c>
      <c r="B106" s="301" t="n">
        <v>3.32</v>
      </c>
      <c r="C106" s="308" t="n">
        <f aca="false">EOMONTH(C105,0)+1</f>
        <v>40299</v>
      </c>
      <c r="D106" s="0" t="n">
        <v>3.64</v>
      </c>
      <c r="E106" s="301" t="n">
        <v>0.185</v>
      </c>
      <c r="F106" s="299" t="n">
        <v>0.0572485351221919</v>
      </c>
      <c r="G106" s="299" t="n">
        <v>-0.13</v>
      </c>
      <c r="H106" s="299" t="n">
        <v>-0.15</v>
      </c>
      <c r="I106" s="310" t="n">
        <v>-0.09</v>
      </c>
      <c r="J106" s="310" t="n">
        <v>-0.13</v>
      </c>
      <c r="K106" s="299" t="n">
        <v>-0.09</v>
      </c>
      <c r="L106" s="299" t="n">
        <v>-0.047</v>
      </c>
      <c r="M106" s="299" t="n">
        <v>-0.067</v>
      </c>
      <c r="N106" s="299" t="n">
        <v>-0.12</v>
      </c>
      <c r="O106" s="299" t="n">
        <v>-0.12</v>
      </c>
      <c r="P106" s="299" t="n">
        <v>-0.13</v>
      </c>
      <c r="Q106" s="299" t="n">
        <v>-0.0585</v>
      </c>
      <c r="R106" s="299" t="n">
        <v>-0.047</v>
      </c>
      <c r="S106" s="299" t="n">
        <v>0.125</v>
      </c>
      <c r="T106" s="299" t="n">
        <v>0.145</v>
      </c>
      <c r="U106" s="299" t="n">
        <v>0.04</v>
      </c>
      <c r="V106" s="299" t="n">
        <v>0.5</v>
      </c>
      <c r="W106" s="299" t="n">
        <v>0.125</v>
      </c>
      <c r="X106" s="299" t="n">
        <v>0.135</v>
      </c>
      <c r="Y106" s="299" t="n">
        <v>-0.0175</v>
      </c>
      <c r="Z106" s="299" t="n">
        <v>-0.0485</v>
      </c>
      <c r="AA106" s="299" t="n">
        <v>0.0175</v>
      </c>
      <c r="AB106" s="299" t="n">
        <v>0.002</v>
      </c>
      <c r="AC106" s="299" t="n">
        <v>0.0025</v>
      </c>
      <c r="AD106" s="299" t="n">
        <v>-0.0225</v>
      </c>
      <c r="AE106" s="299" t="n">
        <v>-0.0725</v>
      </c>
      <c r="AF106" s="299" t="n">
        <v>-0.057</v>
      </c>
      <c r="AG106" s="299" t="n">
        <v>-0.0795</v>
      </c>
      <c r="AH106" s="299" t="n">
        <v>-0.0155</v>
      </c>
      <c r="AI106" s="299" t="n">
        <v>-0.072</v>
      </c>
      <c r="AJ106" s="299" t="n">
        <v>-0.07</v>
      </c>
      <c r="AK106" s="299" t="n">
        <v>-0.017</v>
      </c>
      <c r="AL106" s="299" t="n">
        <v>0.023</v>
      </c>
      <c r="AM106" s="299" t="n">
        <v>0.33</v>
      </c>
      <c r="AN106" s="299" t="n">
        <v>0.02</v>
      </c>
      <c r="AO106" s="299" t="n">
        <v>-0.45</v>
      </c>
      <c r="AP106" s="299" t="n">
        <v>-0.07</v>
      </c>
      <c r="AQ106" s="299" t="n">
        <v>-0.195</v>
      </c>
      <c r="AR106" s="299" t="n">
        <v>-0.25</v>
      </c>
      <c r="AS106" s="299" t="n">
        <v>-0.37</v>
      </c>
      <c r="AT106" s="299" t="n">
        <v>0</v>
      </c>
      <c r="AU106" s="299" t="n">
        <v>0.26</v>
      </c>
      <c r="AV106" s="299" t="n">
        <v>-0.45</v>
      </c>
      <c r="AW106" s="299" t="n">
        <v>-0.1855</v>
      </c>
      <c r="AX106" s="299" t="n">
        <v>-0.06</v>
      </c>
      <c r="AY106" s="299" t="n">
        <v>-0.1255</v>
      </c>
      <c r="AZ106" s="299" t="n">
        <v>-0.047</v>
      </c>
      <c r="BA106" s="299" t="n">
        <v>-0.118</v>
      </c>
      <c r="BB106" s="299" t="n">
        <v>-0.0155</v>
      </c>
      <c r="BC106" s="299" t="n">
        <v>-0.052</v>
      </c>
      <c r="BD106" s="299" t="n">
        <v>-0.01</v>
      </c>
      <c r="BE106" s="299" t="n">
        <v>-0.0725</v>
      </c>
      <c r="BF106" s="299" t="n">
        <v>0</v>
      </c>
      <c r="BG106" s="299" t="n">
        <v>0.14</v>
      </c>
      <c r="BH106" s="299" t="n">
        <v>0.145</v>
      </c>
      <c r="BI106" s="299" t="n">
        <v>0.125</v>
      </c>
      <c r="BJ106" s="299" t="n">
        <v>0.325</v>
      </c>
      <c r="BK106" s="299" t="n">
        <v>0.0025</v>
      </c>
      <c r="BL106" s="299" t="n">
        <v>-0.015</v>
      </c>
      <c r="BM106" s="299" t="n">
        <v>0.005</v>
      </c>
      <c r="BN106" s="299" t="n">
        <v>-0.01</v>
      </c>
      <c r="BO106" s="299" t="n">
        <v>0</v>
      </c>
      <c r="BP106" s="299" t="n">
        <v>0.005</v>
      </c>
      <c r="BQ106" s="299" t="n">
        <v>0.0025</v>
      </c>
      <c r="BR106" s="299" t="n">
        <v>0.02</v>
      </c>
      <c r="BS106" s="0" t="n">
        <v>0.005</v>
      </c>
      <c r="BT106" s="0" t="n">
        <v>0.04</v>
      </c>
      <c r="BU106" s="0" t="n">
        <v>0.04</v>
      </c>
      <c r="BV106" s="0" t="n">
        <v>0.03</v>
      </c>
    </row>
    <row r="107" customFormat="false" ht="12.75" hidden="false" customHeight="false" outlineLevel="0" collapsed="false">
      <c r="A107" s="301" t="e">
        <f aca="false">#REF!-B107</f>
        <v>#REF!</v>
      </c>
      <c r="B107" s="301" t="n">
        <v>3.414</v>
      </c>
      <c r="C107" s="308" t="n">
        <f aca="false">EOMONTH(C106,0)+1</f>
        <v>40330</v>
      </c>
      <c r="D107" s="0" t="n">
        <v>3.675</v>
      </c>
      <c r="E107" s="301" t="n">
        <v>0.185</v>
      </c>
      <c r="F107" s="299" t="n">
        <v>0.0573520335615627</v>
      </c>
      <c r="G107" s="299" t="n">
        <v>-0.13</v>
      </c>
      <c r="H107" s="299" t="n">
        <v>-0.15</v>
      </c>
      <c r="I107" s="310" t="n">
        <v>-0.09</v>
      </c>
      <c r="J107" s="310" t="n">
        <v>-0.13</v>
      </c>
      <c r="K107" s="299" t="n">
        <v>-0.09</v>
      </c>
      <c r="L107" s="299" t="n">
        <v>-0.047</v>
      </c>
      <c r="M107" s="299" t="n">
        <v>-0.067</v>
      </c>
      <c r="N107" s="299" t="n">
        <v>-0.12</v>
      </c>
      <c r="O107" s="299" t="n">
        <v>-0.12</v>
      </c>
      <c r="P107" s="299" t="n">
        <v>-0.13</v>
      </c>
      <c r="Q107" s="299" t="n">
        <v>-0.056</v>
      </c>
      <c r="R107" s="299" t="n">
        <v>-0.047</v>
      </c>
      <c r="S107" s="299" t="n">
        <v>0.125</v>
      </c>
      <c r="T107" s="299" t="n">
        <v>0.145</v>
      </c>
      <c r="U107" s="299" t="n">
        <v>0.04</v>
      </c>
      <c r="V107" s="299" t="n">
        <v>0.5</v>
      </c>
      <c r="W107" s="299" t="n">
        <v>0.145</v>
      </c>
      <c r="X107" s="299" t="n">
        <v>0.165</v>
      </c>
      <c r="Y107" s="299" t="n">
        <v>-0.0175</v>
      </c>
      <c r="Z107" s="299" t="n">
        <v>-0.046</v>
      </c>
      <c r="AA107" s="299" t="n">
        <v>0.0175</v>
      </c>
      <c r="AB107" s="299" t="n">
        <v>0</v>
      </c>
      <c r="AC107" s="299" t="n">
        <v>0.0025</v>
      </c>
      <c r="AD107" s="299" t="n">
        <v>-0.0225</v>
      </c>
      <c r="AE107" s="299" t="n">
        <v>-0.0725</v>
      </c>
      <c r="AF107" s="299" t="n">
        <v>-0.057</v>
      </c>
      <c r="AG107" s="299" t="n">
        <v>-0.0795</v>
      </c>
      <c r="AH107" s="299" t="n">
        <v>-0.0155</v>
      </c>
      <c r="AI107" s="299" t="n">
        <v>-0.072</v>
      </c>
      <c r="AJ107" s="299" t="n">
        <v>-0.065</v>
      </c>
      <c r="AK107" s="299" t="n">
        <v>-0.017</v>
      </c>
      <c r="AL107" s="299" t="n">
        <v>0.023</v>
      </c>
      <c r="AM107" s="299" t="n">
        <v>0.37</v>
      </c>
      <c r="AN107" s="299" t="n">
        <v>0.025</v>
      </c>
      <c r="AO107" s="299" t="n">
        <v>-0.45</v>
      </c>
      <c r="AP107" s="299" t="n">
        <v>-0.07</v>
      </c>
      <c r="AQ107" s="299" t="n">
        <v>-0.195</v>
      </c>
      <c r="AR107" s="299" t="n">
        <v>-0.25</v>
      </c>
      <c r="AS107" s="299" t="n">
        <v>-0.37</v>
      </c>
      <c r="AT107" s="299" t="n">
        <v>0</v>
      </c>
      <c r="AU107" s="299" t="n">
        <v>0.26</v>
      </c>
      <c r="AV107" s="299" t="n">
        <v>-0.45</v>
      </c>
      <c r="AW107" s="299" t="n">
        <v>-0.133</v>
      </c>
      <c r="AX107" s="299" t="n">
        <v>-0.06</v>
      </c>
      <c r="AY107" s="299" t="n">
        <v>-0.073</v>
      </c>
      <c r="AZ107" s="299" t="n">
        <v>-0.047</v>
      </c>
      <c r="BA107" s="299" t="n">
        <v>-0.0755</v>
      </c>
      <c r="BB107" s="299" t="n">
        <v>-0.0155</v>
      </c>
      <c r="BC107" s="299" t="n">
        <v>-0.052</v>
      </c>
      <c r="BD107" s="299" t="n">
        <v>-0.005</v>
      </c>
      <c r="BE107" s="299" t="n">
        <v>-0.0725</v>
      </c>
      <c r="BF107" s="299" t="n">
        <v>0</v>
      </c>
      <c r="BG107" s="299" t="n">
        <v>0.14</v>
      </c>
      <c r="BH107" s="299" t="n">
        <v>0.145</v>
      </c>
      <c r="BI107" s="299" t="n">
        <v>0.125</v>
      </c>
      <c r="BJ107" s="299" t="n">
        <v>0.335</v>
      </c>
      <c r="BK107" s="299" t="n">
        <v>0.0025</v>
      </c>
      <c r="BL107" s="299" t="n">
        <v>-0.015</v>
      </c>
      <c r="BM107" s="299" t="n">
        <v>0.005</v>
      </c>
      <c r="BN107" s="299" t="n">
        <v>-0.01</v>
      </c>
      <c r="BO107" s="299" t="n">
        <v>0</v>
      </c>
      <c r="BP107" s="299" t="n">
        <v>0.005</v>
      </c>
      <c r="BQ107" s="299" t="n">
        <v>0.0025</v>
      </c>
      <c r="BR107" s="299" t="n">
        <v>0.035</v>
      </c>
      <c r="BS107" s="0" t="n">
        <v>0.005</v>
      </c>
      <c r="BT107" s="0" t="n">
        <v>0.04</v>
      </c>
      <c r="BU107" s="0" t="n">
        <v>0.04</v>
      </c>
      <c r="BV107" s="0" t="n">
        <v>0.03</v>
      </c>
    </row>
    <row r="108" customFormat="false" ht="12.75" hidden="false" customHeight="false" outlineLevel="0" collapsed="false">
      <c r="A108" s="301" t="e">
        <f aca="false">#REF!-B108</f>
        <v>#REF!</v>
      </c>
      <c r="B108" s="301" t="n">
        <v>3.655</v>
      </c>
      <c r="C108" s="308" t="n">
        <f aca="false">EOMONTH(C107,0)+1</f>
        <v>40360</v>
      </c>
      <c r="D108" s="0" t="n">
        <v>3.715</v>
      </c>
      <c r="E108" s="301" t="n">
        <v>0.185</v>
      </c>
      <c r="F108" s="299" t="n">
        <v>0.0574521933449916</v>
      </c>
      <c r="G108" s="299" t="n">
        <v>-0.13</v>
      </c>
      <c r="H108" s="299" t="n">
        <v>-0.15</v>
      </c>
      <c r="I108" s="310" t="n">
        <v>-0.09</v>
      </c>
      <c r="J108" s="310" t="n">
        <v>-0.13</v>
      </c>
      <c r="K108" s="299" t="n">
        <v>-0.09</v>
      </c>
      <c r="L108" s="299" t="n">
        <v>-0.047</v>
      </c>
      <c r="M108" s="299" t="n">
        <v>-0.067</v>
      </c>
      <c r="N108" s="299" t="n">
        <v>-0.12</v>
      </c>
      <c r="O108" s="299" t="n">
        <v>-0.12</v>
      </c>
      <c r="P108" s="299" t="n">
        <v>-0.13</v>
      </c>
      <c r="Q108" s="299" t="n">
        <v>-0.05475</v>
      </c>
      <c r="R108" s="299" t="n">
        <v>-0.047</v>
      </c>
      <c r="S108" s="299" t="n">
        <v>0.125</v>
      </c>
      <c r="T108" s="299" t="n">
        <v>0.145</v>
      </c>
      <c r="U108" s="299" t="n">
        <v>0.04</v>
      </c>
      <c r="V108" s="299" t="n">
        <v>0.5</v>
      </c>
      <c r="W108" s="299" t="n">
        <v>0.15</v>
      </c>
      <c r="X108" s="299" t="n">
        <v>0.205</v>
      </c>
      <c r="Y108" s="299" t="n">
        <v>-0.0175</v>
      </c>
      <c r="Z108" s="299" t="n">
        <v>-0.046</v>
      </c>
      <c r="AA108" s="299" t="n">
        <v>0.0175</v>
      </c>
      <c r="AB108" s="299" t="n">
        <v>0</v>
      </c>
      <c r="AC108" s="299" t="n">
        <v>0.0025</v>
      </c>
      <c r="AD108" s="299" t="n">
        <v>-0.0225</v>
      </c>
      <c r="AE108" s="299" t="n">
        <v>-0.0725</v>
      </c>
      <c r="AF108" s="299" t="n">
        <v>-0.057</v>
      </c>
      <c r="AG108" s="299" t="n">
        <v>-0.0795</v>
      </c>
      <c r="AH108" s="299" t="n">
        <v>-0.0155</v>
      </c>
      <c r="AI108" s="299" t="n">
        <v>-0.072</v>
      </c>
      <c r="AJ108" s="299" t="n">
        <v>-0.0625</v>
      </c>
      <c r="AK108" s="299" t="n">
        <v>-0.017</v>
      </c>
      <c r="AL108" s="299" t="n">
        <v>0.023</v>
      </c>
      <c r="AM108" s="299" t="n">
        <v>0.41</v>
      </c>
      <c r="AN108" s="299" t="n">
        <v>0.0275</v>
      </c>
      <c r="AO108" s="299" t="n">
        <v>-0.45</v>
      </c>
      <c r="AP108" s="299" t="n">
        <v>-0.07</v>
      </c>
      <c r="AQ108" s="299" t="n">
        <v>-0.195</v>
      </c>
      <c r="AR108" s="299" t="n">
        <v>-0.25</v>
      </c>
      <c r="AS108" s="299" t="n">
        <v>-0.37</v>
      </c>
      <c r="AT108" s="299" t="n">
        <v>0</v>
      </c>
      <c r="AU108" s="299" t="n">
        <v>0.26</v>
      </c>
      <c r="AV108" s="299" t="n">
        <v>-0.45</v>
      </c>
      <c r="AW108" s="299" t="n">
        <v>-0.143</v>
      </c>
      <c r="AX108" s="299" t="n">
        <v>-0.06</v>
      </c>
      <c r="AY108" s="299" t="n">
        <v>-0.083</v>
      </c>
      <c r="AZ108" s="299" t="n">
        <v>-0.047</v>
      </c>
      <c r="BA108" s="299" t="n">
        <v>-0.073</v>
      </c>
      <c r="BB108" s="299" t="n">
        <v>-0.0155</v>
      </c>
      <c r="BC108" s="299" t="n">
        <v>-0.052</v>
      </c>
      <c r="BD108" s="299" t="n">
        <v>-0.0025</v>
      </c>
      <c r="BE108" s="299" t="n">
        <v>-0.0725</v>
      </c>
      <c r="BF108" s="299" t="n">
        <v>0</v>
      </c>
      <c r="BG108" s="299" t="n">
        <v>0.14</v>
      </c>
      <c r="BH108" s="299" t="n">
        <v>0.145</v>
      </c>
      <c r="BI108" s="299" t="n">
        <v>0.125</v>
      </c>
      <c r="BJ108" s="299" t="n">
        <v>0.35</v>
      </c>
      <c r="BK108" s="299" t="n">
        <v>0.0025</v>
      </c>
      <c r="BL108" s="299" t="n">
        <v>-0.01</v>
      </c>
      <c r="BM108" s="299" t="n">
        <v>0.005</v>
      </c>
      <c r="BN108" s="299" t="n">
        <v>-0.01</v>
      </c>
      <c r="BO108" s="299" t="n">
        <v>0</v>
      </c>
      <c r="BP108" s="299" t="n">
        <v>0.005</v>
      </c>
      <c r="BQ108" s="299" t="n">
        <v>0.0025</v>
      </c>
      <c r="BR108" s="299" t="n">
        <v>0.035</v>
      </c>
      <c r="BS108" s="0" t="n">
        <v>0.005</v>
      </c>
      <c r="BT108" s="0" t="n">
        <v>0.04</v>
      </c>
      <c r="BU108" s="0" t="n">
        <v>0.04</v>
      </c>
      <c r="BV108" s="0" t="n">
        <v>0.03</v>
      </c>
    </row>
    <row r="109" customFormat="false" ht="12.75" hidden="false" customHeight="false" outlineLevel="0" collapsed="false">
      <c r="A109" s="301" t="e">
        <f aca="false">#REF!-B109</f>
        <v>#REF!</v>
      </c>
      <c r="B109" s="301" t="n">
        <v>3.552</v>
      </c>
      <c r="C109" s="308" t="n">
        <f aca="false">EOMONTH(C108,0)+1</f>
        <v>40391</v>
      </c>
      <c r="D109" s="0" t="n">
        <v>3.755</v>
      </c>
      <c r="E109" s="301" t="n">
        <v>0.185</v>
      </c>
      <c r="F109" s="299" t="n">
        <v>0.0575556917913746</v>
      </c>
      <c r="G109" s="299" t="n">
        <v>-0.13</v>
      </c>
      <c r="H109" s="299" t="n">
        <v>-0.15</v>
      </c>
      <c r="I109" s="310" t="n">
        <v>-0.09</v>
      </c>
      <c r="J109" s="310" t="n">
        <v>-0.13</v>
      </c>
      <c r="K109" s="299" t="n">
        <v>-0.09</v>
      </c>
      <c r="L109" s="299" t="n">
        <v>-0.047</v>
      </c>
      <c r="M109" s="299" t="n">
        <v>-0.067</v>
      </c>
      <c r="N109" s="299" t="n">
        <v>-0.12</v>
      </c>
      <c r="O109" s="299" t="n">
        <v>-0.12</v>
      </c>
      <c r="P109" s="299" t="n">
        <v>-0.13</v>
      </c>
      <c r="Q109" s="299" t="n">
        <v>-0.0535</v>
      </c>
      <c r="R109" s="299" t="n">
        <v>-0.047</v>
      </c>
      <c r="S109" s="299" t="n">
        <v>0.125</v>
      </c>
      <c r="T109" s="299" t="n">
        <v>0.145</v>
      </c>
      <c r="U109" s="299" t="n">
        <v>0.04</v>
      </c>
      <c r="V109" s="299" t="n">
        <v>0.5</v>
      </c>
      <c r="W109" s="299" t="n">
        <v>0.15</v>
      </c>
      <c r="X109" s="299" t="n">
        <v>0.205</v>
      </c>
      <c r="Y109" s="299" t="n">
        <v>-0.0175</v>
      </c>
      <c r="Z109" s="299" t="n">
        <v>-0.046</v>
      </c>
      <c r="AA109" s="299" t="n">
        <v>0.0125</v>
      </c>
      <c r="AB109" s="299" t="n">
        <v>-0.005</v>
      </c>
      <c r="AC109" s="299" t="n">
        <v>0.0025</v>
      </c>
      <c r="AD109" s="299" t="n">
        <v>-0.0225</v>
      </c>
      <c r="AE109" s="299" t="n">
        <v>-0.0725</v>
      </c>
      <c r="AF109" s="299" t="n">
        <v>-0.057</v>
      </c>
      <c r="AG109" s="299" t="n">
        <v>-0.0795</v>
      </c>
      <c r="AH109" s="299" t="n">
        <v>-0.0155</v>
      </c>
      <c r="AI109" s="299" t="n">
        <v>-0.072</v>
      </c>
      <c r="AJ109" s="299" t="n">
        <v>-0.06</v>
      </c>
      <c r="AK109" s="299" t="n">
        <v>-0.017</v>
      </c>
      <c r="AL109" s="299" t="n">
        <v>0.023</v>
      </c>
      <c r="AM109" s="299" t="n">
        <v>0.41</v>
      </c>
      <c r="AN109" s="299" t="n">
        <v>0.03</v>
      </c>
      <c r="AO109" s="299" t="n">
        <v>-0.45</v>
      </c>
      <c r="AP109" s="299" t="n">
        <v>-0.07</v>
      </c>
      <c r="AQ109" s="299" t="n">
        <v>-0.195</v>
      </c>
      <c r="AR109" s="299" t="n">
        <v>-0.25</v>
      </c>
      <c r="AS109" s="299" t="n">
        <v>-0.37</v>
      </c>
      <c r="AT109" s="299" t="n">
        <v>0</v>
      </c>
      <c r="AU109" s="299" t="n">
        <v>0.26</v>
      </c>
      <c r="AV109" s="299" t="n">
        <v>-0.45</v>
      </c>
      <c r="AW109" s="299" t="n">
        <v>-0.138</v>
      </c>
      <c r="AX109" s="299" t="n">
        <v>-0.06</v>
      </c>
      <c r="AY109" s="299" t="n">
        <v>-0.078</v>
      </c>
      <c r="AZ109" s="299" t="n">
        <v>-0.047</v>
      </c>
      <c r="BA109" s="299" t="n">
        <v>-0.0705</v>
      </c>
      <c r="BB109" s="299" t="n">
        <v>-0.0155</v>
      </c>
      <c r="BC109" s="299" t="n">
        <v>-0.052</v>
      </c>
      <c r="BD109" s="299" t="n">
        <v>0</v>
      </c>
      <c r="BE109" s="299" t="n">
        <v>-0.0725</v>
      </c>
      <c r="BF109" s="299" t="n">
        <v>0</v>
      </c>
      <c r="BG109" s="299" t="n">
        <v>0.14</v>
      </c>
      <c r="BH109" s="299" t="n">
        <v>0.145</v>
      </c>
      <c r="BI109" s="299" t="n">
        <v>0.125</v>
      </c>
      <c r="BJ109" s="299" t="n">
        <v>0.35</v>
      </c>
      <c r="BK109" s="299" t="n">
        <v>0.0025</v>
      </c>
      <c r="BL109" s="299" t="n">
        <v>-0.01</v>
      </c>
      <c r="BM109" s="299" t="n">
        <v>0.005</v>
      </c>
      <c r="BN109" s="299" t="n">
        <v>-0.01</v>
      </c>
      <c r="BO109" s="299" t="n">
        <v>0</v>
      </c>
      <c r="BP109" s="299" t="n">
        <v>0.005</v>
      </c>
      <c r="BQ109" s="299" t="n">
        <v>0.0025</v>
      </c>
      <c r="BR109" s="299" t="n">
        <v>0.01</v>
      </c>
      <c r="BS109" s="0" t="n">
        <v>0.005</v>
      </c>
      <c r="BT109" s="0" t="n">
        <v>0.04</v>
      </c>
      <c r="BU109" s="0" t="n">
        <v>0.04</v>
      </c>
      <c r="BV109" s="0" t="n">
        <v>0.03</v>
      </c>
    </row>
    <row r="110" customFormat="false" ht="12.75" hidden="false" customHeight="false" outlineLevel="0" collapsed="false">
      <c r="A110" s="301" t="e">
        <f aca="false">#REF!-B110</f>
        <v>#REF!</v>
      </c>
      <c r="B110" s="301" t="n">
        <v>3.412</v>
      </c>
      <c r="C110" s="308" t="n">
        <f aca="false">EOMONTH(C109,0)+1</f>
        <v>40422</v>
      </c>
      <c r="D110" s="0" t="n">
        <v>3.75</v>
      </c>
      <c r="E110" s="301" t="n">
        <v>0.185</v>
      </c>
      <c r="F110" s="299" t="n">
        <v>0.0576591902413206</v>
      </c>
      <c r="G110" s="299" t="n">
        <v>-0.13</v>
      </c>
      <c r="H110" s="299" t="n">
        <v>-0.15</v>
      </c>
      <c r="I110" s="310" t="n">
        <v>-0.09</v>
      </c>
      <c r="J110" s="310" t="n">
        <v>-0.13</v>
      </c>
      <c r="K110" s="299" t="n">
        <v>-0.09</v>
      </c>
      <c r="L110" s="299" t="n">
        <v>-0.047</v>
      </c>
      <c r="M110" s="299" t="n">
        <v>-0.067</v>
      </c>
      <c r="N110" s="299" t="n">
        <v>-0.12</v>
      </c>
      <c r="O110" s="299" t="n">
        <v>-0.12</v>
      </c>
      <c r="P110" s="299" t="n">
        <v>-0.13</v>
      </c>
      <c r="Q110" s="299" t="n">
        <v>-0.05725</v>
      </c>
      <c r="R110" s="299" t="n">
        <v>-0.047</v>
      </c>
      <c r="S110" s="299" t="n">
        <v>0.125</v>
      </c>
      <c r="T110" s="299" t="n">
        <v>0.145</v>
      </c>
      <c r="U110" s="299" t="n">
        <v>0.04</v>
      </c>
      <c r="V110" s="299" t="n">
        <v>0.5</v>
      </c>
      <c r="W110" s="299" t="n">
        <v>0.125</v>
      </c>
      <c r="X110" s="299" t="n">
        <v>0.145</v>
      </c>
      <c r="Y110" s="299" t="n">
        <v>-0.0175</v>
      </c>
      <c r="Z110" s="299" t="n">
        <v>-0.051</v>
      </c>
      <c r="AA110" s="299" t="n">
        <v>0.0125</v>
      </c>
      <c r="AB110" s="299" t="n">
        <v>-0.005</v>
      </c>
      <c r="AC110" s="299" t="n">
        <v>0.0025</v>
      </c>
      <c r="AD110" s="299" t="n">
        <v>-0.0225</v>
      </c>
      <c r="AE110" s="299" t="n">
        <v>-0.0725</v>
      </c>
      <c r="AF110" s="299" t="n">
        <v>-0.057</v>
      </c>
      <c r="AG110" s="299" t="n">
        <v>-0.0795</v>
      </c>
      <c r="AH110" s="299" t="n">
        <v>-0.0155</v>
      </c>
      <c r="AI110" s="299" t="n">
        <v>-0.072</v>
      </c>
      <c r="AJ110" s="299" t="n">
        <v>-0.0675</v>
      </c>
      <c r="AK110" s="299" t="n">
        <v>-0.017</v>
      </c>
      <c r="AL110" s="299" t="n">
        <v>0.023</v>
      </c>
      <c r="AM110" s="299" t="n">
        <v>0.36</v>
      </c>
      <c r="AN110" s="299" t="n">
        <v>0.0225</v>
      </c>
      <c r="AO110" s="299" t="n">
        <v>-0.45</v>
      </c>
      <c r="AP110" s="299" t="n">
        <v>-0.07</v>
      </c>
      <c r="AQ110" s="299" t="n">
        <v>-0.195</v>
      </c>
      <c r="AR110" s="299" t="n">
        <v>-0.25</v>
      </c>
      <c r="AS110" s="299" t="n">
        <v>-0.37</v>
      </c>
      <c r="AT110" s="299" t="n">
        <v>0</v>
      </c>
      <c r="AU110" s="299" t="n">
        <v>0.26</v>
      </c>
      <c r="AV110" s="299" t="n">
        <v>-0.45</v>
      </c>
      <c r="AW110" s="299" t="n">
        <v>-0.148</v>
      </c>
      <c r="AX110" s="299" t="n">
        <v>-0.06</v>
      </c>
      <c r="AY110" s="299" t="n">
        <v>-0.088</v>
      </c>
      <c r="AZ110" s="299" t="n">
        <v>-0.047</v>
      </c>
      <c r="BA110" s="299" t="n">
        <v>-0.0755</v>
      </c>
      <c r="BB110" s="299" t="n">
        <v>-0.0155</v>
      </c>
      <c r="BC110" s="299" t="n">
        <v>-0.052</v>
      </c>
      <c r="BD110" s="299" t="n">
        <v>-0.0075</v>
      </c>
      <c r="BE110" s="299" t="n">
        <v>-0.0725</v>
      </c>
      <c r="BF110" s="299" t="n">
        <v>0</v>
      </c>
      <c r="BG110" s="299" t="n">
        <v>0.14</v>
      </c>
      <c r="BH110" s="299" t="n">
        <v>0.145</v>
      </c>
      <c r="BI110" s="299" t="n">
        <v>0.125</v>
      </c>
      <c r="BJ110" s="299" t="n">
        <v>0.315</v>
      </c>
      <c r="BK110" s="299" t="n">
        <v>0.0025</v>
      </c>
      <c r="BL110" s="299" t="n">
        <v>-0.01</v>
      </c>
      <c r="BM110" s="299" t="n">
        <v>0.005</v>
      </c>
      <c r="BN110" s="299" t="n">
        <v>-0.01</v>
      </c>
      <c r="BO110" s="299" t="n">
        <v>0</v>
      </c>
      <c r="BP110" s="299" t="n">
        <v>0.005</v>
      </c>
      <c r="BQ110" s="299" t="n">
        <v>0.0025</v>
      </c>
      <c r="BR110" s="299" t="n">
        <v>0.01</v>
      </c>
      <c r="BS110" s="0" t="n">
        <v>0.005</v>
      </c>
      <c r="BT110" s="0" t="n">
        <v>0.04</v>
      </c>
      <c r="BU110" s="0" t="n">
        <v>0.04</v>
      </c>
      <c r="BV110" s="0" t="n">
        <v>0.03</v>
      </c>
    </row>
    <row r="111" customFormat="false" ht="12.75" hidden="false" customHeight="false" outlineLevel="0" collapsed="false">
      <c r="A111" s="301" t="e">
        <f aca="false">#REF!-B111</f>
        <v>#REF!</v>
      </c>
      <c r="B111" s="301" t="n">
        <v>3.275</v>
      </c>
      <c r="C111" s="308" t="n">
        <f aca="false">EOMONTH(C110,0)+1</f>
        <v>40452</v>
      </c>
      <c r="D111" s="0" t="n">
        <v>3.775</v>
      </c>
      <c r="E111" s="301" t="n">
        <v>0.185</v>
      </c>
      <c r="F111" s="299" t="n">
        <v>0.057759350034984</v>
      </c>
      <c r="G111" s="299" t="n">
        <v>-0.13</v>
      </c>
      <c r="H111" s="299" t="n">
        <v>-0.15</v>
      </c>
      <c r="I111" s="310" t="n">
        <v>-0.09</v>
      </c>
      <c r="J111" s="310" t="n">
        <v>-0.13</v>
      </c>
      <c r="K111" s="299" t="n">
        <v>-0.09</v>
      </c>
      <c r="L111" s="299" t="n">
        <v>-0.047</v>
      </c>
      <c r="M111" s="299" t="n">
        <v>-0.067</v>
      </c>
      <c r="N111" s="299" t="n">
        <v>-0.12</v>
      </c>
      <c r="O111" s="299" t="n">
        <v>-0.12</v>
      </c>
      <c r="P111" s="299" t="n">
        <v>-0.13</v>
      </c>
      <c r="Q111" s="299" t="n">
        <v>-0.06225</v>
      </c>
      <c r="R111" s="299" t="n">
        <v>-0.047</v>
      </c>
      <c r="S111" s="299" t="n">
        <v>0.125</v>
      </c>
      <c r="T111" s="299" t="n">
        <v>0.145</v>
      </c>
      <c r="U111" s="299" t="n">
        <v>0.04</v>
      </c>
      <c r="V111" s="299" t="n">
        <v>0.5</v>
      </c>
      <c r="W111" s="299" t="n">
        <v>0.145</v>
      </c>
      <c r="X111" s="299" t="n">
        <v>0.175</v>
      </c>
      <c r="Y111" s="299" t="n">
        <v>-0.0175</v>
      </c>
      <c r="Z111" s="299" t="n">
        <v>-0.051</v>
      </c>
      <c r="AA111" s="299" t="n">
        <v>0.0075</v>
      </c>
      <c r="AB111" s="299" t="n">
        <v>-0.01</v>
      </c>
      <c r="AC111" s="299" t="n">
        <v>0.0025</v>
      </c>
      <c r="AD111" s="299" t="n">
        <v>-0.0225</v>
      </c>
      <c r="AE111" s="299" t="n">
        <v>-0.0725</v>
      </c>
      <c r="AF111" s="299" t="n">
        <v>-0.057</v>
      </c>
      <c r="AG111" s="299" t="n">
        <v>-0.0795</v>
      </c>
      <c r="AH111" s="299" t="n">
        <v>-0.0155</v>
      </c>
      <c r="AI111" s="299" t="n">
        <v>-0.072</v>
      </c>
      <c r="AJ111" s="299" t="n">
        <v>-0.0775</v>
      </c>
      <c r="AK111" s="299" t="n">
        <v>-0.017</v>
      </c>
      <c r="AL111" s="299" t="n">
        <v>0.023</v>
      </c>
      <c r="AM111" s="299" t="n">
        <v>0.4</v>
      </c>
      <c r="AN111" s="299" t="n">
        <v>0.0125</v>
      </c>
      <c r="AO111" s="299" t="n">
        <v>-0.45</v>
      </c>
      <c r="AP111" s="299" t="n">
        <v>-0.07</v>
      </c>
      <c r="AQ111" s="299" t="n">
        <v>-0.195</v>
      </c>
      <c r="AR111" s="299" t="n">
        <v>-0.25</v>
      </c>
      <c r="AS111" s="299" t="n">
        <v>-0.37</v>
      </c>
      <c r="AT111" s="299" t="n">
        <v>0</v>
      </c>
      <c r="AU111" s="299" t="n">
        <v>0.26</v>
      </c>
      <c r="AV111" s="299" t="n">
        <v>-0.45</v>
      </c>
      <c r="AW111" s="299" t="n">
        <v>-0.1355</v>
      </c>
      <c r="AX111" s="299" t="n">
        <v>-0.06</v>
      </c>
      <c r="AY111" s="299" t="n">
        <v>-0.0755</v>
      </c>
      <c r="AZ111" s="299" t="n">
        <v>-0.047</v>
      </c>
      <c r="BA111" s="299" t="n">
        <v>-0.078</v>
      </c>
      <c r="BB111" s="299" t="n">
        <v>-0.0155</v>
      </c>
      <c r="BC111" s="299" t="n">
        <v>-0.052</v>
      </c>
      <c r="BD111" s="299" t="n">
        <v>-0.0175</v>
      </c>
      <c r="BE111" s="299" t="n">
        <v>-0.0725</v>
      </c>
      <c r="BF111" s="299" t="n">
        <v>0</v>
      </c>
      <c r="BG111" s="299" t="n">
        <v>0.14</v>
      </c>
      <c r="BH111" s="299" t="n">
        <v>0.145</v>
      </c>
      <c r="BI111" s="299" t="n">
        <v>0.125</v>
      </c>
      <c r="BJ111" s="299" t="n">
        <v>0.36</v>
      </c>
      <c r="BK111" s="299" t="n">
        <v>0.0025</v>
      </c>
      <c r="BL111" s="299" t="n">
        <v>-0.015</v>
      </c>
      <c r="BM111" s="299" t="n">
        <v>0.005</v>
      </c>
      <c r="BN111" s="299" t="n">
        <v>-0.01</v>
      </c>
      <c r="BO111" s="299" t="n">
        <v>0</v>
      </c>
      <c r="BP111" s="299" t="n">
        <v>0.005</v>
      </c>
      <c r="BQ111" s="299" t="n">
        <v>0.0025</v>
      </c>
      <c r="BR111" s="299" t="n">
        <v>0.01</v>
      </c>
      <c r="BS111" s="0" t="n">
        <v>0.005</v>
      </c>
      <c r="BT111" s="0" t="n">
        <v>0.04</v>
      </c>
      <c r="BU111" s="0" t="n">
        <v>0.04</v>
      </c>
      <c r="BV111" s="0" t="n">
        <v>0.03</v>
      </c>
    </row>
    <row r="112" customFormat="false" ht="12.75" hidden="false" customHeight="false" outlineLevel="0" collapsed="false">
      <c r="A112" s="301" t="e">
        <f aca="false">#REF!-B112</f>
        <v>#REF!</v>
      </c>
      <c r="B112" s="301" t="n">
        <v>3.253</v>
      </c>
      <c r="C112" s="308" t="n">
        <f aca="false">EOMONTH(C111,0)+1</f>
        <v>40483</v>
      </c>
      <c r="D112" s="0" t="n">
        <v>3.927</v>
      </c>
      <c r="E112" s="301" t="n">
        <v>0.185</v>
      </c>
      <c r="F112" s="299" t="n">
        <v>0.0578628484919417</v>
      </c>
      <c r="G112" s="299" t="n">
        <v>-0.13</v>
      </c>
      <c r="H112" s="299" t="n">
        <v>-0.15</v>
      </c>
      <c r="I112" s="310" t="n">
        <v>-0.01</v>
      </c>
      <c r="J112" s="310" t="n">
        <v>-0.13</v>
      </c>
      <c r="K112" s="299" t="n">
        <v>0</v>
      </c>
      <c r="L112" s="299" t="n">
        <v>-0.0465</v>
      </c>
      <c r="M112" s="299" t="n">
        <v>-0.0815</v>
      </c>
      <c r="N112" s="299" t="n">
        <v>-0.12</v>
      </c>
      <c r="O112" s="299" t="n">
        <v>-0.12</v>
      </c>
      <c r="P112" s="299" t="n">
        <v>-0.13</v>
      </c>
      <c r="Q112" s="299" t="n">
        <v>-0.0795</v>
      </c>
      <c r="R112" s="299" t="n">
        <v>-0.0465</v>
      </c>
      <c r="S112" s="299" t="n">
        <v>0.155</v>
      </c>
      <c r="T112" s="299" t="n">
        <v>0.175</v>
      </c>
      <c r="U112" s="299" t="n">
        <v>0.13</v>
      </c>
      <c r="V112" s="299" t="n">
        <v>0.5</v>
      </c>
      <c r="W112" s="299" t="n">
        <v>0.195</v>
      </c>
      <c r="X112" s="299" t="n">
        <v>0.21</v>
      </c>
      <c r="Y112" s="299" t="n">
        <v>-0.015</v>
      </c>
      <c r="Z112" s="299" t="n">
        <v>-0.032</v>
      </c>
      <c r="AA112" s="299" t="n">
        <v>0.0085</v>
      </c>
      <c r="AB112" s="299" t="n">
        <v>-0.009</v>
      </c>
      <c r="AC112" s="299" t="n">
        <v>0.0025</v>
      </c>
      <c r="AD112" s="299" t="n">
        <v>-0.0225</v>
      </c>
      <c r="AE112" s="299" t="n">
        <v>-0.075</v>
      </c>
      <c r="AF112" s="299" t="n">
        <v>-0.0595</v>
      </c>
      <c r="AG112" s="299" t="n">
        <v>-0.082</v>
      </c>
      <c r="AH112" s="299" t="n">
        <v>-0.012</v>
      </c>
      <c r="AI112" s="299" t="n">
        <v>-0.064</v>
      </c>
      <c r="AJ112" s="299" t="n">
        <v>-0.1125</v>
      </c>
      <c r="AK112" s="299" t="n">
        <v>-0.008999999</v>
      </c>
      <c r="AL112" s="299" t="n">
        <v>0.031</v>
      </c>
      <c r="AM112" s="299" t="n">
        <v>0.65</v>
      </c>
      <c r="AN112" s="299" t="n">
        <v>-0.0225</v>
      </c>
      <c r="AO112" s="299" t="n">
        <v>-0.34</v>
      </c>
      <c r="AP112" s="299" t="n">
        <v>-0.07</v>
      </c>
      <c r="AQ112" s="299" t="n">
        <v>-0.13</v>
      </c>
      <c r="AR112" s="299" t="n">
        <v>0.248</v>
      </c>
      <c r="AS112" s="299" t="n">
        <v>-0.26</v>
      </c>
      <c r="AT112" s="299" t="n">
        <v>0</v>
      </c>
      <c r="AU112" s="299" t="n">
        <v>0.35</v>
      </c>
      <c r="AV112" s="299" t="n">
        <v>-0.34</v>
      </c>
      <c r="AW112" s="299" t="n">
        <v>-0.143</v>
      </c>
      <c r="AX112" s="299" t="n">
        <v>-0.06</v>
      </c>
      <c r="AY112" s="299" t="n">
        <v>-0.083</v>
      </c>
      <c r="AZ112" s="299" t="n">
        <v>-0.0465</v>
      </c>
      <c r="BA112" s="299" t="n">
        <v>-0.073</v>
      </c>
      <c r="BB112" s="299" t="n">
        <v>-0.017</v>
      </c>
      <c r="BC112" s="299" t="n">
        <v>-0.0665</v>
      </c>
      <c r="BD112" s="299" t="n">
        <v>-0.0525</v>
      </c>
      <c r="BE112" s="299" t="n">
        <v>-0.075</v>
      </c>
      <c r="BF112" s="299" t="n">
        <v>0</v>
      </c>
      <c r="BG112" s="299" t="n">
        <v>0.17</v>
      </c>
      <c r="BH112" s="299" t="n">
        <v>0.175</v>
      </c>
      <c r="BI112" s="299" t="n">
        <v>0.155</v>
      </c>
      <c r="BJ112" s="299" t="n">
        <v>0.46</v>
      </c>
      <c r="BK112" s="299" t="n">
        <v>0.0025</v>
      </c>
      <c r="BL112" s="299" t="n">
        <v>-0.02</v>
      </c>
      <c r="BM112" s="299" t="n">
        <v>0.005</v>
      </c>
      <c r="BN112" s="299" t="n">
        <v>0</v>
      </c>
      <c r="BO112" s="299" t="n">
        <v>0</v>
      </c>
      <c r="BP112" s="299" t="n">
        <v>0.005</v>
      </c>
      <c r="BQ112" s="299" t="n">
        <v>0.005</v>
      </c>
      <c r="BR112" s="299" t="n">
        <v>0.055</v>
      </c>
      <c r="BS112" s="0" t="n">
        <v>0.02</v>
      </c>
      <c r="BT112" s="0" t="n">
        <v>0.042</v>
      </c>
      <c r="BU112" s="0" t="n">
        <v>0.042</v>
      </c>
      <c r="BV112" s="0" t="n">
        <v>0.03</v>
      </c>
    </row>
    <row r="113" customFormat="false" ht="12.75" hidden="false" customHeight="false" outlineLevel="0" collapsed="false">
      <c r="A113" s="301" t="e">
        <f aca="false">#REF!-B113</f>
        <v>#REF!</v>
      </c>
      <c r="B113" s="301" t="n">
        <v>3.239</v>
      </c>
      <c r="C113" s="308" t="n">
        <f aca="false">EOMONTH(C112,0)+1</f>
        <v>40513</v>
      </c>
      <c r="D113" s="0" t="n">
        <v>4.07</v>
      </c>
      <c r="E113" s="301" t="n">
        <v>0.185</v>
      </c>
      <c r="F113" s="299" t="n">
        <v>0.0579630082923899</v>
      </c>
      <c r="G113" s="299" t="n">
        <v>-0.1325</v>
      </c>
      <c r="H113" s="299" t="n">
        <v>-0.1525</v>
      </c>
      <c r="I113" s="310" t="n">
        <v>-0.005</v>
      </c>
      <c r="J113" s="310" t="n">
        <v>-0.13</v>
      </c>
      <c r="K113" s="299" t="n">
        <v>0.005</v>
      </c>
      <c r="L113" s="299" t="n">
        <v>-0.0465</v>
      </c>
      <c r="M113" s="299" t="n">
        <v>-0.0815</v>
      </c>
      <c r="N113" s="299" t="n">
        <v>-0.1225</v>
      </c>
      <c r="O113" s="299" t="n">
        <v>-0.1225</v>
      </c>
      <c r="P113" s="299" t="n">
        <v>-0.1325</v>
      </c>
      <c r="Q113" s="299" t="n">
        <v>-0.09075</v>
      </c>
      <c r="R113" s="299" t="n">
        <v>-0.0465</v>
      </c>
      <c r="S113" s="299" t="n">
        <v>0.155</v>
      </c>
      <c r="T113" s="299" t="n">
        <v>0.175</v>
      </c>
      <c r="U113" s="299" t="n">
        <v>0.13</v>
      </c>
      <c r="V113" s="299" t="n">
        <v>0.5</v>
      </c>
      <c r="W113" s="299" t="n">
        <v>0.215</v>
      </c>
      <c r="X113" s="299" t="n">
        <v>0.29</v>
      </c>
      <c r="Y113" s="299" t="n">
        <v>-0.015</v>
      </c>
      <c r="Z113" s="299" t="n">
        <v>-0.032</v>
      </c>
      <c r="AA113" s="299" t="n">
        <v>0.0085</v>
      </c>
      <c r="AB113" s="299" t="n">
        <v>-0.009</v>
      </c>
      <c r="AC113" s="299" t="n">
        <v>0.0025</v>
      </c>
      <c r="AD113" s="299" t="n">
        <v>-0.0225</v>
      </c>
      <c r="AE113" s="299" t="n">
        <v>-0.075</v>
      </c>
      <c r="AF113" s="299" t="n">
        <v>-0.0575</v>
      </c>
      <c r="AG113" s="299" t="n">
        <v>-0.08</v>
      </c>
      <c r="AH113" s="299" t="n">
        <v>-0.009499999</v>
      </c>
      <c r="AI113" s="299" t="n">
        <v>-0.064</v>
      </c>
      <c r="AJ113" s="299" t="n">
        <v>-0.135</v>
      </c>
      <c r="AK113" s="299" t="n">
        <v>-0.008999999</v>
      </c>
      <c r="AL113" s="299" t="n">
        <v>0.031</v>
      </c>
      <c r="AM113" s="299" t="n">
        <v>0.98</v>
      </c>
      <c r="AN113" s="299" t="n">
        <v>-0.045</v>
      </c>
      <c r="AO113" s="299" t="n">
        <v>-0.34</v>
      </c>
      <c r="AP113" s="299" t="n">
        <v>-0.07</v>
      </c>
      <c r="AQ113" s="299" t="n">
        <v>-0.13</v>
      </c>
      <c r="AR113" s="299" t="n">
        <v>0.308</v>
      </c>
      <c r="AS113" s="299" t="n">
        <v>-0.26</v>
      </c>
      <c r="AT113" s="299" t="n">
        <v>0</v>
      </c>
      <c r="AU113" s="299" t="n">
        <v>0.35</v>
      </c>
      <c r="AV113" s="299" t="n">
        <v>-0.34</v>
      </c>
      <c r="AW113" s="299" t="n">
        <v>-0.1705</v>
      </c>
      <c r="AX113" s="299" t="n">
        <v>-0.06</v>
      </c>
      <c r="AY113" s="299" t="n">
        <v>-0.1105</v>
      </c>
      <c r="AZ113" s="299" t="n">
        <v>-0.0465</v>
      </c>
      <c r="BA113" s="299" t="n">
        <v>-0.1005</v>
      </c>
      <c r="BB113" s="299" t="n">
        <v>-0.0145</v>
      </c>
      <c r="BC113" s="299" t="n">
        <v>-0.0665</v>
      </c>
      <c r="BD113" s="299" t="n">
        <v>-0.075</v>
      </c>
      <c r="BE113" s="299" t="n">
        <v>-0.075</v>
      </c>
      <c r="BF113" s="299" t="n">
        <v>0</v>
      </c>
      <c r="BG113" s="299" t="n">
        <v>0.17</v>
      </c>
      <c r="BH113" s="299" t="n">
        <v>0.175</v>
      </c>
      <c r="BI113" s="299" t="n">
        <v>0.155</v>
      </c>
      <c r="BJ113" s="299" t="n">
        <v>0.77</v>
      </c>
      <c r="BK113" s="299" t="n">
        <v>0.0025</v>
      </c>
      <c r="BL113" s="299" t="n">
        <v>-0.025</v>
      </c>
      <c r="BM113" s="299" t="n">
        <v>0.005</v>
      </c>
      <c r="BN113" s="299" t="n">
        <v>0</v>
      </c>
      <c r="BO113" s="299" t="n">
        <v>0</v>
      </c>
      <c r="BP113" s="299" t="n">
        <v>0.005</v>
      </c>
      <c r="BQ113" s="299" t="n">
        <v>0.005</v>
      </c>
      <c r="BR113" s="299" t="n">
        <v>0.25</v>
      </c>
      <c r="BS113" s="0" t="n">
        <v>0.02</v>
      </c>
      <c r="BT113" s="0" t="n">
        <v>0.042</v>
      </c>
      <c r="BU113" s="0" t="n">
        <v>0.042</v>
      </c>
      <c r="BV113" s="0" t="n">
        <v>0.03</v>
      </c>
    </row>
    <row r="114" customFormat="false" ht="12.75" hidden="false" customHeight="false" outlineLevel="0" collapsed="false">
      <c r="A114" s="301" t="e">
        <f aca="false">#REF!-B114</f>
        <v>#REF!</v>
      </c>
      <c r="B114" s="301" t="n">
        <v>3.304</v>
      </c>
      <c r="C114" s="308" t="n">
        <f aca="false">EOMONTH(C113,0)+1</f>
        <v>40544</v>
      </c>
      <c r="D114" s="0" t="n">
        <v>4.1275</v>
      </c>
      <c r="E114" s="301" t="n">
        <v>0.185</v>
      </c>
      <c r="F114" s="299" t="n">
        <v>0.0580665067563584</v>
      </c>
      <c r="G114" s="299" t="n">
        <v>-0.135</v>
      </c>
      <c r="H114" s="299" t="n">
        <v>-0.155</v>
      </c>
      <c r="I114" s="310" t="n">
        <v>0.015</v>
      </c>
      <c r="J114" s="310" t="n">
        <v>-0.13</v>
      </c>
      <c r="K114" s="299" t="n">
        <v>0.025</v>
      </c>
      <c r="L114" s="299" t="n">
        <v>-0.0465</v>
      </c>
      <c r="M114" s="299" t="n">
        <v>-0.0815</v>
      </c>
      <c r="N114" s="299" t="n">
        <v>-0.125</v>
      </c>
      <c r="O114" s="299" t="n">
        <v>-0.125</v>
      </c>
      <c r="P114" s="299" t="n">
        <v>-0.135</v>
      </c>
      <c r="Q114" s="299" t="n">
        <v>-0.092</v>
      </c>
      <c r="R114" s="299" t="n">
        <v>-0.0465</v>
      </c>
      <c r="S114" s="299" t="n">
        <v>0.155</v>
      </c>
      <c r="T114" s="299" t="n">
        <v>0.175</v>
      </c>
      <c r="U114" s="299" t="n">
        <v>0.13</v>
      </c>
      <c r="V114" s="299" t="n">
        <v>0.5</v>
      </c>
      <c r="W114" s="299" t="n">
        <v>0.235</v>
      </c>
      <c r="X114" s="299" t="n">
        <v>0.34</v>
      </c>
      <c r="Y114" s="299" t="n">
        <v>-0.013</v>
      </c>
      <c r="Z114" s="299" t="n">
        <v>-0.032</v>
      </c>
      <c r="AA114" s="299" t="n">
        <v>0.0085</v>
      </c>
      <c r="AB114" s="299" t="n">
        <v>-0.009</v>
      </c>
      <c r="AC114" s="299" t="n">
        <v>0.0025</v>
      </c>
      <c r="AD114" s="299" t="n">
        <v>-0.0225</v>
      </c>
      <c r="AE114" s="299" t="n">
        <v>-0.075</v>
      </c>
      <c r="AF114" s="299" t="n">
        <v>-0.0575</v>
      </c>
      <c r="AG114" s="299" t="n">
        <v>-0.08</v>
      </c>
      <c r="AH114" s="299" t="n">
        <v>-0.009499999</v>
      </c>
      <c r="AI114" s="299" t="n">
        <v>-0.064</v>
      </c>
      <c r="AJ114" s="299" t="n">
        <v>-0.1375</v>
      </c>
      <c r="AK114" s="299" t="n">
        <v>-0.008999999</v>
      </c>
      <c r="AL114" s="299" t="n">
        <v>0.031</v>
      </c>
      <c r="AM114" s="299" t="n">
        <v>1.6</v>
      </c>
      <c r="AN114" s="299" t="n">
        <v>-0.0475</v>
      </c>
      <c r="AO114" s="299" t="n">
        <v>-0.34</v>
      </c>
      <c r="AP114" s="299" t="n">
        <v>-0.07</v>
      </c>
      <c r="AQ114" s="299" t="n">
        <v>-0.13</v>
      </c>
      <c r="AR114" s="299" t="n">
        <v>0.378</v>
      </c>
      <c r="AS114" s="299" t="n">
        <v>-0.26</v>
      </c>
      <c r="AT114" s="299" t="n">
        <v>0</v>
      </c>
      <c r="AU114" s="299" t="n">
        <v>0.35</v>
      </c>
      <c r="AV114" s="299" t="n">
        <v>-0.34</v>
      </c>
      <c r="AW114" s="299" t="n">
        <v>-0.1855</v>
      </c>
      <c r="AX114" s="299" t="n">
        <v>-0.06</v>
      </c>
      <c r="AY114" s="299" t="n">
        <v>-0.1255</v>
      </c>
      <c r="AZ114" s="299" t="n">
        <v>-0.0465</v>
      </c>
      <c r="BA114" s="299" t="n">
        <v>-0.101</v>
      </c>
      <c r="BB114" s="299" t="n">
        <v>-0.0145</v>
      </c>
      <c r="BC114" s="299" t="n">
        <v>-0.0665</v>
      </c>
      <c r="BD114" s="299" t="n">
        <v>-0.0775</v>
      </c>
      <c r="BE114" s="299" t="n">
        <v>-0.075</v>
      </c>
      <c r="BF114" s="299" t="n">
        <v>0</v>
      </c>
      <c r="BG114" s="299" t="n">
        <v>0.17</v>
      </c>
      <c r="BH114" s="299" t="n">
        <v>0.175</v>
      </c>
      <c r="BI114" s="299" t="n">
        <v>0.155</v>
      </c>
      <c r="BJ114" s="299" t="n">
        <v>1.04</v>
      </c>
      <c r="BK114" s="299" t="n">
        <v>0.0025</v>
      </c>
      <c r="BL114" s="299" t="n">
        <v>-0.025</v>
      </c>
      <c r="BM114" s="299" t="n">
        <v>0.005</v>
      </c>
      <c r="BN114" s="299" t="n">
        <v>0</v>
      </c>
      <c r="BO114" s="299" t="n">
        <v>0</v>
      </c>
      <c r="BP114" s="299" t="n">
        <v>0.005</v>
      </c>
      <c r="BQ114" s="299" t="n">
        <v>0.005</v>
      </c>
      <c r="BR114" s="299" t="n">
        <v>0.45</v>
      </c>
      <c r="BS114" s="0" t="n">
        <v>0.02</v>
      </c>
      <c r="BT114" s="0" t="n">
        <v>0.042</v>
      </c>
      <c r="BU114" s="0" t="n">
        <v>0.042</v>
      </c>
      <c r="BV114" s="0" t="n">
        <v>0.03</v>
      </c>
    </row>
    <row r="115" customFormat="false" ht="12.75" hidden="false" customHeight="false" outlineLevel="0" collapsed="false">
      <c r="A115" s="301" t="e">
        <f aca="false">#REF!-B115</f>
        <v>#REF!</v>
      </c>
      <c r="B115" s="301" t="n">
        <v>3.299</v>
      </c>
      <c r="C115" s="308" t="n">
        <f aca="false">EOMONTH(C114,0)+1</f>
        <v>40575</v>
      </c>
      <c r="D115" s="0" t="n">
        <v>4.0425</v>
      </c>
      <c r="E115" s="301" t="n">
        <v>0.185</v>
      </c>
      <c r="F115" s="299" t="n">
        <v>0.0581700052238889</v>
      </c>
      <c r="G115" s="299" t="n">
        <v>-0.1275</v>
      </c>
      <c r="H115" s="299" t="n">
        <v>-0.1475</v>
      </c>
      <c r="I115" s="310" t="n">
        <v>0.01</v>
      </c>
      <c r="J115" s="310" t="n">
        <v>-0.13</v>
      </c>
      <c r="K115" s="299" t="n">
        <v>0.02</v>
      </c>
      <c r="L115" s="299" t="n">
        <v>-0.0465</v>
      </c>
      <c r="M115" s="299" t="n">
        <v>-0.0815</v>
      </c>
      <c r="N115" s="299" t="n">
        <v>-0.1175</v>
      </c>
      <c r="O115" s="299" t="n">
        <v>-0.1175</v>
      </c>
      <c r="P115" s="299" t="n">
        <v>-0.1275</v>
      </c>
      <c r="Q115" s="299" t="n">
        <v>-0.08325</v>
      </c>
      <c r="R115" s="299" t="n">
        <v>-0.0465</v>
      </c>
      <c r="S115" s="299" t="n">
        <v>0.155</v>
      </c>
      <c r="T115" s="299" t="n">
        <v>0.175</v>
      </c>
      <c r="U115" s="299" t="n">
        <v>0.13</v>
      </c>
      <c r="V115" s="299" t="n">
        <v>0.5</v>
      </c>
      <c r="W115" s="299" t="n">
        <v>0.235</v>
      </c>
      <c r="X115" s="299" t="n">
        <v>0.34</v>
      </c>
      <c r="Y115" s="299" t="n">
        <v>-0.013</v>
      </c>
      <c r="Z115" s="299" t="n">
        <v>-0.032</v>
      </c>
      <c r="AA115" s="299" t="n">
        <v>0.0085</v>
      </c>
      <c r="AB115" s="299" t="n">
        <v>-0.009</v>
      </c>
      <c r="AC115" s="299" t="n">
        <v>0.0025</v>
      </c>
      <c r="AD115" s="299" t="n">
        <v>-0.0225</v>
      </c>
      <c r="AE115" s="299" t="n">
        <v>-0.075</v>
      </c>
      <c r="AF115" s="299" t="n">
        <v>-0.0575</v>
      </c>
      <c r="AG115" s="299" t="n">
        <v>-0.08</v>
      </c>
      <c r="AH115" s="299" t="n">
        <v>-0.009499999</v>
      </c>
      <c r="AI115" s="299" t="n">
        <v>-0.064</v>
      </c>
      <c r="AJ115" s="299" t="n">
        <v>-0.12</v>
      </c>
      <c r="AK115" s="299" t="n">
        <v>-0.008999999</v>
      </c>
      <c r="AL115" s="299" t="n">
        <v>0.031</v>
      </c>
      <c r="AM115" s="299" t="n">
        <v>1.6</v>
      </c>
      <c r="AN115" s="299" t="n">
        <v>-0.03</v>
      </c>
      <c r="AO115" s="299" t="n">
        <v>-0.34</v>
      </c>
      <c r="AP115" s="299" t="n">
        <v>-0.07</v>
      </c>
      <c r="AQ115" s="299" t="n">
        <v>-0.13</v>
      </c>
      <c r="AR115" s="299" t="n">
        <v>0.248</v>
      </c>
      <c r="AS115" s="299" t="n">
        <v>-0.26</v>
      </c>
      <c r="AT115" s="299" t="n">
        <v>0</v>
      </c>
      <c r="AU115" s="299" t="n">
        <v>0.35</v>
      </c>
      <c r="AV115" s="299" t="n">
        <v>-0.34</v>
      </c>
      <c r="AW115" s="299" t="n">
        <v>-0.1755</v>
      </c>
      <c r="AX115" s="299" t="n">
        <v>-0.06</v>
      </c>
      <c r="AY115" s="299" t="n">
        <v>-0.1155</v>
      </c>
      <c r="AZ115" s="299" t="n">
        <v>-0.0465</v>
      </c>
      <c r="BA115" s="299" t="n">
        <v>-0.101</v>
      </c>
      <c r="BB115" s="299" t="n">
        <v>-0.0145</v>
      </c>
      <c r="BC115" s="299" t="n">
        <v>-0.0665</v>
      </c>
      <c r="BD115" s="299" t="n">
        <v>-0.06</v>
      </c>
      <c r="BE115" s="299" t="n">
        <v>-0.075</v>
      </c>
      <c r="BF115" s="299" t="n">
        <v>0</v>
      </c>
      <c r="BG115" s="299" t="n">
        <v>0.17</v>
      </c>
      <c r="BH115" s="299" t="n">
        <v>0.175</v>
      </c>
      <c r="BI115" s="299" t="n">
        <v>0.155</v>
      </c>
      <c r="BJ115" s="299" t="n">
        <v>1.04</v>
      </c>
      <c r="BK115" s="299" t="n">
        <v>0.0025</v>
      </c>
      <c r="BL115" s="299" t="n">
        <v>-0.025</v>
      </c>
      <c r="BM115" s="299" t="n">
        <v>0.005</v>
      </c>
      <c r="BN115" s="299" t="n">
        <v>0</v>
      </c>
      <c r="BO115" s="299" t="n">
        <v>0</v>
      </c>
      <c r="BP115" s="299" t="n">
        <v>0.005</v>
      </c>
      <c r="BQ115" s="299" t="n">
        <v>0.005</v>
      </c>
      <c r="BR115" s="299" t="n">
        <v>0.45</v>
      </c>
      <c r="BS115" s="0" t="n">
        <v>0.02</v>
      </c>
      <c r="BT115" s="0" t="n">
        <v>0.042</v>
      </c>
      <c r="BU115" s="0" t="n">
        <v>0.042</v>
      </c>
      <c r="BV115" s="0" t="n">
        <v>0.03</v>
      </c>
    </row>
    <row r="116" customFormat="false" ht="12.75" hidden="false" customHeight="false" outlineLevel="0" collapsed="false">
      <c r="A116" s="301" t="e">
        <f aca="false">#REF!-B116</f>
        <v>#REF!</v>
      </c>
      <c r="B116" s="301" t="n">
        <v>3.283</v>
      </c>
      <c r="C116" s="308" t="n">
        <f aca="false">EOMONTH(C115,0)+1</f>
        <v>40603</v>
      </c>
      <c r="D116" s="0" t="n">
        <v>3.9125</v>
      </c>
      <c r="E116" s="301" t="n">
        <v>0.18</v>
      </c>
      <c r="F116" s="299" t="n">
        <v>0.0582634877137527</v>
      </c>
      <c r="G116" s="299" t="n">
        <v>-0.125</v>
      </c>
      <c r="H116" s="299" t="n">
        <v>-0.145</v>
      </c>
      <c r="I116" s="310" t="n">
        <v>-0.01</v>
      </c>
      <c r="J116" s="310" t="n">
        <v>-0.13</v>
      </c>
      <c r="K116" s="299" t="n">
        <v>0</v>
      </c>
      <c r="L116" s="299" t="n">
        <v>-0.0465</v>
      </c>
      <c r="M116" s="299" t="n">
        <v>-0.0815</v>
      </c>
      <c r="N116" s="299" t="n">
        <v>-0.115</v>
      </c>
      <c r="O116" s="299" t="n">
        <v>-0.115</v>
      </c>
      <c r="P116" s="299" t="n">
        <v>-0.125</v>
      </c>
      <c r="Q116" s="299" t="n">
        <v>-0.077</v>
      </c>
      <c r="R116" s="299" t="n">
        <v>-0.0465</v>
      </c>
      <c r="S116" s="299" t="n">
        <v>0.155</v>
      </c>
      <c r="T116" s="299" t="n">
        <v>0.175</v>
      </c>
      <c r="U116" s="299" t="n">
        <v>0.13</v>
      </c>
      <c r="V116" s="299" t="n">
        <v>0.5</v>
      </c>
      <c r="W116" s="299" t="n">
        <v>0.195</v>
      </c>
      <c r="X116" s="299" t="n">
        <v>0.29</v>
      </c>
      <c r="Y116" s="299" t="n">
        <v>-0.013</v>
      </c>
      <c r="Z116" s="299" t="n">
        <v>-0.032</v>
      </c>
      <c r="AA116" s="299" t="n">
        <v>0.016</v>
      </c>
      <c r="AB116" s="299" t="n">
        <v>-0.0015</v>
      </c>
      <c r="AC116" s="299" t="n">
        <v>0.0025</v>
      </c>
      <c r="AD116" s="299" t="n">
        <v>-0.0225</v>
      </c>
      <c r="AE116" s="299" t="n">
        <v>-0.075</v>
      </c>
      <c r="AF116" s="299" t="n">
        <v>-0.0575</v>
      </c>
      <c r="AG116" s="299" t="n">
        <v>-0.08</v>
      </c>
      <c r="AH116" s="299" t="n">
        <v>-0.009499999</v>
      </c>
      <c r="AI116" s="299" t="n">
        <v>-0.064</v>
      </c>
      <c r="AJ116" s="299" t="n">
        <v>-0.1075</v>
      </c>
      <c r="AK116" s="299" t="n">
        <v>-0.008999999</v>
      </c>
      <c r="AL116" s="299" t="n">
        <v>0.031</v>
      </c>
      <c r="AM116" s="299" t="n">
        <v>0.64</v>
      </c>
      <c r="AN116" s="299" t="n">
        <v>-0.0175</v>
      </c>
      <c r="AO116" s="299" t="n">
        <v>-0.34</v>
      </c>
      <c r="AP116" s="299" t="n">
        <v>-0.07</v>
      </c>
      <c r="AQ116" s="299" t="n">
        <v>-0.13</v>
      </c>
      <c r="AR116" s="299" t="n">
        <v>0.068</v>
      </c>
      <c r="AS116" s="299" t="n">
        <v>-0.26</v>
      </c>
      <c r="AT116" s="299" t="n">
        <v>0</v>
      </c>
      <c r="AU116" s="299" t="n">
        <v>0.35</v>
      </c>
      <c r="AV116" s="299" t="n">
        <v>-0.34</v>
      </c>
      <c r="AW116" s="299" t="n">
        <v>-0.1655</v>
      </c>
      <c r="AX116" s="299" t="n">
        <v>-0.06</v>
      </c>
      <c r="AY116" s="299" t="n">
        <v>-0.1055</v>
      </c>
      <c r="AZ116" s="299" t="n">
        <v>-0.0465</v>
      </c>
      <c r="BA116" s="299" t="n">
        <v>-0.101</v>
      </c>
      <c r="BB116" s="299" t="n">
        <v>-0.0145</v>
      </c>
      <c r="BC116" s="299" t="n">
        <v>-0.0665</v>
      </c>
      <c r="BD116" s="299" t="n">
        <v>-0.0475</v>
      </c>
      <c r="BE116" s="299" t="n">
        <v>-0.075</v>
      </c>
      <c r="BF116" s="299" t="n">
        <v>0</v>
      </c>
      <c r="BG116" s="299" t="n">
        <v>0.17</v>
      </c>
      <c r="BH116" s="299" t="n">
        <v>0.175</v>
      </c>
      <c r="BI116" s="299" t="n">
        <v>0.155</v>
      </c>
      <c r="BJ116" s="299" t="n">
        <v>0.54</v>
      </c>
      <c r="BK116" s="299" t="n">
        <v>0.0025</v>
      </c>
      <c r="BL116" s="299" t="n">
        <v>-0.02</v>
      </c>
      <c r="BM116" s="299" t="n">
        <v>0.005</v>
      </c>
      <c r="BN116" s="299" t="n">
        <v>0</v>
      </c>
      <c r="BO116" s="299" t="n">
        <v>0</v>
      </c>
      <c r="BP116" s="299" t="n">
        <v>0.005</v>
      </c>
      <c r="BQ116" s="299" t="n">
        <v>0.005</v>
      </c>
      <c r="BR116" s="299" t="n">
        <v>0.1</v>
      </c>
      <c r="BS116" s="0" t="n">
        <v>0.02</v>
      </c>
      <c r="BT116" s="0" t="n">
        <v>0.042</v>
      </c>
      <c r="BU116" s="0" t="n">
        <v>0.042</v>
      </c>
      <c r="BV116" s="0" t="n">
        <v>0.03</v>
      </c>
    </row>
    <row r="117" customFormat="false" ht="12.75" hidden="false" customHeight="false" outlineLevel="0" collapsed="false">
      <c r="A117" s="301" t="e">
        <f aca="false">#REF!-B117</f>
        <v>#REF!</v>
      </c>
      <c r="B117" s="301" t="n">
        <v>3.295</v>
      </c>
      <c r="C117" s="308" t="n">
        <f aca="false">EOMONTH(C116,0)+1</f>
        <v>40634</v>
      </c>
      <c r="D117" s="0" t="n">
        <v>3.7275</v>
      </c>
      <c r="E117" s="301" t="n">
        <v>0.18</v>
      </c>
      <c r="F117" s="299" t="n">
        <v>0.0583669861880636</v>
      </c>
      <c r="G117" s="299" t="n">
        <v>-0.13</v>
      </c>
      <c r="H117" s="299" t="n">
        <v>-0.15</v>
      </c>
      <c r="I117" s="310" t="n">
        <v>-0.09</v>
      </c>
      <c r="J117" s="310" t="n">
        <v>-0.13</v>
      </c>
      <c r="K117" s="299" t="n">
        <v>-0.09</v>
      </c>
      <c r="L117" s="299" t="n">
        <v>-0.044</v>
      </c>
      <c r="M117" s="299" t="n">
        <v>-0.064</v>
      </c>
      <c r="N117" s="299" t="n">
        <v>-0.12</v>
      </c>
      <c r="O117" s="299" t="n">
        <v>-0.12</v>
      </c>
      <c r="P117" s="299" t="n">
        <v>-0.13</v>
      </c>
      <c r="Q117" s="299" t="n">
        <v>-0.057</v>
      </c>
      <c r="R117" s="299" t="n">
        <v>-0.044</v>
      </c>
      <c r="S117" s="299" t="n">
        <v>0.125</v>
      </c>
      <c r="T117" s="299" t="n">
        <v>0.145</v>
      </c>
      <c r="U117" s="299" t="n">
        <v>0.04</v>
      </c>
      <c r="V117" s="299" t="n">
        <v>0.5</v>
      </c>
      <c r="W117" s="299" t="n">
        <v>0.145</v>
      </c>
      <c r="X117" s="299" t="n">
        <v>0.195</v>
      </c>
      <c r="Y117" s="299" t="n">
        <v>-0.0155</v>
      </c>
      <c r="Z117" s="299" t="n">
        <v>-0.047</v>
      </c>
      <c r="AA117" s="299" t="n">
        <v>0.016</v>
      </c>
      <c r="AB117" s="299" t="n">
        <v>-0.0015</v>
      </c>
      <c r="AC117" s="299" t="n">
        <v>0.0025</v>
      </c>
      <c r="AD117" s="299" t="n">
        <v>-0.0225</v>
      </c>
      <c r="AE117" s="299" t="n">
        <v>-0.0725</v>
      </c>
      <c r="AF117" s="299" t="n">
        <v>-0.055</v>
      </c>
      <c r="AG117" s="299" t="n">
        <v>-0.0775</v>
      </c>
      <c r="AH117" s="299" t="n">
        <v>-0.0145</v>
      </c>
      <c r="AI117" s="299" t="n">
        <v>-0.072</v>
      </c>
      <c r="AJ117" s="299" t="n">
        <v>-0.07</v>
      </c>
      <c r="AK117" s="299" t="n">
        <v>-0.017</v>
      </c>
      <c r="AL117" s="299" t="n">
        <v>0.023</v>
      </c>
      <c r="AM117" s="299" t="n">
        <v>0.38</v>
      </c>
      <c r="AN117" s="299" t="n">
        <v>0.02</v>
      </c>
      <c r="AO117" s="299" t="n">
        <v>-0.45</v>
      </c>
      <c r="AP117" s="299" t="n">
        <v>-0.07</v>
      </c>
      <c r="AQ117" s="299" t="n">
        <v>-0.195</v>
      </c>
      <c r="AR117" s="299" t="n">
        <v>-0.25</v>
      </c>
      <c r="AS117" s="299" t="n">
        <v>-0.37</v>
      </c>
      <c r="AT117" s="299" t="n">
        <v>0</v>
      </c>
      <c r="AU117" s="299" t="n">
        <v>0.43</v>
      </c>
      <c r="AV117" s="299" t="n">
        <v>-0.45</v>
      </c>
      <c r="AW117" s="299" t="n">
        <v>-0.206</v>
      </c>
      <c r="AX117" s="299" t="n">
        <v>-0.06</v>
      </c>
      <c r="AY117" s="299" t="n">
        <v>-0.146</v>
      </c>
      <c r="AZ117" s="299" t="n">
        <v>-0.044</v>
      </c>
      <c r="BA117" s="299" t="n">
        <v>-0.1235</v>
      </c>
      <c r="BB117" s="299" t="n">
        <v>-0.0145</v>
      </c>
      <c r="BC117" s="299" t="n">
        <v>-0.049</v>
      </c>
      <c r="BD117" s="299" t="n">
        <v>-0.01</v>
      </c>
      <c r="BE117" s="299" t="n">
        <v>-0.0725</v>
      </c>
      <c r="BF117" s="299" t="n">
        <v>0</v>
      </c>
      <c r="BG117" s="299" t="n">
        <v>0.14</v>
      </c>
      <c r="BH117" s="299" t="n">
        <v>0.145</v>
      </c>
      <c r="BI117" s="299" t="n">
        <v>0.125</v>
      </c>
      <c r="BJ117" s="299" t="n">
        <v>0.36</v>
      </c>
      <c r="BK117" s="299" t="n">
        <v>0.0025</v>
      </c>
      <c r="BL117" s="299" t="n">
        <v>-0.015</v>
      </c>
      <c r="BM117" s="299" t="n">
        <v>0.005</v>
      </c>
      <c r="BN117" s="299" t="n">
        <v>-0.01</v>
      </c>
      <c r="BO117" s="299" t="n">
        <v>0</v>
      </c>
      <c r="BP117" s="299" t="n">
        <v>0.005</v>
      </c>
      <c r="BQ117" s="299" t="n">
        <v>0.0025</v>
      </c>
      <c r="BR117" s="299" t="n">
        <v>0.02</v>
      </c>
      <c r="BS117" s="0" t="n">
        <v>0.005</v>
      </c>
      <c r="BT117" s="0" t="n">
        <v>0.042</v>
      </c>
      <c r="BU117" s="0" t="n">
        <v>0.042</v>
      </c>
      <c r="BV117" s="0" t="n">
        <v>0.03</v>
      </c>
    </row>
    <row r="118" customFormat="false" ht="12.75" hidden="false" customHeight="false" outlineLevel="0" collapsed="false">
      <c r="A118" s="301" t="e">
        <f aca="false">#REF!-B118</f>
        <v>#REF!</v>
      </c>
      <c r="B118" s="301" t="n">
        <v>3.377</v>
      </c>
      <c r="C118" s="308" t="n">
        <f aca="false">EOMONTH(C117,0)+1</f>
        <v>40664</v>
      </c>
      <c r="D118" s="0" t="n">
        <v>3.7225</v>
      </c>
      <c r="E118" s="301" t="n">
        <v>0.18</v>
      </c>
      <c r="F118" s="299" t="n">
        <v>0.0584671460053037</v>
      </c>
      <c r="G118" s="299" t="n">
        <v>-0.13</v>
      </c>
      <c r="H118" s="299" t="n">
        <v>-0.15</v>
      </c>
      <c r="I118" s="310" t="n">
        <v>-0.09</v>
      </c>
      <c r="J118" s="310" t="n">
        <v>-0.13</v>
      </c>
      <c r="K118" s="299" t="n">
        <v>-0.09</v>
      </c>
      <c r="L118" s="299" t="n">
        <v>-0.044</v>
      </c>
      <c r="M118" s="299" t="n">
        <v>-0.064</v>
      </c>
      <c r="N118" s="299" t="n">
        <v>-0.12</v>
      </c>
      <c r="O118" s="299" t="n">
        <v>-0.12</v>
      </c>
      <c r="P118" s="299" t="n">
        <v>-0.13</v>
      </c>
      <c r="Q118" s="299" t="n">
        <v>-0.057</v>
      </c>
      <c r="R118" s="299" t="n">
        <v>-0.044</v>
      </c>
      <c r="S118" s="299" t="n">
        <v>0.125</v>
      </c>
      <c r="T118" s="299" t="n">
        <v>0.145</v>
      </c>
      <c r="U118" s="299" t="n">
        <v>0.04</v>
      </c>
      <c r="V118" s="299" t="n">
        <v>0.5</v>
      </c>
      <c r="W118" s="299" t="n">
        <v>0.125</v>
      </c>
      <c r="X118" s="299" t="n">
        <v>0.135</v>
      </c>
      <c r="Y118" s="299" t="n">
        <v>-0.0155</v>
      </c>
      <c r="Z118" s="299" t="n">
        <v>-0.047</v>
      </c>
      <c r="AA118" s="299" t="n">
        <v>0.0185</v>
      </c>
      <c r="AB118" s="299" t="n">
        <v>0.001</v>
      </c>
      <c r="AC118" s="299" t="n">
        <v>0.0025</v>
      </c>
      <c r="AD118" s="299" t="n">
        <v>-0.0225</v>
      </c>
      <c r="AE118" s="299" t="n">
        <v>-0.0725</v>
      </c>
      <c r="AF118" s="299" t="n">
        <v>-0.055</v>
      </c>
      <c r="AG118" s="299" t="n">
        <v>-0.0775</v>
      </c>
      <c r="AH118" s="299" t="n">
        <v>-0.0145</v>
      </c>
      <c r="AI118" s="299" t="n">
        <v>-0.072</v>
      </c>
      <c r="AJ118" s="299" t="n">
        <v>-0.07</v>
      </c>
      <c r="AK118" s="299" t="n">
        <v>-0.017</v>
      </c>
      <c r="AL118" s="299" t="n">
        <v>0.023</v>
      </c>
      <c r="AM118" s="299" t="n">
        <v>0.33</v>
      </c>
      <c r="AN118" s="299" t="n">
        <v>0.02</v>
      </c>
      <c r="AO118" s="299" t="n">
        <v>-0.45</v>
      </c>
      <c r="AP118" s="299" t="n">
        <v>-0.07</v>
      </c>
      <c r="AQ118" s="299" t="n">
        <v>-0.195</v>
      </c>
      <c r="AR118" s="299" t="n">
        <v>-0.1</v>
      </c>
      <c r="AS118" s="299" t="n">
        <v>-0.37</v>
      </c>
      <c r="AT118" s="299" t="n">
        <v>0</v>
      </c>
      <c r="AU118" s="299" t="n">
        <v>0.43</v>
      </c>
      <c r="AV118" s="299" t="n">
        <v>-0.45</v>
      </c>
      <c r="AW118" s="299" t="n">
        <v>-0.1835</v>
      </c>
      <c r="AX118" s="299" t="n">
        <v>-0.06</v>
      </c>
      <c r="AY118" s="299" t="n">
        <v>-0.1235</v>
      </c>
      <c r="AZ118" s="299" t="n">
        <v>-0.044</v>
      </c>
      <c r="BA118" s="299" t="n">
        <v>-0.116</v>
      </c>
      <c r="BB118" s="299" t="n">
        <v>-0.0145</v>
      </c>
      <c r="BC118" s="299" t="n">
        <v>-0.049</v>
      </c>
      <c r="BD118" s="299" t="n">
        <v>-0.01</v>
      </c>
      <c r="BE118" s="299" t="n">
        <v>-0.0725</v>
      </c>
      <c r="BF118" s="299" t="n">
        <v>0</v>
      </c>
      <c r="BG118" s="299" t="n">
        <v>0.14</v>
      </c>
      <c r="BH118" s="299" t="n">
        <v>0.145</v>
      </c>
      <c r="BI118" s="299" t="n">
        <v>0.125</v>
      </c>
      <c r="BJ118" s="299" t="n">
        <v>0.325</v>
      </c>
      <c r="BK118" s="299" t="n">
        <v>0.0025</v>
      </c>
      <c r="BL118" s="299" t="n">
        <v>-0.015</v>
      </c>
      <c r="BM118" s="299" t="n">
        <v>0.005</v>
      </c>
      <c r="BN118" s="299" t="n">
        <v>-0.01</v>
      </c>
      <c r="BO118" s="299" t="n">
        <v>0</v>
      </c>
      <c r="BP118" s="299" t="n">
        <v>0.005</v>
      </c>
      <c r="BQ118" s="299" t="n">
        <v>0.0025</v>
      </c>
      <c r="BR118" s="299" t="n">
        <v>0.02</v>
      </c>
      <c r="BS118" s="0" t="n">
        <v>0.005</v>
      </c>
      <c r="BT118" s="0" t="n">
        <v>0</v>
      </c>
      <c r="BU118" s="0" t="n">
        <v>0</v>
      </c>
      <c r="BV118" s="0" t="n">
        <v>0.03</v>
      </c>
    </row>
    <row r="119" customFormat="false" ht="12.75" hidden="false" customHeight="false" outlineLevel="0" collapsed="false">
      <c r="A119" s="301" t="e">
        <f aca="false">#REF!-B119</f>
        <v>#REF!</v>
      </c>
      <c r="B119" s="301" t="n">
        <v>3.468</v>
      </c>
      <c r="C119" s="308" t="n">
        <f aca="false">EOMONTH(C118,0)+1</f>
        <v>40695</v>
      </c>
      <c r="D119" s="0" t="n">
        <v>3.7575</v>
      </c>
      <c r="E119" s="301" t="n">
        <v>0.18</v>
      </c>
      <c r="F119" s="299" t="n">
        <v>0.0585706444866236</v>
      </c>
      <c r="G119" s="299" t="n">
        <v>-0.13</v>
      </c>
      <c r="H119" s="299" t="n">
        <v>-0.15</v>
      </c>
      <c r="I119" s="310" t="n">
        <v>-0.09</v>
      </c>
      <c r="J119" s="310" t="n">
        <v>-0.13</v>
      </c>
      <c r="K119" s="299" t="n">
        <v>-0.09</v>
      </c>
      <c r="L119" s="299" t="n">
        <v>-0.044</v>
      </c>
      <c r="M119" s="299" t="n">
        <v>-0.064</v>
      </c>
      <c r="N119" s="299" t="n">
        <v>-0.12</v>
      </c>
      <c r="O119" s="299" t="n">
        <v>-0.12</v>
      </c>
      <c r="P119" s="299" t="n">
        <v>-0.13</v>
      </c>
      <c r="Q119" s="299" t="n">
        <v>-0.0545</v>
      </c>
      <c r="R119" s="299" t="n">
        <v>-0.044</v>
      </c>
      <c r="S119" s="299" t="n">
        <v>0.125</v>
      </c>
      <c r="T119" s="299" t="n">
        <v>0.145</v>
      </c>
      <c r="U119" s="299" t="n">
        <v>0.04</v>
      </c>
      <c r="V119" s="299" t="n">
        <v>0.5</v>
      </c>
      <c r="W119" s="299" t="n">
        <v>0.145</v>
      </c>
      <c r="X119" s="299" t="n">
        <v>0.165</v>
      </c>
      <c r="Y119" s="299" t="n">
        <v>-0.0155</v>
      </c>
      <c r="Z119" s="299" t="n">
        <v>-0.0445</v>
      </c>
      <c r="AA119" s="299" t="n">
        <v>0.0185</v>
      </c>
      <c r="AB119" s="299" t="n">
        <v>0.001</v>
      </c>
      <c r="AC119" s="299" t="n">
        <v>0.0025</v>
      </c>
      <c r="AD119" s="299" t="n">
        <v>-0.0225</v>
      </c>
      <c r="AE119" s="299" t="n">
        <v>-0.0725</v>
      </c>
      <c r="AF119" s="299" t="n">
        <v>-0.055</v>
      </c>
      <c r="AG119" s="299" t="n">
        <v>-0.0775</v>
      </c>
      <c r="AH119" s="299" t="n">
        <v>-0.0145</v>
      </c>
      <c r="AI119" s="299" t="n">
        <v>-0.072</v>
      </c>
      <c r="AJ119" s="299" t="n">
        <v>-0.065</v>
      </c>
      <c r="AK119" s="299" t="n">
        <v>-0.017</v>
      </c>
      <c r="AL119" s="299" t="n">
        <v>0.023</v>
      </c>
      <c r="AM119" s="299" t="n">
        <v>0.37</v>
      </c>
      <c r="AN119" s="299" t="n">
        <v>0.025</v>
      </c>
      <c r="AO119" s="299" t="n">
        <v>-0.45</v>
      </c>
      <c r="AP119" s="299" t="n">
        <v>-0.07</v>
      </c>
      <c r="AQ119" s="299" t="n">
        <v>-0.195</v>
      </c>
      <c r="AR119" s="299" t="n">
        <v>-0.1</v>
      </c>
      <c r="AS119" s="299" t="n">
        <v>-0.37</v>
      </c>
      <c r="AT119" s="299" t="n">
        <v>0</v>
      </c>
      <c r="AU119" s="299" t="n">
        <v>0.43</v>
      </c>
      <c r="AV119" s="299" t="n">
        <v>-0.45</v>
      </c>
      <c r="AW119" s="299" t="n">
        <v>-0.131</v>
      </c>
      <c r="AX119" s="299" t="n">
        <v>-0.06</v>
      </c>
      <c r="AY119" s="299" t="n">
        <v>-0.071</v>
      </c>
      <c r="AZ119" s="299" t="n">
        <v>-0.044</v>
      </c>
      <c r="BA119" s="299" t="n">
        <v>-0.0735</v>
      </c>
      <c r="BB119" s="299" t="n">
        <v>-0.0145</v>
      </c>
      <c r="BC119" s="299" t="n">
        <v>-0.049</v>
      </c>
      <c r="BD119" s="299" t="n">
        <v>-0.005</v>
      </c>
      <c r="BE119" s="299" t="n">
        <v>-0.0725</v>
      </c>
      <c r="BF119" s="299" t="n">
        <v>0</v>
      </c>
      <c r="BG119" s="299" t="n">
        <v>0.14</v>
      </c>
      <c r="BH119" s="299" t="n">
        <v>0.145</v>
      </c>
      <c r="BI119" s="299" t="n">
        <v>0.125</v>
      </c>
      <c r="BJ119" s="299" t="n">
        <v>0.335</v>
      </c>
      <c r="BK119" s="299" t="n">
        <v>0.0025</v>
      </c>
      <c r="BL119" s="299" t="n">
        <v>-0.015</v>
      </c>
      <c r="BM119" s="299" t="n">
        <v>0.005</v>
      </c>
      <c r="BN119" s="299" t="n">
        <v>-0.01</v>
      </c>
      <c r="BO119" s="299" t="n">
        <v>0</v>
      </c>
      <c r="BP119" s="299" t="n">
        <v>0.005</v>
      </c>
      <c r="BQ119" s="299" t="n">
        <v>0.0025</v>
      </c>
      <c r="BR119" s="299" t="n">
        <v>0.035</v>
      </c>
      <c r="BS119" s="0" t="n">
        <v>0.005</v>
      </c>
      <c r="BT119" s="0" t="n">
        <v>0</v>
      </c>
      <c r="BU119" s="0" t="n">
        <v>0</v>
      </c>
      <c r="BV119" s="0" t="n">
        <v>0.03</v>
      </c>
    </row>
    <row r="120" customFormat="false" ht="12.75" hidden="false" customHeight="false" outlineLevel="0" collapsed="false">
      <c r="A120" s="301" t="e">
        <f aca="false">#REF!-B120</f>
        <v>#REF!</v>
      </c>
      <c r="B120" s="301" t="n">
        <v>3.722</v>
      </c>
      <c r="C120" s="308" t="n">
        <f aca="false">EOMONTH(C119,0)+1</f>
        <v>40725</v>
      </c>
      <c r="D120" s="0" t="n">
        <v>3.7975</v>
      </c>
      <c r="E120" s="301" t="n">
        <v>0.18</v>
      </c>
      <c r="F120" s="299" t="n">
        <v>0.0586708043106468</v>
      </c>
      <c r="G120" s="299" t="n">
        <v>-0.13</v>
      </c>
      <c r="H120" s="299" t="n">
        <v>-0.15</v>
      </c>
      <c r="I120" s="310" t="n">
        <v>-0.09</v>
      </c>
      <c r="J120" s="310" t="n">
        <v>-0.13</v>
      </c>
      <c r="K120" s="299" t="n">
        <v>-0.09</v>
      </c>
      <c r="L120" s="299" t="n">
        <v>-0.044</v>
      </c>
      <c r="M120" s="299" t="n">
        <v>-0.064</v>
      </c>
      <c r="N120" s="299" t="n">
        <v>-0.12</v>
      </c>
      <c r="O120" s="299" t="n">
        <v>-0.12</v>
      </c>
      <c r="P120" s="299" t="n">
        <v>-0.13</v>
      </c>
      <c r="Q120" s="299" t="n">
        <v>-0.05325</v>
      </c>
      <c r="R120" s="299" t="n">
        <v>-0.044</v>
      </c>
      <c r="S120" s="299" t="n">
        <v>0.125</v>
      </c>
      <c r="T120" s="299" t="n">
        <v>0.145</v>
      </c>
      <c r="U120" s="299" t="n">
        <v>0.04</v>
      </c>
      <c r="V120" s="299" t="n">
        <v>0.5</v>
      </c>
      <c r="W120" s="299" t="n">
        <v>0.15</v>
      </c>
      <c r="X120" s="299" t="n">
        <v>0.205</v>
      </c>
      <c r="Y120" s="299" t="n">
        <v>-0.0155</v>
      </c>
      <c r="Z120" s="299" t="n">
        <v>-0.0445</v>
      </c>
      <c r="AA120" s="299" t="n">
        <v>0.0185</v>
      </c>
      <c r="AB120" s="299" t="n">
        <v>0.001</v>
      </c>
      <c r="AC120" s="299" t="n">
        <v>0.0025</v>
      </c>
      <c r="AD120" s="299" t="n">
        <v>-0.0225</v>
      </c>
      <c r="AE120" s="299" t="n">
        <v>-0.0725</v>
      </c>
      <c r="AF120" s="299" t="n">
        <v>-0.055</v>
      </c>
      <c r="AG120" s="299" t="n">
        <v>-0.0775</v>
      </c>
      <c r="AH120" s="299" t="n">
        <v>-0.0145</v>
      </c>
      <c r="AI120" s="299" t="n">
        <v>-0.072</v>
      </c>
      <c r="AJ120" s="299" t="n">
        <v>-0.0625</v>
      </c>
      <c r="AK120" s="299" t="n">
        <v>-0.017</v>
      </c>
      <c r="AL120" s="299" t="n">
        <v>0.023</v>
      </c>
      <c r="AM120" s="299" t="n">
        <v>0.41</v>
      </c>
      <c r="AN120" s="299" t="n">
        <v>0.0275</v>
      </c>
      <c r="AO120" s="299" t="n">
        <v>-0.45</v>
      </c>
      <c r="AP120" s="299" t="n">
        <v>-0.07</v>
      </c>
      <c r="AQ120" s="299" t="n">
        <v>-0.195</v>
      </c>
      <c r="AR120" s="299" t="n">
        <v>-0.1</v>
      </c>
      <c r="AS120" s="299" t="n">
        <v>-0.37</v>
      </c>
      <c r="AT120" s="299" t="n">
        <v>0</v>
      </c>
      <c r="AU120" s="299" t="n">
        <v>0.43</v>
      </c>
      <c r="AV120" s="299" t="n">
        <v>-0.45</v>
      </c>
      <c r="AW120" s="299" t="n">
        <v>-0.141</v>
      </c>
      <c r="AX120" s="299" t="n">
        <v>-0.06</v>
      </c>
      <c r="AY120" s="299" t="n">
        <v>-0.081</v>
      </c>
      <c r="AZ120" s="299" t="n">
        <v>-0.044</v>
      </c>
      <c r="BA120" s="299" t="n">
        <v>-0.071</v>
      </c>
      <c r="BB120" s="299" t="n">
        <v>-0.0145</v>
      </c>
      <c r="BC120" s="299" t="n">
        <v>-0.049</v>
      </c>
      <c r="BD120" s="299" t="n">
        <v>-0.0025</v>
      </c>
      <c r="BE120" s="299" t="n">
        <v>-0.0725</v>
      </c>
      <c r="BF120" s="299" t="n">
        <v>0</v>
      </c>
      <c r="BG120" s="299" t="n">
        <v>0.14</v>
      </c>
      <c r="BH120" s="299" t="n">
        <v>0.145</v>
      </c>
      <c r="BI120" s="299" t="n">
        <v>0.125</v>
      </c>
      <c r="BJ120" s="299" t="n">
        <v>0.35</v>
      </c>
      <c r="BK120" s="299" t="n">
        <v>0.0025</v>
      </c>
      <c r="BL120" s="299" t="n">
        <v>-0.01</v>
      </c>
      <c r="BM120" s="299" t="n">
        <v>0.005</v>
      </c>
      <c r="BN120" s="299" t="n">
        <v>-0.01</v>
      </c>
      <c r="BO120" s="299" t="n">
        <v>0</v>
      </c>
      <c r="BP120" s="299" t="n">
        <v>0.005</v>
      </c>
      <c r="BQ120" s="299" t="n">
        <v>0.0025</v>
      </c>
      <c r="BR120" s="299" t="n">
        <v>0.035</v>
      </c>
      <c r="BS120" s="0" t="n">
        <v>0.005</v>
      </c>
      <c r="BT120" s="0" t="n">
        <v>0</v>
      </c>
      <c r="BU120" s="0" t="n">
        <v>0</v>
      </c>
      <c r="BV120" s="0" t="n">
        <v>0.03</v>
      </c>
    </row>
    <row r="121" customFormat="false" ht="12.75" hidden="false" customHeight="false" outlineLevel="0" collapsed="false">
      <c r="A121" s="301" t="e">
        <f aca="false">#REF!-B121</f>
        <v>#REF!</v>
      </c>
      <c r="B121" s="301" t="n">
        <v>3.623</v>
      </c>
      <c r="C121" s="308" t="n">
        <f aca="false">EOMONTH(C120,0)+1</f>
        <v>40756</v>
      </c>
      <c r="D121" s="0" t="n">
        <v>3.8375</v>
      </c>
      <c r="E121" s="301" t="n">
        <v>0.18</v>
      </c>
      <c r="F121" s="299" t="n">
        <v>0.0587743027989744</v>
      </c>
      <c r="G121" s="299" t="n">
        <v>-0.13</v>
      </c>
      <c r="H121" s="299" t="n">
        <v>-0.15</v>
      </c>
      <c r="I121" s="310" t="n">
        <v>-0.09</v>
      </c>
      <c r="J121" s="310" t="n">
        <v>-0.13</v>
      </c>
      <c r="K121" s="299" t="n">
        <v>-0.09</v>
      </c>
      <c r="L121" s="299" t="n">
        <v>-0.044</v>
      </c>
      <c r="M121" s="299" t="n">
        <v>-0.064</v>
      </c>
      <c r="N121" s="299" t="n">
        <v>-0.12</v>
      </c>
      <c r="O121" s="299" t="n">
        <v>-0.12</v>
      </c>
      <c r="P121" s="299" t="n">
        <v>-0.13</v>
      </c>
      <c r="Q121" s="299" t="n">
        <v>-0.052</v>
      </c>
      <c r="R121" s="299" t="n">
        <v>-0.044</v>
      </c>
      <c r="S121" s="299" t="n">
        <v>0.125</v>
      </c>
      <c r="T121" s="299" t="n">
        <v>0.145</v>
      </c>
      <c r="U121" s="299" t="n">
        <v>0.04</v>
      </c>
      <c r="V121" s="299" t="n">
        <v>0.5</v>
      </c>
      <c r="W121" s="299" t="n">
        <v>0.15</v>
      </c>
      <c r="X121" s="299" t="n">
        <v>0.205</v>
      </c>
      <c r="Y121" s="299" t="n">
        <v>-0.0155</v>
      </c>
      <c r="Z121" s="299" t="n">
        <v>-0.0445</v>
      </c>
      <c r="AA121" s="299" t="n">
        <v>0.0135</v>
      </c>
      <c r="AB121" s="299" t="n">
        <v>-0.004</v>
      </c>
      <c r="AC121" s="299" t="n">
        <v>0.0025</v>
      </c>
      <c r="AD121" s="299" t="n">
        <v>-0.0225</v>
      </c>
      <c r="AE121" s="299" t="n">
        <v>-0.0725</v>
      </c>
      <c r="AF121" s="299" t="n">
        <v>-0.055</v>
      </c>
      <c r="AG121" s="299" t="n">
        <v>-0.0775</v>
      </c>
      <c r="AH121" s="299" t="n">
        <v>-0.0145</v>
      </c>
      <c r="AI121" s="299" t="n">
        <v>-0.072</v>
      </c>
      <c r="AJ121" s="299" t="n">
        <v>-0.06</v>
      </c>
      <c r="AK121" s="299" t="n">
        <v>-0.017</v>
      </c>
      <c r="AL121" s="299" t="n">
        <v>0.023</v>
      </c>
      <c r="AM121" s="299" t="n">
        <v>0.41</v>
      </c>
      <c r="AN121" s="299" t="n">
        <v>0.03</v>
      </c>
      <c r="AO121" s="299" t="n">
        <v>-0.45</v>
      </c>
      <c r="AP121" s="299" t="n">
        <v>-0.07</v>
      </c>
      <c r="AQ121" s="299" t="n">
        <v>-0.195</v>
      </c>
      <c r="AR121" s="299" t="n">
        <v>-0.1</v>
      </c>
      <c r="AS121" s="299" t="n">
        <v>-0.37</v>
      </c>
      <c r="AT121" s="299" t="n">
        <v>0</v>
      </c>
      <c r="AU121" s="299" t="n">
        <v>0.43</v>
      </c>
      <c r="AV121" s="299" t="n">
        <v>-0.45</v>
      </c>
      <c r="AW121" s="299" t="n">
        <v>-0.136</v>
      </c>
      <c r="AX121" s="299" t="n">
        <v>-0.06</v>
      </c>
      <c r="AY121" s="299" t="n">
        <v>-0.076</v>
      </c>
      <c r="AZ121" s="299" t="n">
        <v>-0.044</v>
      </c>
      <c r="BA121" s="299" t="n">
        <v>-0.0685</v>
      </c>
      <c r="BB121" s="299" t="n">
        <v>-0.0145</v>
      </c>
      <c r="BC121" s="299" t="n">
        <v>-0.049</v>
      </c>
      <c r="BD121" s="299" t="n">
        <v>0</v>
      </c>
      <c r="BE121" s="299" t="n">
        <v>-0.0725</v>
      </c>
      <c r="BF121" s="299" t="n">
        <v>0</v>
      </c>
      <c r="BG121" s="299" t="n">
        <v>0.14</v>
      </c>
      <c r="BH121" s="299" t="n">
        <v>0.145</v>
      </c>
      <c r="BI121" s="299" t="n">
        <v>0.125</v>
      </c>
      <c r="BJ121" s="299" t="n">
        <v>0.35</v>
      </c>
      <c r="BK121" s="299" t="n">
        <v>0.0025</v>
      </c>
      <c r="BL121" s="299" t="n">
        <v>-0.01</v>
      </c>
      <c r="BM121" s="299" t="n">
        <v>0.005</v>
      </c>
      <c r="BN121" s="299" t="n">
        <v>-0.01</v>
      </c>
      <c r="BO121" s="299" t="n">
        <v>0</v>
      </c>
      <c r="BP121" s="299" t="n">
        <v>0.005</v>
      </c>
      <c r="BQ121" s="299" t="n">
        <v>0.0025</v>
      </c>
      <c r="BR121" s="299" t="n">
        <v>0.01</v>
      </c>
      <c r="BS121" s="0" t="n">
        <v>0.005</v>
      </c>
      <c r="BT121" s="0" t="n">
        <v>0</v>
      </c>
      <c r="BU121" s="0" t="n">
        <v>0</v>
      </c>
      <c r="BV121" s="0" t="n">
        <v>0.03</v>
      </c>
    </row>
    <row r="122" customFormat="false" ht="12.75" hidden="false" customHeight="false" outlineLevel="0" collapsed="false">
      <c r="A122" s="301" t="e">
        <f aca="false">#REF!-B122</f>
        <v>#REF!</v>
      </c>
      <c r="B122" s="301" t="n">
        <v>3.486</v>
      </c>
      <c r="C122" s="308" t="n">
        <f aca="false">EOMONTH(C121,0)+1</f>
        <v>40787</v>
      </c>
      <c r="D122" s="0" t="n">
        <v>3.8325</v>
      </c>
      <c r="E122" s="301" t="n">
        <v>0.18</v>
      </c>
      <c r="F122" s="299" t="n">
        <v>0.0588778012908637</v>
      </c>
      <c r="G122" s="299" t="n">
        <v>-0.13</v>
      </c>
      <c r="H122" s="299" t="n">
        <v>-0.15</v>
      </c>
      <c r="I122" s="310" t="n">
        <v>-0.09</v>
      </c>
      <c r="J122" s="310" t="n">
        <v>-0.13</v>
      </c>
      <c r="K122" s="299" t="n">
        <v>-0.09</v>
      </c>
      <c r="L122" s="299" t="n">
        <v>-0.044</v>
      </c>
      <c r="M122" s="299" t="n">
        <v>-0.064</v>
      </c>
      <c r="N122" s="299" t="n">
        <v>-0.12</v>
      </c>
      <c r="O122" s="299" t="n">
        <v>-0.12</v>
      </c>
      <c r="P122" s="299" t="n">
        <v>-0.13</v>
      </c>
      <c r="Q122" s="299" t="n">
        <v>-0.05575</v>
      </c>
      <c r="R122" s="299" t="n">
        <v>-0.044</v>
      </c>
      <c r="S122" s="299" t="n">
        <v>0.125</v>
      </c>
      <c r="T122" s="299" t="n">
        <v>0.145</v>
      </c>
      <c r="U122" s="299" t="n">
        <v>0.04</v>
      </c>
      <c r="V122" s="299" t="n">
        <v>0.5</v>
      </c>
      <c r="W122" s="299" t="n">
        <v>0.125</v>
      </c>
      <c r="X122" s="299" t="n">
        <v>0.145</v>
      </c>
      <c r="Y122" s="299" t="n">
        <v>-0.0155</v>
      </c>
      <c r="Z122" s="299" t="n">
        <v>-0.0495</v>
      </c>
      <c r="AA122" s="299" t="n">
        <v>0.0135</v>
      </c>
      <c r="AB122" s="299" t="n">
        <v>-0.004</v>
      </c>
      <c r="AC122" s="299" t="n">
        <v>0.0025</v>
      </c>
      <c r="AD122" s="299" t="n">
        <v>-0.0225</v>
      </c>
      <c r="AE122" s="299" t="n">
        <v>-0.0725</v>
      </c>
      <c r="AF122" s="299" t="n">
        <v>-0.055</v>
      </c>
      <c r="AG122" s="299" t="n">
        <v>-0.0775</v>
      </c>
      <c r="AH122" s="299" t="n">
        <v>-0.0145</v>
      </c>
      <c r="AI122" s="299" t="n">
        <v>-0.072</v>
      </c>
      <c r="AJ122" s="299" t="n">
        <v>-0.0675</v>
      </c>
      <c r="AK122" s="299" t="n">
        <v>-0.017</v>
      </c>
      <c r="AL122" s="299" t="n">
        <v>0.023</v>
      </c>
      <c r="AM122" s="299" t="n">
        <v>0.36</v>
      </c>
      <c r="AN122" s="299" t="n">
        <v>0.0225</v>
      </c>
      <c r="AO122" s="299" t="n">
        <v>-0.45</v>
      </c>
      <c r="AP122" s="299" t="n">
        <v>-0.07</v>
      </c>
      <c r="AQ122" s="299" t="n">
        <v>-0.195</v>
      </c>
      <c r="AR122" s="299" t="n">
        <v>-0.1</v>
      </c>
      <c r="AS122" s="299" t="n">
        <v>-0.37</v>
      </c>
      <c r="AT122" s="299" t="n">
        <v>0</v>
      </c>
      <c r="AU122" s="299" t="n">
        <v>0.43</v>
      </c>
      <c r="AV122" s="299" t="n">
        <v>-0.45</v>
      </c>
      <c r="AW122" s="299" t="n">
        <v>-0.146</v>
      </c>
      <c r="AX122" s="299" t="n">
        <v>-0.06</v>
      </c>
      <c r="AY122" s="299" t="n">
        <v>-0.086</v>
      </c>
      <c r="AZ122" s="299" t="n">
        <v>-0.044</v>
      </c>
      <c r="BA122" s="299" t="n">
        <v>-0.0735</v>
      </c>
      <c r="BB122" s="299" t="n">
        <v>-0.0145</v>
      </c>
      <c r="BC122" s="299" t="n">
        <v>-0.049</v>
      </c>
      <c r="BD122" s="299" t="n">
        <v>-0.0075</v>
      </c>
      <c r="BE122" s="299" t="n">
        <v>-0.0725</v>
      </c>
      <c r="BF122" s="299" t="n">
        <v>0</v>
      </c>
      <c r="BG122" s="299" t="n">
        <v>0.14</v>
      </c>
      <c r="BH122" s="299" t="n">
        <v>0.145</v>
      </c>
      <c r="BI122" s="299" t="n">
        <v>0.125</v>
      </c>
      <c r="BJ122" s="299" t="n">
        <v>0.315</v>
      </c>
      <c r="BK122" s="299" t="n">
        <v>0.0025</v>
      </c>
      <c r="BL122" s="299" t="n">
        <v>-0.01</v>
      </c>
      <c r="BM122" s="299" t="n">
        <v>0.005</v>
      </c>
      <c r="BN122" s="299" t="n">
        <v>-0.01</v>
      </c>
      <c r="BO122" s="299" t="n">
        <v>0</v>
      </c>
      <c r="BP122" s="299" t="n">
        <v>0.005</v>
      </c>
      <c r="BQ122" s="299" t="n">
        <v>0.0025</v>
      </c>
      <c r="BR122" s="299" t="n">
        <v>0.01</v>
      </c>
      <c r="BS122" s="0" t="n">
        <v>0.005</v>
      </c>
      <c r="BT122" s="0" t="n">
        <v>0</v>
      </c>
      <c r="BU122" s="0" t="n">
        <v>0</v>
      </c>
      <c r="BV122" s="0" t="n">
        <v>0.03</v>
      </c>
    </row>
    <row r="123" customFormat="false" ht="12.75" hidden="false" customHeight="false" outlineLevel="0" collapsed="false">
      <c r="A123" s="301" t="e">
        <f aca="false">#REF!-B123</f>
        <v>#REF!</v>
      </c>
      <c r="B123" s="301" t="n">
        <v>3.352</v>
      </c>
      <c r="C123" s="308" t="n">
        <f aca="false">EOMONTH(C122,0)+1</f>
        <v>40817</v>
      </c>
      <c r="D123" s="0" t="n">
        <v>3.8575</v>
      </c>
      <c r="E123" s="301" t="n">
        <v>0.18</v>
      </c>
      <c r="F123" s="299" t="n">
        <v>0.0589779611251142</v>
      </c>
      <c r="G123" s="299" t="n">
        <v>-0.13</v>
      </c>
      <c r="H123" s="299" t="n">
        <v>-0.15</v>
      </c>
      <c r="I123" s="310" t="n">
        <v>-0.09</v>
      </c>
      <c r="J123" s="310" t="n">
        <v>-0.13</v>
      </c>
      <c r="K123" s="299" t="n">
        <v>-0.09</v>
      </c>
      <c r="L123" s="299" t="n">
        <v>-0.044</v>
      </c>
      <c r="M123" s="299" t="n">
        <v>-0.064</v>
      </c>
      <c r="N123" s="299" t="n">
        <v>-0.12</v>
      </c>
      <c r="O123" s="299" t="n">
        <v>-0.12</v>
      </c>
      <c r="P123" s="299" t="n">
        <v>-0.13</v>
      </c>
      <c r="Q123" s="299" t="n">
        <v>-0.06075</v>
      </c>
      <c r="R123" s="299" t="n">
        <v>-0.044</v>
      </c>
      <c r="S123" s="299" t="n">
        <v>0.125</v>
      </c>
      <c r="T123" s="299" t="n">
        <v>0.145</v>
      </c>
      <c r="U123" s="299" t="n">
        <v>0.04</v>
      </c>
      <c r="V123" s="299" t="n">
        <v>0.5</v>
      </c>
      <c r="W123" s="299" t="n">
        <v>0.145</v>
      </c>
      <c r="X123" s="299" t="n">
        <v>0.175</v>
      </c>
      <c r="Y123" s="299" t="n">
        <v>-0.0155</v>
      </c>
      <c r="Z123" s="299" t="n">
        <v>-0.0495</v>
      </c>
      <c r="AA123" s="299" t="n">
        <v>0.0085</v>
      </c>
      <c r="AB123" s="299" t="n">
        <v>-0.009</v>
      </c>
      <c r="AC123" s="299" t="n">
        <v>0.0025</v>
      </c>
      <c r="AD123" s="299" t="n">
        <v>-0.0225</v>
      </c>
      <c r="AE123" s="299" t="n">
        <v>-0.0725</v>
      </c>
      <c r="AF123" s="299" t="n">
        <v>-0.055</v>
      </c>
      <c r="AG123" s="299" t="n">
        <v>-0.0775</v>
      </c>
      <c r="AH123" s="299" t="n">
        <v>-0.0145</v>
      </c>
      <c r="AI123" s="299" t="n">
        <v>-0.072</v>
      </c>
      <c r="AJ123" s="299" t="n">
        <v>-0.0775</v>
      </c>
      <c r="AK123" s="299" t="n">
        <v>-0.017</v>
      </c>
      <c r="AL123" s="299" t="n">
        <v>0.023</v>
      </c>
      <c r="AM123" s="299" t="n">
        <v>0.4</v>
      </c>
      <c r="AN123" s="299" t="n">
        <v>0.0125</v>
      </c>
      <c r="AO123" s="299" t="n">
        <v>-0.45</v>
      </c>
      <c r="AP123" s="299" t="n">
        <v>-0.07</v>
      </c>
      <c r="AQ123" s="299" t="n">
        <v>-0.195</v>
      </c>
      <c r="AR123" s="299" t="n">
        <v>-0.1</v>
      </c>
      <c r="AS123" s="299" t="n">
        <v>-0.37</v>
      </c>
      <c r="AT123" s="299" t="n">
        <v>0</v>
      </c>
      <c r="AU123" s="299" t="n">
        <v>0.43</v>
      </c>
      <c r="AV123" s="299" t="n">
        <v>-0.45</v>
      </c>
      <c r="AW123" s="299" t="n">
        <v>-0.1335</v>
      </c>
      <c r="AX123" s="299" t="n">
        <v>-0.06</v>
      </c>
      <c r="AY123" s="299" t="n">
        <v>-0.0735</v>
      </c>
      <c r="AZ123" s="299" t="n">
        <v>-0.044</v>
      </c>
      <c r="BA123" s="299" t="n">
        <v>-0.076</v>
      </c>
      <c r="BB123" s="299" t="n">
        <v>-0.0145</v>
      </c>
      <c r="BC123" s="299" t="n">
        <v>-0.049</v>
      </c>
      <c r="BD123" s="299" t="n">
        <v>-0.0175</v>
      </c>
      <c r="BE123" s="299" t="n">
        <v>-0.0725</v>
      </c>
      <c r="BF123" s="299" t="n">
        <v>0</v>
      </c>
      <c r="BG123" s="299" t="n">
        <v>0.14</v>
      </c>
      <c r="BH123" s="299" t="n">
        <v>0.145</v>
      </c>
      <c r="BI123" s="299" t="n">
        <v>0.125</v>
      </c>
      <c r="BJ123" s="299" t="n">
        <v>0.36</v>
      </c>
      <c r="BK123" s="299" t="n">
        <v>0.0025</v>
      </c>
      <c r="BL123" s="299" t="n">
        <v>-0.015</v>
      </c>
      <c r="BM123" s="299" t="n">
        <v>0.005</v>
      </c>
      <c r="BN123" s="299" t="n">
        <v>-0.01</v>
      </c>
      <c r="BO123" s="299" t="n">
        <v>0</v>
      </c>
      <c r="BP123" s="299" t="n">
        <v>0.005</v>
      </c>
      <c r="BQ123" s="299" t="n">
        <v>0.0025</v>
      </c>
      <c r="BR123" s="299" t="n">
        <v>0.01</v>
      </c>
      <c r="BS123" s="0" t="n">
        <v>0.005</v>
      </c>
      <c r="BT123" s="0" t="n">
        <v>0</v>
      </c>
      <c r="BU123" s="0" t="n">
        <v>0</v>
      </c>
      <c r="BV123" s="0" t="n">
        <v>0.03</v>
      </c>
    </row>
    <row r="124" customFormat="false" ht="12.75" hidden="false" customHeight="false" outlineLevel="0" collapsed="false">
      <c r="A124" s="301" t="e">
        <f aca="false">#REF!-B124</f>
        <v>#REF!</v>
      </c>
      <c r="B124" s="301" t="n">
        <v>3.331</v>
      </c>
      <c r="C124" s="308" t="n">
        <f aca="false">EOMONTH(C123,0)+1</f>
        <v>40848</v>
      </c>
      <c r="D124" s="0" t="n">
        <v>4.0095</v>
      </c>
      <c r="E124" s="301" t="n">
        <v>0.18</v>
      </c>
      <c r="F124" s="299" t="n">
        <v>0.0590814596240108</v>
      </c>
      <c r="G124" s="299" t="n">
        <v>-0.13</v>
      </c>
      <c r="H124" s="299" t="n">
        <v>-0.15</v>
      </c>
      <c r="I124" s="310" t="n">
        <v>-0.01</v>
      </c>
      <c r="J124" s="310" t="n">
        <v>-0.13</v>
      </c>
      <c r="K124" s="299" t="n">
        <v>0</v>
      </c>
      <c r="L124" s="299" t="n">
        <v>-0.0435</v>
      </c>
      <c r="M124" s="299" t="n">
        <v>-0.0785</v>
      </c>
      <c r="N124" s="299" t="n">
        <v>-0.12</v>
      </c>
      <c r="O124" s="299" t="n">
        <v>-0.12</v>
      </c>
      <c r="P124" s="299" t="n">
        <v>-0.13</v>
      </c>
      <c r="Q124" s="299" t="n">
        <v>-0.078</v>
      </c>
      <c r="R124" s="299" t="n">
        <v>-0.0435</v>
      </c>
      <c r="S124" s="299" t="n">
        <v>0.155</v>
      </c>
      <c r="T124" s="299" t="n">
        <v>0.175</v>
      </c>
      <c r="U124" s="299" t="n">
        <v>0.13</v>
      </c>
      <c r="V124" s="299" t="n">
        <v>0.5</v>
      </c>
      <c r="W124" s="299" t="n">
        <v>0.195</v>
      </c>
      <c r="X124" s="299" t="n">
        <v>0.21</v>
      </c>
      <c r="Y124" s="299" t="n">
        <v>-0.013</v>
      </c>
      <c r="Z124" s="299" t="n">
        <v>-0.0305</v>
      </c>
      <c r="AA124" s="299" t="n">
        <v>0.0095</v>
      </c>
      <c r="AB124" s="299" t="n">
        <v>-0.008</v>
      </c>
      <c r="AC124" s="299" t="n">
        <v>0.0025</v>
      </c>
      <c r="AD124" s="299" t="n">
        <v>-0.0225</v>
      </c>
      <c r="AE124" s="299" t="n">
        <v>-0.075</v>
      </c>
      <c r="AF124" s="299" t="n">
        <v>-0.0575</v>
      </c>
      <c r="AG124" s="299" t="n">
        <v>-0.08</v>
      </c>
      <c r="AH124" s="299" t="n">
        <v>-0.011</v>
      </c>
      <c r="AI124" s="299" t="n">
        <v>-0.064</v>
      </c>
      <c r="AJ124" s="299" t="n">
        <v>-0.1125</v>
      </c>
      <c r="AK124" s="299" t="n">
        <v>-0.008999999</v>
      </c>
      <c r="AL124" s="299" t="n">
        <v>0.031</v>
      </c>
      <c r="AM124" s="299" t="n">
        <v>0.65</v>
      </c>
      <c r="AN124" s="299" t="n">
        <v>-0.0225</v>
      </c>
      <c r="AO124" s="299" t="n">
        <v>-0.34</v>
      </c>
      <c r="AP124" s="299" t="n">
        <v>-0.07</v>
      </c>
      <c r="AQ124" s="299" t="n">
        <v>-0.13</v>
      </c>
      <c r="AR124" s="299" t="n">
        <v>0.248</v>
      </c>
      <c r="AS124" s="299" t="n">
        <v>-0.26</v>
      </c>
      <c r="AT124" s="299" t="n">
        <v>0</v>
      </c>
      <c r="AU124" s="299" t="n">
        <v>0.35</v>
      </c>
      <c r="AV124" s="299" t="n">
        <v>-0.34</v>
      </c>
      <c r="AW124" s="299" t="n">
        <v>-0.141</v>
      </c>
      <c r="AX124" s="299" t="n">
        <v>-0.06</v>
      </c>
      <c r="AY124" s="299" t="n">
        <v>-0.081</v>
      </c>
      <c r="AZ124" s="299" t="n">
        <v>-0.0435</v>
      </c>
      <c r="BA124" s="299" t="n">
        <v>-0.071</v>
      </c>
      <c r="BB124" s="299" t="n">
        <v>-0.016</v>
      </c>
      <c r="BC124" s="299" t="n">
        <v>-0.0635</v>
      </c>
      <c r="BD124" s="299" t="n">
        <v>-0.0525</v>
      </c>
      <c r="BE124" s="299" t="n">
        <v>-0.075</v>
      </c>
      <c r="BF124" s="299" t="n">
        <v>0</v>
      </c>
      <c r="BG124" s="299" t="n">
        <v>0.17</v>
      </c>
      <c r="BH124" s="299" t="n">
        <v>0.175</v>
      </c>
      <c r="BI124" s="299" t="n">
        <v>0.155</v>
      </c>
      <c r="BJ124" s="299" t="n">
        <v>0.46</v>
      </c>
      <c r="BK124" s="299" t="n">
        <v>0.0025</v>
      </c>
      <c r="BL124" s="299" t="n">
        <v>-0.02</v>
      </c>
      <c r="BM124" s="299" t="n">
        <v>0.005</v>
      </c>
      <c r="BN124" s="299" t="n">
        <v>0</v>
      </c>
      <c r="BO124" s="299" t="n">
        <v>0</v>
      </c>
      <c r="BP124" s="299" t="n">
        <v>0.005</v>
      </c>
      <c r="BQ124" s="299" t="n">
        <v>0.005</v>
      </c>
      <c r="BR124" s="299" t="n">
        <v>0.055</v>
      </c>
      <c r="BS124" s="0" t="n">
        <v>0.02</v>
      </c>
      <c r="BT124" s="0" t="n">
        <v>0</v>
      </c>
      <c r="BU124" s="0" t="n">
        <v>0</v>
      </c>
      <c r="BV124" s="0" t="n">
        <v>0.03</v>
      </c>
    </row>
    <row r="125" customFormat="false" ht="12.75" hidden="false" customHeight="false" outlineLevel="0" collapsed="false">
      <c r="A125" s="301" t="e">
        <f aca="false">#REF!-B125</f>
        <v>#REF!</v>
      </c>
      <c r="B125" s="301" t="n">
        <v>3.318</v>
      </c>
      <c r="C125" s="308" t="n">
        <f aca="false">EOMONTH(C124,0)+1</f>
        <v>40878</v>
      </c>
      <c r="D125" s="0" t="n">
        <v>4.1525</v>
      </c>
      <c r="E125" s="301" t="n">
        <v>0.18</v>
      </c>
      <c r="F125" s="299" t="n">
        <v>0.0591816194650425</v>
      </c>
      <c r="G125" s="299" t="n">
        <v>-0.1325</v>
      </c>
      <c r="H125" s="299" t="n">
        <v>-0.1525</v>
      </c>
      <c r="I125" s="310" t="n">
        <v>-0.005</v>
      </c>
      <c r="J125" s="310" t="n">
        <v>-0.13</v>
      </c>
      <c r="K125" s="299" t="n">
        <v>0.005</v>
      </c>
      <c r="L125" s="299" t="n">
        <v>-0.0435</v>
      </c>
      <c r="M125" s="299" t="n">
        <v>-0.0785</v>
      </c>
      <c r="N125" s="299" t="n">
        <v>-0.1225</v>
      </c>
      <c r="O125" s="299" t="n">
        <v>-0.1225</v>
      </c>
      <c r="P125" s="299" t="n">
        <v>-0.1325</v>
      </c>
      <c r="Q125" s="299" t="n">
        <v>-0.08925</v>
      </c>
      <c r="R125" s="299" t="n">
        <v>-0.0435</v>
      </c>
      <c r="S125" s="299" t="n">
        <v>0.155</v>
      </c>
      <c r="T125" s="299" t="n">
        <v>0.175</v>
      </c>
      <c r="U125" s="299" t="n">
        <v>0.13</v>
      </c>
      <c r="V125" s="299" t="n">
        <v>0.5</v>
      </c>
      <c r="W125" s="299" t="n">
        <v>0.215</v>
      </c>
      <c r="X125" s="299" t="n">
        <v>0.29</v>
      </c>
      <c r="Y125" s="299" t="n">
        <v>-0.013</v>
      </c>
      <c r="Z125" s="299" t="n">
        <v>-0.0305</v>
      </c>
      <c r="AA125" s="299" t="n">
        <v>0.0095</v>
      </c>
      <c r="AB125" s="299" t="n">
        <v>-0.008</v>
      </c>
      <c r="AC125" s="299" t="n">
        <v>0.0025</v>
      </c>
      <c r="AD125" s="299" t="n">
        <v>-0.0225</v>
      </c>
      <c r="AE125" s="299" t="n">
        <v>-0.075</v>
      </c>
      <c r="AF125" s="299" t="n">
        <v>-0.0555</v>
      </c>
      <c r="AG125" s="299" t="n">
        <v>-0.078</v>
      </c>
      <c r="AH125" s="299" t="n">
        <v>-0.008499999</v>
      </c>
      <c r="AI125" s="299" t="n">
        <v>-0.064</v>
      </c>
      <c r="AJ125" s="299" t="n">
        <v>-0.135</v>
      </c>
      <c r="AK125" s="299" t="n">
        <v>-0.008999999</v>
      </c>
      <c r="AL125" s="299" t="n">
        <v>0.031</v>
      </c>
      <c r="AM125" s="299" t="n">
        <v>0.98</v>
      </c>
      <c r="AN125" s="299" t="n">
        <v>-0.045</v>
      </c>
      <c r="AO125" s="299" t="n">
        <v>-0.34</v>
      </c>
      <c r="AP125" s="299" t="n">
        <v>-0.07</v>
      </c>
      <c r="AQ125" s="299" t="n">
        <v>-0.13</v>
      </c>
      <c r="AR125" s="299" t="n">
        <v>0.308</v>
      </c>
      <c r="AS125" s="299" t="n">
        <v>-0.26</v>
      </c>
      <c r="AT125" s="299" t="n">
        <v>0</v>
      </c>
      <c r="AU125" s="299" t="n">
        <v>0.35</v>
      </c>
      <c r="AV125" s="299" t="n">
        <v>-0.34</v>
      </c>
      <c r="AW125" s="299" t="n">
        <v>-0.1685</v>
      </c>
      <c r="AX125" s="299" t="n">
        <v>-0.06</v>
      </c>
      <c r="AY125" s="299" t="n">
        <v>-0.1085</v>
      </c>
      <c r="AZ125" s="299" t="n">
        <v>-0.0435</v>
      </c>
      <c r="BA125" s="299" t="n">
        <v>-0.0985</v>
      </c>
      <c r="BB125" s="299" t="n">
        <v>-0.0135</v>
      </c>
      <c r="BC125" s="299" t="n">
        <v>-0.0635</v>
      </c>
      <c r="BD125" s="299" t="n">
        <v>-0.075</v>
      </c>
      <c r="BE125" s="299" t="n">
        <v>-0.075</v>
      </c>
      <c r="BF125" s="299" t="n">
        <v>0</v>
      </c>
      <c r="BG125" s="299" t="n">
        <v>0.17</v>
      </c>
      <c r="BH125" s="299" t="n">
        <v>0.175</v>
      </c>
      <c r="BI125" s="299" t="n">
        <v>0.155</v>
      </c>
      <c r="BJ125" s="299" t="n">
        <v>0.77</v>
      </c>
      <c r="BK125" s="299" t="n">
        <v>0.0025</v>
      </c>
      <c r="BL125" s="299" t="n">
        <v>-0.025</v>
      </c>
      <c r="BM125" s="299" t="n">
        <v>0.005</v>
      </c>
      <c r="BN125" s="299" t="n">
        <v>0</v>
      </c>
      <c r="BO125" s="299" t="n">
        <v>0</v>
      </c>
      <c r="BP125" s="299" t="n">
        <v>0.005</v>
      </c>
      <c r="BQ125" s="299" t="n">
        <v>0.005</v>
      </c>
      <c r="BR125" s="299" t="n">
        <v>0.25</v>
      </c>
      <c r="BS125" s="0" t="n">
        <v>0.02</v>
      </c>
      <c r="BT125" s="0" t="n">
        <v>0</v>
      </c>
      <c r="BU125" s="0" t="n">
        <v>0</v>
      </c>
      <c r="BV125" s="0" t="n">
        <v>0.03</v>
      </c>
    </row>
    <row r="126" customFormat="false" ht="12.75" hidden="false" customHeight="false" outlineLevel="0" collapsed="false">
      <c r="A126" s="301" t="e">
        <f aca="false">#REF!-B126</f>
        <v>#REF!</v>
      </c>
      <c r="B126" s="301" t="n">
        <v>3.383</v>
      </c>
      <c r="C126" s="308" t="n">
        <f aca="false">EOMONTH(C125,0)+1</f>
        <v>40909</v>
      </c>
      <c r="D126" s="0" t="n">
        <v>4.2125</v>
      </c>
      <c r="E126" s="301" t="n">
        <v>0.18</v>
      </c>
      <c r="F126" s="299" t="n">
        <v>0.0592504706985655</v>
      </c>
      <c r="G126" s="299" t="n">
        <v>-0.135</v>
      </c>
      <c r="H126" s="299" t="n">
        <v>-0.155</v>
      </c>
      <c r="I126" s="310" t="n">
        <v>0.015</v>
      </c>
      <c r="J126" s="310" t="n">
        <v>-0.13</v>
      </c>
      <c r="K126" s="299" t="n">
        <v>0.025</v>
      </c>
      <c r="L126" s="299" t="n">
        <v>-0.0435</v>
      </c>
      <c r="M126" s="299" t="n">
        <v>-0.0785</v>
      </c>
      <c r="N126" s="299" t="n">
        <v>-0.125</v>
      </c>
      <c r="O126" s="299" t="n">
        <v>-0.125</v>
      </c>
      <c r="P126" s="299" t="n">
        <v>-0.135</v>
      </c>
      <c r="Q126" s="299" t="n">
        <v>-0.0905</v>
      </c>
      <c r="R126" s="299" t="n">
        <v>-0.0435</v>
      </c>
      <c r="S126" s="299" t="n">
        <v>0.155</v>
      </c>
      <c r="T126" s="299" t="n">
        <v>0.175</v>
      </c>
      <c r="U126" s="299" t="n">
        <v>0.13</v>
      </c>
      <c r="V126" s="299" t="n">
        <v>0.5</v>
      </c>
      <c r="W126" s="299" t="n">
        <v>0.235</v>
      </c>
      <c r="X126" s="299" t="n">
        <v>0.34</v>
      </c>
      <c r="Y126" s="299" t="n">
        <v>-0.011</v>
      </c>
      <c r="Z126" s="299" t="n">
        <v>-0.0305</v>
      </c>
      <c r="AA126" s="299" t="n">
        <v>0.0095</v>
      </c>
      <c r="AB126" s="299" t="n">
        <v>-0.008</v>
      </c>
      <c r="AC126" s="299" t="n">
        <v>0.0025</v>
      </c>
      <c r="AD126" s="299" t="n">
        <v>-0.0225</v>
      </c>
      <c r="AE126" s="299" t="n">
        <v>-0.075</v>
      </c>
      <c r="AF126" s="299" t="n">
        <v>-0.0555</v>
      </c>
      <c r="AG126" s="299" t="n">
        <v>-0.078</v>
      </c>
      <c r="AH126" s="299" t="n">
        <v>-0.008499999</v>
      </c>
      <c r="AI126" s="299" t="n">
        <v>-0.064</v>
      </c>
      <c r="AJ126" s="299" t="n">
        <v>-0.1375</v>
      </c>
      <c r="AK126" s="299" t="n">
        <v>-0.008999999</v>
      </c>
      <c r="AL126" s="299" t="n">
        <v>0.031</v>
      </c>
      <c r="AM126" s="299" t="n">
        <v>1.6</v>
      </c>
      <c r="AN126" s="299" t="n">
        <v>-0.0475</v>
      </c>
      <c r="AO126" s="299" t="n">
        <v>-0.34</v>
      </c>
      <c r="AP126" s="299" t="n">
        <v>-0.07</v>
      </c>
      <c r="AQ126" s="299" t="n">
        <v>-0.13</v>
      </c>
      <c r="AR126" s="299" t="n">
        <v>0.378</v>
      </c>
      <c r="AS126" s="299" t="n">
        <v>-0.26</v>
      </c>
      <c r="AT126" s="299" t="n">
        <v>0</v>
      </c>
      <c r="AU126" s="299" t="n">
        <v>0.35</v>
      </c>
      <c r="AV126" s="299" t="n">
        <v>-0.34</v>
      </c>
      <c r="AW126" s="299" t="n">
        <v>-0.1835</v>
      </c>
      <c r="AX126" s="299" t="n">
        <v>-0.06</v>
      </c>
      <c r="AY126" s="299" t="n">
        <v>-0.1235</v>
      </c>
      <c r="AZ126" s="299" t="n">
        <v>-0.0435</v>
      </c>
      <c r="BA126" s="299" t="n">
        <v>-0.099</v>
      </c>
      <c r="BB126" s="299" t="n">
        <v>-0.0135</v>
      </c>
      <c r="BC126" s="299" t="n">
        <v>-0.0635</v>
      </c>
      <c r="BD126" s="299" t="n">
        <v>-0.0775</v>
      </c>
      <c r="BE126" s="299" t="n">
        <v>-0.075</v>
      </c>
      <c r="BF126" s="299" t="n">
        <v>0</v>
      </c>
      <c r="BG126" s="299" t="n">
        <v>0.17</v>
      </c>
      <c r="BH126" s="299" t="n">
        <v>0.175</v>
      </c>
      <c r="BI126" s="299" t="n">
        <v>0.155</v>
      </c>
      <c r="BJ126" s="299" t="n">
        <v>1.04</v>
      </c>
      <c r="BK126" s="299" t="n">
        <v>0.0025</v>
      </c>
      <c r="BL126" s="299" t="n">
        <v>-0.025</v>
      </c>
      <c r="BM126" s="299" t="n">
        <v>0.005</v>
      </c>
      <c r="BN126" s="299" t="n">
        <v>0</v>
      </c>
      <c r="BO126" s="299" t="n">
        <v>0</v>
      </c>
      <c r="BP126" s="299" t="n">
        <v>0.005</v>
      </c>
      <c r="BQ126" s="299" t="n">
        <v>0.005</v>
      </c>
      <c r="BR126" s="299" t="n">
        <v>0.45</v>
      </c>
      <c r="BS126" s="0" t="n">
        <v>0.02</v>
      </c>
      <c r="BT126" s="0" t="n">
        <v>0</v>
      </c>
      <c r="BU126" s="0" t="n">
        <v>0</v>
      </c>
      <c r="BV126" s="0" t="n">
        <v>0.03</v>
      </c>
    </row>
    <row r="127" customFormat="false" ht="12.75" hidden="false" customHeight="false" outlineLevel="0" collapsed="false">
      <c r="A127" s="301" t="e">
        <f aca="false">#REF!-B127</f>
        <v>#REF!</v>
      </c>
      <c r="B127" s="301" t="n">
        <v>3.378</v>
      </c>
      <c r="C127" s="308" t="n">
        <f aca="false">EOMONTH(C126,0)+1</f>
        <v>40940</v>
      </c>
      <c r="D127" s="0" t="n">
        <v>4.1275</v>
      </c>
      <c r="E127" s="301" t="n">
        <v>0.175</v>
      </c>
      <c r="F127" s="299" t="n">
        <v>0.0592942989032874</v>
      </c>
      <c r="G127" s="299" t="n">
        <v>-0.1275</v>
      </c>
      <c r="H127" s="299" t="n">
        <v>-0.1475</v>
      </c>
      <c r="I127" s="310" t="n">
        <v>0.01</v>
      </c>
      <c r="J127" s="310" t="n">
        <v>-0.13</v>
      </c>
      <c r="K127" s="299" t="n">
        <v>0.02</v>
      </c>
      <c r="L127" s="299" t="n">
        <v>-0.0435</v>
      </c>
      <c r="M127" s="299" t="n">
        <v>-0.0785</v>
      </c>
      <c r="N127" s="299" t="n">
        <v>-0.1175</v>
      </c>
      <c r="O127" s="299" t="n">
        <v>-0.1175</v>
      </c>
      <c r="P127" s="299" t="n">
        <v>-0.1275</v>
      </c>
      <c r="Q127" s="299" t="n">
        <v>-0.08175</v>
      </c>
      <c r="R127" s="299" t="n">
        <v>-0.0435</v>
      </c>
      <c r="S127" s="299" t="n">
        <v>0.155</v>
      </c>
      <c r="T127" s="299" t="n">
        <v>0.175</v>
      </c>
      <c r="U127" s="299" t="n">
        <v>0.13</v>
      </c>
      <c r="V127" s="299" t="n">
        <v>0.5</v>
      </c>
      <c r="W127" s="299" t="n">
        <v>0.235</v>
      </c>
      <c r="X127" s="299" t="n">
        <v>0.34</v>
      </c>
      <c r="Y127" s="299" t="n">
        <v>-0.011</v>
      </c>
      <c r="Z127" s="299" t="n">
        <v>-0.0305</v>
      </c>
      <c r="AA127" s="299" t="n">
        <v>0.0095</v>
      </c>
      <c r="AB127" s="299" t="n">
        <v>-0.008</v>
      </c>
      <c r="AC127" s="299" t="n">
        <v>0.0025</v>
      </c>
      <c r="AD127" s="299" t="n">
        <v>-0.0225</v>
      </c>
      <c r="AE127" s="299" t="n">
        <v>-0.075</v>
      </c>
      <c r="AF127" s="299" t="n">
        <v>-0.0555</v>
      </c>
      <c r="AG127" s="299" t="n">
        <v>-0.078</v>
      </c>
      <c r="AH127" s="299" t="n">
        <v>-0.008499999</v>
      </c>
      <c r="AI127" s="299" t="n">
        <v>-0.064</v>
      </c>
      <c r="AJ127" s="299" t="n">
        <v>-0.12</v>
      </c>
      <c r="AK127" s="299" t="n">
        <v>-0.008999999</v>
      </c>
      <c r="AL127" s="299" t="n">
        <v>0.031</v>
      </c>
      <c r="AM127" s="299" t="n">
        <v>1.6</v>
      </c>
      <c r="AN127" s="299" t="n">
        <v>-0.03</v>
      </c>
      <c r="AO127" s="299" t="n">
        <v>-0.34</v>
      </c>
      <c r="AP127" s="299" t="n">
        <v>-0.07</v>
      </c>
      <c r="AQ127" s="299" t="n">
        <v>-0.13</v>
      </c>
      <c r="AR127" s="299" t="n">
        <v>0.248</v>
      </c>
      <c r="AS127" s="299" t="n">
        <v>-0.26</v>
      </c>
      <c r="AT127" s="299" t="n">
        <v>0</v>
      </c>
      <c r="AU127" s="299" t="n">
        <v>0.35</v>
      </c>
      <c r="AV127" s="299" t="n">
        <v>-0.34</v>
      </c>
      <c r="AW127" s="299" t="n">
        <v>-0.1735</v>
      </c>
      <c r="AX127" s="299" t="n">
        <v>-0.06</v>
      </c>
      <c r="AY127" s="299" t="n">
        <v>-0.1135</v>
      </c>
      <c r="AZ127" s="299" t="n">
        <v>-0.0435</v>
      </c>
      <c r="BA127" s="299" t="n">
        <v>-0.099</v>
      </c>
      <c r="BB127" s="299" t="n">
        <v>-0.0135</v>
      </c>
      <c r="BC127" s="299" t="n">
        <v>-0.0635</v>
      </c>
      <c r="BD127" s="299" t="n">
        <v>-0.06</v>
      </c>
      <c r="BE127" s="299" t="n">
        <v>-0.075</v>
      </c>
      <c r="BF127" s="299" t="n">
        <v>0</v>
      </c>
      <c r="BG127" s="299" t="n">
        <v>0.17</v>
      </c>
      <c r="BH127" s="299" t="n">
        <v>0.175</v>
      </c>
      <c r="BI127" s="299" t="n">
        <v>0.155</v>
      </c>
      <c r="BJ127" s="299" t="n">
        <v>1.04</v>
      </c>
      <c r="BK127" s="299" t="n">
        <v>0.0025</v>
      </c>
      <c r="BL127" s="299" t="n">
        <v>-0.025</v>
      </c>
      <c r="BM127" s="299" t="n">
        <v>0.005</v>
      </c>
      <c r="BN127" s="299" t="n">
        <v>0</v>
      </c>
      <c r="BO127" s="299" t="n">
        <v>0</v>
      </c>
      <c r="BP127" s="299" t="n">
        <v>0.005</v>
      </c>
      <c r="BQ127" s="299" t="n">
        <v>0.005</v>
      </c>
      <c r="BR127" s="299" t="n">
        <v>0.45</v>
      </c>
      <c r="BS127" s="0" t="n">
        <v>0.02</v>
      </c>
      <c r="BT127" s="0" t="n">
        <v>0</v>
      </c>
      <c r="BU127" s="0" t="n">
        <v>0</v>
      </c>
      <c r="BV127" s="0" t="n">
        <v>0.03</v>
      </c>
    </row>
    <row r="128" customFormat="false" ht="12.75" hidden="false" customHeight="false" outlineLevel="0" collapsed="false">
      <c r="A128" s="301" t="e">
        <f aca="false">#REF!-B128</f>
        <v>#REF!</v>
      </c>
      <c r="B128" s="301" t="n">
        <v>3.361</v>
      </c>
      <c r="C128" s="308" t="n">
        <f aca="false">EOMONTH(C127,0)+1</f>
        <v>40969</v>
      </c>
      <c r="D128" s="0" t="n">
        <v>3.9975</v>
      </c>
      <c r="E128" s="301" t="n">
        <v>0.17</v>
      </c>
      <c r="F128" s="299" t="n">
        <v>0.0593352994824756</v>
      </c>
      <c r="G128" s="299" t="n">
        <v>-0.125</v>
      </c>
      <c r="H128" s="299" t="n">
        <v>-0.145</v>
      </c>
      <c r="I128" s="310" t="n">
        <v>-0.01</v>
      </c>
      <c r="J128" s="310" t="n">
        <v>-0.13</v>
      </c>
      <c r="K128" s="299" t="n">
        <v>0</v>
      </c>
      <c r="L128" s="299" t="n">
        <v>-0.0435</v>
      </c>
      <c r="M128" s="299" t="n">
        <v>-0.0785</v>
      </c>
      <c r="N128" s="299" t="n">
        <v>-0.115</v>
      </c>
      <c r="O128" s="299" t="n">
        <v>-0.115</v>
      </c>
      <c r="P128" s="299" t="n">
        <v>-0.125</v>
      </c>
      <c r="Q128" s="299" t="n">
        <v>-0.0755</v>
      </c>
      <c r="R128" s="299" t="n">
        <v>-0.0435</v>
      </c>
      <c r="S128" s="299" t="n">
        <v>0.155</v>
      </c>
      <c r="T128" s="299" t="n">
        <v>0.175</v>
      </c>
      <c r="U128" s="299" t="n">
        <v>0.13</v>
      </c>
      <c r="V128" s="299" t="n">
        <v>0.5</v>
      </c>
      <c r="W128" s="299" t="n">
        <v>0.195</v>
      </c>
      <c r="X128" s="299" t="n">
        <v>0.29</v>
      </c>
      <c r="Y128" s="299" t="n">
        <v>-0.011</v>
      </c>
      <c r="Z128" s="299" t="n">
        <v>-0.0305</v>
      </c>
      <c r="AA128" s="299" t="n">
        <v>0.017</v>
      </c>
      <c r="AB128" s="299" t="n">
        <v>0.000499999999999997</v>
      </c>
      <c r="AC128" s="299" t="n">
        <v>0.0025</v>
      </c>
      <c r="AD128" s="299" t="n">
        <v>-0.0225</v>
      </c>
      <c r="AE128" s="299" t="n">
        <v>-0.075</v>
      </c>
      <c r="AF128" s="299" t="n">
        <v>-0.0555</v>
      </c>
      <c r="AG128" s="299" t="n">
        <v>-0.078</v>
      </c>
      <c r="AH128" s="299" t="n">
        <v>-0.008499999</v>
      </c>
      <c r="AI128" s="299" t="n">
        <v>-0.064</v>
      </c>
      <c r="AJ128" s="299" t="n">
        <v>-0.1075</v>
      </c>
      <c r="AK128" s="299" t="n">
        <v>-0.008999999</v>
      </c>
      <c r="AL128" s="299" t="n">
        <v>0.031</v>
      </c>
      <c r="AM128" s="299" t="n">
        <v>0.64</v>
      </c>
      <c r="AN128" s="299" t="n">
        <v>-0.0175</v>
      </c>
      <c r="AO128" s="299" t="n">
        <v>-0.34</v>
      </c>
      <c r="AP128" s="299" t="n">
        <v>-0.07</v>
      </c>
      <c r="AQ128" s="299" t="n">
        <v>-0.13</v>
      </c>
      <c r="AR128" s="299" t="n">
        <v>0.068</v>
      </c>
      <c r="AS128" s="299" t="n">
        <v>-0.26</v>
      </c>
      <c r="AT128" s="299" t="n">
        <v>0</v>
      </c>
      <c r="AU128" s="299" t="n">
        <v>0.35</v>
      </c>
      <c r="AV128" s="299" t="n">
        <v>-0.34</v>
      </c>
      <c r="AW128" s="299" t="n">
        <v>-0.1635</v>
      </c>
      <c r="AX128" s="299" t="n">
        <v>-0.06</v>
      </c>
      <c r="AY128" s="299" t="n">
        <v>-0.1035</v>
      </c>
      <c r="AZ128" s="299" t="n">
        <v>-0.0435</v>
      </c>
      <c r="BA128" s="299" t="n">
        <v>-0.099</v>
      </c>
      <c r="BB128" s="299" t="n">
        <v>-0.0135</v>
      </c>
      <c r="BC128" s="299" t="n">
        <v>-0.0635</v>
      </c>
      <c r="BD128" s="299" t="n">
        <v>-0.0475</v>
      </c>
      <c r="BE128" s="299" t="n">
        <v>-0.075</v>
      </c>
      <c r="BF128" s="299" t="n">
        <v>0</v>
      </c>
      <c r="BG128" s="299" t="n">
        <v>0.17</v>
      </c>
      <c r="BH128" s="299" t="n">
        <v>0.175</v>
      </c>
      <c r="BI128" s="299" t="n">
        <v>0.155</v>
      </c>
      <c r="BJ128" s="299" t="n">
        <v>0.54</v>
      </c>
      <c r="BK128" s="299" t="n">
        <v>0.0025</v>
      </c>
      <c r="BL128" s="299" t="n">
        <v>-0.02</v>
      </c>
      <c r="BM128" s="299" t="n">
        <v>0.005</v>
      </c>
      <c r="BN128" s="299" t="n">
        <v>0</v>
      </c>
      <c r="BO128" s="299" t="n">
        <v>0</v>
      </c>
      <c r="BP128" s="299" t="n">
        <v>0.005</v>
      </c>
      <c r="BQ128" s="299" t="n">
        <v>0.005</v>
      </c>
      <c r="BR128" s="299" t="n">
        <v>0.1</v>
      </c>
      <c r="BS128" s="0" t="n">
        <v>0.02</v>
      </c>
      <c r="BT128" s="0" t="n">
        <v>0</v>
      </c>
      <c r="BU128" s="0" t="n">
        <v>0</v>
      </c>
      <c r="BV128" s="0" t="n">
        <v>0.03</v>
      </c>
    </row>
    <row r="129" customFormat="false" ht="12.75" hidden="false" customHeight="false" outlineLevel="0" collapsed="false">
      <c r="A129" s="301" t="e">
        <f aca="false">#REF!-B129</f>
        <v>#REF!</v>
      </c>
      <c r="B129" s="301" t="n">
        <v>3.372</v>
      </c>
      <c r="C129" s="308" t="n">
        <f aca="false">EOMONTH(C128,0)+1</f>
        <v>41000</v>
      </c>
      <c r="D129" s="0" t="n">
        <v>3.8125</v>
      </c>
      <c r="E129" s="301" t="n">
        <v>0.17</v>
      </c>
      <c r="F129" s="299" t="n">
        <v>0.059379127688433</v>
      </c>
      <c r="G129" s="299" t="n">
        <v>-0.13</v>
      </c>
      <c r="H129" s="299" t="n">
        <v>-0.15</v>
      </c>
      <c r="I129" s="310" t="n">
        <v>-0.09</v>
      </c>
      <c r="J129" s="310" t="n">
        <v>-0.13</v>
      </c>
      <c r="K129" s="299" t="n">
        <v>-0.09</v>
      </c>
      <c r="L129" s="299" t="n">
        <v>-0.041</v>
      </c>
      <c r="M129" s="299" t="n">
        <v>-0.061</v>
      </c>
      <c r="N129" s="299" t="n">
        <v>-0.12</v>
      </c>
      <c r="O129" s="299" t="n">
        <v>-0.12</v>
      </c>
      <c r="P129" s="299" t="n">
        <v>-0.13</v>
      </c>
      <c r="Q129" s="299" t="n">
        <v>-0.0555</v>
      </c>
      <c r="R129" s="299" t="n">
        <v>-0.041</v>
      </c>
      <c r="S129" s="299" t="n">
        <v>0.125</v>
      </c>
      <c r="T129" s="299" t="n">
        <v>0.145</v>
      </c>
      <c r="U129" s="299" t="n">
        <v>0.04</v>
      </c>
      <c r="V129" s="299" t="n">
        <v>0.5</v>
      </c>
      <c r="W129" s="299" t="n">
        <v>0.145</v>
      </c>
      <c r="X129" s="299" t="n">
        <v>0.195</v>
      </c>
      <c r="Y129" s="299" t="n">
        <v>-0.0135</v>
      </c>
      <c r="Z129" s="299" t="n">
        <v>-0.0455</v>
      </c>
      <c r="AA129" s="299" t="n">
        <v>0.017</v>
      </c>
      <c r="AB129" s="299" t="n">
        <v>0.000499999999999997</v>
      </c>
      <c r="AC129" s="299" t="n">
        <v>0.0025</v>
      </c>
      <c r="AD129" s="299" t="n">
        <v>-0.0225</v>
      </c>
      <c r="AE129" s="299" t="n">
        <v>-0.0725</v>
      </c>
      <c r="AF129" s="299" t="n">
        <v>-0.053</v>
      </c>
      <c r="AG129" s="299" t="n">
        <v>-0.0755</v>
      </c>
      <c r="AH129" s="299" t="n">
        <v>-0.0135</v>
      </c>
      <c r="AI129" s="299" t="n">
        <v>-0.072</v>
      </c>
      <c r="AJ129" s="299" t="n">
        <v>-0.07</v>
      </c>
      <c r="AK129" s="299" t="n">
        <v>-0.017</v>
      </c>
      <c r="AL129" s="299" t="n">
        <v>0.023</v>
      </c>
      <c r="AM129" s="299" t="n">
        <v>0.38</v>
      </c>
      <c r="AN129" s="299" t="n">
        <v>0.02</v>
      </c>
      <c r="AO129" s="299" t="n">
        <v>-0.45</v>
      </c>
      <c r="AP129" s="299" t="n">
        <v>-0.07</v>
      </c>
      <c r="AQ129" s="299" t="n">
        <v>-0.195</v>
      </c>
      <c r="AR129" s="299" t="n">
        <v>-0.25</v>
      </c>
      <c r="AS129" s="299" t="n">
        <v>-0.37</v>
      </c>
      <c r="AT129" s="299" t="n">
        <v>0</v>
      </c>
      <c r="AU129" s="299" t="n">
        <v>0.43</v>
      </c>
      <c r="AV129" s="299" t="n">
        <v>-0.45</v>
      </c>
      <c r="AW129" s="299" t="n">
        <v>-0.204</v>
      </c>
      <c r="AX129" s="299" t="n">
        <v>-0.06</v>
      </c>
      <c r="AY129" s="299" t="n">
        <v>-0.144</v>
      </c>
      <c r="AZ129" s="299" t="n">
        <v>-0.041</v>
      </c>
      <c r="BA129" s="299" t="n">
        <v>-0.1215</v>
      </c>
      <c r="BB129" s="299" t="n">
        <v>-0.0135</v>
      </c>
      <c r="BC129" s="299" t="n">
        <v>-0.046</v>
      </c>
      <c r="BD129" s="299" t="n">
        <v>-0.01</v>
      </c>
      <c r="BE129" s="299" t="n">
        <v>-0.0725</v>
      </c>
      <c r="BF129" s="299" t="n">
        <v>0</v>
      </c>
      <c r="BG129" s="299" t="n">
        <v>0.14</v>
      </c>
      <c r="BH129" s="299" t="n">
        <v>0.145</v>
      </c>
      <c r="BI129" s="299" t="n">
        <v>0.125</v>
      </c>
      <c r="BJ129" s="299" t="n">
        <v>0.36</v>
      </c>
      <c r="BK129" s="299" t="n">
        <v>0.0025</v>
      </c>
      <c r="BL129" s="299" t="n">
        <v>-0.015</v>
      </c>
      <c r="BM129" s="299" t="n">
        <v>0.005</v>
      </c>
      <c r="BN129" s="299" t="n">
        <v>-0.01</v>
      </c>
      <c r="BO129" s="299" t="n">
        <v>0</v>
      </c>
      <c r="BP129" s="299" t="n">
        <v>0.005</v>
      </c>
      <c r="BQ129" s="299" t="n">
        <v>0.0025</v>
      </c>
      <c r="BR129" s="299" t="n">
        <v>0.02</v>
      </c>
      <c r="BS129" s="0" t="n">
        <v>0.005</v>
      </c>
      <c r="BT129" s="0" t="n">
        <v>0</v>
      </c>
      <c r="BU129" s="0" t="n">
        <v>0</v>
      </c>
      <c r="BV129" s="0" t="n">
        <v>0.03</v>
      </c>
    </row>
    <row r="130" customFormat="false" ht="12.75" hidden="false" customHeight="false" outlineLevel="0" collapsed="false">
      <c r="A130" s="301" t="e">
        <f aca="false">#REF!-B130</f>
        <v>#REF!</v>
      </c>
      <c r="B130" s="301" t="n">
        <v>3.449</v>
      </c>
      <c r="C130" s="308" t="n">
        <f aca="false">EOMONTH(C129,0)+1</f>
        <v>41030</v>
      </c>
      <c r="D130" s="0" t="n">
        <v>3.8075</v>
      </c>
      <c r="E130" s="301" t="n">
        <v>0.17</v>
      </c>
      <c r="F130" s="299" t="n">
        <v>0.0594215420819029</v>
      </c>
      <c r="G130" s="299" t="n">
        <v>-0.13</v>
      </c>
      <c r="H130" s="299" t="n">
        <v>-0.15</v>
      </c>
      <c r="I130" s="310" t="n">
        <v>-0.09</v>
      </c>
      <c r="J130" s="310" t="n">
        <v>-0.13</v>
      </c>
      <c r="K130" s="299" t="n">
        <v>-0.09</v>
      </c>
      <c r="L130" s="299" t="n">
        <v>-0.041</v>
      </c>
      <c r="M130" s="299" t="n">
        <v>-0.061</v>
      </c>
      <c r="N130" s="299" t="n">
        <v>-0.12</v>
      </c>
      <c r="O130" s="299" t="n">
        <v>-0.12</v>
      </c>
      <c r="P130" s="299" t="n">
        <v>-0.13</v>
      </c>
      <c r="Q130" s="299" t="n">
        <v>-0.0555</v>
      </c>
      <c r="R130" s="299" t="n">
        <v>-0.041</v>
      </c>
      <c r="S130" s="299" t="n">
        <v>0.125</v>
      </c>
      <c r="T130" s="299" t="n">
        <v>0.145</v>
      </c>
      <c r="U130" s="299" t="n">
        <v>0.04</v>
      </c>
      <c r="V130" s="299" t="n">
        <v>0.5</v>
      </c>
      <c r="W130" s="299" t="n">
        <v>0.125</v>
      </c>
      <c r="X130" s="299" t="n">
        <v>0.135</v>
      </c>
      <c r="Y130" s="299" t="n">
        <v>-0.0135</v>
      </c>
      <c r="Z130" s="299" t="n">
        <v>-0.0455</v>
      </c>
      <c r="AA130" s="299" t="n">
        <v>0.0195</v>
      </c>
      <c r="AB130" s="299" t="n">
        <v>0.002</v>
      </c>
      <c r="AC130" s="299" t="n">
        <v>0.0025</v>
      </c>
      <c r="AD130" s="299" t="n">
        <v>-0.0225</v>
      </c>
      <c r="AE130" s="299" t="n">
        <v>-0.0725</v>
      </c>
      <c r="AF130" s="299" t="n">
        <v>-0.053</v>
      </c>
      <c r="AG130" s="299" t="n">
        <v>-0.0755</v>
      </c>
      <c r="AH130" s="299" t="n">
        <v>-0.0135</v>
      </c>
      <c r="AI130" s="299" t="n">
        <v>-0.072</v>
      </c>
      <c r="AJ130" s="299" t="n">
        <v>-0.07</v>
      </c>
      <c r="AK130" s="299" t="n">
        <v>-0.017</v>
      </c>
      <c r="AL130" s="299" t="n">
        <v>0.023</v>
      </c>
      <c r="AM130" s="299" t="n">
        <v>0.33</v>
      </c>
      <c r="AN130" s="299" t="n">
        <v>0.02</v>
      </c>
      <c r="AO130" s="299" t="n">
        <v>-0.45</v>
      </c>
      <c r="AP130" s="299" t="n">
        <v>-0.07</v>
      </c>
      <c r="AQ130" s="299" t="n">
        <v>-0.195</v>
      </c>
      <c r="AR130" s="299" t="n">
        <v>-0.1</v>
      </c>
      <c r="AS130" s="299" t="n">
        <v>-0.37</v>
      </c>
      <c r="AT130" s="299" t="n">
        <v>0</v>
      </c>
      <c r="AU130" s="299" t="n">
        <v>0.43</v>
      </c>
      <c r="AV130" s="299" t="n">
        <v>-0.45</v>
      </c>
      <c r="AW130" s="299" t="n">
        <v>-0.1815</v>
      </c>
      <c r="AX130" s="299" t="n">
        <v>-0.06</v>
      </c>
      <c r="AY130" s="299" t="n">
        <v>-0.1215</v>
      </c>
      <c r="AZ130" s="299" t="n">
        <v>-0.041</v>
      </c>
      <c r="BA130" s="299" t="n">
        <v>-0.114</v>
      </c>
      <c r="BB130" s="299" t="n">
        <v>-0.0135</v>
      </c>
      <c r="BC130" s="299" t="n">
        <v>-0.046</v>
      </c>
      <c r="BD130" s="299" t="n">
        <v>-0.01</v>
      </c>
      <c r="BE130" s="299" t="n">
        <v>-0.0725</v>
      </c>
      <c r="BF130" s="299" t="n">
        <v>0</v>
      </c>
      <c r="BG130" s="299" t="n">
        <v>0.14</v>
      </c>
      <c r="BH130" s="299" t="n">
        <v>0.145</v>
      </c>
      <c r="BI130" s="299" t="n">
        <v>0.125</v>
      </c>
      <c r="BJ130" s="299" t="n">
        <v>0.325</v>
      </c>
      <c r="BK130" s="299" t="n">
        <v>0.0025</v>
      </c>
      <c r="BL130" s="299" t="n">
        <v>-0.015</v>
      </c>
      <c r="BM130" s="299" t="n">
        <v>0.005</v>
      </c>
      <c r="BN130" s="299" t="n">
        <v>-0.01</v>
      </c>
      <c r="BO130" s="299" t="n">
        <v>0</v>
      </c>
      <c r="BP130" s="299" t="n">
        <v>0.005</v>
      </c>
      <c r="BQ130" s="299" t="n">
        <v>0.0025</v>
      </c>
      <c r="BR130" s="299" t="n">
        <v>0.02</v>
      </c>
      <c r="BS130" s="0" t="n">
        <v>0.005</v>
      </c>
      <c r="BT130" s="0" t="n">
        <v>0</v>
      </c>
      <c r="BU130" s="0" t="n">
        <v>0</v>
      </c>
      <c r="BV130" s="0" t="n">
        <v>0.03</v>
      </c>
    </row>
    <row r="131" customFormat="false" ht="12.75" hidden="false" customHeight="false" outlineLevel="0" collapsed="false">
      <c r="A131" s="301" t="e">
        <f aca="false">#REF!-B131</f>
        <v>#REF!</v>
      </c>
      <c r="B131" s="301" t="n">
        <v>3.537</v>
      </c>
      <c r="C131" s="308" t="n">
        <f aca="false">EOMONTH(C130,0)+1</f>
        <v>41061</v>
      </c>
      <c r="D131" s="0" t="n">
        <v>3.8425</v>
      </c>
      <c r="E131" s="301" t="n">
        <v>0.17</v>
      </c>
      <c r="F131" s="299" t="n">
        <v>0.0594653702891166</v>
      </c>
      <c r="G131" s="299" t="n">
        <v>-0.13</v>
      </c>
      <c r="H131" s="299" t="n">
        <v>-0.15</v>
      </c>
      <c r="I131" s="310" t="n">
        <v>-0.09</v>
      </c>
      <c r="J131" s="310" t="n">
        <v>-0.13</v>
      </c>
      <c r="K131" s="299" t="n">
        <v>-0.09</v>
      </c>
      <c r="L131" s="299" t="n">
        <v>-0.041</v>
      </c>
      <c r="M131" s="299" t="n">
        <v>-0.061</v>
      </c>
      <c r="N131" s="299" t="n">
        <v>-0.12</v>
      </c>
      <c r="O131" s="299" t="n">
        <v>-0.12</v>
      </c>
      <c r="P131" s="299" t="n">
        <v>-0.13</v>
      </c>
      <c r="Q131" s="299" t="n">
        <v>-0.053</v>
      </c>
      <c r="R131" s="299" t="n">
        <v>-0.041</v>
      </c>
      <c r="S131" s="299" t="n">
        <v>0.125</v>
      </c>
      <c r="T131" s="299" t="n">
        <v>0.145</v>
      </c>
      <c r="U131" s="299" t="n">
        <v>0.04</v>
      </c>
      <c r="V131" s="299" t="n">
        <v>0.5</v>
      </c>
      <c r="W131" s="299" t="n">
        <v>0.145</v>
      </c>
      <c r="X131" s="299" t="n">
        <v>0.165</v>
      </c>
      <c r="Y131" s="299" t="n">
        <v>-0.0135</v>
      </c>
      <c r="Z131" s="299" t="n">
        <v>-0.043</v>
      </c>
      <c r="AA131" s="299" t="n">
        <v>0.0195</v>
      </c>
      <c r="AB131" s="299" t="n">
        <v>0.002</v>
      </c>
      <c r="AC131" s="299" t="n">
        <v>0.0025</v>
      </c>
      <c r="AD131" s="299" t="n">
        <v>-0.0225</v>
      </c>
      <c r="AE131" s="299" t="n">
        <v>-0.0725</v>
      </c>
      <c r="AF131" s="299" t="n">
        <v>-0.053</v>
      </c>
      <c r="AG131" s="299" t="n">
        <v>-0.0755</v>
      </c>
      <c r="AH131" s="299" t="n">
        <v>-0.0135</v>
      </c>
      <c r="AI131" s="299" t="n">
        <v>-0.072</v>
      </c>
      <c r="AJ131" s="299" t="n">
        <v>-0.065</v>
      </c>
      <c r="AK131" s="299" t="n">
        <v>-0.017</v>
      </c>
      <c r="AL131" s="299" t="n">
        <v>0.023</v>
      </c>
      <c r="AM131" s="299" t="n">
        <v>0.37</v>
      </c>
      <c r="AN131" s="299" t="n">
        <v>0.025</v>
      </c>
      <c r="AO131" s="299" t="n">
        <v>-0.45</v>
      </c>
      <c r="AP131" s="299" t="n">
        <v>-0.07</v>
      </c>
      <c r="AQ131" s="299" t="n">
        <v>-0.195</v>
      </c>
      <c r="AR131" s="299" t="n">
        <v>-0.1</v>
      </c>
      <c r="AS131" s="299" t="n">
        <v>-0.37</v>
      </c>
      <c r="AT131" s="299" t="n">
        <v>0</v>
      </c>
      <c r="AU131" s="299" t="n">
        <v>0.43</v>
      </c>
      <c r="AV131" s="299" t="n">
        <v>-0.45</v>
      </c>
      <c r="AW131" s="299" t="n">
        <v>-0.129</v>
      </c>
      <c r="AX131" s="299" t="n">
        <v>-0.06</v>
      </c>
      <c r="AY131" s="299" t="n">
        <v>-0.069</v>
      </c>
      <c r="AZ131" s="299" t="n">
        <v>-0.041</v>
      </c>
      <c r="BA131" s="299" t="n">
        <v>-0.0715</v>
      </c>
      <c r="BB131" s="299" t="n">
        <v>-0.0135</v>
      </c>
      <c r="BC131" s="299" t="n">
        <v>-0.046</v>
      </c>
      <c r="BD131" s="299" t="n">
        <v>-0.005</v>
      </c>
      <c r="BE131" s="299" t="n">
        <v>-0.0725</v>
      </c>
      <c r="BF131" s="299" t="n">
        <v>0</v>
      </c>
      <c r="BG131" s="299" t="n">
        <v>0.14</v>
      </c>
      <c r="BH131" s="299" t="n">
        <v>0.145</v>
      </c>
      <c r="BI131" s="299" t="n">
        <v>0.125</v>
      </c>
      <c r="BJ131" s="299" t="n">
        <v>0.335</v>
      </c>
      <c r="BK131" s="299" t="n">
        <v>0.0025</v>
      </c>
      <c r="BL131" s="299" t="n">
        <v>-0.015</v>
      </c>
      <c r="BM131" s="299" t="n">
        <v>0.005</v>
      </c>
      <c r="BN131" s="299" t="n">
        <v>-0.01</v>
      </c>
      <c r="BO131" s="299" t="n">
        <v>0</v>
      </c>
      <c r="BP131" s="299" t="n">
        <v>0.005</v>
      </c>
      <c r="BQ131" s="299" t="n">
        <v>0.0025</v>
      </c>
      <c r="BR131" s="299" t="n">
        <v>0.035</v>
      </c>
      <c r="BS131" s="0" t="n">
        <v>0.005</v>
      </c>
      <c r="BT131" s="0" t="n">
        <v>0</v>
      </c>
      <c r="BU131" s="0" t="n">
        <v>0</v>
      </c>
      <c r="BV131" s="0" t="n">
        <v>0.03</v>
      </c>
    </row>
    <row r="132" customFormat="false" ht="12.75" hidden="false" customHeight="false" outlineLevel="0" collapsed="false">
      <c r="A132" s="301" t="e">
        <f aca="false">#REF!-B132</f>
        <v>#REF!</v>
      </c>
      <c r="B132" s="301" t="n">
        <v>3.799</v>
      </c>
      <c r="C132" s="308" t="n">
        <f aca="false">EOMONTH(C131,0)+1</f>
        <v>41091</v>
      </c>
      <c r="D132" s="0" t="n">
        <v>3.8825</v>
      </c>
      <c r="E132" s="301" t="n">
        <v>0.17</v>
      </c>
      <c r="F132" s="299" t="n">
        <v>0.0595077846838019</v>
      </c>
      <c r="G132" s="299" t="n">
        <v>-0.13</v>
      </c>
      <c r="H132" s="299" t="n">
        <v>-0.15</v>
      </c>
      <c r="I132" s="310" t="n">
        <v>-0.09</v>
      </c>
      <c r="J132" s="310" t="n">
        <v>-0.13</v>
      </c>
      <c r="K132" s="299" t="n">
        <v>-0.09</v>
      </c>
      <c r="L132" s="299" t="n">
        <v>-0.041</v>
      </c>
      <c r="M132" s="299" t="n">
        <v>-0.061</v>
      </c>
      <c r="N132" s="299" t="n">
        <v>-0.12</v>
      </c>
      <c r="O132" s="299" t="n">
        <v>-0.12</v>
      </c>
      <c r="P132" s="299" t="n">
        <v>-0.13</v>
      </c>
      <c r="Q132" s="299" t="n">
        <v>-0.05175</v>
      </c>
      <c r="R132" s="299" t="n">
        <v>-0.041</v>
      </c>
      <c r="S132" s="299" t="n">
        <v>0.125</v>
      </c>
      <c r="T132" s="299" t="n">
        <v>0.145</v>
      </c>
      <c r="U132" s="299" t="n">
        <v>0.04</v>
      </c>
      <c r="V132" s="299" t="n">
        <v>0.5</v>
      </c>
      <c r="W132" s="299" t="n">
        <v>0.15</v>
      </c>
      <c r="X132" s="299" t="n">
        <v>0.205</v>
      </c>
      <c r="Y132" s="299" t="n">
        <v>-0.0135</v>
      </c>
      <c r="Z132" s="299" t="n">
        <v>-0.043</v>
      </c>
      <c r="AA132" s="299" t="n">
        <v>0.0195</v>
      </c>
      <c r="AB132" s="299" t="n">
        <v>0.002</v>
      </c>
      <c r="AC132" s="299" t="n">
        <v>0.0025</v>
      </c>
      <c r="AD132" s="299" t="n">
        <v>-0.0225</v>
      </c>
      <c r="AE132" s="299" t="n">
        <v>-0.0725</v>
      </c>
      <c r="AF132" s="299" t="n">
        <v>-0.053</v>
      </c>
      <c r="AG132" s="299" t="n">
        <v>-0.0755</v>
      </c>
      <c r="AH132" s="299" t="n">
        <v>-0.0135</v>
      </c>
      <c r="AI132" s="299" t="n">
        <v>-0.072</v>
      </c>
      <c r="AJ132" s="299" t="n">
        <v>-0.0625</v>
      </c>
      <c r="AK132" s="299" t="n">
        <v>-0.017</v>
      </c>
      <c r="AL132" s="299" t="n">
        <v>0.023</v>
      </c>
      <c r="AM132" s="299" t="n">
        <v>0.41</v>
      </c>
      <c r="AN132" s="299" t="n">
        <v>0.0275</v>
      </c>
      <c r="AO132" s="299" t="n">
        <v>-0.45</v>
      </c>
      <c r="AP132" s="299" t="n">
        <v>-0.07</v>
      </c>
      <c r="AQ132" s="299" t="n">
        <v>-0.195</v>
      </c>
      <c r="AR132" s="299" t="n">
        <v>-0.1</v>
      </c>
      <c r="AS132" s="299" t="n">
        <v>-0.37</v>
      </c>
      <c r="AT132" s="299" t="n">
        <v>0</v>
      </c>
      <c r="AU132" s="299" t="n">
        <v>0.43</v>
      </c>
      <c r="AV132" s="299" t="n">
        <v>-0.45</v>
      </c>
      <c r="AW132" s="299" t="n">
        <v>-0.139</v>
      </c>
      <c r="AX132" s="299" t="n">
        <v>-0.06</v>
      </c>
      <c r="AY132" s="299" t="n">
        <v>-0.079</v>
      </c>
      <c r="AZ132" s="299" t="n">
        <v>-0.041</v>
      </c>
      <c r="BA132" s="299" t="n">
        <v>-0.069</v>
      </c>
      <c r="BB132" s="299" t="n">
        <v>-0.0135</v>
      </c>
      <c r="BC132" s="299" t="n">
        <v>-0.046</v>
      </c>
      <c r="BD132" s="299" t="n">
        <v>-0.0025</v>
      </c>
      <c r="BE132" s="299" t="n">
        <v>-0.0725</v>
      </c>
      <c r="BF132" s="299" t="n">
        <v>0</v>
      </c>
      <c r="BG132" s="299" t="n">
        <v>0.14</v>
      </c>
      <c r="BH132" s="299" t="n">
        <v>0.145</v>
      </c>
      <c r="BI132" s="299" t="n">
        <v>0.125</v>
      </c>
      <c r="BJ132" s="299" t="n">
        <v>0.35</v>
      </c>
      <c r="BK132" s="299" t="n">
        <v>0.0025</v>
      </c>
      <c r="BL132" s="299" t="n">
        <v>-0.01</v>
      </c>
      <c r="BM132" s="299" t="n">
        <v>0.005</v>
      </c>
      <c r="BN132" s="299" t="n">
        <v>-0.01</v>
      </c>
      <c r="BO132" s="299" t="n">
        <v>0</v>
      </c>
      <c r="BP132" s="299" t="n">
        <v>0.005</v>
      </c>
      <c r="BQ132" s="299" t="n">
        <v>0.0025</v>
      </c>
      <c r="BR132" s="299" t="n">
        <v>0.035</v>
      </c>
      <c r="BS132" s="0" t="n">
        <v>0.005</v>
      </c>
      <c r="BT132" s="0" t="n">
        <v>0</v>
      </c>
      <c r="BU132" s="0" t="n">
        <v>0</v>
      </c>
      <c r="BV132" s="0" t="n">
        <v>0.03</v>
      </c>
    </row>
    <row r="133" customFormat="false" ht="12.75" hidden="false" customHeight="false" outlineLevel="0" collapsed="false">
      <c r="A133" s="301" t="e">
        <f aca="false">#REF!-B133</f>
        <v>#REF!</v>
      </c>
      <c r="B133" s="301" t="n">
        <v>3.704</v>
      </c>
      <c r="C133" s="308" t="n">
        <f aca="false">EOMONTH(C132,0)+1</f>
        <v>41122</v>
      </c>
      <c r="D133" s="0" t="n">
        <v>3.9225</v>
      </c>
      <c r="E133" s="301" t="n">
        <v>0.17</v>
      </c>
      <c r="F133" s="299" t="n">
        <v>0.059551612892272</v>
      </c>
      <c r="G133" s="299" t="n">
        <v>-0.13</v>
      </c>
      <c r="H133" s="299" t="n">
        <v>-0.15</v>
      </c>
      <c r="I133" s="310" t="n">
        <v>-0.09</v>
      </c>
      <c r="J133" s="310" t="n">
        <v>-0.13</v>
      </c>
      <c r="K133" s="299" t="n">
        <v>-0.09</v>
      </c>
      <c r="L133" s="299" t="n">
        <v>-0.041</v>
      </c>
      <c r="M133" s="299" t="n">
        <v>-0.061</v>
      </c>
      <c r="N133" s="299" t="n">
        <v>-0.12</v>
      </c>
      <c r="O133" s="299" t="n">
        <v>-0.12</v>
      </c>
      <c r="P133" s="299" t="n">
        <v>-0.13</v>
      </c>
      <c r="Q133" s="299" t="n">
        <v>-0.0505</v>
      </c>
      <c r="R133" s="299" t="n">
        <v>-0.041</v>
      </c>
      <c r="S133" s="299" t="n">
        <v>0.125</v>
      </c>
      <c r="T133" s="299" t="n">
        <v>0.145</v>
      </c>
      <c r="U133" s="299" t="n">
        <v>0.04</v>
      </c>
      <c r="V133" s="299" t="n">
        <v>0.5</v>
      </c>
      <c r="W133" s="299" t="n">
        <v>0.15</v>
      </c>
      <c r="X133" s="299" t="n">
        <v>0.205</v>
      </c>
      <c r="Y133" s="299" t="n">
        <v>-0.0135</v>
      </c>
      <c r="Z133" s="299" t="n">
        <v>-0.043</v>
      </c>
      <c r="AA133" s="299" t="n">
        <v>0.0145</v>
      </c>
      <c r="AB133" s="299" t="n">
        <v>-0.003</v>
      </c>
      <c r="AC133" s="299" t="n">
        <v>0.0025</v>
      </c>
      <c r="AD133" s="299" t="n">
        <v>-0.0225</v>
      </c>
      <c r="AE133" s="299" t="n">
        <v>-0.0725</v>
      </c>
      <c r="AF133" s="299" t="n">
        <v>-0.053</v>
      </c>
      <c r="AG133" s="299" t="n">
        <v>-0.0755</v>
      </c>
      <c r="AH133" s="299" t="n">
        <v>-0.0135</v>
      </c>
      <c r="AI133" s="299" t="n">
        <v>-0.072</v>
      </c>
      <c r="AJ133" s="299" t="n">
        <v>-0.06</v>
      </c>
      <c r="AK133" s="299" t="n">
        <v>-0.017</v>
      </c>
      <c r="AL133" s="299" t="n">
        <v>0.023</v>
      </c>
      <c r="AM133" s="299" t="n">
        <v>0.41</v>
      </c>
      <c r="AN133" s="299" t="n">
        <v>0.03</v>
      </c>
      <c r="AO133" s="299" t="n">
        <v>-0.45</v>
      </c>
      <c r="AP133" s="299" t="n">
        <v>-0.07</v>
      </c>
      <c r="AQ133" s="299" t="n">
        <v>-0.195</v>
      </c>
      <c r="AR133" s="299" t="n">
        <v>-0.1</v>
      </c>
      <c r="AS133" s="299" t="n">
        <v>-0.37</v>
      </c>
      <c r="AT133" s="299" t="n">
        <v>0</v>
      </c>
      <c r="AU133" s="299" t="n">
        <v>0.43</v>
      </c>
      <c r="AV133" s="299" t="n">
        <v>-0.45</v>
      </c>
      <c r="AW133" s="299" t="n">
        <v>-0.134</v>
      </c>
      <c r="AX133" s="299" t="n">
        <v>-0.06</v>
      </c>
      <c r="AY133" s="299" t="n">
        <v>-0.074</v>
      </c>
      <c r="AZ133" s="299" t="n">
        <v>-0.041</v>
      </c>
      <c r="BA133" s="299" t="n">
        <v>-0.0665</v>
      </c>
      <c r="BB133" s="299" t="n">
        <v>-0.0135</v>
      </c>
      <c r="BC133" s="299" t="n">
        <v>-0.046</v>
      </c>
      <c r="BD133" s="299" t="n">
        <v>0</v>
      </c>
      <c r="BE133" s="299" t="n">
        <v>-0.0725</v>
      </c>
      <c r="BF133" s="299" t="n">
        <v>0</v>
      </c>
      <c r="BG133" s="299" t="n">
        <v>0.14</v>
      </c>
      <c r="BH133" s="299" t="n">
        <v>0.145</v>
      </c>
      <c r="BI133" s="299" t="n">
        <v>0.125</v>
      </c>
      <c r="BJ133" s="299" t="n">
        <v>0.35</v>
      </c>
      <c r="BK133" s="299" t="n">
        <v>0.0025</v>
      </c>
      <c r="BL133" s="299" t="n">
        <v>-0.01</v>
      </c>
      <c r="BM133" s="299" t="n">
        <v>0.005</v>
      </c>
      <c r="BN133" s="299" t="n">
        <v>-0.01</v>
      </c>
      <c r="BO133" s="299" t="n">
        <v>0</v>
      </c>
      <c r="BP133" s="299" t="n">
        <v>0.005</v>
      </c>
      <c r="BQ133" s="299" t="n">
        <v>0.0025</v>
      </c>
      <c r="BR133" s="299" t="n">
        <v>0.01</v>
      </c>
      <c r="BS133" s="0" t="n">
        <v>0.005</v>
      </c>
      <c r="BT133" s="0" t="n">
        <v>0</v>
      </c>
      <c r="BU133" s="0" t="n">
        <v>0</v>
      </c>
      <c r="BV133" s="0" t="n">
        <v>0.03</v>
      </c>
    </row>
    <row r="134" customFormat="false" ht="12.75" hidden="false" customHeight="false" outlineLevel="0" collapsed="false">
      <c r="A134" s="301" t="e">
        <f aca="false">#REF!-B134</f>
        <v>#REF!</v>
      </c>
      <c r="B134" s="301" t="n">
        <v>3.57</v>
      </c>
      <c r="C134" s="308" t="n">
        <f aca="false">EOMONTH(C133,0)+1</f>
        <v>41153</v>
      </c>
      <c r="D134" s="0" t="n">
        <v>3.9175</v>
      </c>
      <c r="E134" s="301" t="n">
        <v>0.17</v>
      </c>
      <c r="F134" s="299" t="n">
        <v>0.0595954411013802</v>
      </c>
      <c r="G134" s="299" t="n">
        <v>-0.13</v>
      </c>
      <c r="H134" s="299" t="n">
        <v>-0.15</v>
      </c>
      <c r="I134" s="310" t="n">
        <v>-0.09</v>
      </c>
      <c r="J134" s="310" t="n">
        <v>-0.13</v>
      </c>
      <c r="K134" s="299" t="n">
        <v>-0.09</v>
      </c>
      <c r="L134" s="299" t="n">
        <v>-0.041</v>
      </c>
      <c r="M134" s="299" t="n">
        <v>-0.061</v>
      </c>
      <c r="N134" s="299" t="n">
        <v>-0.12</v>
      </c>
      <c r="O134" s="299" t="n">
        <v>-0.12</v>
      </c>
      <c r="P134" s="299" t="n">
        <v>-0.13</v>
      </c>
      <c r="Q134" s="299" t="n">
        <v>-0.05425</v>
      </c>
      <c r="R134" s="299" t="n">
        <v>-0.041</v>
      </c>
      <c r="S134" s="299" t="n">
        <v>0.125</v>
      </c>
      <c r="T134" s="299" t="n">
        <v>0.145</v>
      </c>
      <c r="U134" s="299" t="n">
        <v>0.04</v>
      </c>
      <c r="V134" s="299" t="n">
        <v>0.5</v>
      </c>
      <c r="W134" s="299" t="n">
        <v>0.125</v>
      </c>
      <c r="X134" s="299" t="n">
        <v>0.145</v>
      </c>
      <c r="Y134" s="299" t="n">
        <v>-0.0135</v>
      </c>
      <c r="Z134" s="299" t="n">
        <v>-0.048</v>
      </c>
      <c r="AA134" s="299" t="n">
        <v>0.0145</v>
      </c>
      <c r="AB134" s="299" t="n">
        <v>-0.003</v>
      </c>
      <c r="AC134" s="299" t="n">
        <v>0.0025</v>
      </c>
      <c r="AD134" s="299" t="n">
        <v>-0.0225</v>
      </c>
      <c r="AE134" s="299" t="n">
        <v>-0.0725</v>
      </c>
      <c r="AF134" s="299" t="n">
        <v>-0.053</v>
      </c>
      <c r="AG134" s="299" t="n">
        <v>-0.0755</v>
      </c>
      <c r="AH134" s="299" t="n">
        <v>-0.0135</v>
      </c>
      <c r="AI134" s="299" t="n">
        <v>-0.072</v>
      </c>
      <c r="AJ134" s="299" t="n">
        <v>-0.0675</v>
      </c>
      <c r="AK134" s="299" t="n">
        <v>-0.017</v>
      </c>
      <c r="AL134" s="299" t="n">
        <v>0.023</v>
      </c>
      <c r="AM134" s="299" t="n">
        <v>0.36</v>
      </c>
      <c r="AN134" s="299" t="n">
        <v>0.0225</v>
      </c>
      <c r="AO134" s="299" t="n">
        <v>-0.45</v>
      </c>
      <c r="AP134" s="299" t="n">
        <v>-0.07</v>
      </c>
      <c r="AQ134" s="299" t="n">
        <v>-0.195</v>
      </c>
      <c r="AR134" s="299" t="n">
        <v>-0.1</v>
      </c>
      <c r="AS134" s="299" t="n">
        <v>-0.37</v>
      </c>
      <c r="AT134" s="299" t="n">
        <v>0</v>
      </c>
      <c r="AU134" s="299" t="n">
        <v>0.43</v>
      </c>
      <c r="AV134" s="299" t="n">
        <v>-0.45</v>
      </c>
      <c r="AW134" s="299" t="n">
        <v>-0.144</v>
      </c>
      <c r="AX134" s="299" t="n">
        <v>-0.06</v>
      </c>
      <c r="AY134" s="299" t="n">
        <v>-0.084</v>
      </c>
      <c r="AZ134" s="299" t="n">
        <v>-0.041</v>
      </c>
      <c r="BA134" s="299" t="n">
        <v>-0.0715</v>
      </c>
      <c r="BB134" s="299" t="n">
        <v>-0.0135</v>
      </c>
      <c r="BC134" s="299" t="n">
        <v>-0.046</v>
      </c>
      <c r="BD134" s="299" t="n">
        <v>-0.0075</v>
      </c>
      <c r="BE134" s="299" t="n">
        <v>-0.0725</v>
      </c>
      <c r="BF134" s="299" t="n">
        <v>0</v>
      </c>
      <c r="BG134" s="299" t="n">
        <v>0.14</v>
      </c>
      <c r="BH134" s="299" t="n">
        <v>0.145</v>
      </c>
      <c r="BI134" s="299" t="n">
        <v>0.125</v>
      </c>
      <c r="BJ134" s="299" t="n">
        <v>0.315</v>
      </c>
      <c r="BK134" s="299" t="n">
        <v>0.0025</v>
      </c>
      <c r="BL134" s="299" t="n">
        <v>-0.01</v>
      </c>
      <c r="BM134" s="299" t="n">
        <v>0.005</v>
      </c>
      <c r="BN134" s="299" t="n">
        <v>-0.01</v>
      </c>
      <c r="BO134" s="299" t="n">
        <v>0</v>
      </c>
      <c r="BP134" s="299" t="n">
        <v>0.005</v>
      </c>
      <c r="BQ134" s="299" t="n">
        <v>0.0025</v>
      </c>
      <c r="BR134" s="299" t="n">
        <v>0.01</v>
      </c>
      <c r="BS134" s="0" t="n">
        <v>0.005</v>
      </c>
      <c r="BT134" s="0" t="n">
        <v>0</v>
      </c>
      <c r="BU134" s="0" t="n">
        <v>0</v>
      </c>
      <c r="BV134" s="0" t="n">
        <v>0.03</v>
      </c>
    </row>
    <row r="135" customFormat="false" ht="12.75" hidden="false" customHeight="false" outlineLevel="0" collapsed="false">
      <c r="A135" s="301" t="e">
        <f aca="false">#REF!-B135</f>
        <v>#REF!</v>
      </c>
      <c r="B135" s="301" t="n">
        <v>3.439</v>
      </c>
      <c r="C135" s="308" t="n">
        <f aca="false">EOMONTH(C134,0)+1</f>
        <v>41183</v>
      </c>
      <c r="D135" s="0" t="n">
        <v>3.9425</v>
      </c>
      <c r="E135" s="301" t="n">
        <v>0.17</v>
      </c>
      <c r="F135" s="299" t="n">
        <v>0.0596378554978991</v>
      </c>
      <c r="G135" s="299" t="n">
        <v>-0.13</v>
      </c>
      <c r="H135" s="299" t="n">
        <v>-0.15</v>
      </c>
      <c r="I135" s="310" t="n">
        <v>-0.09</v>
      </c>
      <c r="J135" s="310" t="n">
        <v>-0.13</v>
      </c>
      <c r="K135" s="299" t="n">
        <v>-0.09</v>
      </c>
      <c r="L135" s="299" t="n">
        <v>-0.041</v>
      </c>
      <c r="M135" s="299" t="n">
        <v>-0.061</v>
      </c>
      <c r="N135" s="299" t="n">
        <v>-0.12</v>
      </c>
      <c r="O135" s="299" t="n">
        <v>-0.12</v>
      </c>
      <c r="P135" s="299" t="n">
        <v>-0.13</v>
      </c>
      <c r="Q135" s="299" t="n">
        <v>-0.05925</v>
      </c>
      <c r="R135" s="299" t="n">
        <v>-0.041</v>
      </c>
      <c r="S135" s="299" t="n">
        <v>0.125</v>
      </c>
      <c r="T135" s="299" t="n">
        <v>0.145</v>
      </c>
      <c r="U135" s="299" t="n">
        <v>0.04</v>
      </c>
      <c r="V135" s="299" t="n">
        <v>0.5</v>
      </c>
      <c r="W135" s="299" t="n">
        <v>0.145</v>
      </c>
      <c r="X135" s="299" t="n">
        <v>0.175</v>
      </c>
      <c r="Y135" s="299" t="n">
        <v>-0.0135</v>
      </c>
      <c r="Z135" s="299" t="n">
        <v>-0.048</v>
      </c>
      <c r="AA135" s="299" t="n">
        <v>0.0095</v>
      </c>
      <c r="AB135" s="299" t="n">
        <v>-0.008</v>
      </c>
      <c r="AC135" s="299" t="n">
        <v>0.0025</v>
      </c>
      <c r="AD135" s="299" t="n">
        <v>-0.0225</v>
      </c>
      <c r="AE135" s="299" t="n">
        <v>-0.0725</v>
      </c>
      <c r="AF135" s="299" t="n">
        <v>-0.053</v>
      </c>
      <c r="AG135" s="299" t="n">
        <v>-0.0755</v>
      </c>
      <c r="AH135" s="299" t="n">
        <v>-0.0135</v>
      </c>
      <c r="AI135" s="299" t="n">
        <v>-0.072</v>
      </c>
      <c r="AJ135" s="299" t="n">
        <v>-0.0775</v>
      </c>
      <c r="AK135" s="299" t="n">
        <v>-0.017</v>
      </c>
      <c r="AL135" s="299" t="n">
        <v>0.023</v>
      </c>
      <c r="AM135" s="299" t="n">
        <v>0.4</v>
      </c>
      <c r="AN135" s="299" t="n">
        <v>0.0125</v>
      </c>
      <c r="AO135" s="299" t="n">
        <v>-0.45</v>
      </c>
      <c r="AP135" s="299" t="n">
        <v>-0.07</v>
      </c>
      <c r="AQ135" s="299" t="n">
        <v>-0.195</v>
      </c>
      <c r="AR135" s="299" t="n">
        <v>-0.1</v>
      </c>
      <c r="AS135" s="299" t="n">
        <v>-0.37</v>
      </c>
      <c r="AT135" s="299" t="n">
        <v>0</v>
      </c>
      <c r="AU135" s="299" t="n">
        <v>0.43</v>
      </c>
      <c r="AV135" s="299" t="n">
        <v>-0.45</v>
      </c>
      <c r="AW135" s="299" t="n">
        <v>-0.1315</v>
      </c>
      <c r="AX135" s="299" t="n">
        <v>-0.06</v>
      </c>
      <c r="AY135" s="299" t="n">
        <v>-0.0715</v>
      </c>
      <c r="AZ135" s="299" t="n">
        <v>-0.041</v>
      </c>
      <c r="BA135" s="299" t="n">
        <v>-0.074</v>
      </c>
      <c r="BB135" s="299" t="n">
        <v>-0.0135</v>
      </c>
      <c r="BC135" s="299" t="n">
        <v>-0.046</v>
      </c>
      <c r="BD135" s="299" t="n">
        <v>-0.0175</v>
      </c>
      <c r="BE135" s="299" t="n">
        <v>-0.0725</v>
      </c>
      <c r="BF135" s="299" t="n">
        <v>0</v>
      </c>
      <c r="BG135" s="299" t="n">
        <v>0.14</v>
      </c>
      <c r="BH135" s="299" t="n">
        <v>0.145</v>
      </c>
      <c r="BI135" s="299" t="n">
        <v>0.125</v>
      </c>
      <c r="BJ135" s="299" t="n">
        <v>0.36</v>
      </c>
      <c r="BK135" s="299" t="n">
        <v>0.0025</v>
      </c>
      <c r="BL135" s="299" t="n">
        <v>-0.015</v>
      </c>
      <c r="BM135" s="299" t="n">
        <v>0.005</v>
      </c>
      <c r="BN135" s="299" t="n">
        <v>-0.01</v>
      </c>
      <c r="BO135" s="299" t="n">
        <v>0</v>
      </c>
      <c r="BP135" s="299" t="n">
        <v>0.005</v>
      </c>
      <c r="BQ135" s="299" t="n">
        <v>0.0025</v>
      </c>
      <c r="BR135" s="299" t="n">
        <v>0.01</v>
      </c>
      <c r="BS135" s="0" t="n">
        <v>0.005</v>
      </c>
      <c r="BT135" s="0" t="n">
        <v>0</v>
      </c>
      <c r="BU135" s="0" t="n">
        <v>0</v>
      </c>
      <c r="BV135" s="0" t="n">
        <v>0.03</v>
      </c>
    </row>
    <row r="136" customFormat="false" ht="12.75" hidden="false" customHeight="false" outlineLevel="0" collapsed="false">
      <c r="A136" s="301" t="e">
        <f aca="false">#REF!-B136</f>
        <v>#REF!</v>
      </c>
      <c r="B136" s="301" t="n">
        <v>3.419</v>
      </c>
      <c r="C136" s="308" t="n">
        <f aca="false">EOMONTH(C135,0)+1</f>
        <v>41214</v>
      </c>
      <c r="D136" s="0" t="n">
        <v>4.0945</v>
      </c>
      <c r="E136" s="301" t="n">
        <v>0.17</v>
      </c>
      <c r="F136" s="299" t="n">
        <v>0.0596816837082637</v>
      </c>
      <c r="G136" s="299" t="n">
        <v>-0.13</v>
      </c>
      <c r="H136" s="299" t="n">
        <v>-0.15</v>
      </c>
      <c r="I136" s="310" t="n">
        <v>-0.01</v>
      </c>
      <c r="J136" s="310" t="n">
        <v>-0.13</v>
      </c>
      <c r="K136" s="299" t="n">
        <v>0</v>
      </c>
      <c r="L136" s="299" t="n">
        <v>-0.0405</v>
      </c>
      <c r="M136" s="299" t="n">
        <v>-0.0755</v>
      </c>
      <c r="N136" s="299" t="n">
        <v>-0.12</v>
      </c>
      <c r="O136" s="299" t="n">
        <v>-0.12</v>
      </c>
      <c r="P136" s="299" t="n">
        <v>-0.13</v>
      </c>
      <c r="Q136" s="299" t="n">
        <v>-0.0765</v>
      </c>
      <c r="R136" s="299" t="n">
        <v>-0.0405</v>
      </c>
      <c r="S136" s="299" t="n">
        <v>0.155</v>
      </c>
      <c r="T136" s="299" t="n">
        <v>0.175</v>
      </c>
      <c r="U136" s="299" t="n">
        <v>0.13</v>
      </c>
      <c r="V136" s="299" t="n">
        <v>0.5</v>
      </c>
      <c r="W136" s="299" t="n">
        <v>0.195</v>
      </c>
      <c r="X136" s="299" t="n">
        <v>0.21</v>
      </c>
      <c r="Y136" s="299" t="n">
        <v>-0.011</v>
      </c>
      <c r="Z136" s="299" t="n">
        <v>-0.029</v>
      </c>
      <c r="AA136" s="299" t="n">
        <v>0.0105</v>
      </c>
      <c r="AB136" s="299" t="n">
        <v>-0.007</v>
      </c>
      <c r="AC136" s="299" t="n">
        <v>0.0025</v>
      </c>
      <c r="AD136" s="299" t="n">
        <v>-0.0225</v>
      </c>
      <c r="AE136" s="299" t="n">
        <v>-0.075</v>
      </c>
      <c r="AF136" s="299" t="n">
        <v>-0.0555</v>
      </c>
      <c r="AG136" s="299" t="n">
        <v>-0.078</v>
      </c>
      <c r="AH136" s="299" t="n">
        <v>-0.009999999</v>
      </c>
      <c r="AI136" s="299" t="n">
        <v>-0.064</v>
      </c>
      <c r="AJ136" s="299" t="n">
        <v>-0.1125</v>
      </c>
      <c r="AK136" s="299" t="n">
        <v>-0.008999999</v>
      </c>
      <c r="AL136" s="299" t="n">
        <v>0.031</v>
      </c>
      <c r="AM136" s="299" t="n">
        <v>0.65</v>
      </c>
      <c r="AN136" s="299" t="n">
        <v>-0.0225</v>
      </c>
      <c r="AO136" s="299" t="n">
        <v>-0.34</v>
      </c>
      <c r="AP136" s="299" t="n">
        <v>-0.07</v>
      </c>
      <c r="AQ136" s="299" t="n">
        <v>-0.13</v>
      </c>
      <c r="AR136" s="299" t="n">
        <v>0.248</v>
      </c>
      <c r="AS136" s="299" t="n">
        <v>-0.26</v>
      </c>
      <c r="AT136" s="299" t="n">
        <v>0</v>
      </c>
      <c r="AU136" s="299" t="n">
        <v>0.35</v>
      </c>
      <c r="AV136" s="299" t="n">
        <v>-0.34</v>
      </c>
      <c r="AW136" s="299" t="n">
        <v>-0.139</v>
      </c>
      <c r="AX136" s="299" t="n">
        <v>-0.06</v>
      </c>
      <c r="AY136" s="299" t="n">
        <v>-0.079</v>
      </c>
      <c r="AZ136" s="299" t="n">
        <v>-0.0405</v>
      </c>
      <c r="BA136" s="299" t="n">
        <v>-0.069</v>
      </c>
      <c r="BB136" s="299" t="n">
        <v>-0.015</v>
      </c>
      <c r="BC136" s="299" t="n">
        <v>-0.0605</v>
      </c>
      <c r="BD136" s="299" t="n">
        <v>-0.0525</v>
      </c>
      <c r="BE136" s="299" t="n">
        <v>-0.075</v>
      </c>
      <c r="BF136" s="299" t="n">
        <v>0</v>
      </c>
      <c r="BG136" s="299" t="n">
        <v>0.17</v>
      </c>
      <c r="BH136" s="299" t="n">
        <v>0.175</v>
      </c>
      <c r="BI136" s="299" t="n">
        <v>0.155</v>
      </c>
      <c r="BJ136" s="299" t="n">
        <v>0.46</v>
      </c>
      <c r="BK136" s="299" t="n">
        <v>0.0025</v>
      </c>
      <c r="BL136" s="299" t="n">
        <v>-0.02</v>
      </c>
      <c r="BM136" s="299" t="n">
        <v>0.005</v>
      </c>
      <c r="BN136" s="299" t="n">
        <v>0</v>
      </c>
      <c r="BO136" s="299" t="n">
        <v>0</v>
      </c>
      <c r="BP136" s="299" t="n">
        <v>0.005</v>
      </c>
      <c r="BQ136" s="299" t="n">
        <v>0.005</v>
      </c>
      <c r="BR136" s="299" t="n">
        <v>0.055</v>
      </c>
      <c r="BS136" s="0" t="n">
        <v>0.02</v>
      </c>
      <c r="BT136" s="0" t="n">
        <v>0</v>
      </c>
      <c r="BU136" s="0" t="n">
        <v>0</v>
      </c>
      <c r="BV136" s="0" t="n">
        <v>0.03</v>
      </c>
    </row>
    <row r="137" customFormat="false" ht="12.75" hidden="false" customHeight="false" outlineLevel="0" collapsed="false">
      <c r="A137" s="301" t="e">
        <f aca="false">#REF!-B137</f>
        <v>#REF!</v>
      </c>
      <c r="B137" s="301" t="n">
        <v>3.407</v>
      </c>
      <c r="C137" s="308" t="n">
        <f aca="false">EOMONTH(C136,0)+1</f>
        <v>41244</v>
      </c>
      <c r="D137" s="0" t="n">
        <v>4.2375</v>
      </c>
      <c r="E137" s="301" t="n">
        <v>0.17</v>
      </c>
      <c r="F137" s="299" t="n">
        <v>0.0597240981059981</v>
      </c>
      <c r="G137" s="299" t="n">
        <v>-0.1325</v>
      </c>
      <c r="H137" s="299" t="n">
        <v>-0.1525</v>
      </c>
      <c r="I137" s="310" t="n">
        <v>-0.005</v>
      </c>
      <c r="J137" s="310" t="n">
        <v>-0.13</v>
      </c>
      <c r="K137" s="299" t="n">
        <v>0.005</v>
      </c>
      <c r="L137" s="299" t="n">
        <v>-0.0405</v>
      </c>
      <c r="M137" s="299" t="n">
        <v>-0.0755</v>
      </c>
      <c r="N137" s="299" t="n">
        <v>-0.1225</v>
      </c>
      <c r="O137" s="299" t="n">
        <v>-0.1225</v>
      </c>
      <c r="P137" s="299" t="n">
        <v>-0.1325</v>
      </c>
      <c r="Q137" s="299" t="n">
        <v>-0.08775</v>
      </c>
      <c r="R137" s="299" t="n">
        <v>-0.0405</v>
      </c>
      <c r="S137" s="299" t="n">
        <v>0.155</v>
      </c>
      <c r="T137" s="299" t="n">
        <v>0.175</v>
      </c>
      <c r="U137" s="299" t="n">
        <v>0.13</v>
      </c>
      <c r="V137" s="299" t="n">
        <v>0.5</v>
      </c>
      <c r="W137" s="299" t="n">
        <v>0.215</v>
      </c>
      <c r="X137" s="299" t="n">
        <v>0.29</v>
      </c>
      <c r="Y137" s="299" t="n">
        <v>-0.011</v>
      </c>
      <c r="Z137" s="299" t="n">
        <v>-0.029</v>
      </c>
      <c r="AA137" s="299" t="n">
        <v>0.0105</v>
      </c>
      <c r="AB137" s="299" t="n">
        <v>-0.007</v>
      </c>
      <c r="AC137" s="299" t="n">
        <v>0.0025</v>
      </c>
      <c r="AD137" s="299" t="n">
        <v>-0.0225</v>
      </c>
      <c r="AE137" s="299" t="n">
        <v>-0.075</v>
      </c>
      <c r="AF137" s="299" t="n">
        <v>-0.0535</v>
      </c>
      <c r="AG137" s="299" t="n">
        <v>-0.076</v>
      </c>
      <c r="AH137" s="299" t="n">
        <v>-0.007499999</v>
      </c>
      <c r="AI137" s="299" t="n">
        <v>-0.064</v>
      </c>
      <c r="AJ137" s="299" t="n">
        <v>-0.135</v>
      </c>
      <c r="AK137" s="299" t="n">
        <v>-0.008999999</v>
      </c>
      <c r="AL137" s="299" t="n">
        <v>0.031</v>
      </c>
      <c r="AM137" s="299" t="n">
        <v>0.98</v>
      </c>
      <c r="AN137" s="299" t="n">
        <v>-0.045</v>
      </c>
      <c r="AO137" s="299" t="n">
        <v>-0.34</v>
      </c>
      <c r="AP137" s="299" t="n">
        <v>-0.07</v>
      </c>
      <c r="AQ137" s="299" t="n">
        <v>-0.13</v>
      </c>
      <c r="AR137" s="299" t="n">
        <v>0.308</v>
      </c>
      <c r="AS137" s="299" t="n">
        <v>-0.26</v>
      </c>
      <c r="AT137" s="299" t="n">
        <v>0</v>
      </c>
      <c r="AU137" s="299" t="n">
        <v>0.35</v>
      </c>
      <c r="AV137" s="299" t="n">
        <v>-0.34</v>
      </c>
      <c r="AW137" s="299" t="n">
        <v>-0.1665</v>
      </c>
      <c r="AX137" s="299" t="n">
        <v>-0.06</v>
      </c>
      <c r="AY137" s="299" t="n">
        <v>-0.1065</v>
      </c>
      <c r="AZ137" s="299" t="n">
        <v>-0.0405</v>
      </c>
      <c r="BA137" s="299" t="n">
        <v>-0.0965</v>
      </c>
      <c r="BB137" s="299" t="n">
        <v>-0.0125</v>
      </c>
      <c r="BC137" s="299" t="n">
        <v>-0.0605</v>
      </c>
      <c r="BD137" s="299" t="n">
        <v>-0.075</v>
      </c>
      <c r="BE137" s="299" t="n">
        <v>-0.075</v>
      </c>
      <c r="BF137" s="299" t="n">
        <v>0</v>
      </c>
      <c r="BG137" s="299" t="n">
        <v>0.17</v>
      </c>
      <c r="BH137" s="299" t="n">
        <v>0.175</v>
      </c>
      <c r="BI137" s="299" t="n">
        <v>0.155</v>
      </c>
      <c r="BJ137" s="299" t="n">
        <v>0.77</v>
      </c>
      <c r="BK137" s="299" t="n">
        <v>0.0025</v>
      </c>
      <c r="BL137" s="299" t="n">
        <v>-0.025</v>
      </c>
      <c r="BM137" s="299" t="n">
        <v>0.005</v>
      </c>
      <c r="BN137" s="299" t="n">
        <v>0</v>
      </c>
      <c r="BO137" s="299" t="n">
        <v>0</v>
      </c>
      <c r="BP137" s="299" t="n">
        <v>0.005</v>
      </c>
      <c r="BQ137" s="299" t="n">
        <v>0.005</v>
      </c>
      <c r="BR137" s="299" t="n">
        <v>0.25</v>
      </c>
      <c r="BS137" s="0" t="n">
        <v>0.02</v>
      </c>
      <c r="BT137" s="0" t="n">
        <v>0</v>
      </c>
      <c r="BU137" s="0" t="n">
        <v>0</v>
      </c>
      <c r="BV137" s="0" t="n">
        <v>0.03</v>
      </c>
    </row>
    <row r="138" customFormat="false" ht="12.75" hidden="false" customHeight="false" outlineLevel="0" collapsed="false">
      <c r="A138" s="301" t="e">
        <f aca="false">#REF!-B138</f>
        <v>#REF!</v>
      </c>
      <c r="B138" s="301" t="n">
        <v>3.472</v>
      </c>
      <c r="C138" s="308" t="n">
        <f aca="false">EOMONTH(C137,0)+1</f>
        <v>41275</v>
      </c>
      <c r="D138" s="0" t="n">
        <v>4.2975</v>
      </c>
      <c r="E138" s="301" t="n">
        <v>0.17</v>
      </c>
      <c r="F138" s="299" t="n">
        <v>0.059767926317619</v>
      </c>
      <c r="G138" s="299" t="n">
        <v>-0.135</v>
      </c>
      <c r="H138" s="299" t="n">
        <v>-0.155</v>
      </c>
      <c r="I138" s="310" t="n">
        <v>0.015</v>
      </c>
      <c r="J138" s="310" t="n">
        <v>-0.13</v>
      </c>
      <c r="K138" s="299" t="n">
        <v>0.025</v>
      </c>
      <c r="L138" s="299" t="n">
        <v>-0.0405</v>
      </c>
      <c r="M138" s="299" t="n">
        <v>-0.0755</v>
      </c>
      <c r="N138" s="299" t="n">
        <v>-0.125</v>
      </c>
      <c r="O138" s="299" t="n">
        <v>-0.125</v>
      </c>
      <c r="P138" s="299" t="n">
        <v>-0.135</v>
      </c>
      <c r="Q138" s="299" t="n">
        <v>-0.089</v>
      </c>
      <c r="R138" s="299" t="n">
        <v>-0.0405</v>
      </c>
      <c r="S138" s="299" t="n">
        <v>0.155</v>
      </c>
      <c r="T138" s="299" t="n">
        <v>0.175</v>
      </c>
      <c r="U138" s="299" t="n">
        <v>0.13</v>
      </c>
      <c r="V138" s="299" t="n">
        <v>0.5</v>
      </c>
      <c r="W138" s="299" t="n">
        <v>0.235</v>
      </c>
      <c r="X138" s="299" t="n">
        <v>0.34</v>
      </c>
      <c r="Y138" s="299" t="n">
        <v>-0.008999999</v>
      </c>
      <c r="Z138" s="299" t="n">
        <v>-0.029</v>
      </c>
      <c r="AA138" s="299" t="n">
        <v>0.0105</v>
      </c>
      <c r="AB138" s="299" t="n">
        <v>-0.0045</v>
      </c>
      <c r="AC138" s="299" t="n">
        <v>0.0025</v>
      </c>
      <c r="AD138" s="299" t="n">
        <v>-0.0225</v>
      </c>
      <c r="AE138" s="299" t="n">
        <v>-0.075</v>
      </c>
      <c r="AF138" s="299" t="n">
        <v>-0.0535</v>
      </c>
      <c r="AG138" s="299" t="n">
        <v>-0.076</v>
      </c>
      <c r="AH138" s="299" t="n">
        <v>-0.007499999</v>
      </c>
      <c r="AI138" s="299" t="n">
        <v>-0.064</v>
      </c>
      <c r="AJ138" s="299" t="n">
        <v>-0.1375</v>
      </c>
      <c r="AK138" s="299" t="n">
        <v>-0.008999999</v>
      </c>
      <c r="AL138" s="299" t="n">
        <v>0.031</v>
      </c>
      <c r="AM138" s="299" t="n">
        <v>1.6</v>
      </c>
      <c r="AN138" s="299" t="n">
        <v>-0.0475</v>
      </c>
      <c r="AO138" s="299" t="n">
        <v>-0.34</v>
      </c>
      <c r="AP138" s="299" t="n">
        <v>-0.07</v>
      </c>
      <c r="AQ138" s="299" t="n">
        <v>-0.13</v>
      </c>
      <c r="AR138" s="299" t="n">
        <v>0.378</v>
      </c>
      <c r="AS138" s="299" t="n">
        <v>-0.26</v>
      </c>
      <c r="AT138" s="299" t="n">
        <v>0</v>
      </c>
      <c r="AU138" s="299" t="n">
        <v>0.35</v>
      </c>
      <c r="AV138" s="299" t="n">
        <v>-0.34</v>
      </c>
      <c r="AW138" s="299" t="n">
        <v>-0.1815</v>
      </c>
      <c r="AX138" s="299" t="n">
        <v>-0.06</v>
      </c>
      <c r="AY138" s="299" t="n">
        <v>-0.1215</v>
      </c>
      <c r="AZ138" s="299" t="n">
        <v>-0.0405</v>
      </c>
      <c r="BA138" s="299" t="n">
        <v>-0.097</v>
      </c>
      <c r="BB138" s="299" t="n">
        <v>-0.0125</v>
      </c>
      <c r="BC138" s="299" t="n">
        <v>-0.0605</v>
      </c>
      <c r="BD138" s="299" t="n">
        <v>-0.0775</v>
      </c>
      <c r="BE138" s="299" t="n">
        <v>-0.075</v>
      </c>
      <c r="BF138" s="299" t="n">
        <v>0</v>
      </c>
      <c r="BG138" s="299" t="n">
        <v>0.17</v>
      </c>
      <c r="BH138" s="299" t="n">
        <v>0.175</v>
      </c>
      <c r="BI138" s="299" t="n">
        <v>0.155</v>
      </c>
      <c r="BJ138" s="299" t="n">
        <v>1.04</v>
      </c>
      <c r="BK138" s="299" t="n">
        <v>0.0025</v>
      </c>
      <c r="BL138" s="299" t="n">
        <v>-0.025</v>
      </c>
      <c r="BM138" s="299" t="n">
        <v>0.005</v>
      </c>
      <c r="BN138" s="299" t="n">
        <v>0</v>
      </c>
      <c r="BO138" s="299" t="n">
        <v>0</v>
      </c>
      <c r="BP138" s="299" t="n">
        <v>0.005</v>
      </c>
      <c r="BQ138" s="299" t="n">
        <v>0.005</v>
      </c>
      <c r="BR138" s="299" t="n">
        <v>0.45</v>
      </c>
      <c r="BS138" s="0" t="n">
        <v>0.02</v>
      </c>
      <c r="BT138" s="0" t="n">
        <v>0</v>
      </c>
      <c r="BU138" s="0" t="n">
        <v>0</v>
      </c>
      <c r="BV138" s="0" t="n">
        <v>0.03</v>
      </c>
    </row>
    <row r="139" customFormat="false" ht="12.75" hidden="false" customHeight="false" outlineLevel="0" collapsed="false">
      <c r="A139" s="301" t="e">
        <f aca="false">#REF!-B139</f>
        <v>#REF!</v>
      </c>
      <c r="B139" s="301" t="n">
        <v>3.467</v>
      </c>
      <c r="C139" s="308" t="n">
        <f aca="false">EOMONTH(C138,0)+1</f>
        <v>41306</v>
      </c>
      <c r="D139" s="0" t="n">
        <v>4.2125</v>
      </c>
      <c r="E139" s="301" t="n">
        <v>0.17</v>
      </c>
      <c r="F139" s="299" t="n">
        <v>0.0598117545298775</v>
      </c>
      <c r="G139" s="299" t="n">
        <v>-0.1275</v>
      </c>
      <c r="H139" s="299" t="n">
        <v>-0.1475</v>
      </c>
      <c r="I139" s="310" t="n">
        <v>0.01</v>
      </c>
      <c r="J139" s="310" t="n">
        <v>-0.13</v>
      </c>
      <c r="K139" s="299" t="n">
        <v>0.02</v>
      </c>
      <c r="L139" s="299" t="n">
        <v>-0.0405</v>
      </c>
      <c r="M139" s="299" t="n">
        <v>-0.0755</v>
      </c>
      <c r="N139" s="299" t="n">
        <v>-0.1175</v>
      </c>
      <c r="O139" s="299" t="n">
        <v>-0.1175</v>
      </c>
      <c r="P139" s="299" t="n">
        <v>-0.1275</v>
      </c>
      <c r="Q139" s="299" t="n">
        <v>-0.08025</v>
      </c>
      <c r="R139" s="299" t="n">
        <v>-0.0405</v>
      </c>
      <c r="S139" s="299" t="n">
        <v>0.155</v>
      </c>
      <c r="T139" s="299" t="n">
        <v>0.175</v>
      </c>
      <c r="U139" s="299" t="n">
        <v>0.13</v>
      </c>
      <c r="V139" s="299" t="n">
        <v>0.5</v>
      </c>
      <c r="W139" s="299" t="n">
        <v>0.235</v>
      </c>
      <c r="X139" s="299" t="n">
        <v>0.34</v>
      </c>
      <c r="Y139" s="299" t="n">
        <v>-0.008999999</v>
      </c>
      <c r="Z139" s="299" t="n">
        <v>-0.029</v>
      </c>
      <c r="AA139" s="299" t="n">
        <v>0.0105</v>
      </c>
      <c r="AB139" s="299" t="n">
        <v>-0.0045</v>
      </c>
      <c r="AC139" s="299" t="n">
        <v>0.0025</v>
      </c>
      <c r="AD139" s="299" t="n">
        <v>-0.0225</v>
      </c>
      <c r="AE139" s="299" t="n">
        <v>-0.075</v>
      </c>
      <c r="AF139" s="299" t="n">
        <v>-0.0535</v>
      </c>
      <c r="AG139" s="299" t="n">
        <v>-0.076</v>
      </c>
      <c r="AH139" s="299" t="n">
        <v>-0.007499999</v>
      </c>
      <c r="AI139" s="299" t="n">
        <v>-0.064</v>
      </c>
      <c r="AJ139" s="299" t="n">
        <v>-0.12</v>
      </c>
      <c r="AK139" s="299" t="n">
        <v>-0.008999999</v>
      </c>
      <c r="AL139" s="299" t="n">
        <v>0.031</v>
      </c>
      <c r="AM139" s="299" t="n">
        <v>1.6</v>
      </c>
      <c r="AN139" s="299" t="n">
        <v>-0.03</v>
      </c>
      <c r="AO139" s="299" t="n">
        <v>-0.34</v>
      </c>
      <c r="AP139" s="299" t="n">
        <v>-0.07</v>
      </c>
      <c r="AQ139" s="299" t="n">
        <v>-0.13</v>
      </c>
      <c r="AR139" s="299" t="n">
        <v>0.248</v>
      </c>
      <c r="AS139" s="299" t="n">
        <v>-0.26</v>
      </c>
      <c r="AT139" s="299" t="n">
        <v>0</v>
      </c>
      <c r="AU139" s="299" t="n">
        <v>0.35</v>
      </c>
      <c r="AV139" s="299" t="n">
        <v>-0.34</v>
      </c>
      <c r="AW139" s="299" t="n">
        <v>-0.1715</v>
      </c>
      <c r="AX139" s="299" t="n">
        <v>-0.06</v>
      </c>
      <c r="AY139" s="299" t="n">
        <v>-0.1115</v>
      </c>
      <c r="AZ139" s="299" t="n">
        <v>-0.0405</v>
      </c>
      <c r="BA139" s="299" t="n">
        <v>-0.097</v>
      </c>
      <c r="BB139" s="299" t="n">
        <v>-0.0125</v>
      </c>
      <c r="BC139" s="299" t="n">
        <v>-0.0605</v>
      </c>
      <c r="BD139" s="299" t="n">
        <v>-0.06</v>
      </c>
      <c r="BE139" s="299" t="n">
        <v>-0.075</v>
      </c>
      <c r="BF139" s="299" t="n">
        <v>0</v>
      </c>
      <c r="BG139" s="299" t="n">
        <v>0.17</v>
      </c>
      <c r="BH139" s="299" t="n">
        <v>0.175</v>
      </c>
      <c r="BI139" s="299" t="n">
        <v>0.155</v>
      </c>
      <c r="BJ139" s="299" t="n">
        <v>1.04</v>
      </c>
      <c r="BK139" s="299" t="n">
        <v>0.0025</v>
      </c>
      <c r="BL139" s="299" t="n">
        <v>-0.025</v>
      </c>
      <c r="BM139" s="299" t="n">
        <v>0.005</v>
      </c>
      <c r="BN139" s="299" t="n">
        <v>0</v>
      </c>
      <c r="BO139" s="299" t="n">
        <v>0</v>
      </c>
      <c r="BP139" s="299" t="n">
        <v>0.005</v>
      </c>
      <c r="BQ139" s="299" t="n">
        <v>0.005</v>
      </c>
      <c r="BR139" s="299" t="n">
        <v>0.45</v>
      </c>
      <c r="BS139" s="0" t="n">
        <v>0.02</v>
      </c>
      <c r="BT139" s="0" t="n">
        <v>0</v>
      </c>
      <c r="BU139" s="0" t="n">
        <v>0</v>
      </c>
      <c r="BV139" s="0" t="n">
        <v>0.03</v>
      </c>
    </row>
    <row r="140" customFormat="false" ht="12.75" hidden="false" customHeight="false" outlineLevel="0" collapsed="false">
      <c r="A140" s="301" t="e">
        <f aca="false">#REF!-B140</f>
        <v>#REF!</v>
      </c>
      <c r="B140" s="301" t="n">
        <v>3.449</v>
      </c>
      <c r="C140" s="308" t="n">
        <f aca="false">EOMONTH(C139,0)+1</f>
        <v>41334</v>
      </c>
      <c r="D140" s="0" t="n">
        <v>4.0825</v>
      </c>
      <c r="E140" s="301" t="n">
        <v>0.17</v>
      </c>
      <c r="F140" s="299" t="n">
        <v>0.0598513413027892</v>
      </c>
      <c r="G140" s="299" t="n">
        <v>-0.125</v>
      </c>
      <c r="H140" s="299" t="n">
        <v>-0.145</v>
      </c>
      <c r="I140" s="310" t="n">
        <v>-0.01</v>
      </c>
      <c r="J140" s="310" t="n">
        <v>-0.13</v>
      </c>
      <c r="K140" s="299" t="n">
        <v>0</v>
      </c>
      <c r="L140" s="299" t="n">
        <v>-0.0405</v>
      </c>
      <c r="M140" s="299" t="n">
        <v>-0.0755</v>
      </c>
      <c r="N140" s="299" t="n">
        <v>-0.115</v>
      </c>
      <c r="O140" s="299" t="n">
        <v>-0.115</v>
      </c>
      <c r="P140" s="299" t="n">
        <v>-0.125</v>
      </c>
      <c r="Q140" s="299" t="n">
        <v>-0.074</v>
      </c>
      <c r="R140" s="299" t="n">
        <v>-0.0405</v>
      </c>
      <c r="S140" s="299" t="n">
        <v>0.155</v>
      </c>
      <c r="T140" s="299" t="n">
        <v>0.175</v>
      </c>
      <c r="U140" s="299" t="n">
        <v>0.13</v>
      </c>
      <c r="V140" s="299" t="n">
        <v>0.5</v>
      </c>
      <c r="W140" s="299" t="n">
        <v>0.195</v>
      </c>
      <c r="X140" s="299" t="n">
        <v>0.29</v>
      </c>
      <c r="Y140" s="299" t="n">
        <v>-0.008999999</v>
      </c>
      <c r="Z140" s="299" t="n">
        <v>-0.029</v>
      </c>
      <c r="AA140" s="299" t="n">
        <v>0.018</v>
      </c>
      <c r="AB140" s="299" t="n">
        <v>0.003</v>
      </c>
      <c r="AC140" s="299" t="n">
        <v>0.0025</v>
      </c>
      <c r="AD140" s="299" t="n">
        <v>-0.0225</v>
      </c>
      <c r="AE140" s="299" t="n">
        <v>-0.075</v>
      </c>
      <c r="AF140" s="299" t="n">
        <v>-0.0535</v>
      </c>
      <c r="AG140" s="299" t="n">
        <v>-0.076</v>
      </c>
      <c r="AH140" s="299" t="n">
        <v>-0.007499999</v>
      </c>
      <c r="AI140" s="299" t="n">
        <v>-0.064</v>
      </c>
      <c r="AJ140" s="299" t="n">
        <v>-0.1075</v>
      </c>
      <c r="AK140" s="299" t="n">
        <v>-0.008999999</v>
      </c>
      <c r="AL140" s="299" t="n">
        <v>0.031</v>
      </c>
      <c r="AM140" s="299" t="n">
        <v>0.64</v>
      </c>
      <c r="AN140" s="299" t="n">
        <v>-0.0175</v>
      </c>
      <c r="AO140" s="299" t="n">
        <v>-0.34</v>
      </c>
      <c r="AP140" s="299" t="n">
        <v>-0.07</v>
      </c>
      <c r="AQ140" s="299" t="n">
        <v>-0.13</v>
      </c>
      <c r="AR140" s="299" t="n">
        <v>0.068</v>
      </c>
      <c r="AS140" s="299" t="n">
        <v>-0.26</v>
      </c>
      <c r="AT140" s="299" t="n">
        <v>0</v>
      </c>
      <c r="AU140" s="299" t="n">
        <v>0.35</v>
      </c>
      <c r="AV140" s="299" t="n">
        <v>-0.34</v>
      </c>
      <c r="AW140" s="299" t="n">
        <v>-0.1615</v>
      </c>
      <c r="AX140" s="299" t="n">
        <v>-0.06</v>
      </c>
      <c r="AY140" s="299" t="n">
        <v>-0.1015</v>
      </c>
      <c r="AZ140" s="299" t="n">
        <v>-0.0405</v>
      </c>
      <c r="BA140" s="299" t="n">
        <v>-0.097</v>
      </c>
      <c r="BB140" s="299" t="n">
        <v>-0.0125</v>
      </c>
      <c r="BC140" s="299" t="n">
        <v>-0.0605</v>
      </c>
      <c r="BD140" s="299" t="n">
        <v>-0.0475</v>
      </c>
      <c r="BE140" s="299" t="n">
        <v>-0.075</v>
      </c>
      <c r="BF140" s="299" t="n">
        <v>0</v>
      </c>
      <c r="BG140" s="299" t="n">
        <v>0.17</v>
      </c>
      <c r="BH140" s="299" t="n">
        <v>0.175</v>
      </c>
      <c r="BI140" s="299" t="n">
        <v>0.155</v>
      </c>
      <c r="BJ140" s="299" t="n">
        <v>0.54</v>
      </c>
      <c r="BK140" s="299" t="n">
        <v>0.0025</v>
      </c>
      <c r="BL140" s="299" t="n">
        <v>-0.02</v>
      </c>
      <c r="BM140" s="299" t="n">
        <v>0.005</v>
      </c>
      <c r="BN140" s="299" t="n">
        <v>0</v>
      </c>
      <c r="BO140" s="299" t="n">
        <v>0</v>
      </c>
      <c r="BP140" s="299" t="n">
        <v>0.005</v>
      </c>
      <c r="BQ140" s="299" t="n">
        <v>0.005</v>
      </c>
      <c r="BR140" s="299" t="n">
        <v>0.1</v>
      </c>
      <c r="BS140" s="0" t="n">
        <v>0.02</v>
      </c>
      <c r="BT140" s="0" t="n">
        <v>0</v>
      </c>
      <c r="BU140" s="0" t="n">
        <v>0</v>
      </c>
      <c r="BV140" s="0" t="n">
        <v>0.03</v>
      </c>
    </row>
    <row r="141" customFormat="false" ht="12.75" hidden="false" customHeight="false" outlineLevel="0" collapsed="false">
      <c r="A141" s="301" t="e">
        <f aca="false">#REF!-B141</f>
        <v>#REF!</v>
      </c>
      <c r="B141" s="301" t="n">
        <v>3.459</v>
      </c>
      <c r="C141" s="308" t="n">
        <f aca="false">EOMONTH(C140,0)+1</f>
        <v>41365</v>
      </c>
      <c r="D141" s="0" t="n">
        <v>3.8975</v>
      </c>
      <c r="E141" s="301" t="n">
        <v>0.17</v>
      </c>
      <c r="F141" s="299" t="n">
        <v>0.0598951695162624</v>
      </c>
      <c r="G141" s="299" t="n">
        <v>-0.13</v>
      </c>
      <c r="H141" s="299" t="n">
        <v>-0.15</v>
      </c>
      <c r="I141" s="310" t="n">
        <v>-0.09</v>
      </c>
      <c r="J141" s="310" t="n">
        <v>-0.13</v>
      </c>
      <c r="K141" s="299" t="n">
        <v>-0.09</v>
      </c>
      <c r="L141" s="299" t="n">
        <v>-0.038</v>
      </c>
      <c r="M141" s="299" t="n">
        <v>-0.058</v>
      </c>
      <c r="N141" s="299" t="n">
        <v>-0.12</v>
      </c>
      <c r="O141" s="299" t="n">
        <v>-0.12</v>
      </c>
      <c r="P141" s="299" t="n">
        <v>-0.13</v>
      </c>
      <c r="Q141" s="299" t="n">
        <v>-0.054</v>
      </c>
      <c r="R141" s="299" t="n">
        <v>-0.038</v>
      </c>
      <c r="S141" s="299" t="n">
        <v>0.125</v>
      </c>
      <c r="T141" s="299" t="n">
        <v>0.145</v>
      </c>
      <c r="U141" s="299" t="n">
        <v>0.04</v>
      </c>
      <c r="V141" s="299" t="n">
        <v>0.5</v>
      </c>
      <c r="W141" s="299" t="n">
        <v>0.145</v>
      </c>
      <c r="X141" s="299" t="n">
        <v>0.195</v>
      </c>
      <c r="Y141" s="299" t="n">
        <v>-0.0115</v>
      </c>
      <c r="Z141" s="299" t="n">
        <v>-0.044</v>
      </c>
      <c r="AA141" s="299" t="n">
        <v>0.018</v>
      </c>
      <c r="AB141" s="299" t="n">
        <v>0.003</v>
      </c>
      <c r="AC141" s="299" t="n">
        <v>0.0025</v>
      </c>
      <c r="AD141" s="299" t="n">
        <v>-0.0225</v>
      </c>
      <c r="AE141" s="299" t="n">
        <v>-0.0725</v>
      </c>
      <c r="AF141" s="299" t="n">
        <v>-0.051</v>
      </c>
      <c r="AG141" s="299" t="n">
        <v>-0.0735</v>
      </c>
      <c r="AH141" s="299" t="n">
        <v>-0.0125</v>
      </c>
      <c r="AI141" s="299" t="n">
        <v>-0.072</v>
      </c>
      <c r="AJ141" s="299" t="n">
        <v>-0.07</v>
      </c>
      <c r="AK141" s="299" t="n">
        <v>-0.017</v>
      </c>
      <c r="AL141" s="299" t="n">
        <v>0.023</v>
      </c>
      <c r="AM141" s="299" t="n">
        <v>0.38</v>
      </c>
      <c r="AN141" s="299" t="n">
        <v>0.02</v>
      </c>
      <c r="AO141" s="299" t="n">
        <v>-0.45</v>
      </c>
      <c r="AP141" s="299" t="n">
        <v>-0.07</v>
      </c>
      <c r="AQ141" s="299" t="n">
        <v>-0.195</v>
      </c>
      <c r="AR141" s="299" t="n">
        <v>-0.25</v>
      </c>
      <c r="AS141" s="299" t="n">
        <v>-0.37</v>
      </c>
      <c r="AT141" s="299" t="n">
        <v>0</v>
      </c>
      <c r="AU141" s="299" t="n">
        <v>0.43</v>
      </c>
      <c r="AV141" s="299" t="n">
        <v>-0.45</v>
      </c>
      <c r="AW141" s="299" t="n">
        <v>-0.202</v>
      </c>
      <c r="AX141" s="299" t="n">
        <v>-0.06</v>
      </c>
      <c r="AY141" s="299" t="n">
        <v>-0.142</v>
      </c>
      <c r="AZ141" s="299" t="n">
        <v>-0.038</v>
      </c>
      <c r="BA141" s="299" t="n">
        <v>-0.1195</v>
      </c>
      <c r="BB141" s="299" t="n">
        <v>-0.0125</v>
      </c>
      <c r="BC141" s="299" t="n">
        <v>-0.043</v>
      </c>
      <c r="BD141" s="299" t="n">
        <v>-0.01</v>
      </c>
      <c r="BE141" s="299" t="n">
        <v>-0.0725</v>
      </c>
      <c r="BF141" s="299" t="n">
        <v>0</v>
      </c>
      <c r="BG141" s="299" t="n">
        <v>0.14</v>
      </c>
      <c r="BH141" s="299" t="n">
        <v>0.145</v>
      </c>
      <c r="BI141" s="299" t="n">
        <v>0.125</v>
      </c>
      <c r="BJ141" s="299" t="n">
        <v>0.36</v>
      </c>
      <c r="BK141" s="299" t="n">
        <v>0.0025</v>
      </c>
      <c r="BL141" s="299" t="n">
        <v>-0.015</v>
      </c>
      <c r="BM141" s="299" t="n">
        <v>0.005</v>
      </c>
      <c r="BN141" s="299" t="n">
        <v>-0.01</v>
      </c>
      <c r="BO141" s="299" t="n">
        <v>0</v>
      </c>
      <c r="BP141" s="299" t="n">
        <v>0.005</v>
      </c>
      <c r="BQ141" s="299" t="n">
        <v>0.0025</v>
      </c>
      <c r="BR141" s="299" t="n">
        <v>0.02</v>
      </c>
      <c r="BS141" s="0" t="n">
        <v>0.005</v>
      </c>
      <c r="BT141" s="0" t="n">
        <v>0</v>
      </c>
      <c r="BU141" s="0" t="n">
        <v>0</v>
      </c>
      <c r="BV141" s="0" t="n">
        <v>0.03</v>
      </c>
    </row>
    <row r="142" customFormat="false" ht="12.75" hidden="false" customHeight="false" outlineLevel="0" collapsed="false">
      <c r="A142" s="301" t="e">
        <f aca="false">#REF!-B142</f>
        <v>#REF!</v>
      </c>
      <c r="B142" s="301" t="n">
        <v>3.531</v>
      </c>
      <c r="C142" s="308" t="n">
        <f aca="false">EOMONTH(C141,0)+1</f>
        <v>41395</v>
      </c>
      <c r="D142" s="0" t="n">
        <v>3.8925</v>
      </c>
      <c r="E142" s="301" t="n">
        <v>0.17</v>
      </c>
      <c r="F142" s="299" t="n">
        <v>0.0599375839170064</v>
      </c>
      <c r="G142" s="299" t="n">
        <v>-0.13</v>
      </c>
      <c r="H142" s="299" t="n">
        <v>-0.15</v>
      </c>
      <c r="I142" s="310" t="n">
        <v>-0.09</v>
      </c>
      <c r="J142" s="310" t="n">
        <v>-0.13</v>
      </c>
      <c r="K142" s="299" t="n">
        <v>-0.09</v>
      </c>
      <c r="L142" s="299" t="n">
        <v>-0.038</v>
      </c>
      <c r="M142" s="299" t="n">
        <v>-0.058</v>
      </c>
      <c r="N142" s="299" t="n">
        <v>-0.12</v>
      </c>
      <c r="O142" s="299" t="n">
        <v>-0.12</v>
      </c>
      <c r="P142" s="299" t="n">
        <v>-0.13</v>
      </c>
      <c r="Q142" s="299" t="n">
        <v>-0.054</v>
      </c>
      <c r="R142" s="299" t="n">
        <v>-0.038</v>
      </c>
      <c r="S142" s="299" t="n">
        <v>0.125</v>
      </c>
      <c r="T142" s="299" t="n">
        <v>0.145</v>
      </c>
      <c r="U142" s="299" t="n">
        <v>0.04</v>
      </c>
      <c r="V142" s="299" t="n">
        <v>0.5</v>
      </c>
      <c r="W142" s="299" t="n">
        <v>0.125</v>
      </c>
      <c r="X142" s="299" t="n">
        <v>0.135</v>
      </c>
      <c r="Y142" s="299" t="n">
        <v>-0.0115</v>
      </c>
      <c r="Z142" s="299" t="n">
        <v>-0.044</v>
      </c>
      <c r="AA142" s="299" t="n">
        <v>0.0205</v>
      </c>
      <c r="AB142" s="299" t="n">
        <v>0.0055</v>
      </c>
      <c r="AC142" s="299" t="n">
        <v>0.0025</v>
      </c>
      <c r="AD142" s="299" t="n">
        <v>-0.0225</v>
      </c>
      <c r="AE142" s="299" t="n">
        <v>-0.0725</v>
      </c>
      <c r="AF142" s="299" t="n">
        <v>-0.051</v>
      </c>
      <c r="AG142" s="299" t="n">
        <v>-0.0735</v>
      </c>
      <c r="AH142" s="299" t="n">
        <v>-0.0125</v>
      </c>
      <c r="AI142" s="299" t="n">
        <v>-0.072</v>
      </c>
      <c r="AJ142" s="299" t="n">
        <v>-0.07</v>
      </c>
      <c r="AK142" s="299" t="n">
        <v>-0.017</v>
      </c>
      <c r="AL142" s="299" t="n">
        <v>0.023</v>
      </c>
      <c r="AM142" s="299" t="n">
        <v>0.33</v>
      </c>
      <c r="AN142" s="299" t="n">
        <v>0.02</v>
      </c>
      <c r="AO142" s="299" t="n">
        <v>-0.45</v>
      </c>
      <c r="AP142" s="299" t="n">
        <v>-0.07</v>
      </c>
      <c r="AQ142" s="299" t="n">
        <v>-0.195</v>
      </c>
      <c r="AR142" s="299" t="n">
        <v>-0.1</v>
      </c>
      <c r="AS142" s="299" t="n">
        <v>-0.37</v>
      </c>
      <c r="AT142" s="299" t="n">
        <v>0</v>
      </c>
      <c r="AU142" s="299" t="n">
        <v>0.43</v>
      </c>
      <c r="AV142" s="299" t="n">
        <v>-0.45</v>
      </c>
      <c r="AW142" s="299" t="n">
        <v>-0.1795</v>
      </c>
      <c r="AX142" s="299" t="n">
        <v>-0.06</v>
      </c>
      <c r="AY142" s="299" t="n">
        <v>-0.1195</v>
      </c>
      <c r="AZ142" s="299" t="n">
        <v>-0.038</v>
      </c>
      <c r="BA142" s="299" t="n">
        <v>-0.112</v>
      </c>
      <c r="BB142" s="299" t="n">
        <v>-0.0125</v>
      </c>
      <c r="BC142" s="299" t="n">
        <v>-0.043</v>
      </c>
      <c r="BD142" s="299" t="n">
        <v>-0.01</v>
      </c>
      <c r="BE142" s="299" t="n">
        <v>-0.0725</v>
      </c>
      <c r="BF142" s="299" t="n">
        <v>0</v>
      </c>
      <c r="BG142" s="299" t="n">
        <v>0.14</v>
      </c>
      <c r="BH142" s="299" t="n">
        <v>0.145</v>
      </c>
      <c r="BI142" s="299" t="n">
        <v>0.125</v>
      </c>
      <c r="BJ142" s="299" t="n">
        <v>0.325</v>
      </c>
      <c r="BK142" s="299" t="n">
        <v>0.0025</v>
      </c>
      <c r="BL142" s="299" t="n">
        <v>-0.015</v>
      </c>
      <c r="BM142" s="299" t="n">
        <v>0.005</v>
      </c>
      <c r="BN142" s="299" t="n">
        <v>-0.01</v>
      </c>
      <c r="BO142" s="299" t="n">
        <v>0</v>
      </c>
      <c r="BP142" s="299" t="n">
        <v>0.005</v>
      </c>
      <c r="BQ142" s="299" t="n">
        <v>0.0025</v>
      </c>
      <c r="BR142" s="299" t="n">
        <v>0.02</v>
      </c>
      <c r="BS142" s="0" t="n">
        <v>0.005</v>
      </c>
      <c r="BT142" s="0" t="n">
        <v>0</v>
      </c>
      <c r="BU142" s="0" t="n">
        <v>0</v>
      </c>
      <c r="BV142" s="0" t="n">
        <v>0.03</v>
      </c>
    </row>
    <row r="143" customFormat="false" ht="12.75" hidden="false" customHeight="false" outlineLevel="0" collapsed="false">
      <c r="A143" s="301" t="e">
        <f aca="false">#REF!-B143</f>
        <v>#REF!</v>
      </c>
      <c r="B143" s="301" t="n">
        <v>3.616</v>
      </c>
      <c r="C143" s="308" t="n">
        <f aca="false">EOMONTH(C142,0)+1</f>
        <v>41426</v>
      </c>
      <c r="D143" s="0" t="n">
        <v>3.9275</v>
      </c>
      <c r="E143" s="301" t="n">
        <v>0.17</v>
      </c>
      <c r="F143" s="299" t="n">
        <v>0.0599814121317355</v>
      </c>
      <c r="G143" s="299" t="n">
        <v>-0.13</v>
      </c>
      <c r="H143" s="299" t="n">
        <v>-0.15</v>
      </c>
      <c r="I143" s="310" t="n">
        <v>-0.09</v>
      </c>
      <c r="J143" s="310" t="n">
        <v>-0.13</v>
      </c>
      <c r="K143" s="299" t="n">
        <v>-0.09</v>
      </c>
      <c r="L143" s="299" t="n">
        <v>-0.038</v>
      </c>
      <c r="M143" s="299" t="n">
        <v>-0.058</v>
      </c>
      <c r="N143" s="299" t="n">
        <v>-0.12</v>
      </c>
      <c r="O143" s="299" t="n">
        <v>-0.12</v>
      </c>
      <c r="P143" s="299" t="n">
        <v>-0.13</v>
      </c>
      <c r="Q143" s="299" t="n">
        <v>-0.0515</v>
      </c>
      <c r="R143" s="299" t="n">
        <v>-0.038</v>
      </c>
      <c r="S143" s="299" t="n">
        <v>0.125</v>
      </c>
      <c r="T143" s="299" t="n">
        <v>0.145</v>
      </c>
      <c r="U143" s="299" t="n">
        <v>0.04</v>
      </c>
      <c r="V143" s="299" t="n">
        <v>0.5</v>
      </c>
      <c r="W143" s="299" t="n">
        <v>0.145</v>
      </c>
      <c r="X143" s="299" t="n">
        <v>0.165</v>
      </c>
      <c r="Y143" s="299" t="n">
        <v>-0.0115</v>
      </c>
      <c r="Z143" s="299" t="n">
        <v>-0.0415</v>
      </c>
      <c r="AA143" s="299" t="n">
        <v>0.0205</v>
      </c>
      <c r="AB143" s="299" t="n">
        <v>0.0065</v>
      </c>
      <c r="AC143" s="299" t="n">
        <v>0.0025</v>
      </c>
      <c r="AD143" s="299" t="n">
        <v>-0.0225</v>
      </c>
      <c r="AE143" s="299" t="n">
        <v>-0.0725</v>
      </c>
      <c r="AF143" s="299" t="n">
        <v>-0.051</v>
      </c>
      <c r="AG143" s="299" t="n">
        <v>-0.0735</v>
      </c>
      <c r="AH143" s="299" t="n">
        <v>-0.0125</v>
      </c>
      <c r="AI143" s="299" t="n">
        <v>-0.072</v>
      </c>
      <c r="AJ143" s="299" t="n">
        <v>-0.065</v>
      </c>
      <c r="AK143" s="299" t="n">
        <v>-0.017</v>
      </c>
      <c r="AL143" s="299" t="n">
        <v>0.023</v>
      </c>
      <c r="AM143" s="299" t="n">
        <v>0.37</v>
      </c>
      <c r="AN143" s="299" t="n">
        <v>0.025</v>
      </c>
      <c r="AO143" s="299" t="n">
        <v>-0.45</v>
      </c>
      <c r="AP143" s="299" t="n">
        <v>-0.07</v>
      </c>
      <c r="AQ143" s="299" t="n">
        <v>-0.195</v>
      </c>
      <c r="AR143" s="299" t="n">
        <v>-0.1</v>
      </c>
      <c r="AS143" s="299" t="n">
        <v>-0.37</v>
      </c>
      <c r="AT143" s="299" t="n">
        <v>0</v>
      </c>
      <c r="AU143" s="299" t="n">
        <v>0.43</v>
      </c>
      <c r="AV143" s="299" t="n">
        <v>-0.45</v>
      </c>
      <c r="AW143" s="299" t="n">
        <v>-0.127</v>
      </c>
      <c r="AX143" s="299" t="n">
        <v>-0.06</v>
      </c>
      <c r="AY143" s="299" t="n">
        <v>-0.067</v>
      </c>
      <c r="AZ143" s="299" t="n">
        <v>-0.038</v>
      </c>
      <c r="BA143" s="299" t="n">
        <v>-0.0695</v>
      </c>
      <c r="BB143" s="299" t="n">
        <v>-0.0125</v>
      </c>
      <c r="BC143" s="299" t="n">
        <v>-0.043</v>
      </c>
      <c r="BD143" s="299" t="n">
        <v>-0.005</v>
      </c>
      <c r="BE143" s="299" t="n">
        <v>-0.0725</v>
      </c>
      <c r="BF143" s="299" t="n">
        <v>0</v>
      </c>
      <c r="BG143" s="299" t="n">
        <v>0.14</v>
      </c>
      <c r="BH143" s="299" t="n">
        <v>0.145</v>
      </c>
      <c r="BI143" s="299" t="n">
        <v>0.125</v>
      </c>
      <c r="BJ143" s="299" t="n">
        <v>0.335</v>
      </c>
      <c r="BK143" s="299" t="n">
        <v>0.0025</v>
      </c>
      <c r="BL143" s="299" t="n">
        <v>-0.015</v>
      </c>
      <c r="BM143" s="299" t="n">
        <v>0.005</v>
      </c>
      <c r="BN143" s="299" t="n">
        <v>-0.01</v>
      </c>
      <c r="BO143" s="299" t="n">
        <v>0</v>
      </c>
      <c r="BP143" s="299" t="n">
        <v>0.005</v>
      </c>
      <c r="BQ143" s="299" t="n">
        <v>0.0025</v>
      </c>
      <c r="BR143" s="299" t="n">
        <v>0.035</v>
      </c>
      <c r="BS143" s="0" t="n">
        <v>0.005</v>
      </c>
      <c r="BT143" s="0" t="n">
        <v>0</v>
      </c>
      <c r="BU143" s="0" t="n">
        <v>0</v>
      </c>
      <c r="BV143" s="0" t="n">
        <v>0.03</v>
      </c>
    </row>
    <row r="144" customFormat="false" ht="12.75" hidden="false" customHeight="false" outlineLevel="0" collapsed="false">
      <c r="A144" s="301" t="e">
        <f aca="false">#REF!-B144</f>
        <v>#REF!</v>
      </c>
      <c r="B144" s="301" t="n">
        <v>3.886</v>
      </c>
      <c r="C144" s="308" t="n">
        <f aca="false">EOMONTH(C143,0)+1</f>
        <v>41456</v>
      </c>
      <c r="D144" s="0" t="n">
        <v>3.9675</v>
      </c>
      <c r="E144" s="301" t="n">
        <v>0.17</v>
      </c>
      <c r="F144" s="299" t="n">
        <v>0.0600238265336945</v>
      </c>
      <c r="G144" s="299" t="n">
        <v>-0.13</v>
      </c>
      <c r="H144" s="299" t="n">
        <v>-0.15</v>
      </c>
      <c r="I144" s="310" t="n">
        <v>-0.09</v>
      </c>
      <c r="J144" s="310" t="n">
        <v>-0.13</v>
      </c>
      <c r="K144" s="299" t="n">
        <v>-0.09</v>
      </c>
      <c r="L144" s="299" t="n">
        <v>-0.038</v>
      </c>
      <c r="M144" s="299" t="n">
        <v>-0.058</v>
      </c>
      <c r="N144" s="299" t="n">
        <v>-0.12</v>
      </c>
      <c r="O144" s="299" t="n">
        <v>-0.12</v>
      </c>
      <c r="P144" s="299" t="n">
        <v>-0.13</v>
      </c>
      <c r="Q144" s="299" t="n">
        <v>-0.05025</v>
      </c>
      <c r="R144" s="299" t="n">
        <v>-0.038</v>
      </c>
      <c r="S144" s="299" t="n">
        <v>0.125</v>
      </c>
      <c r="T144" s="299" t="n">
        <v>0.145</v>
      </c>
      <c r="U144" s="299" t="n">
        <v>0.04</v>
      </c>
      <c r="V144" s="299" t="n">
        <v>0.5</v>
      </c>
      <c r="W144" s="299" t="n">
        <v>0.15</v>
      </c>
      <c r="X144" s="299" t="n">
        <v>0.205</v>
      </c>
      <c r="Y144" s="299" t="n">
        <v>-0.0115</v>
      </c>
      <c r="Z144" s="299" t="n">
        <v>-0.0415</v>
      </c>
      <c r="AA144" s="299" t="n">
        <v>0.0205</v>
      </c>
      <c r="AB144" s="299" t="n">
        <v>0.0065</v>
      </c>
      <c r="AC144" s="299" t="n">
        <v>0.0025</v>
      </c>
      <c r="AD144" s="299" t="n">
        <v>-0.0225</v>
      </c>
      <c r="AE144" s="299" t="n">
        <v>-0.0725</v>
      </c>
      <c r="AF144" s="299" t="n">
        <v>-0.051</v>
      </c>
      <c r="AG144" s="299" t="n">
        <v>-0.0735</v>
      </c>
      <c r="AH144" s="299" t="n">
        <v>-0.0125</v>
      </c>
      <c r="AI144" s="299" t="n">
        <v>-0.072</v>
      </c>
      <c r="AJ144" s="299" t="n">
        <v>-0.0625</v>
      </c>
      <c r="AK144" s="299" t="n">
        <v>-0.017</v>
      </c>
      <c r="AL144" s="299" t="n">
        <v>0.023</v>
      </c>
      <c r="AM144" s="299" t="n">
        <v>0.41</v>
      </c>
      <c r="AN144" s="299" t="n">
        <v>0.0275</v>
      </c>
      <c r="AO144" s="299" t="n">
        <v>-0.45</v>
      </c>
      <c r="AP144" s="299" t="n">
        <v>-0.07</v>
      </c>
      <c r="AQ144" s="299" t="n">
        <v>-0.195</v>
      </c>
      <c r="AR144" s="299" t="n">
        <v>-0.1</v>
      </c>
      <c r="AS144" s="299" t="n">
        <v>-0.37</v>
      </c>
      <c r="AT144" s="299" t="n">
        <v>0</v>
      </c>
      <c r="AU144" s="299" t="n">
        <v>0.43</v>
      </c>
      <c r="AV144" s="299" t="n">
        <v>-0.45</v>
      </c>
      <c r="AW144" s="299" t="n">
        <v>-0.137</v>
      </c>
      <c r="AX144" s="299" t="n">
        <v>-0.06</v>
      </c>
      <c r="AY144" s="299" t="n">
        <v>-0.077</v>
      </c>
      <c r="AZ144" s="299" t="n">
        <v>-0.038</v>
      </c>
      <c r="BA144" s="299" t="n">
        <v>-0.067</v>
      </c>
      <c r="BB144" s="299" t="n">
        <v>-0.0125</v>
      </c>
      <c r="BC144" s="299" t="n">
        <v>-0.043</v>
      </c>
      <c r="BD144" s="299" t="n">
        <v>-0.0025</v>
      </c>
      <c r="BE144" s="299" t="n">
        <v>-0.0725</v>
      </c>
      <c r="BF144" s="299" t="n">
        <v>0</v>
      </c>
      <c r="BG144" s="299" t="n">
        <v>0.14</v>
      </c>
      <c r="BH144" s="299" t="n">
        <v>0.145</v>
      </c>
      <c r="BI144" s="299" t="n">
        <v>0.125</v>
      </c>
      <c r="BJ144" s="299" t="n">
        <v>0.35</v>
      </c>
      <c r="BK144" s="299" t="n">
        <v>0.0025</v>
      </c>
      <c r="BL144" s="299" t="n">
        <v>-0.01</v>
      </c>
      <c r="BM144" s="299" t="n">
        <v>0.005</v>
      </c>
      <c r="BN144" s="299" t="n">
        <v>-0.01</v>
      </c>
      <c r="BO144" s="299" t="n">
        <v>0</v>
      </c>
      <c r="BP144" s="299" t="n">
        <v>0.005</v>
      </c>
      <c r="BQ144" s="299" t="n">
        <v>0.0025</v>
      </c>
      <c r="BR144" s="299" t="n">
        <v>0.035</v>
      </c>
      <c r="BS144" s="0" t="n">
        <v>0.005</v>
      </c>
      <c r="BT144" s="0" t="n">
        <v>0</v>
      </c>
      <c r="BU144" s="0" t="n">
        <v>0</v>
      </c>
      <c r="BV144" s="0" t="n">
        <v>0.03</v>
      </c>
    </row>
    <row r="145" customFormat="false" ht="12.75" hidden="false" customHeight="false" outlineLevel="0" collapsed="false">
      <c r="A145" s="301" t="e">
        <f aca="false">#REF!-B145</f>
        <v>#REF!</v>
      </c>
      <c r="B145" s="301" t="n">
        <v>3.795</v>
      </c>
      <c r="C145" s="308" t="n">
        <f aca="false">EOMONTH(C144,0)+1</f>
        <v>41487</v>
      </c>
      <c r="D145" s="0" t="n">
        <v>4.0075</v>
      </c>
      <c r="E145" s="301" t="n">
        <v>0.17</v>
      </c>
      <c r="F145" s="299" t="n">
        <v>0.0600676547496799</v>
      </c>
      <c r="G145" s="299" t="n">
        <v>-0.13</v>
      </c>
      <c r="H145" s="299" t="n">
        <v>-0.15</v>
      </c>
      <c r="I145" s="310" t="n">
        <v>-0.09</v>
      </c>
      <c r="J145" s="310" t="n">
        <v>-0.13</v>
      </c>
      <c r="K145" s="299" t="n">
        <v>-0.09</v>
      </c>
      <c r="L145" s="299" t="n">
        <v>-0.038</v>
      </c>
      <c r="M145" s="299" t="n">
        <v>-0.058</v>
      </c>
      <c r="N145" s="299" t="n">
        <v>-0.12</v>
      </c>
      <c r="O145" s="299" t="n">
        <v>-0.12</v>
      </c>
      <c r="P145" s="299" t="n">
        <v>-0.13</v>
      </c>
      <c r="Q145" s="299" t="n">
        <v>-0.049</v>
      </c>
      <c r="R145" s="299" t="n">
        <v>-0.038</v>
      </c>
      <c r="S145" s="299" t="n">
        <v>0.125</v>
      </c>
      <c r="T145" s="299" t="n">
        <v>0.145</v>
      </c>
      <c r="U145" s="299" t="n">
        <v>0.04</v>
      </c>
      <c r="V145" s="299" t="n">
        <v>0.5</v>
      </c>
      <c r="W145" s="299" t="n">
        <v>0.15</v>
      </c>
      <c r="X145" s="299" t="n">
        <v>0.205</v>
      </c>
      <c r="Y145" s="299" t="n">
        <v>-0.0115</v>
      </c>
      <c r="Z145" s="299" t="n">
        <v>-0.0415</v>
      </c>
      <c r="AA145" s="299" t="n">
        <v>0.0155</v>
      </c>
      <c r="AB145" s="299" t="n">
        <v>0.0015</v>
      </c>
      <c r="AC145" s="299" t="n">
        <v>0.0025</v>
      </c>
      <c r="AD145" s="299" t="n">
        <v>-0.0225</v>
      </c>
      <c r="AE145" s="299" t="n">
        <v>-0.0725</v>
      </c>
      <c r="AF145" s="299" t="n">
        <v>-0.051</v>
      </c>
      <c r="AG145" s="299" t="n">
        <v>-0.0735</v>
      </c>
      <c r="AH145" s="299" t="n">
        <v>-0.0125</v>
      </c>
      <c r="AI145" s="299" t="n">
        <v>-0.072</v>
      </c>
      <c r="AJ145" s="299" t="n">
        <v>-0.06</v>
      </c>
      <c r="AK145" s="299" t="n">
        <v>-0.017</v>
      </c>
      <c r="AL145" s="299" t="n">
        <v>0.023</v>
      </c>
      <c r="AM145" s="299" t="n">
        <v>0.41</v>
      </c>
      <c r="AN145" s="299" t="n">
        <v>0.03</v>
      </c>
      <c r="AO145" s="299" t="n">
        <v>-0.45</v>
      </c>
      <c r="AP145" s="299" t="n">
        <v>-0.07</v>
      </c>
      <c r="AQ145" s="299" t="n">
        <v>-0.195</v>
      </c>
      <c r="AR145" s="299" t="n">
        <v>-0.1</v>
      </c>
      <c r="AS145" s="299" t="n">
        <v>-0.37</v>
      </c>
      <c r="AT145" s="299" t="n">
        <v>0</v>
      </c>
      <c r="AU145" s="299" t="n">
        <v>0.43</v>
      </c>
      <c r="AV145" s="299" t="n">
        <v>-0.45</v>
      </c>
      <c r="AW145" s="299" t="n">
        <v>-0.132</v>
      </c>
      <c r="AX145" s="299" t="n">
        <v>-0.06</v>
      </c>
      <c r="AY145" s="299" t="n">
        <v>-0.072</v>
      </c>
      <c r="AZ145" s="299" t="n">
        <v>-0.038</v>
      </c>
      <c r="BA145" s="299" t="n">
        <v>-0.0645</v>
      </c>
      <c r="BB145" s="299" t="n">
        <v>-0.0125</v>
      </c>
      <c r="BC145" s="299" t="n">
        <v>-0.043</v>
      </c>
      <c r="BD145" s="299" t="n">
        <v>0</v>
      </c>
      <c r="BE145" s="299" t="n">
        <v>-0.0725</v>
      </c>
      <c r="BF145" s="299" t="n">
        <v>0</v>
      </c>
      <c r="BG145" s="299" t="n">
        <v>0.14</v>
      </c>
      <c r="BH145" s="299" t="n">
        <v>0.145</v>
      </c>
      <c r="BI145" s="299" t="n">
        <v>0.125</v>
      </c>
      <c r="BJ145" s="299" t="n">
        <v>0.35</v>
      </c>
      <c r="BK145" s="299" t="n">
        <v>0.0025</v>
      </c>
      <c r="BL145" s="299" t="n">
        <v>-0.01</v>
      </c>
      <c r="BM145" s="299" t="n">
        <v>0.005</v>
      </c>
      <c r="BN145" s="299" t="n">
        <v>-0.01</v>
      </c>
      <c r="BO145" s="299" t="n">
        <v>0</v>
      </c>
      <c r="BP145" s="299" t="n">
        <v>0.005</v>
      </c>
      <c r="BQ145" s="299" t="n">
        <v>0.0025</v>
      </c>
      <c r="BR145" s="299" t="n">
        <v>0.01</v>
      </c>
      <c r="BS145" s="0" t="n">
        <v>0.005</v>
      </c>
      <c r="BT145" s="0" t="n">
        <v>0</v>
      </c>
      <c r="BU145" s="0" t="n">
        <v>0</v>
      </c>
      <c r="BV145" s="0" t="n">
        <v>0.03</v>
      </c>
    </row>
    <row r="146" customFormat="false" ht="12.75" hidden="false" customHeight="false" outlineLevel="0" collapsed="false">
      <c r="A146" s="301" t="e">
        <f aca="false">#REF!-B146</f>
        <v>#REF!</v>
      </c>
      <c r="B146" s="301" t="n">
        <v>3.664</v>
      </c>
      <c r="C146" s="308" t="n">
        <f aca="false">EOMONTH(C145,0)+1</f>
        <v>41518</v>
      </c>
      <c r="D146" s="0" t="n">
        <v>4.0025</v>
      </c>
      <c r="E146" s="301" t="n">
        <v>0.17</v>
      </c>
      <c r="F146" s="299" t="n">
        <v>0.0601114829663039</v>
      </c>
      <c r="G146" s="299" t="n">
        <v>-0.13</v>
      </c>
      <c r="H146" s="299" t="n">
        <v>-0.15</v>
      </c>
      <c r="I146" s="310" t="n">
        <v>-0.09</v>
      </c>
      <c r="J146" s="310" t="n">
        <v>-0.13</v>
      </c>
      <c r="K146" s="299" t="n">
        <v>-0.09</v>
      </c>
      <c r="L146" s="299" t="n">
        <v>-0.038</v>
      </c>
      <c r="M146" s="299" t="n">
        <v>-0.058</v>
      </c>
      <c r="N146" s="299" t="n">
        <v>-0.12</v>
      </c>
      <c r="O146" s="299" t="n">
        <v>-0.12</v>
      </c>
      <c r="P146" s="299" t="n">
        <v>-0.13</v>
      </c>
      <c r="Q146" s="299" t="n">
        <v>-0.05275</v>
      </c>
      <c r="R146" s="299" t="n">
        <v>-0.038</v>
      </c>
      <c r="S146" s="299" t="n">
        <v>0.125</v>
      </c>
      <c r="T146" s="299" t="n">
        <v>0.145</v>
      </c>
      <c r="U146" s="299" t="n">
        <v>0.04</v>
      </c>
      <c r="V146" s="299" t="n">
        <v>0.5</v>
      </c>
      <c r="W146" s="299" t="n">
        <v>0.125</v>
      </c>
      <c r="X146" s="299" t="n">
        <v>0.145</v>
      </c>
      <c r="Y146" s="299" t="n">
        <v>-0.0115</v>
      </c>
      <c r="Z146" s="299" t="n">
        <v>-0.0465</v>
      </c>
      <c r="AA146" s="299" t="n">
        <v>0.0155</v>
      </c>
      <c r="AB146" s="299" t="n">
        <v>0.0015</v>
      </c>
      <c r="AC146" s="299" t="n">
        <v>0.0025</v>
      </c>
      <c r="AD146" s="299" t="n">
        <v>-0.0225</v>
      </c>
      <c r="AE146" s="299" t="n">
        <v>-0.0725</v>
      </c>
      <c r="AF146" s="299" t="n">
        <v>-0.051</v>
      </c>
      <c r="AG146" s="299" t="n">
        <v>-0.0735</v>
      </c>
      <c r="AH146" s="299" t="n">
        <v>-0.0125</v>
      </c>
      <c r="AI146" s="299" t="n">
        <v>-0.072</v>
      </c>
      <c r="AJ146" s="299" t="n">
        <v>-0.0675</v>
      </c>
      <c r="AK146" s="299" t="n">
        <v>-0.017</v>
      </c>
      <c r="AL146" s="299" t="n">
        <v>0.023</v>
      </c>
      <c r="AM146" s="299" t="n">
        <v>0.36</v>
      </c>
      <c r="AN146" s="299" t="n">
        <v>0.0225</v>
      </c>
      <c r="AO146" s="299" t="n">
        <v>-0.45</v>
      </c>
      <c r="AP146" s="299" t="n">
        <v>-0.07</v>
      </c>
      <c r="AQ146" s="299" t="n">
        <v>-0.195</v>
      </c>
      <c r="AR146" s="299" t="n">
        <v>-0.1</v>
      </c>
      <c r="AS146" s="299" t="n">
        <v>-0.37</v>
      </c>
      <c r="AT146" s="299" t="n">
        <v>0</v>
      </c>
      <c r="AU146" s="299" t="n">
        <v>0.43</v>
      </c>
      <c r="AV146" s="299" t="n">
        <v>-0.45</v>
      </c>
      <c r="AW146" s="299" t="n">
        <v>-0.142</v>
      </c>
      <c r="AX146" s="299" t="n">
        <v>-0.06</v>
      </c>
      <c r="AY146" s="299" t="n">
        <v>-0.082</v>
      </c>
      <c r="AZ146" s="299" t="n">
        <v>-0.038</v>
      </c>
      <c r="BA146" s="299" t="n">
        <v>-0.0695</v>
      </c>
      <c r="BB146" s="299" t="n">
        <v>-0.0125</v>
      </c>
      <c r="BC146" s="299" t="n">
        <v>-0.043</v>
      </c>
      <c r="BD146" s="299" t="n">
        <v>-0.0075</v>
      </c>
      <c r="BE146" s="299" t="n">
        <v>-0.0725</v>
      </c>
      <c r="BF146" s="299" t="n">
        <v>0</v>
      </c>
      <c r="BG146" s="299" t="n">
        <v>0.14</v>
      </c>
      <c r="BH146" s="299" t="n">
        <v>0.145</v>
      </c>
      <c r="BI146" s="299" t="n">
        <v>0.125</v>
      </c>
      <c r="BJ146" s="299" t="n">
        <v>0.315</v>
      </c>
      <c r="BK146" s="299" t="n">
        <v>0.0025</v>
      </c>
      <c r="BL146" s="299" t="n">
        <v>-0.01</v>
      </c>
      <c r="BM146" s="299" t="n">
        <v>0.005</v>
      </c>
      <c r="BN146" s="299" t="n">
        <v>-0.01</v>
      </c>
      <c r="BO146" s="299" t="n">
        <v>0</v>
      </c>
      <c r="BP146" s="299" t="n">
        <v>0.005</v>
      </c>
      <c r="BQ146" s="299" t="n">
        <v>0.0025</v>
      </c>
      <c r="BR146" s="299" t="n">
        <v>0.01</v>
      </c>
      <c r="BS146" s="0" t="n">
        <v>0.005</v>
      </c>
      <c r="BT146" s="0" t="n">
        <v>0</v>
      </c>
      <c r="BU146" s="0" t="n">
        <v>0</v>
      </c>
      <c r="BV146" s="0" t="n">
        <v>0.03</v>
      </c>
    </row>
    <row r="147" customFormat="false" ht="12.75" hidden="false" customHeight="false" outlineLevel="0" collapsed="false">
      <c r="A147" s="301" t="e">
        <f aca="false">#REF!-B147</f>
        <v>#REF!</v>
      </c>
      <c r="B147" s="301" t="n">
        <v>3.536</v>
      </c>
      <c r="C147" s="308" t="n">
        <f aca="false">EOMONTH(C146,0)+1</f>
        <v>41548</v>
      </c>
      <c r="D147" s="0" t="n">
        <v>4.0275</v>
      </c>
      <c r="E147" s="301" t="n">
        <v>0.17</v>
      </c>
      <c r="F147" s="299" t="n">
        <v>0.0601538973700957</v>
      </c>
      <c r="G147" s="299" t="n">
        <v>-0.13</v>
      </c>
      <c r="H147" s="299" t="n">
        <v>-0.15</v>
      </c>
      <c r="I147" s="310" t="n">
        <v>-0.09</v>
      </c>
      <c r="J147" s="310" t="n">
        <v>-0.13</v>
      </c>
      <c r="K147" s="299" t="n">
        <v>-0.09</v>
      </c>
      <c r="L147" s="299" t="n">
        <v>-0.038</v>
      </c>
      <c r="M147" s="299" t="n">
        <v>-0.058</v>
      </c>
      <c r="N147" s="299" t="n">
        <v>-0.12</v>
      </c>
      <c r="O147" s="299" t="n">
        <v>-0.12</v>
      </c>
      <c r="P147" s="299" t="n">
        <v>-0.13</v>
      </c>
      <c r="Q147" s="299" t="n">
        <v>-0.05775</v>
      </c>
      <c r="R147" s="299" t="n">
        <v>-0.038</v>
      </c>
      <c r="S147" s="299" t="n">
        <v>0.125</v>
      </c>
      <c r="T147" s="299" t="n">
        <v>0.145</v>
      </c>
      <c r="U147" s="299" t="n">
        <v>0.04</v>
      </c>
      <c r="V147" s="299" t="n">
        <v>0.5</v>
      </c>
      <c r="W147" s="299" t="n">
        <v>0.145</v>
      </c>
      <c r="X147" s="299" t="n">
        <v>0.175</v>
      </c>
      <c r="Y147" s="299" t="n">
        <v>-0.0115</v>
      </c>
      <c r="Z147" s="299" t="n">
        <v>-0.0465</v>
      </c>
      <c r="AA147" s="299" t="n">
        <v>0.0105</v>
      </c>
      <c r="AB147" s="299" t="n">
        <v>-0.0045</v>
      </c>
      <c r="AC147" s="299" t="n">
        <v>0.0025</v>
      </c>
      <c r="AD147" s="299" t="n">
        <v>-0.0225</v>
      </c>
      <c r="AE147" s="299" t="n">
        <v>-0.0725</v>
      </c>
      <c r="AF147" s="299" t="n">
        <v>-0.051</v>
      </c>
      <c r="AG147" s="299" t="n">
        <v>-0.0735</v>
      </c>
      <c r="AH147" s="299" t="n">
        <v>-0.0125</v>
      </c>
      <c r="AI147" s="299" t="n">
        <v>-0.072</v>
      </c>
      <c r="AJ147" s="299" t="n">
        <v>-0.0775</v>
      </c>
      <c r="AK147" s="299" t="n">
        <v>-0.017</v>
      </c>
      <c r="AL147" s="299" t="n">
        <v>0.023</v>
      </c>
      <c r="AM147" s="299" t="n">
        <v>0.4</v>
      </c>
      <c r="AN147" s="299" t="n">
        <v>0.0125</v>
      </c>
      <c r="AO147" s="299" t="n">
        <v>-0.45</v>
      </c>
      <c r="AP147" s="299" t="n">
        <v>-0.07</v>
      </c>
      <c r="AQ147" s="299" t="n">
        <v>-0.195</v>
      </c>
      <c r="AR147" s="299" t="n">
        <v>-0.1</v>
      </c>
      <c r="AS147" s="299" t="n">
        <v>-0.37</v>
      </c>
      <c r="AT147" s="299" t="n">
        <v>0</v>
      </c>
      <c r="AU147" s="299" t="n">
        <v>0.43</v>
      </c>
      <c r="AV147" s="299" t="n">
        <v>-0.45</v>
      </c>
      <c r="AW147" s="299" t="n">
        <v>-0.1295</v>
      </c>
      <c r="AX147" s="299" t="n">
        <v>-0.06</v>
      </c>
      <c r="AY147" s="299" t="n">
        <v>-0.0695</v>
      </c>
      <c r="AZ147" s="299" t="n">
        <v>-0.038</v>
      </c>
      <c r="BA147" s="299" t="n">
        <v>-0.072</v>
      </c>
      <c r="BB147" s="299" t="n">
        <v>-0.0125</v>
      </c>
      <c r="BC147" s="299" t="n">
        <v>-0.043</v>
      </c>
      <c r="BD147" s="299" t="n">
        <v>-0.0175</v>
      </c>
      <c r="BE147" s="299" t="n">
        <v>-0.0725</v>
      </c>
      <c r="BF147" s="299" t="n">
        <v>0</v>
      </c>
      <c r="BG147" s="299" t="n">
        <v>0.14</v>
      </c>
      <c r="BH147" s="299" t="n">
        <v>0.145</v>
      </c>
      <c r="BI147" s="299" t="n">
        <v>0.125</v>
      </c>
      <c r="BJ147" s="299" t="n">
        <v>0.36</v>
      </c>
      <c r="BK147" s="299" t="n">
        <v>0.0025</v>
      </c>
      <c r="BL147" s="299" t="n">
        <v>-0.015</v>
      </c>
      <c r="BM147" s="299" t="n">
        <v>0.005</v>
      </c>
      <c r="BN147" s="299" t="n">
        <v>-0.01</v>
      </c>
      <c r="BO147" s="299" t="n">
        <v>0</v>
      </c>
      <c r="BP147" s="299" t="n">
        <v>0.005</v>
      </c>
      <c r="BQ147" s="299" t="n">
        <v>0.0025</v>
      </c>
      <c r="BR147" s="299" t="n">
        <v>0.01</v>
      </c>
      <c r="BS147" s="0" t="n">
        <v>0.005</v>
      </c>
      <c r="BT147" s="0" t="n">
        <v>0</v>
      </c>
      <c r="BU147" s="0" t="n">
        <v>0</v>
      </c>
      <c r="BV147" s="0" t="n">
        <v>0.03</v>
      </c>
    </row>
    <row r="148" customFormat="false" ht="12.75" hidden="false" customHeight="false" outlineLevel="0" collapsed="false">
      <c r="A148" s="301" t="e">
        <f aca="false">#REF!-B148</f>
        <v>#REF!</v>
      </c>
      <c r="B148" s="301" t="n">
        <v>3.517</v>
      </c>
      <c r="C148" s="308" t="n">
        <f aca="false">EOMONTH(C147,0)+1</f>
        <v>41579</v>
      </c>
      <c r="D148" s="0" t="n">
        <v>4.1795</v>
      </c>
      <c r="E148" s="301" t="n">
        <v>0.17</v>
      </c>
      <c r="F148" s="299" t="n">
        <v>0.0601977255879755</v>
      </c>
      <c r="G148" s="299" t="n">
        <v>-0.13</v>
      </c>
      <c r="H148" s="299" t="n">
        <v>-0.15</v>
      </c>
      <c r="I148" s="310" t="n">
        <v>-0.01</v>
      </c>
      <c r="J148" s="310" t="n">
        <v>-0.13</v>
      </c>
      <c r="K148" s="299" t="n">
        <v>0</v>
      </c>
      <c r="L148" s="299" t="n">
        <v>-0.0375</v>
      </c>
      <c r="M148" s="299" t="n">
        <v>-0.0725</v>
      </c>
      <c r="N148" s="299" t="n">
        <v>-0.12</v>
      </c>
      <c r="O148" s="299" t="n">
        <v>-0.12</v>
      </c>
      <c r="P148" s="299" t="n">
        <v>-0.13</v>
      </c>
      <c r="Q148" s="299" t="n">
        <v>-0.075</v>
      </c>
      <c r="R148" s="299" t="n">
        <v>-0.0375</v>
      </c>
      <c r="S148" s="299" t="n">
        <v>0.155</v>
      </c>
      <c r="T148" s="299" t="n">
        <v>0.175</v>
      </c>
      <c r="U148" s="299" t="n">
        <v>0.13</v>
      </c>
      <c r="V148" s="299" t="n">
        <v>0.5</v>
      </c>
      <c r="W148" s="299" t="n">
        <v>0.195</v>
      </c>
      <c r="X148" s="299" t="n">
        <v>0.21</v>
      </c>
      <c r="Y148" s="299" t="n">
        <v>-0.008999999</v>
      </c>
      <c r="Z148" s="299" t="n">
        <v>-0.0275</v>
      </c>
      <c r="AA148" s="299" t="n">
        <v>0.0115</v>
      </c>
      <c r="AB148" s="299" t="n">
        <v>-0.0015</v>
      </c>
      <c r="AC148" s="299" t="n">
        <v>0.0025</v>
      </c>
      <c r="AD148" s="299" t="n">
        <v>-0.0225</v>
      </c>
      <c r="AE148" s="299" t="n">
        <v>-0.075</v>
      </c>
      <c r="AF148" s="299" t="n">
        <v>-0.0535</v>
      </c>
      <c r="AG148" s="299" t="n">
        <v>-0.076</v>
      </c>
      <c r="AH148" s="299" t="n">
        <v>-0.008999999</v>
      </c>
      <c r="AI148" s="299" t="n">
        <v>-0.064</v>
      </c>
      <c r="AJ148" s="299" t="n">
        <v>-0.1125</v>
      </c>
      <c r="AK148" s="299" t="n">
        <v>-0.008999999</v>
      </c>
      <c r="AL148" s="299" t="n">
        <v>0.031</v>
      </c>
      <c r="AM148" s="299" t="n">
        <v>0.65</v>
      </c>
      <c r="AN148" s="299" t="n">
        <v>-0.0225</v>
      </c>
      <c r="AO148" s="299" t="n">
        <v>-0.34</v>
      </c>
      <c r="AP148" s="299" t="n">
        <v>-0.07</v>
      </c>
      <c r="AQ148" s="299" t="n">
        <v>-0.13</v>
      </c>
      <c r="AR148" s="299" t="n">
        <v>0.248</v>
      </c>
      <c r="AS148" s="299" t="n">
        <v>-0.26</v>
      </c>
      <c r="AT148" s="299" t="n">
        <v>0</v>
      </c>
      <c r="AU148" s="299" t="n">
        <v>0.35</v>
      </c>
      <c r="AV148" s="299" t="n">
        <v>-0.34</v>
      </c>
      <c r="AW148" s="299" t="n">
        <v>-0.137</v>
      </c>
      <c r="AX148" s="299" t="n">
        <v>-0.06</v>
      </c>
      <c r="AY148" s="299" t="n">
        <v>-0.077</v>
      </c>
      <c r="AZ148" s="299" t="n">
        <v>-0.0375</v>
      </c>
      <c r="BA148" s="299" t="n">
        <v>-0.067</v>
      </c>
      <c r="BB148" s="299" t="n">
        <v>-0.014</v>
      </c>
      <c r="BC148" s="299" t="n">
        <v>-0.0575</v>
      </c>
      <c r="BD148" s="299" t="n">
        <v>-0.0525</v>
      </c>
      <c r="BE148" s="299" t="n">
        <v>-0.075</v>
      </c>
      <c r="BF148" s="299" t="n">
        <v>0</v>
      </c>
      <c r="BG148" s="299" t="n">
        <v>0.17</v>
      </c>
      <c r="BH148" s="299" t="n">
        <v>0.175</v>
      </c>
      <c r="BI148" s="299" t="n">
        <v>0.155</v>
      </c>
      <c r="BJ148" s="299" t="n">
        <v>0.46</v>
      </c>
      <c r="BK148" s="299" t="n">
        <v>0.0025</v>
      </c>
      <c r="BL148" s="299" t="n">
        <v>-0.02</v>
      </c>
      <c r="BM148" s="299" t="n">
        <v>0.005</v>
      </c>
      <c r="BN148" s="299" t="n">
        <v>0</v>
      </c>
      <c r="BO148" s="299" t="n">
        <v>0</v>
      </c>
      <c r="BP148" s="299" t="n">
        <v>0.005</v>
      </c>
      <c r="BQ148" s="299" t="n">
        <v>0.005</v>
      </c>
      <c r="BR148" s="299" t="n">
        <v>0.055</v>
      </c>
      <c r="BS148" s="0" t="n">
        <v>0.02</v>
      </c>
      <c r="BT148" s="0" t="n">
        <v>0</v>
      </c>
      <c r="BU148" s="0" t="n">
        <v>0</v>
      </c>
      <c r="BV148" s="0" t="n">
        <v>0.03</v>
      </c>
    </row>
    <row r="149" customFormat="false" ht="12.75" hidden="false" customHeight="false" outlineLevel="0" collapsed="false">
      <c r="A149" s="301" t="e">
        <f aca="false">#REF!-B149</f>
        <v>#REF!</v>
      </c>
      <c r="B149" s="301" t="n">
        <v>3.506</v>
      </c>
      <c r="C149" s="308" t="n">
        <f aca="false">EOMONTH(C148,0)+1</f>
        <v>41609</v>
      </c>
      <c r="D149" s="0" t="n">
        <v>4.3225</v>
      </c>
      <c r="E149" s="301" t="n">
        <v>0.17</v>
      </c>
      <c r="F149" s="299" t="n">
        <v>0.0602401399929824</v>
      </c>
      <c r="G149" s="299" t="n">
        <v>-0.1325</v>
      </c>
      <c r="H149" s="299" t="n">
        <v>-0.1525</v>
      </c>
      <c r="I149" s="310" t="n">
        <v>-0.005</v>
      </c>
      <c r="J149" s="310" t="n">
        <v>-0.13</v>
      </c>
      <c r="K149" s="299" t="n">
        <v>0.005</v>
      </c>
      <c r="L149" s="299" t="n">
        <v>-0.0375</v>
      </c>
      <c r="M149" s="299" t="n">
        <v>-0.0725</v>
      </c>
      <c r="N149" s="299" t="n">
        <v>-0.1225</v>
      </c>
      <c r="O149" s="299" t="n">
        <v>-0.1225</v>
      </c>
      <c r="P149" s="299" t="n">
        <v>-0.1325</v>
      </c>
      <c r="Q149" s="299" t="n">
        <v>-0.08625</v>
      </c>
      <c r="R149" s="299" t="n">
        <v>-0.0375</v>
      </c>
      <c r="S149" s="299" t="n">
        <v>0.155</v>
      </c>
      <c r="T149" s="299" t="n">
        <v>0.175</v>
      </c>
      <c r="U149" s="299" t="n">
        <v>0.13</v>
      </c>
      <c r="V149" s="299" t="n">
        <v>0.5</v>
      </c>
      <c r="W149" s="299" t="n">
        <v>0.215</v>
      </c>
      <c r="X149" s="299" t="n">
        <v>0.29</v>
      </c>
      <c r="Y149" s="299" t="n">
        <v>-0.008999999</v>
      </c>
      <c r="Z149" s="299" t="n">
        <v>-0.0275</v>
      </c>
      <c r="AA149" s="299" t="n">
        <v>0.0115</v>
      </c>
      <c r="AB149" s="299" t="n">
        <v>-0.0015</v>
      </c>
      <c r="AC149" s="299" t="n">
        <v>0.0025</v>
      </c>
      <c r="AD149" s="299" t="n">
        <v>-0.0225</v>
      </c>
      <c r="AE149" s="299" t="n">
        <v>-0.075</v>
      </c>
      <c r="AF149" s="299" t="n">
        <v>-0.0515</v>
      </c>
      <c r="AG149" s="299" t="n">
        <v>-0.074</v>
      </c>
      <c r="AH149" s="299" t="n">
        <v>-0.006499999</v>
      </c>
      <c r="AI149" s="299" t="n">
        <v>-0.064</v>
      </c>
      <c r="AJ149" s="299" t="n">
        <v>-0.135</v>
      </c>
      <c r="AK149" s="299" t="n">
        <v>-0.008999999</v>
      </c>
      <c r="AL149" s="299" t="n">
        <v>0.031</v>
      </c>
      <c r="AM149" s="299" t="n">
        <v>0.98</v>
      </c>
      <c r="AN149" s="299" t="n">
        <v>-0.045</v>
      </c>
      <c r="AO149" s="299" t="n">
        <v>-0.34</v>
      </c>
      <c r="AP149" s="299" t="n">
        <v>-0.07</v>
      </c>
      <c r="AQ149" s="299" t="n">
        <v>-0.13</v>
      </c>
      <c r="AR149" s="299" t="n">
        <v>0.308</v>
      </c>
      <c r="AS149" s="299" t="n">
        <v>-0.26</v>
      </c>
      <c r="AT149" s="299" t="n">
        <v>0</v>
      </c>
      <c r="AU149" s="299" t="n">
        <v>0.35</v>
      </c>
      <c r="AV149" s="299" t="n">
        <v>-0.34</v>
      </c>
      <c r="AW149" s="299" t="n">
        <v>-0.1645</v>
      </c>
      <c r="AX149" s="299" t="n">
        <v>-0.06</v>
      </c>
      <c r="AY149" s="299" t="n">
        <v>-0.1045</v>
      </c>
      <c r="AZ149" s="299" t="n">
        <v>-0.0375</v>
      </c>
      <c r="BA149" s="299" t="n">
        <v>-0.0945</v>
      </c>
      <c r="BB149" s="299" t="n">
        <v>-0.0115</v>
      </c>
      <c r="BC149" s="299" t="n">
        <v>-0.0575</v>
      </c>
      <c r="BD149" s="299" t="n">
        <v>-0.075</v>
      </c>
      <c r="BE149" s="299" t="n">
        <v>-0.075</v>
      </c>
      <c r="BF149" s="299" t="n">
        <v>0</v>
      </c>
      <c r="BG149" s="299" t="n">
        <v>0.17</v>
      </c>
      <c r="BH149" s="299" t="n">
        <v>0.175</v>
      </c>
      <c r="BI149" s="299" t="n">
        <v>0.155</v>
      </c>
      <c r="BJ149" s="299" t="n">
        <v>0.77</v>
      </c>
      <c r="BK149" s="299" t="n">
        <v>0.0025</v>
      </c>
      <c r="BL149" s="299" t="n">
        <v>-0.025</v>
      </c>
      <c r="BM149" s="299" t="n">
        <v>0.005</v>
      </c>
      <c r="BN149" s="299" t="n">
        <v>0</v>
      </c>
      <c r="BO149" s="299" t="n">
        <v>0</v>
      </c>
      <c r="BP149" s="299" t="n">
        <v>0.005</v>
      </c>
      <c r="BQ149" s="299" t="n">
        <v>0.005</v>
      </c>
      <c r="BR149" s="299" t="n">
        <v>0.25</v>
      </c>
      <c r="BS149" s="0" t="n">
        <v>0.02</v>
      </c>
      <c r="BT149" s="0" t="n">
        <v>0</v>
      </c>
      <c r="BU149" s="0" t="n">
        <v>0</v>
      </c>
      <c r="BV149" s="0" t="n">
        <v>0.03</v>
      </c>
    </row>
    <row r="150" customFormat="false" ht="12.75" hidden="false" customHeight="false" outlineLevel="0" collapsed="false">
      <c r="A150" s="301" t="e">
        <f aca="false">#REF!-B150</f>
        <v>#REF!</v>
      </c>
      <c r="B150" s="301" t="n">
        <v>3.571</v>
      </c>
      <c r="C150" s="308" t="n">
        <f aca="false">EOMONTH(C149,0)+1</f>
        <v>41640</v>
      </c>
      <c r="D150" s="0" t="n">
        <v>4.3825</v>
      </c>
      <c r="E150" s="301" t="n">
        <v>0.17</v>
      </c>
      <c r="F150" s="299" t="n">
        <v>0.0602839682121181</v>
      </c>
      <c r="G150" s="299" t="n">
        <v>-0.135</v>
      </c>
      <c r="H150" s="299" t="n">
        <v>-0.155</v>
      </c>
      <c r="I150" s="310" t="n">
        <v>0.015</v>
      </c>
      <c r="J150" s="310" t="n">
        <v>-0.13</v>
      </c>
      <c r="K150" s="299" t="n">
        <v>0.025</v>
      </c>
      <c r="L150" s="299" t="n">
        <v>-0.0375</v>
      </c>
      <c r="M150" s="299" t="n">
        <v>-0.0725</v>
      </c>
      <c r="N150" s="299" t="n">
        <v>-0.125</v>
      </c>
      <c r="O150" s="299" t="n">
        <v>-0.125</v>
      </c>
      <c r="P150" s="299" t="n">
        <v>-0.135</v>
      </c>
      <c r="Q150" s="299" t="n">
        <v>-0.0875</v>
      </c>
      <c r="R150" s="299" t="n">
        <v>-0.0375</v>
      </c>
      <c r="S150" s="299" t="n">
        <v>0.155</v>
      </c>
      <c r="T150" s="299" t="n">
        <v>0.175</v>
      </c>
      <c r="U150" s="299" t="n">
        <v>0.13</v>
      </c>
      <c r="V150" s="299" t="n">
        <v>0.5</v>
      </c>
      <c r="W150" s="299" t="n">
        <v>0.235</v>
      </c>
      <c r="X150" s="299" t="n">
        <v>0.34</v>
      </c>
      <c r="Y150" s="299" t="n">
        <v>-0.006999999</v>
      </c>
      <c r="Z150" s="299" t="n">
        <v>-0.0275</v>
      </c>
      <c r="AA150" s="299" t="n">
        <v>0.0115</v>
      </c>
      <c r="AB150" s="299" t="n">
        <v>-0.0015</v>
      </c>
      <c r="AC150" s="299" t="n">
        <v>0.0025</v>
      </c>
      <c r="AD150" s="299" t="n">
        <v>-0.0205</v>
      </c>
      <c r="AE150" s="299" t="n">
        <v>-0.075</v>
      </c>
      <c r="AF150" s="299" t="n">
        <v>-0.0515</v>
      </c>
      <c r="AG150" s="299" t="n">
        <v>-0.074</v>
      </c>
      <c r="AH150" s="299" t="n">
        <v>-0.006499999</v>
      </c>
      <c r="AI150" s="299" t="n">
        <v>-0.064</v>
      </c>
      <c r="AJ150" s="299" t="n">
        <v>-0.1375</v>
      </c>
      <c r="AK150" s="299" t="n">
        <v>-0.008999999</v>
      </c>
      <c r="AL150" s="299" t="n">
        <v>0.031</v>
      </c>
      <c r="AM150" s="299" t="n">
        <v>1.6</v>
      </c>
      <c r="AN150" s="299" t="n">
        <v>-0.0475</v>
      </c>
      <c r="AO150" s="299" t="n">
        <v>-0.34</v>
      </c>
      <c r="AP150" s="299" t="n">
        <v>-0.07</v>
      </c>
      <c r="AQ150" s="299" t="n">
        <v>-0.13</v>
      </c>
      <c r="AR150" s="299" t="n">
        <v>0.378</v>
      </c>
      <c r="AS150" s="299" t="n">
        <v>-0.26</v>
      </c>
      <c r="AT150" s="299" t="n">
        <v>0</v>
      </c>
      <c r="AU150" s="299" t="n">
        <v>0.35</v>
      </c>
      <c r="AV150" s="299" t="n">
        <v>-0.34</v>
      </c>
      <c r="AW150" s="299" t="n">
        <v>-0.1795</v>
      </c>
      <c r="AX150" s="299" t="n">
        <v>-0.06</v>
      </c>
      <c r="AY150" s="299" t="n">
        <v>-0.1195</v>
      </c>
      <c r="AZ150" s="299" t="n">
        <v>-0.0375</v>
      </c>
      <c r="BA150" s="299" t="n">
        <v>-0.095</v>
      </c>
      <c r="BB150" s="299" t="n">
        <v>-0.0115</v>
      </c>
      <c r="BC150" s="299" t="n">
        <v>-0.0575</v>
      </c>
      <c r="BD150" s="299" t="n">
        <v>-0.0775</v>
      </c>
      <c r="BE150" s="299" t="n">
        <v>-0.075</v>
      </c>
      <c r="BF150" s="299" t="n">
        <v>0</v>
      </c>
      <c r="BG150" s="299" t="n">
        <v>0.17</v>
      </c>
      <c r="BH150" s="299" t="n">
        <v>0.175</v>
      </c>
      <c r="BI150" s="299" t="n">
        <v>0.155</v>
      </c>
      <c r="BJ150" s="299" t="n">
        <v>1.04</v>
      </c>
      <c r="BK150" s="299" t="n">
        <v>0.0025</v>
      </c>
      <c r="BL150" s="299" t="n">
        <v>-0.025</v>
      </c>
      <c r="BM150" s="299" t="n">
        <v>0.005</v>
      </c>
      <c r="BN150" s="299" t="n">
        <v>0</v>
      </c>
      <c r="BO150" s="299" t="n">
        <v>0</v>
      </c>
      <c r="BP150" s="299" t="n">
        <v>0.005</v>
      </c>
      <c r="BQ150" s="299" t="n">
        <v>0.005</v>
      </c>
      <c r="BR150" s="299" t="n">
        <v>0.45</v>
      </c>
      <c r="BS150" s="0" t="n">
        <v>0.02</v>
      </c>
      <c r="BT150" s="0" t="n">
        <v>0</v>
      </c>
      <c r="BU150" s="0" t="n">
        <v>0</v>
      </c>
      <c r="BV150" s="0" t="n">
        <v>0.03</v>
      </c>
    </row>
    <row r="151" customFormat="false" ht="12.75" hidden="false" customHeight="false" outlineLevel="0" collapsed="false">
      <c r="A151" s="301" t="e">
        <f aca="false">#REF!-B151</f>
        <v>#REF!</v>
      </c>
      <c r="B151" s="301" t="n">
        <v>3.566</v>
      </c>
      <c r="C151" s="308" t="n">
        <f aca="false">EOMONTH(C150,0)+1</f>
        <v>41671</v>
      </c>
      <c r="D151" s="0" t="n">
        <v>4.2975</v>
      </c>
      <c r="E151" s="301" t="n">
        <v>0.17</v>
      </c>
      <c r="F151" s="299" t="n">
        <v>0.0603277964318911</v>
      </c>
      <c r="G151" s="299" t="n">
        <v>-0.1275</v>
      </c>
      <c r="H151" s="299" t="n">
        <v>-0.1475</v>
      </c>
      <c r="I151" s="310" t="n">
        <v>0.01</v>
      </c>
      <c r="J151" s="310" t="n">
        <v>-0.13</v>
      </c>
      <c r="K151" s="299" t="n">
        <v>0.02</v>
      </c>
      <c r="L151" s="299" t="n">
        <v>-0.0375</v>
      </c>
      <c r="M151" s="299" t="n">
        <v>-0.0725</v>
      </c>
      <c r="N151" s="299" t="n">
        <v>-0.1175</v>
      </c>
      <c r="O151" s="299" t="n">
        <v>-0.1175</v>
      </c>
      <c r="P151" s="299" t="n">
        <v>-0.1275</v>
      </c>
      <c r="Q151" s="299" t="n">
        <v>-0.07875</v>
      </c>
      <c r="R151" s="299" t="n">
        <v>-0.0375</v>
      </c>
      <c r="S151" s="299" t="n">
        <v>0.155</v>
      </c>
      <c r="T151" s="299" t="n">
        <v>0.175</v>
      </c>
      <c r="U151" s="299" t="n">
        <v>0.13</v>
      </c>
      <c r="V151" s="299" t="n">
        <v>0.5</v>
      </c>
      <c r="W151" s="299" t="n">
        <v>0.235</v>
      </c>
      <c r="X151" s="299" t="n">
        <v>0.34</v>
      </c>
      <c r="Y151" s="299" t="n">
        <v>-0.006999999</v>
      </c>
      <c r="Z151" s="299" t="n">
        <v>-0.0275</v>
      </c>
      <c r="AA151" s="299" t="n">
        <v>0.0115</v>
      </c>
      <c r="AB151" s="299" t="n">
        <v>-0.0015</v>
      </c>
      <c r="AC151" s="299" t="n">
        <v>0.0025</v>
      </c>
      <c r="AD151" s="299" t="n">
        <v>-0.0205</v>
      </c>
      <c r="AE151" s="299" t="n">
        <v>-0.075</v>
      </c>
      <c r="AF151" s="299" t="n">
        <v>-0.0515</v>
      </c>
      <c r="AG151" s="299" t="n">
        <v>-0.074</v>
      </c>
      <c r="AH151" s="299" t="n">
        <v>-0.006499999</v>
      </c>
      <c r="AI151" s="299" t="n">
        <v>-0.064</v>
      </c>
      <c r="AJ151" s="299" t="n">
        <v>-0.12</v>
      </c>
      <c r="AK151" s="299" t="n">
        <v>-0.008999999</v>
      </c>
      <c r="AL151" s="299" t="n">
        <v>0.031</v>
      </c>
      <c r="AM151" s="299" t="n">
        <v>1.6</v>
      </c>
      <c r="AN151" s="299" t="n">
        <v>-0.03</v>
      </c>
      <c r="AO151" s="299" t="n">
        <v>-0.34</v>
      </c>
      <c r="AP151" s="299" t="n">
        <v>-0.07</v>
      </c>
      <c r="AQ151" s="299" t="n">
        <v>-0.13</v>
      </c>
      <c r="AR151" s="299" t="n">
        <v>0.248</v>
      </c>
      <c r="AS151" s="299" t="n">
        <v>-0.26</v>
      </c>
      <c r="AT151" s="299" t="n">
        <v>0</v>
      </c>
      <c r="AU151" s="299" t="n">
        <v>0.35</v>
      </c>
      <c r="AV151" s="299" t="n">
        <v>-0.34</v>
      </c>
      <c r="AW151" s="299" t="n">
        <v>-0.1695</v>
      </c>
      <c r="AX151" s="299" t="n">
        <v>-0.06</v>
      </c>
      <c r="AY151" s="299" t="n">
        <v>-0.1095</v>
      </c>
      <c r="AZ151" s="299" t="n">
        <v>-0.0375</v>
      </c>
      <c r="BA151" s="299" t="n">
        <v>-0.095</v>
      </c>
      <c r="BB151" s="299" t="n">
        <v>-0.0115</v>
      </c>
      <c r="BC151" s="299" t="n">
        <v>-0.0575</v>
      </c>
      <c r="BD151" s="299" t="n">
        <v>-0.06</v>
      </c>
      <c r="BE151" s="299" t="n">
        <v>-0.075</v>
      </c>
      <c r="BF151" s="299" t="n">
        <v>0</v>
      </c>
      <c r="BG151" s="299" t="n">
        <v>0.17</v>
      </c>
      <c r="BH151" s="299" t="n">
        <v>0.175</v>
      </c>
      <c r="BI151" s="299" t="n">
        <v>0.155</v>
      </c>
      <c r="BJ151" s="299" t="n">
        <v>1.04</v>
      </c>
      <c r="BK151" s="299" t="n">
        <v>0.0025</v>
      </c>
      <c r="BL151" s="299" t="n">
        <v>-0.025</v>
      </c>
      <c r="BM151" s="299" t="n">
        <v>0.005</v>
      </c>
      <c r="BN151" s="299" t="n">
        <v>0</v>
      </c>
      <c r="BO151" s="299" t="n">
        <v>0</v>
      </c>
      <c r="BP151" s="299" t="n">
        <v>0.005</v>
      </c>
      <c r="BQ151" s="299" t="n">
        <v>0.005</v>
      </c>
      <c r="BR151" s="299" t="n">
        <v>0.45</v>
      </c>
      <c r="BS151" s="0" t="n">
        <v>0.02</v>
      </c>
      <c r="BT151" s="0" t="n">
        <v>0</v>
      </c>
      <c r="BU151" s="0" t="n">
        <v>0</v>
      </c>
      <c r="BV151" s="0" t="n">
        <v>0.03</v>
      </c>
    </row>
    <row r="152" customFormat="false" ht="12.75" hidden="false" customHeight="false" outlineLevel="0" collapsed="false">
      <c r="A152" s="301" t="e">
        <f aca="false">#REF!-B152</f>
        <v>#REF!</v>
      </c>
      <c r="B152" s="301" t="n">
        <v>3.547</v>
      </c>
      <c r="C152" s="308" t="n">
        <f aca="false">EOMONTH(C151,0)+1</f>
        <v>41699</v>
      </c>
      <c r="D152" s="0" t="n">
        <v>4.1675</v>
      </c>
      <c r="E152" s="301" t="n">
        <v>0.17</v>
      </c>
      <c r="F152" s="299" t="n">
        <v>0.0603673832115903</v>
      </c>
      <c r="G152" s="299" t="n">
        <v>-0.125</v>
      </c>
      <c r="H152" s="299" t="n">
        <v>-0.145</v>
      </c>
      <c r="I152" s="310" t="n">
        <v>-0.01</v>
      </c>
      <c r="J152" s="310" t="n">
        <v>-0.13</v>
      </c>
      <c r="K152" s="299" t="n">
        <v>0</v>
      </c>
      <c r="L152" s="299" t="n">
        <v>-0.0375</v>
      </c>
      <c r="M152" s="299" t="n">
        <v>-0.0725</v>
      </c>
      <c r="N152" s="299" t="n">
        <v>-0.115</v>
      </c>
      <c r="O152" s="299" t="n">
        <v>-0.115</v>
      </c>
      <c r="P152" s="299" t="n">
        <v>-0.125</v>
      </c>
      <c r="Q152" s="299" t="n">
        <v>-0.0725</v>
      </c>
      <c r="R152" s="299" t="n">
        <v>-0.0375</v>
      </c>
      <c r="S152" s="299" t="n">
        <v>0.155</v>
      </c>
      <c r="T152" s="299" t="n">
        <v>0.175</v>
      </c>
      <c r="U152" s="299" t="n">
        <v>0.13</v>
      </c>
      <c r="V152" s="299" t="n">
        <v>0.5</v>
      </c>
      <c r="W152" s="299" t="n">
        <v>0.195</v>
      </c>
      <c r="X152" s="299" t="n">
        <v>0.29</v>
      </c>
      <c r="Y152" s="299" t="n">
        <v>-0.006999999</v>
      </c>
      <c r="Z152" s="299" t="n">
        <v>-0.0275</v>
      </c>
      <c r="AA152" s="299" t="n">
        <v>0.019</v>
      </c>
      <c r="AB152" s="299" t="n">
        <v>0.004</v>
      </c>
      <c r="AC152" s="299" t="n">
        <v>0.0025</v>
      </c>
      <c r="AD152" s="299" t="n">
        <v>-0.0205</v>
      </c>
      <c r="AE152" s="299" t="n">
        <v>-0.075</v>
      </c>
      <c r="AF152" s="299" t="n">
        <v>-0.0515</v>
      </c>
      <c r="AG152" s="299" t="n">
        <v>-0.074</v>
      </c>
      <c r="AH152" s="299" t="n">
        <v>-0.006499999</v>
      </c>
      <c r="AI152" s="299" t="n">
        <v>-0.064</v>
      </c>
      <c r="AJ152" s="299" t="n">
        <v>-0.1075</v>
      </c>
      <c r="AK152" s="299" t="n">
        <v>-0.008999999</v>
      </c>
      <c r="AL152" s="299" t="n">
        <v>0.031</v>
      </c>
      <c r="AM152" s="299" t="n">
        <v>0.64</v>
      </c>
      <c r="AN152" s="299" t="n">
        <v>-0.0175</v>
      </c>
      <c r="AO152" s="299" t="n">
        <v>-0.34</v>
      </c>
      <c r="AP152" s="299" t="n">
        <v>-0.07</v>
      </c>
      <c r="AQ152" s="299" t="n">
        <v>-0.13</v>
      </c>
      <c r="AR152" s="299" t="n">
        <v>0.068</v>
      </c>
      <c r="AS152" s="299" t="n">
        <v>-0.26</v>
      </c>
      <c r="AT152" s="299" t="n">
        <v>0</v>
      </c>
      <c r="AU152" s="299" t="n">
        <v>0.35</v>
      </c>
      <c r="AV152" s="299" t="n">
        <v>-0.34</v>
      </c>
      <c r="AW152" s="299" t="n">
        <v>-0.1595</v>
      </c>
      <c r="AX152" s="299" t="n">
        <v>-0.06</v>
      </c>
      <c r="AY152" s="299" t="n">
        <v>-0.0995</v>
      </c>
      <c r="AZ152" s="299" t="n">
        <v>-0.0375</v>
      </c>
      <c r="BA152" s="299" t="n">
        <v>-0.095</v>
      </c>
      <c r="BB152" s="299" t="n">
        <v>-0.0115</v>
      </c>
      <c r="BC152" s="299" t="n">
        <v>-0.0575</v>
      </c>
      <c r="BD152" s="299" t="n">
        <v>-0.0475</v>
      </c>
      <c r="BE152" s="299" t="n">
        <v>-0.075</v>
      </c>
      <c r="BF152" s="299" t="n">
        <v>0</v>
      </c>
      <c r="BG152" s="299" t="n">
        <v>0.17</v>
      </c>
      <c r="BH152" s="299" t="n">
        <v>0.175</v>
      </c>
      <c r="BI152" s="299" t="n">
        <v>0.155</v>
      </c>
      <c r="BJ152" s="299" t="n">
        <v>0.54</v>
      </c>
      <c r="BK152" s="299" t="n">
        <v>0.0025</v>
      </c>
      <c r="BL152" s="299" t="n">
        <v>-0.02</v>
      </c>
      <c r="BM152" s="299" t="n">
        <v>0.005</v>
      </c>
      <c r="BN152" s="299" t="n">
        <v>0</v>
      </c>
      <c r="BO152" s="299" t="n">
        <v>0</v>
      </c>
      <c r="BP152" s="299" t="n">
        <v>0.005</v>
      </c>
      <c r="BQ152" s="299" t="n">
        <v>0.005</v>
      </c>
      <c r="BR152" s="299" t="n">
        <v>0.1</v>
      </c>
      <c r="BS152" s="0" t="n">
        <v>0.02</v>
      </c>
      <c r="BT152" s="0" t="n">
        <v>0</v>
      </c>
      <c r="BU152" s="0" t="n">
        <v>0</v>
      </c>
      <c r="BV152" s="0" t="n">
        <v>0.03</v>
      </c>
    </row>
    <row r="153" customFormat="false" ht="12.75" hidden="false" customHeight="false" outlineLevel="0" collapsed="false">
      <c r="A153" s="301" t="e">
        <f aca="false">#REF!-B153</f>
        <v>#REF!</v>
      </c>
      <c r="B153" s="301" t="n">
        <v>3.556</v>
      </c>
      <c r="C153" s="308" t="n">
        <f aca="false">EOMONTH(C152,0)+1</f>
        <v>41730</v>
      </c>
      <c r="D153" s="0" t="n">
        <v>3.9825</v>
      </c>
      <c r="E153" s="301" t="n">
        <v>0.17</v>
      </c>
      <c r="F153" s="299" t="n">
        <v>0.0604112114325779</v>
      </c>
      <c r="G153" s="299" t="n">
        <v>-0.13</v>
      </c>
      <c r="H153" s="299" t="n">
        <v>-0.15</v>
      </c>
      <c r="I153" s="310" t="n">
        <v>-0.09</v>
      </c>
      <c r="J153" s="310" t="n">
        <v>-0.13</v>
      </c>
      <c r="K153" s="299" t="n">
        <v>-0.09</v>
      </c>
      <c r="L153" s="299" t="n">
        <v>-0.03</v>
      </c>
      <c r="M153" s="299" t="n">
        <v>-0.0555</v>
      </c>
      <c r="N153" s="299" t="n">
        <v>-0.12</v>
      </c>
      <c r="O153" s="299" t="n">
        <v>-0.12</v>
      </c>
      <c r="P153" s="299" t="n">
        <v>-0.13</v>
      </c>
      <c r="Q153" s="299" t="n">
        <v>-0.0525</v>
      </c>
      <c r="R153" s="299" t="n">
        <v>-0.035</v>
      </c>
      <c r="S153" s="299" t="n">
        <v>0.125</v>
      </c>
      <c r="T153" s="299" t="n">
        <v>0.145</v>
      </c>
      <c r="U153" s="299" t="n">
        <v>0.04</v>
      </c>
      <c r="V153" s="299" t="n">
        <v>0.5</v>
      </c>
      <c r="W153" s="299" t="n">
        <v>0.145</v>
      </c>
      <c r="X153" s="299" t="n">
        <v>0.195</v>
      </c>
      <c r="Y153" s="299" t="n">
        <v>-0.009499999</v>
      </c>
      <c r="Z153" s="299" t="n">
        <v>-0.0425</v>
      </c>
      <c r="AA153" s="299" t="n">
        <v>0.019</v>
      </c>
      <c r="AB153" s="299" t="n">
        <v>0.004</v>
      </c>
      <c r="AC153" s="299" t="n">
        <v>0.0025</v>
      </c>
      <c r="AD153" s="299" t="n">
        <v>-0.0205</v>
      </c>
      <c r="AE153" s="299" t="n">
        <v>-0.0725</v>
      </c>
      <c r="AF153" s="299" t="n">
        <v>-0.049</v>
      </c>
      <c r="AG153" s="299" t="n">
        <v>-0.0715</v>
      </c>
      <c r="AH153" s="299" t="n">
        <v>-0.0115</v>
      </c>
      <c r="AI153" s="299" t="n">
        <v>-0.072</v>
      </c>
      <c r="AJ153" s="299" t="n">
        <v>-0.07</v>
      </c>
      <c r="AK153" s="299" t="n">
        <v>-0.017</v>
      </c>
      <c r="AL153" s="299" t="n">
        <v>0.023</v>
      </c>
      <c r="AM153" s="299" t="n">
        <v>0.38</v>
      </c>
      <c r="AN153" s="299" t="n">
        <v>0.02</v>
      </c>
      <c r="AO153" s="299" t="n">
        <v>-0.45</v>
      </c>
      <c r="AP153" s="299" t="n">
        <v>-0.07</v>
      </c>
      <c r="AQ153" s="299" t="n">
        <v>-0.195</v>
      </c>
      <c r="AR153" s="299" t="n">
        <v>-0.25</v>
      </c>
      <c r="AS153" s="299" t="n">
        <v>-0.37</v>
      </c>
      <c r="AT153" s="299" t="n">
        <v>0</v>
      </c>
      <c r="AU153" s="299" t="n">
        <v>0.43</v>
      </c>
      <c r="AV153" s="299" t="n">
        <v>-0.45</v>
      </c>
      <c r="AW153" s="299" t="n">
        <v>-0.2</v>
      </c>
      <c r="AX153" s="299" t="n">
        <v>-0.06</v>
      </c>
      <c r="AY153" s="299" t="n">
        <v>-0.14</v>
      </c>
      <c r="AZ153" s="299" t="n">
        <v>-0.035</v>
      </c>
      <c r="BA153" s="299" t="n">
        <v>-0.1175</v>
      </c>
      <c r="BB153" s="299" t="n">
        <v>-0.0115</v>
      </c>
      <c r="BC153" s="299" t="n">
        <v>-0.0405</v>
      </c>
      <c r="BD153" s="299" t="n">
        <v>-0.01</v>
      </c>
      <c r="BE153" s="299" t="n">
        <v>-0.0725</v>
      </c>
      <c r="BF153" s="299" t="n">
        <v>0</v>
      </c>
      <c r="BG153" s="299" t="n">
        <v>0.14</v>
      </c>
      <c r="BH153" s="299" t="n">
        <v>0.145</v>
      </c>
      <c r="BI153" s="299" t="n">
        <v>0.125</v>
      </c>
      <c r="BJ153" s="299" t="n">
        <v>0.36</v>
      </c>
      <c r="BK153" s="299" t="n">
        <v>0.0025</v>
      </c>
      <c r="BL153" s="299" t="n">
        <v>-0.015</v>
      </c>
      <c r="BM153" s="299" t="n">
        <v>0.005</v>
      </c>
      <c r="BN153" s="299" t="n">
        <v>-0.01</v>
      </c>
      <c r="BO153" s="299" t="n">
        <v>0</v>
      </c>
      <c r="BP153" s="299" t="n">
        <v>0.005</v>
      </c>
      <c r="BQ153" s="299" t="n">
        <v>0.0025</v>
      </c>
      <c r="BR153" s="299" t="n">
        <v>0.02</v>
      </c>
      <c r="BS153" s="0" t="n">
        <v>0.005</v>
      </c>
      <c r="BT153" s="0" t="n">
        <v>0</v>
      </c>
      <c r="BU153" s="0" t="n">
        <v>0</v>
      </c>
      <c r="BV153" s="0" t="n">
        <v>0.03</v>
      </c>
    </row>
    <row r="154" customFormat="false" ht="12.75" hidden="false" customHeight="false" outlineLevel="0" collapsed="false">
      <c r="A154" s="301" t="e">
        <f aca="false">#REF!-B154</f>
        <v>#REF!</v>
      </c>
      <c r="B154" s="301" t="n">
        <v>3.623</v>
      </c>
      <c r="C154" s="308" t="n">
        <f aca="false">EOMONTH(C153,0)+1</f>
        <v>41760</v>
      </c>
      <c r="D154" s="0" t="n">
        <v>3.9775</v>
      </c>
      <c r="E154" s="301" t="n">
        <v>0.17</v>
      </c>
      <c r="F154" s="299" t="n">
        <v>0.0604536258405934</v>
      </c>
      <c r="G154" s="299" t="n">
        <v>-0.13</v>
      </c>
      <c r="H154" s="299" t="n">
        <v>-0.15</v>
      </c>
      <c r="I154" s="310" t="n">
        <v>-0.09</v>
      </c>
      <c r="J154" s="310" t="n">
        <v>-0.13</v>
      </c>
      <c r="K154" s="299" t="n">
        <v>-0.09</v>
      </c>
      <c r="L154" s="299" t="n">
        <v>-0.03</v>
      </c>
      <c r="M154" s="299" t="n">
        <v>-0.0555</v>
      </c>
      <c r="N154" s="299" t="n">
        <v>-0.12</v>
      </c>
      <c r="O154" s="299" t="n">
        <v>-0.12</v>
      </c>
      <c r="P154" s="299" t="n">
        <v>-0.13</v>
      </c>
      <c r="Q154" s="299" t="n">
        <v>-0.0525</v>
      </c>
      <c r="R154" s="299" t="n">
        <v>-0.035</v>
      </c>
      <c r="S154" s="299" t="n">
        <v>0.125</v>
      </c>
      <c r="T154" s="299" t="n">
        <v>0.145</v>
      </c>
      <c r="U154" s="299" t="n">
        <v>0.04</v>
      </c>
      <c r="V154" s="299" t="n">
        <v>0.5</v>
      </c>
      <c r="W154" s="299" t="n">
        <v>0.125</v>
      </c>
      <c r="X154" s="299" t="n">
        <v>0.135</v>
      </c>
      <c r="Y154" s="299" t="n">
        <v>-0.009499999</v>
      </c>
      <c r="Z154" s="299" t="n">
        <v>-0.0425</v>
      </c>
      <c r="AA154" s="299" t="n">
        <v>0.0215</v>
      </c>
      <c r="AB154" s="299" t="n">
        <v>0.0065</v>
      </c>
      <c r="AC154" s="299" t="n">
        <v>0.0025</v>
      </c>
      <c r="AD154" s="299" t="n">
        <v>-0.0205</v>
      </c>
      <c r="AE154" s="299" t="n">
        <v>-0.0725</v>
      </c>
      <c r="AF154" s="299" t="n">
        <v>-0.049</v>
      </c>
      <c r="AG154" s="299" t="n">
        <v>-0.0715</v>
      </c>
      <c r="AH154" s="299" t="n">
        <v>-0.0115</v>
      </c>
      <c r="AI154" s="299" t="n">
        <v>-0.072</v>
      </c>
      <c r="AJ154" s="299" t="n">
        <v>-0.07</v>
      </c>
      <c r="AK154" s="299" t="n">
        <v>-0.017</v>
      </c>
      <c r="AL154" s="299" t="n">
        <v>0.023</v>
      </c>
      <c r="AM154" s="299" t="n">
        <v>0.33</v>
      </c>
      <c r="AN154" s="299" t="n">
        <v>0.02</v>
      </c>
      <c r="AO154" s="299" t="n">
        <v>-0.45</v>
      </c>
      <c r="AP154" s="299" t="n">
        <v>-0.07</v>
      </c>
      <c r="AQ154" s="299" t="n">
        <v>-0.195</v>
      </c>
      <c r="AR154" s="299" t="n">
        <v>-0.1</v>
      </c>
      <c r="AS154" s="299" t="n">
        <v>-0.37</v>
      </c>
      <c r="AT154" s="299" t="n">
        <v>0</v>
      </c>
      <c r="AU154" s="299" t="n">
        <v>0.43</v>
      </c>
      <c r="AV154" s="299" t="n">
        <v>-0.45</v>
      </c>
      <c r="AW154" s="299" t="n">
        <v>-0.1775</v>
      </c>
      <c r="AX154" s="299" t="n">
        <v>-0.06</v>
      </c>
      <c r="AY154" s="299" t="n">
        <v>-0.1175</v>
      </c>
      <c r="AZ154" s="299" t="n">
        <v>-0.035</v>
      </c>
      <c r="BA154" s="299" t="n">
        <v>-0.11</v>
      </c>
      <c r="BB154" s="299" t="n">
        <v>-0.0115</v>
      </c>
      <c r="BC154" s="299" t="n">
        <v>-0.0405</v>
      </c>
      <c r="BD154" s="299" t="n">
        <v>-0.01</v>
      </c>
      <c r="BE154" s="299" t="n">
        <v>-0.0725</v>
      </c>
      <c r="BF154" s="299" t="n">
        <v>0</v>
      </c>
      <c r="BG154" s="299" t="n">
        <v>0.14</v>
      </c>
      <c r="BH154" s="299" t="n">
        <v>0.145</v>
      </c>
      <c r="BI154" s="299" t="n">
        <v>0.125</v>
      </c>
      <c r="BJ154" s="299" t="n">
        <v>0.325</v>
      </c>
      <c r="BK154" s="299" t="n">
        <v>0.0025</v>
      </c>
      <c r="BL154" s="299" t="n">
        <v>-0.015</v>
      </c>
      <c r="BM154" s="299" t="n">
        <v>0.005</v>
      </c>
      <c r="BN154" s="299" t="n">
        <v>-0.01</v>
      </c>
      <c r="BO154" s="299" t="n">
        <v>0</v>
      </c>
      <c r="BP154" s="299" t="n">
        <v>0.005</v>
      </c>
      <c r="BQ154" s="299" t="n">
        <v>0.0025</v>
      </c>
      <c r="BR154" s="299" t="n">
        <v>0.02</v>
      </c>
      <c r="BS154" s="0" t="n">
        <v>0.005</v>
      </c>
      <c r="BT154" s="0" t="n">
        <v>0</v>
      </c>
      <c r="BU154" s="0" t="n">
        <v>0</v>
      </c>
      <c r="BV154" s="0" t="n">
        <v>0.03</v>
      </c>
    </row>
    <row r="155" customFormat="false" ht="12.75" hidden="false" customHeight="false" outlineLevel="0" collapsed="false">
      <c r="A155" s="301" t="e">
        <f aca="false">#REF!-B155</f>
        <v>#REF!</v>
      </c>
      <c r="B155" s="301" t="n">
        <v>3.705</v>
      </c>
      <c r="C155" s="308" t="n">
        <f aca="false">EOMONTH(C154,0)+1</f>
        <v>41791</v>
      </c>
      <c r="D155" s="0" t="n">
        <v>4.0125</v>
      </c>
      <c r="E155" s="301" t="n">
        <v>0.17</v>
      </c>
      <c r="F155" s="299" t="n">
        <v>0.0604974540628369</v>
      </c>
      <c r="G155" s="299" t="n">
        <v>-0.13</v>
      </c>
      <c r="H155" s="299" t="n">
        <v>-0.15</v>
      </c>
      <c r="I155" s="310" t="n">
        <v>-0.09</v>
      </c>
      <c r="J155" s="310" t="n">
        <v>-0.13</v>
      </c>
      <c r="K155" s="299" t="n">
        <v>-0.09</v>
      </c>
      <c r="L155" s="299" t="n">
        <v>-0.03</v>
      </c>
      <c r="M155" s="299" t="n">
        <v>-0.0555</v>
      </c>
      <c r="N155" s="299" t="n">
        <v>-0.12</v>
      </c>
      <c r="O155" s="299" t="n">
        <v>-0.12</v>
      </c>
      <c r="P155" s="299" t="n">
        <v>-0.13</v>
      </c>
      <c r="Q155" s="299" t="n">
        <v>-0.05</v>
      </c>
      <c r="R155" s="299" t="n">
        <v>-0.035</v>
      </c>
      <c r="S155" s="299" t="n">
        <v>0.125</v>
      </c>
      <c r="T155" s="299" t="n">
        <v>0.145</v>
      </c>
      <c r="U155" s="299" t="n">
        <v>0.04</v>
      </c>
      <c r="V155" s="299" t="n">
        <v>0.5</v>
      </c>
      <c r="W155" s="299" t="n">
        <v>0.145</v>
      </c>
      <c r="X155" s="299" t="n">
        <v>0.165</v>
      </c>
      <c r="Y155" s="299" t="n">
        <v>-0.009499999</v>
      </c>
      <c r="Z155" s="299" t="n">
        <v>-0.04</v>
      </c>
      <c r="AA155" s="299" t="n">
        <v>0.0215</v>
      </c>
      <c r="AB155" s="299" t="n">
        <v>0.0065</v>
      </c>
      <c r="AC155" s="299" t="n">
        <v>0.0025</v>
      </c>
      <c r="AD155" s="299" t="n">
        <v>-0.0205</v>
      </c>
      <c r="AE155" s="299" t="n">
        <v>-0.0725</v>
      </c>
      <c r="AF155" s="299" t="n">
        <v>-0.049</v>
      </c>
      <c r="AG155" s="299" t="n">
        <v>-0.0715</v>
      </c>
      <c r="AH155" s="299" t="n">
        <v>-0.0115</v>
      </c>
      <c r="AI155" s="299" t="n">
        <v>-0.072</v>
      </c>
      <c r="AJ155" s="299" t="n">
        <v>-0.065</v>
      </c>
      <c r="AK155" s="299" t="n">
        <v>-0.017</v>
      </c>
      <c r="AL155" s="299" t="n">
        <v>0.023</v>
      </c>
      <c r="AM155" s="299" t="n">
        <v>0.37</v>
      </c>
      <c r="AN155" s="299" t="n">
        <v>0.025</v>
      </c>
      <c r="AO155" s="299" t="n">
        <v>-0.45</v>
      </c>
      <c r="AP155" s="299" t="n">
        <v>-0.07</v>
      </c>
      <c r="AQ155" s="299" t="n">
        <v>-0.195</v>
      </c>
      <c r="AR155" s="299" t="n">
        <v>-0.1</v>
      </c>
      <c r="AS155" s="299" t="n">
        <v>-0.37</v>
      </c>
      <c r="AT155" s="299" t="n">
        <v>0</v>
      </c>
      <c r="AU155" s="299" t="n">
        <v>0.43</v>
      </c>
      <c r="AV155" s="299" t="n">
        <v>-0.45</v>
      </c>
      <c r="AW155" s="299" t="n">
        <v>-0.125</v>
      </c>
      <c r="AX155" s="299" t="n">
        <v>-0.06</v>
      </c>
      <c r="AY155" s="299" t="n">
        <v>-0.065</v>
      </c>
      <c r="AZ155" s="299" t="n">
        <v>-0.035</v>
      </c>
      <c r="BA155" s="299" t="n">
        <v>-0.0675</v>
      </c>
      <c r="BB155" s="299" t="n">
        <v>-0.0115</v>
      </c>
      <c r="BC155" s="299" t="n">
        <v>-0.0405</v>
      </c>
      <c r="BD155" s="299" t="n">
        <v>-0.005</v>
      </c>
      <c r="BE155" s="299" t="n">
        <v>-0.0725</v>
      </c>
      <c r="BF155" s="299" t="n">
        <v>0</v>
      </c>
      <c r="BG155" s="299" t="n">
        <v>0.14</v>
      </c>
      <c r="BH155" s="299" t="n">
        <v>0.145</v>
      </c>
      <c r="BI155" s="299" t="n">
        <v>0.125</v>
      </c>
      <c r="BJ155" s="299" t="n">
        <v>0.335</v>
      </c>
      <c r="BK155" s="299" t="n">
        <v>0.0025</v>
      </c>
      <c r="BL155" s="299" t="n">
        <v>-0.015</v>
      </c>
      <c r="BM155" s="299" t="n">
        <v>0.005</v>
      </c>
      <c r="BN155" s="299" t="n">
        <v>-0.01</v>
      </c>
      <c r="BO155" s="299" t="n">
        <v>0</v>
      </c>
      <c r="BP155" s="299" t="n">
        <v>0.005</v>
      </c>
      <c r="BQ155" s="299" t="n">
        <v>0.0025</v>
      </c>
      <c r="BR155" s="299" t="n">
        <v>0.035</v>
      </c>
      <c r="BS155" s="0" t="n">
        <v>0.005</v>
      </c>
      <c r="BT155" s="0" t="n">
        <v>0</v>
      </c>
      <c r="BU155" s="0" t="n">
        <v>0</v>
      </c>
      <c r="BV155" s="0" t="n">
        <v>0.03</v>
      </c>
    </row>
    <row r="156" customFormat="false" ht="12.75" hidden="false" customHeight="false" outlineLevel="0" collapsed="false">
      <c r="A156" s="301" t="e">
        <f aca="false">#REF!-B156</f>
        <v>#REF!</v>
      </c>
      <c r="B156" s="301" t="n">
        <v>3.978</v>
      </c>
      <c r="C156" s="308" t="n">
        <f aca="false">EOMONTH(C155,0)+1</f>
        <v>41821</v>
      </c>
      <c r="D156" s="0" t="n">
        <v>4.0525</v>
      </c>
      <c r="E156" s="301" t="n">
        <v>0.17</v>
      </c>
      <c r="F156" s="299" t="n">
        <v>0.0605398684720679</v>
      </c>
      <c r="G156" s="299" t="n">
        <v>-0.13</v>
      </c>
      <c r="H156" s="299" t="n">
        <v>-0.15</v>
      </c>
      <c r="I156" s="310" t="n">
        <v>-0.09</v>
      </c>
      <c r="J156" s="310" t="n">
        <v>-0.13</v>
      </c>
      <c r="K156" s="299" t="n">
        <v>-0.09</v>
      </c>
      <c r="L156" s="299" t="n">
        <v>-0.03</v>
      </c>
      <c r="M156" s="299" t="n">
        <v>-0.0555</v>
      </c>
      <c r="N156" s="299" t="n">
        <v>-0.12</v>
      </c>
      <c r="O156" s="299" t="n">
        <v>-0.12</v>
      </c>
      <c r="P156" s="299" t="n">
        <v>-0.13</v>
      </c>
      <c r="Q156" s="299" t="n">
        <v>-0.04875</v>
      </c>
      <c r="R156" s="299" t="n">
        <v>-0.035</v>
      </c>
      <c r="S156" s="299" t="n">
        <v>0.125</v>
      </c>
      <c r="T156" s="299" t="n">
        <v>0.145</v>
      </c>
      <c r="U156" s="299" t="n">
        <v>0.04</v>
      </c>
      <c r="V156" s="299" t="n">
        <v>0.5</v>
      </c>
      <c r="W156" s="299" t="n">
        <v>0.15</v>
      </c>
      <c r="X156" s="299" t="n">
        <v>0.205</v>
      </c>
      <c r="Y156" s="299" t="n">
        <v>-0.009499999</v>
      </c>
      <c r="Z156" s="299" t="n">
        <v>-0.04</v>
      </c>
      <c r="AA156" s="299" t="n">
        <v>0.0215</v>
      </c>
      <c r="AB156" s="299" t="n">
        <v>0.0065</v>
      </c>
      <c r="AC156" s="299" t="n">
        <v>0.0025</v>
      </c>
      <c r="AD156" s="299" t="n">
        <v>-0.0205</v>
      </c>
      <c r="AE156" s="299" t="n">
        <v>-0.0725</v>
      </c>
      <c r="AF156" s="299" t="n">
        <v>-0.049</v>
      </c>
      <c r="AG156" s="299" t="n">
        <v>-0.0715</v>
      </c>
      <c r="AH156" s="299" t="n">
        <v>-0.0115</v>
      </c>
      <c r="AI156" s="299" t="n">
        <v>-0.072</v>
      </c>
      <c r="AJ156" s="299" t="n">
        <v>-0.0625</v>
      </c>
      <c r="AK156" s="299" t="n">
        <v>-0.017</v>
      </c>
      <c r="AL156" s="299" t="n">
        <v>0.023</v>
      </c>
      <c r="AM156" s="299" t="n">
        <v>0.41</v>
      </c>
      <c r="AN156" s="299" t="n">
        <v>0.0275</v>
      </c>
      <c r="AO156" s="299" t="n">
        <v>-0.45</v>
      </c>
      <c r="AP156" s="299" t="n">
        <v>-0.07</v>
      </c>
      <c r="AQ156" s="299" t="n">
        <v>-0.195</v>
      </c>
      <c r="AR156" s="299" t="n">
        <v>-0.1</v>
      </c>
      <c r="AS156" s="299" t="n">
        <v>-0.37</v>
      </c>
      <c r="AT156" s="299" t="n">
        <v>0</v>
      </c>
      <c r="AU156" s="299" t="n">
        <v>0.43</v>
      </c>
      <c r="AV156" s="299" t="n">
        <v>-0.45</v>
      </c>
      <c r="AW156" s="299" t="n">
        <v>-0.135</v>
      </c>
      <c r="AX156" s="299" t="n">
        <v>-0.06</v>
      </c>
      <c r="AY156" s="299" t="n">
        <v>-0.075</v>
      </c>
      <c r="AZ156" s="299" t="n">
        <v>-0.035</v>
      </c>
      <c r="BA156" s="299" t="n">
        <v>-0.065</v>
      </c>
      <c r="BB156" s="299" t="n">
        <v>-0.0115</v>
      </c>
      <c r="BC156" s="299" t="n">
        <v>-0.0405</v>
      </c>
      <c r="BD156" s="299" t="n">
        <v>-0.0025</v>
      </c>
      <c r="BE156" s="299" t="n">
        <v>-0.0725</v>
      </c>
      <c r="BF156" s="299" t="n">
        <v>0</v>
      </c>
      <c r="BG156" s="299" t="n">
        <v>0.14</v>
      </c>
      <c r="BH156" s="299" t="n">
        <v>0.145</v>
      </c>
      <c r="BI156" s="299" t="n">
        <v>0.125</v>
      </c>
      <c r="BJ156" s="299" t="n">
        <v>0.35</v>
      </c>
      <c r="BK156" s="299" t="n">
        <v>0.0025</v>
      </c>
      <c r="BL156" s="299" t="n">
        <v>-0.01</v>
      </c>
      <c r="BM156" s="299" t="n">
        <v>0.005</v>
      </c>
      <c r="BN156" s="299" t="n">
        <v>-0.01</v>
      </c>
      <c r="BO156" s="299" t="n">
        <v>0</v>
      </c>
      <c r="BP156" s="299" t="n">
        <v>0.005</v>
      </c>
      <c r="BQ156" s="299" t="n">
        <v>0.0025</v>
      </c>
      <c r="BR156" s="299" t="n">
        <v>0.035</v>
      </c>
      <c r="BS156" s="0" t="n">
        <v>0.005</v>
      </c>
      <c r="BT156" s="0" t="n">
        <v>0</v>
      </c>
      <c r="BU156" s="0" t="n">
        <v>0</v>
      </c>
      <c r="BV156" s="0" t="n">
        <v>0.03</v>
      </c>
    </row>
    <row r="157" customFormat="false" ht="12.75" hidden="false" customHeight="false" outlineLevel="0" collapsed="false">
      <c r="A157" s="301" t="e">
        <f aca="false">#REF!-B157</f>
        <v>#REF!</v>
      </c>
      <c r="B157" s="301" t="n">
        <v>3.891</v>
      </c>
      <c r="C157" s="308" t="n">
        <f aca="false">EOMONTH(C156,0)+1</f>
        <v>41852</v>
      </c>
      <c r="D157" s="0" t="n">
        <v>4.0925</v>
      </c>
      <c r="E157" s="301" t="n">
        <v>0.17</v>
      </c>
      <c r="F157" s="299" t="n">
        <v>0.0605836966955668</v>
      </c>
      <c r="G157" s="299" t="n">
        <v>-0.13</v>
      </c>
      <c r="H157" s="299" t="n">
        <v>-0.15</v>
      </c>
      <c r="I157" s="310" t="n">
        <v>-0.09</v>
      </c>
      <c r="J157" s="310" t="n">
        <v>-0.13</v>
      </c>
      <c r="K157" s="299" t="n">
        <v>-0.09</v>
      </c>
      <c r="L157" s="299" t="n">
        <v>-0.03</v>
      </c>
      <c r="M157" s="299" t="n">
        <v>-0.0555</v>
      </c>
      <c r="N157" s="299" t="n">
        <v>-0.12</v>
      </c>
      <c r="O157" s="299" t="n">
        <v>-0.12</v>
      </c>
      <c r="P157" s="299" t="n">
        <v>-0.13</v>
      </c>
      <c r="Q157" s="299" t="n">
        <v>-0.0475</v>
      </c>
      <c r="R157" s="299" t="n">
        <v>-0.035</v>
      </c>
      <c r="S157" s="299" t="n">
        <v>0.125</v>
      </c>
      <c r="T157" s="299" t="n">
        <v>0.145</v>
      </c>
      <c r="U157" s="299" t="n">
        <v>0.04</v>
      </c>
      <c r="V157" s="299" t="n">
        <v>0.5</v>
      </c>
      <c r="W157" s="299" t="n">
        <v>0.15</v>
      </c>
      <c r="X157" s="299" t="n">
        <v>0.205</v>
      </c>
      <c r="Y157" s="299" t="n">
        <v>-0.009499999</v>
      </c>
      <c r="Z157" s="299" t="n">
        <v>-0.04</v>
      </c>
      <c r="AA157" s="299" t="n">
        <v>0.0165</v>
      </c>
      <c r="AB157" s="299" t="n">
        <v>0.0015</v>
      </c>
      <c r="AC157" s="299" t="n">
        <v>0.0025</v>
      </c>
      <c r="AD157" s="299" t="n">
        <v>-0.0205</v>
      </c>
      <c r="AE157" s="299" t="n">
        <v>-0.0725</v>
      </c>
      <c r="AF157" s="299" t="n">
        <v>-0.049</v>
      </c>
      <c r="AG157" s="299" t="n">
        <v>-0.0715</v>
      </c>
      <c r="AH157" s="299" t="n">
        <v>-0.0115</v>
      </c>
      <c r="AI157" s="299" t="n">
        <v>-0.072</v>
      </c>
      <c r="AJ157" s="299" t="n">
        <v>-0.06</v>
      </c>
      <c r="AK157" s="299" t="n">
        <v>-0.017</v>
      </c>
      <c r="AL157" s="299" t="n">
        <v>0.023</v>
      </c>
      <c r="AM157" s="299" t="n">
        <v>0.41</v>
      </c>
      <c r="AN157" s="299" t="n">
        <v>0.03</v>
      </c>
      <c r="AO157" s="299" t="n">
        <v>-0.45</v>
      </c>
      <c r="AP157" s="299" t="n">
        <v>-0.07</v>
      </c>
      <c r="AQ157" s="299" t="n">
        <v>-0.195</v>
      </c>
      <c r="AR157" s="299" t="n">
        <v>-0.1</v>
      </c>
      <c r="AS157" s="299" t="n">
        <v>-0.37</v>
      </c>
      <c r="AT157" s="299" t="n">
        <v>0</v>
      </c>
      <c r="AU157" s="299" t="n">
        <v>0.43</v>
      </c>
      <c r="AV157" s="299" t="n">
        <v>-0.45</v>
      </c>
      <c r="AW157" s="299" t="n">
        <v>-0.13</v>
      </c>
      <c r="AX157" s="299" t="n">
        <v>-0.06</v>
      </c>
      <c r="AY157" s="299" t="n">
        <v>-0.07</v>
      </c>
      <c r="AZ157" s="299" t="n">
        <v>-0.035</v>
      </c>
      <c r="BA157" s="299" t="n">
        <v>-0.0625</v>
      </c>
      <c r="BB157" s="299" t="n">
        <v>-0.0115</v>
      </c>
      <c r="BC157" s="299" t="n">
        <v>-0.0405</v>
      </c>
      <c r="BD157" s="299" t="n">
        <v>0</v>
      </c>
      <c r="BE157" s="299" t="n">
        <v>-0.0725</v>
      </c>
      <c r="BF157" s="299" t="n">
        <v>0</v>
      </c>
      <c r="BG157" s="299" t="n">
        <v>0.14</v>
      </c>
      <c r="BH157" s="299" t="n">
        <v>0.145</v>
      </c>
      <c r="BI157" s="299" t="n">
        <v>0.125</v>
      </c>
      <c r="BJ157" s="299" t="n">
        <v>0.35</v>
      </c>
      <c r="BK157" s="299" t="n">
        <v>0.0025</v>
      </c>
      <c r="BL157" s="299" t="n">
        <v>-0.01</v>
      </c>
      <c r="BM157" s="299" t="n">
        <v>0.005</v>
      </c>
      <c r="BN157" s="299" t="n">
        <v>-0.01</v>
      </c>
      <c r="BO157" s="299" t="n">
        <v>0</v>
      </c>
      <c r="BP157" s="299" t="n">
        <v>0.005</v>
      </c>
      <c r="BQ157" s="299" t="n">
        <v>0.0025</v>
      </c>
      <c r="BR157" s="299" t="n">
        <v>0.01</v>
      </c>
      <c r="BS157" s="0" t="n">
        <v>0.005</v>
      </c>
      <c r="BT157" s="0" t="n">
        <v>0</v>
      </c>
      <c r="BU157" s="0" t="n">
        <v>0</v>
      </c>
      <c r="BV157" s="0" t="n">
        <v>0.03</v>
      </c>
    </row>
    <row r="158" customFormat="false" ht="12.75" hidden="false" customHeight="false" outlineLevel="0" collapsed="false">
      <c r="A158" s="301" t="e">
        <f aca="false">#REF!-B158</f>
        <v>#REF!</v>
      </c>
      <c r="B158" s="301" t="n">
        <v>3.763</v>
      </c>
      <c r="C158" s="308" t="n">
        <f aca="false">EOMONTH(C157,0)+1</f>
        <v>41883</v>
      </c>
      <c r="D158" s="0" t="n">
        <v>4.0875</v>
      </c>
      <c r="E158" s="301" t="n">
        <v>0.17</v>
      </c>
      <c r="F158" s="299" t="n">
        <v>0.0606275249197044</v>
      </c>
      <c r="G158" s="299" t="n">
        <v>-0.13</v>
      </c>
      <c r="H158" s="299" t="n">
        <v>-0.15</v>
      </c>
      <c r="I158" s="310" t="n">
        <v>-0.09</v>
      </c>
      <c r="J158" s="310" t="n">
        <v>-0.13</v>
      </c>
      <c r="K158" s="299" t="n">
        <v>-0.09</v>
      </c>
      <c r="L158" s="299" t="n">
        <v>-0.03</v>
      </c>
      <c r="M158" s="299" t="n">
        <v>-0.0555</v>
      </c>
      <c r="N158" s="299" t="n">
        <v>-0.12</v>
      </c>
      <c r="O158" s="299" t="n">
        <v>-0.12</v>
      </c>
      <c r="P158" s="299" t="n">
        <v>-0.13</v>
      </c>
      <c r="Q158" s="299" t="n">
        <v>-0.05125</v>
      </c>
      <c r="R158" s="299" t="n">
        <v>-0.035</v>
      </c>
      <c r="S158" s="299" t="n">
        <v>0.125</v>
      </c>
      <c r="T158" s="299" t="n">
        <v>0.145</v>
      </c>
      <c r="U158" s="299" t="n">
        <v>0.04</v>
      </c>
      <c r="V158" s="299" t="n">
        <v>0.5</v>
      </c>
      <c r="W158" s="299" t="n">
        <v>0.125</v>
      </c>
      <c r="X158" s="299" t="n">
        <v>0.145</v>
      </c>
      <c r="Y158" s="299" t="n">
        <v>-0.009499999</v>
      </c>
      <c r="Z158" s="299" t="n">
        <v>-0.045</v>
      </c>
      <c r="AA158" s="299" t="n">
        <v>0.0165</v>
      </c>
      <c r="AB158" s="299" t="n">
        <v>0.0015</v>
      </c>
      <c r="AC158" s="299" t="n">
        <v>0.0025</v>
      </c>
      <c r="AD158" s="299" t="n">
        <v>-0.0205</v>
      </c>
      <c r="AE158" s="299" t="n">
        <v>-0.0725</v>
      </c>
      <c r="AF158" s="299" t="n">
        <v>-0.049</v>
      </c>
      <c r="AG158" s="299" t="n">
        <v>-0.0715</v>
      </c>
      <c r="AH158" s="299" t="n">
        <v>-0.0115</v>
      </c>
      <c r="AI158" s="299" t="n">
        <v>-0.072</v>
      </c>
      <c r="AJ158" s="299" t="n">
        <v>-0.0675</v>
      </c>
      <c r="AK158" s="299" t="n">
        <v>-0.017</v>
      </c>
      <c r="AL158" s="299" t="n">
        <v>0.023</v>
      </c>
      <c r="AM158" s="299" t="n">
        <v>0.36</v>
      </c>
      <c r="AN158" s="299" t="n">
        <v>0.0225</v>
      </c>
      <c r="AO158" s="299" t="n">
        <v>-0.45</v>
      </c>
      <c r="AP158" s="299" t="n">
        <v>-0.07</v>
      </c>
      <c r="AQ158" s="299" t="n">
        <v>-0.195</v>
      </c>
      <c r="AR158" s="299" t="n">
        <v>-0.1</v>
      </c>
      <c r="AS158" s="299" t="n">
        <v>-0.37</v>
      </c>
      <c r="AT158" s="299" t="n">
        <v>0</v>
      </c>
      <c r="AU158" s="299" t="n">
        <v>0.43</v>
      </c>
      <c r="AV158" s="299" t="n">
        <v>-0.45</v>
      </c>
      <c r="AW158" s="299" t="n">
        <v>-0.14</v>
      </c>
      <c r="AX158" s="299" t="n">
        <v>-0.06</v>
      </c>
      <c r="AY158" s="299" t="n">
        <v>-0.08</v>
      </c>
      <c r="AZ158" s="299" t="n">
        <v>-0.035</v>
      </c>
      <c r="BA158" s="299" t="n">
        <v>-0.0675</v>
      </c>
      <c r="BB158" s="299" t="n">
        <v>-0.0115</v>
      </c>
      <c r="BC158" s="299" t="n">
        <v>-0.0405</v>
      </c>
      <c r="BD158" s="299" t="n">
        <v>-0.0075</v>
      </c>
      <c r="BE158" s="299" t="n">
        <v>-0.0725</v>
      </c>
      <c r="BF158" s="299" t="n">
        <v>0</v>
      </c>
      <c r="BG158" s="299" t="n">
        <v>0.14</v>
      </c>
      <c r="BH158" s="299" t="n">
        <v>0.145</v>
      </c>
      <c r="BI158" s="299" t="n">
        <v>0.125</v>
      </c>
      <c r="BJ158" s="299" t="n">
        <v>0.315</v>
      </c>
      <c r="BK158" s="299" t="n">
        <v>0.0025</v>
      </c>
      <c r="BL158" s="299" t="n">
        <v>-0.01</v>
      </c>
      <c r="BM158" s="299" t="n">
        <v>0.005</v>
      </c>
      <c r="BN158" s="299" t="n">
        <v>-0.01</v>
      </c>
      <c r="BO158" s="299" t="n">
        <v>0</v>
      </c>
      <c r="BP158" s="299" t="n">
        <v>0.005</v>
      </c>
      <c r="BQ158" s="299" t="n">
        <v>0.0025</v>
      </c>
      <c r="BR158" s="299" t="n">
        <v>0.01</v>
      </c>
      <c r="BS158" s="0" t="n">
        <v>0.005</v>
      </c>
      <c r="BT158" s="0" t="n">
        <v>0</v>
      </c>
      <c r="BU158" s="0" t="n">
        <v>0</v>
      </c>
      <c r="BV158" s="0" t="n">
        <v>0.03</v>
      </c>
    </row>
    <row r="159" customFormat="false" ht="12.75" hidden="false" customHeight="false" outlineLevel="0" collapsed="false">
      <c r="A159" s="301" t="e">
        <f aca="false">#REF!-B159</f>
        <v>#REF!</v>
      </c>
      <c r="B159" s="301" t="n">
        <v>3.638</v>
      </c>
      <c r="C159" s="308" t="n">
        <f aca="false">EOMONTH(C158,0)+1</f>
        <v>41913</v>
      </c>
      <c r="D159" s="0" t="n">
        <v>4.1125</v>
      </c>
      <c r="E159" s="301" t="n">
        <v>0.17</v>
      </c>
      <c r="F159" s="299" t="n">
        <v>0.0606699393307668</v>
      </c>
      <c r="G159" s="299" t="n">
        <v>-0.13</v>
      </c>
      <c r="H159" s="299" t="n">
        <v>-0.15</v>
      </c>
      <c r="I159" s="310" t="n">
        <v>-0.09</v>
      </c>
      <c r="J159" s="310" t="n">
        <v>-0.13</v>
      </c>
      <c r="K159" s="299" t="n">
        <v>-0.09</v>
      </c>
      <c r="L159" s="299" t="n">
        <v>-0.03</v>
      </c>
      <c r="M159" s="299" t="n">
        <v>-0.0555</v>
      </c>
      <c r="N159" s="299" t="n">
        <v>-0.12</v>
      </c>
      <c r="O159" s="299" t="n">
        <v>-0.12</v>
      </c>
      <c r="P159" s="299" t="n">
        <v>-0.13</v>
      </c>
      <c r="Q159" s="299" t="n">
        <v>-0.05625</v>
      </c>
      <c r="R159" s="299" t="n">
        <v>-0.035</v>
      </c>
      <c r="S159" s="299" t="n">
        <v>0.125</v>
      </c>
      <c r="T159" s="299" t="n">
        <v>0.145</v>
      </c>
      <c r="U159" s="299" t="n">
        <v>0.04</v>
      </c>
      <c r="V159" s="299" t="n">
        <v>0.5</v>
      </c>
      <c r="W159" s="299" t="n">
        <v>0.145</v>
      </c>
      <c r="X159" s="299" t="n">
        <v>0.175</v>
      </c>
      <c r="Y159" s="299" t="n">
        <v>-0.009499999</v>
      </c>
      <c r="Z159" s="299" t="n">
        <v>-0.045</v>
      </c>
      <c r="AA159" s="299" t="n">
        <v>0.0115</v>
      </c>
      <c r="AB159" s="299" t="n">
        <v>-0.0035</v>
      </c>
      <c r="AC159" s="299" t="n">
        <v>0.0025</v>
      </c>
      <c r="AD159" s="299" t="n">
        <v>-0.0205</v>
      </c>
      <c r="AE159" s="299" t="n">
        <v>-0.0725</v>
      </c>
      <c r="AF159" s="299" t="n">
        <v>-0.049</v>
      </c>
      <c r="AG159" s="299" t="n">
        <v>-0.0715</v>
      </c>
      <c r="AH159" s="299" t="n">
        <v>-0.0115</v>
      </c>
      <c r="AI159" s="299" t="n">
        <v>-0.072</v>
      </c>
      <c r="AJ159" s="299" t="n">
        <v>-0.0775</v>
      </c>
      <c r="AK159" s="299" t="n">
        <v>-0.017</v>
      </c>
      <c r="AL159" s="299" t="n">
        <v>0.023</v>
      </c>
      <c r="AM159" s="299" t="n">
        <v>0.4</v>
      </c>
      <c r="AN159" s="299" t="n">
        <v>0.0125</v>
      </c>
      <c r="AO159" s="299" t="n">
        <v>-0.45</v>
      </c>
      <c r="AP159" s="299" t="n">
        <v>-0.07</v>
      </c>
      <c r="AQ159" s="299" t="n">
        <v>-0.195</v>
      </c>
      <c r="AR159" s="299" t="n">
        <v>-0.1</v>
      </c>
      <c r="AS159" s="299" t="n">
        <v>-0.37</v>
      </c>
      <c r="AT159" s="299" t="n">
        <v>0</v>
      </c>
      <c r="AU159" s="299" t="n">
        <v>0.43</v>
      </c>
      <c r="AV159" s="299" t="n">
        <v>-0.45</v>
      </c>
      <c r="AW159" s="299" t="n">
        <v>-0.1275</v>
      </c>
      <c r="AX159" s="299" t="n">
        <v>-0.06</v>
      </c>
      <c r="AY159" s="299" t="n">
        <v>-0.0675</v>
      </c>
      <c r="AZ159" s="299" t="n">
        <v>-0.035</v>
      </c>
      <c r="BA159" s="299" t="n">
        <v>-0.07</v>
      </c>
      <c r="BB159" s="299" t="n">
        <v>-0.0115</v>
      </c>
      <c r="BC159" s="299" t="n">
        <v>-0.0405</v>
      </c>
      <c r="BD159" s="299" t="n">
        <v>-0.0175</v>
      </c>
      <c r="BE159" s="299" t="n">
        <v>-0.0725</v>
      </c>
      <c r="BF159" s="299" t="n">
        <v>0</v>
      </c>
      <c r="BG159" s="299" t="n">
        <v>0.14</v>
      </c>
      <c r="BH159" s="299" t="n">
        <v>0.145</v>
      </c>
      <c r="BI159" s="299" t="n">
        <v>0.125</v>
      </c>
      <c r="BJ159" s="299" t="n">
        <v>0.36</v>
      </c>
      <c r="BK159" s="299" t="n">
        <v>0.0025</v>
      </c>
      <c r="BL159" s="299" t="n">
        <v>-0.015</v>
      </c>
      <c r="BM159" s="299" t="n">
        <v>0.005</v>
      </c>
      <c r="BN159" s="299" t="n">
        <v>-0.01</v>
      </c>
      <c r="BO159" s="299" t="n">
        <v>0</v>
      </c>
      <c r="BP159" s="299" t="n">
        <v>0.005</v>
      </c>
      <c r="BQ159" s="299" t="n">
        <v>0.0025</v>
      </c>
      <c r="BR159" s="299" t="n">
        <v>0.01</v>
      </c>
      <c r="BS159" s="0" t="n">
        <v>0.005</v>
      </c>
      <c r="BT159" s="0" t="n">
        <v>0</v>
      </c>
      <c r="BU159" s="0" t="n">
        <v>0</v>
      </c>
      <c r="BV159" s="0" t="n">
        <v>0.03</v>
      </c>
    </row>
    <row r="160" customFormat="false" ht="12.75" hidden="false" customHeight="false" outlineLevel="0" collapsed="false">
      <c r="A160" s="301" t="e">
        <f aca="false">#REF!-B160</f>
        <v>#REF!</v>
      </c>
      <c r="B160" s="301" t="n">
        <v>3.62</v>
      </c>
      <c r="C160" s="308" t="n">
        <f aca="false">EOMONTH(C159,0)+1</f>
        <v>41944</v>
      </c>
      <c r="D160" s="0" t="n">
        <v>4.2645</v>
      </c>
      <c r="E160" s="301" t="n">
        <v>0.17</v>
      </c>
      <c r="F160" s="299" t="n">
        <v>0.0607137675561602</v>
      </c>
      <c r="G160" s="299" t="n">
        <v>-0.13</v>
      </c>
      <c r="H160" s="299" t="n">
        <v>-0.15</v>
      </c>
      <c r="I160" s="310" t="n">
        <v>-0.01</v>
      </c>
      <c r="J160" s="310" t="n">
        <v>-0.13</v>
      </c>
      <c r="K160" s="299" t="n">
        <v>0</v>
      </c>
      <c r="L160" s="299" t="n">
        <v>-0.03</v>
      </c>
      <c r="M160" s="299" t="n">
        <v>-0.07</v>
      </c>
      <c r="N160" s="299" t="n">
        <v>-0.12</v>
      </c>
      <c r="O160" s="299" t="n">
        <v>-0.12</v>
      </c>
      <c r="P160" s="299" t="n">
        <v>-0.13</v>
      </c>
      <c r="Q160" s="299" t="n">
        <v>-0.0735</v>
      </c>
      <c r="R160" s="299" t="n">
        <v>-0.0345</v>
      </c>
      <c r="S160" s="299" t="n">
        <v>0</v>
      </c>
      <c r="T160" s="299" t="n">
        <v>0.02</v>
      </c>
      <c r="U160" s="299" t="n">
        <v>0</v>
      </c>
      <c r="V160" s="299" t="n">
        <v>0.5</v>
      </c>
      <c r="W160" s="299" t="n">
        <v>0.195</v>
      </c>
      <c r="X160" s="299" t="n">
        <v>0.21</v>
      </c>
      <c r="Y160" s="299" t="n">
        <v>-0.006999999</v>
      </c>
      <c r="Z160" s="299" t="n">
        <v>-0.026</v>
      </c>
      <c r="AA160" s="299" t="n">
        <v>0.0125</v>
      </c>
      <c r="AB160" s="299" t="n">
        <v>-0.0025</v>
      </c>
      <c r="AC160" s="299" t="n">
        <v>0.0025</v>
      </c>
      <c r="AD160" s="299" t="n">
        <v>-0.0205</v>
      </c>
      <c r="AE160" s="299" t="n">
        <v>-0.075</v>
      </c>
      <c r="AF160" s="299" t="n">
        <v>-0.0515</v>
      </c>
      <c r="AG160" s="299" t="n">
        <v>-0.074</v>
      </c>
      <c r="AH160" s="299" t="n">
        <v>-0.007999999</v>
      </c>
      <c r="AI160" s="299" t="n">
        <v>-0.064</v>
      </c>
      <c r="AJ160" s="299" t="n">
        <v>-0.1125</v>
      </c>
      <c r="AK160" s="299" t="n">
        <v>-0.008999999</v>
      </c>
      <c r="AL160" s="299" t="n">
        <v>0.031</v>
      </c>
      <c r="AM160" s="299" t="n">
        <v>0.65</v>
      </c>
      <c r="AN160" s="299" t="n">
        <v>-0.0225</v>
      </c>
      <c r="AO160" s="299" t="n">
        <v>-0.34</v>
      </c>
      <c r="AP160" s="299" t="n">
        <v>-0.07</v>
      </c>
      <c r="AQ160" s="299" t="n">
        <v>-0.13</v>
      </c>
      <c r="AR160" s="299" t="n">
        <v>0.248</v>
      </c>
      <c r="AS160" s="299" t="n">
        <v>-0.26</v>
      </c>
      <c r="AT160" s="299" t="n">
        <v>0</v>
      </c>
      <c r="AU160" s="299" t="n">
        <v>0.35</v>
      </c>
      <c r="AV160" s="299" t="n">
        <v>-0.34</v>
      </c>
      <c r="AW160" s="299" t="n">
        <v>-0.135</v>
      </c>
      <c r="AX160" s="299" t="n">
        <v>-0.06</v>
      </c>
      <c r="AY160" s="299" t="n">
        <v>-0.075</v>
      </c>
      <c r="AZ160" s="299" t="n">
        <v>-0.0345</v>
      </c>
      <c r="BA160" s="299" t="n">
        <v>-0.065</v>
      </c>
      <c r="BB160" s="299" t="n">
        <v>-0.013</v>
      </c>
      <c r="BC160" s="299" t="n">
        <v>-0.055</v>
      </c>
      <c r="BD160" s="299" t="n">
        <v>-0.0525</v>
      </c>
      <c r="BE160" s="299" t="n">
        <v>-0.075</v>
      </c>
      <c r="BF160" s="299" t="n">
        <v>0</v>
      </c>
      <c r="BG160" s="299" t="n">
        <v>0</v>
      </c>
      <c r="BH160" s="299" t="n">
        <v>0.02</v>
      </c>
      <c r="BI160" s="299" t="n">
        <v>0</v>
      </c>
      <c r="BJ160" s="299" t="n">
        <v>0.46</v>
      </c>
      <c r="BK160" s="299" t="n">
        <v>0.0025</v>
      </c>
      <c r="BL160" s="299" t="n">
        <v>-0.02</v>
      </c>
      <c r="BM160" s="299" t="n">
        <v>0.005</v>
      </c>
      <c r="BN160" s="299" t="n">
        <v>0</v>
      </c>
      <c r="BO160" s="299" t="n">
        <v>0</v>
      </c>
      <c r="BP160" s="299" t="n">
        <v>0.005</v>
      </c>
      <c r="BQ160" s="299" t="n">
        <v>0.005</v>
      </c>
      <c r="BR160" s="299" t="n">
        <v>0.055</v>
      </c>
      <c r="BS160" s="0" t="n">
        <v>0.02</v>
      </c>
      <c r="BT160" s="0" t="n">
        <v>0</v>
      </c>
      <c r="BU160" s="0" t="n">
        <v>0</v>
      </c>
      <c r="BV160" s="0" t="n">
        <v>0.03</v>
      </c>
    </row>
    <row r="161" customFormat="false" ht="12.75" hidden="false" customHeight="false" outlineLevel="0" collapsed="false">
      <c r="A161" s="301" t="e">
        <f aca="false">#REF!-B161</f>
        <v>#REF!</v>
      </c>
      <c r="B161" s="301" t="n">
        <v>3.61</v>
      </c>
      <c r="C161" s="308" t="n">
        <f aca="false">EOMONTH(C160,0)+1</f>
        <v>41974</v>
      </c>
      <c r="D161" s="0" t="n">
        <v>4.4075</v>
      </c>
      <c r="E161" s="301" t="n">
        <v>0.17</v>
      </c>
      <c r="F161" s="299" t="n">
        <v>0.0607561819684377</v>
      </c>
      <c r="G161" s="299" t="n">
        <v>-0.1325</v>
      </c>
      <c r="H161" s="299" t="n">
        <v>-0.1525</v>
      </c>
      <c r="I161" s="310" t="n">
        <v>-0.005</v>
      </c>
      <c r="J161" s="310" t="n">
        <v>-0.13</v>
      </c>
      <c r="K161" s="299" t="n">
        <v>0.005</v>
      </c>
      <c r="L161" s="299" t="n">
        <v>-0.03</v>
      </c>
      <c r="M161" s="299" t="n">
        <v>-0.07</v>
      </c>
      <c r="N161" s="299" t="n">
        <v>-0.1225</v>
      </c>
      <c r="O161" s="299" t="n">
        <v>-0.1225</v>
      </c>
      <c r="P161" s="299" t="n">
        <v>-0.1325</v>
      </c>
      <c r="Q161" s="299" t="n">
        <v>-0.08475</v>
      </c>
      <c r="R161" s="299" t="n">
        <v>-0.0345</v>
      </c>
      <c r="S161" s="299" t="n">
        <v>0</v>
      </c>
      <c r="T161" s="299" t="n">
        <v>0.02</v>
      </c>
      <c r="U161" s="299" t="n">
        <v>0</v>
      </c>
      <c r="V161" s="299" t="n">
        <v>0.5</v>
      </c>
      <c r="W161" s="299" t="n">
        <v>0.215</v>
      </c>
      <c r="X161" s="299" t="n">
        <v>0.29</v>
      </c>
      <c r="Y161" s="299" t="n">
        <v>-0.006999999</v>
      </c>
      <c r="Z161" s="299" t="n">
        <v>-0.026</v>
      </c>
      <c r="AA161" s="299" t="n">
        <v>0.0125</v>
      </c>
      <c r="AB161" s="299" t="n">
        <v>-0.0025</v>
      </c>
      <c r="AC161" s="299" t="n">
        <v>0.0025</v>
      </c>
      <c r="AD161" s="299" t="n">
        <v>-0.0205</v>
      </c>
      <c r="AE161" s="299" t="n">
        <v>-0.075</v>
      </c>
      <c r="AF161" s="299" t="n">
        <v>-0.0495</v>
      </c>
      <c r="AG161" s="299" t="n">
        <v>-0.072</v>
      </c>
      <c r="AH161" s="299" t="n">
        <v>-0.005499999</v>
      </c>
      <c r="AI161" s="299" t="n">
        <v>-0.064</v>
      </c>
      <c r="AJ161" s="299" t="n">
        <v>-0.135</v>
      </c>
      <c r="AK161" s="299" t="n">
        <v>-0.008999999</v>
      </c>
      <c r="AL161" s="299" t="n">
        <v>0.031</v>
      </c>
      <c r="AM161" s="299" t="n">
        <v>0.98</v>
      </c>
      <c r="AN161" s="299" t="n">
        <v>-0.045</v>
      </c>
      <c r="AO161" s="299" t="n">
        <v>-0.34</v>
      </c>
      <c r="AP161" s="299" t="n">
        <v>-0.07</v>
      </c>
      <c r="AQ161" s="299" t="n">
        <v>-0.13</v>
      </c>
      <c r="AR161" s="299" t="n">
        <v>0.308</v>
      </c>
      <c r="AS161" s="299" t="n">
        <v>-0.26</v>
      </c>
      <c r="AT161" s="299" t="n">
        <v>0</v>
      </c>
      <c r="AU161" s="299" t="n">
        <v>0.35</v>
      </c>
      <c r="AV161" s="299" t="n">
        <v>-0.34</v>
      </c>
      <c r="AW161" s="299" t="n">
        <v>-0.1625</v>
      </c>
      <c r="AX161" s="299" t="n">
        <v>-0.06</v>
      </c>
      <c r="AY161" s="299" t="n">
        <v>-0.1025</v>
      </c>
      <c r="AZ161" s="299" t="n">
        <v>-0.0345</v>
      </c>
      <c r="BA161" s="299" t="n">
        <v>-0.0925</v>
      </c>
      <c r="BB161" s="299" t="n">
        <v>-0.0105</v>
      </c>
      <c r="BC161" s="299" t="n">
        <v>-0.055</v>
      </c>
      <c r="BD161" s="299" t="n">
        <v>-0.075</v>
      </c>
      <c r="BE161" s="299" t="n">
        <v>-0.075</v>
      </c>
      <c r="BF161" s="299" t="n">
        <v>0</v>
      </c>
      <c r="BG161" s="299" t="n">
        <v>0</v>
      </c>
      <c r="BH161" s="299" t="n">
        <v>0.02</v>
      </c>
      <c r="BI161" s="299" t="n">
        <v>0</v>
      </c>
      <c r="BJ161" s="299" t="n">
        <v>0.77</v>
      </c>
      <c r="BK161" s="299" t="n">
        <v>0.0025</v>
      </c>
      <c r="BL161" s="299" t="n">
        <v>-0.025</v>
      </c>
      <c r="BM161" s="299" t="n">
        <v>0.005</v>
      </c>
      <c r="BN161" s="299" t="n">
        <v>0</v>
      </c>
      <c r="BO161" s="299" t="n">
        <v>0</v>
      </c>
      <c r="BP161" s="299" t="n">
        <v>0.005</v>
      </c>
      <c r="BQ161" s="299" t="n">
        <v>0.005</v>
      </c>
      <c r="BR161" s="299" t="n">
        <v>0.25</v>
      </c>
      <c r="BS161" s="0" t="n">
        <v>0.02</v>
      </c>
      <c r="BT161" s="0" t="n">
        <v>0</v>
      </c>
      <c r="BU161" s="0" t="n">
        <v>0</v>
      </c>
      <c r="BV161" s="0" t="n">
        <v>0.03</v>
      </c>
    </row>
    <row r="162" customFormat="false" ht="12.75" hidden="false" customHeight="false" outlineLevel="0" collapsed="false">
      <c r="A162" s="301" t="e">
        <f aca="false">#REF!-B162</f>
        <v>#REF!</v>
      </c>
      <c r="B162" s="301" t="n">
        <v>3.675</v>
      </c>
      <c r="C162" s="308" t="n">
        <f aca="false">EOMONTH(C161,0)+1</f>
        <v>42005</v>
      </c>
      <c r="D162" s="0" t="n">
        <v>4.4675</v>
      </c>
      <c r="E162" s="301" t="n">
        <v>0.17</v>
      </c>
      <c r="F162" s="299" t="n">
        <v>0.0608000101950865</v>
      </c>
      <c r="G162" s="299" t="n">
        <v>-0.135</v>
      </c>
      <c r="H162" s="299" t="n">
        <v>-0.155</v>
      </c>
      <c r="I162" s="310" t="n">
        <v>0.015</v>
      </c>
      <c r="J162" s="310" t="n">
        <v>-0.13</v>
      </c>
      <c r="K162" s="299" t="n">
        <v>0.025</v>
      </c>
      <c r="L162" s="299" t="n">
        <v>-0.03</v>
      </c>
      <c r="M162" s="299" t="n">
        <v>-0.07</v>
      </c>
      <c r="N162" s="299" t="n">
        <v>-0.125</v>
      </c>
      <c r="O162" s="299" t="n">
        <v>-0.125</v>
      </c>
      <c r="P162" s="299" t="n">
        <v>-0.135</v>
      </c>
      <c r="Q162" s="299" t="n">
        <v>-0.085</v>
      </c>
      <c r="R162" s="299" t="n">
        <v>-0.0325</v>
      </c>
      <c r="S162" s="299" t="n">
        <v>0</v>
      </c>
      <c r="T162" s="299" t="n">
        <v>0.02</v>
      </c>
      <c r="U162" s="299" t="n">
        <v>0</v>
      </c>
      <c r="V162" s="299" t="n">
        <v>0.5</v>
      </c>
      <c r="W162" s="299" t="n">
        <v>0.235</v>
      </c>
      <c r="X162" s="299" t="n">
        <v>0.34</v>
      </c>
      <c r="Y162" s="299" t="n">
        <v>-0.004999999</v>
      </c>
      <c r="Z162" s="299" t="n">
        <v>-0.026</v>
      </c>
      <c r="AA162" s="299" t="n">
        <v>0.0125</v>
      </c>
      <c r="AB162" s="299" t="n">
        <v>-0.0025</v>
      </c>
      <c r="AC162" s="299" t="n">
        <v>0.0025</v>
      </c>
      <c r="AD162" s="299" t="n">
        <v>-0.0185</v>
      </c>
      <c r="AE162" s="299" t="n">
        <v>-0.075</v>
      </c>
      <c r="AF162" s="299" t="n">
        <v>-0.0495</v>
      </c>
      <c r="AG162" s="299" t="n">
        <v>-0.072</v>
      </c>
      <c r="AH162" s="299" t="n">
        <v>-0.005499999</v>
      </c>
      <c r="AI162" s="299" t="n">
        <v>-0.064</v>
      </c>
      <c r="AJ162" s="299" t="n">
        <v>-0.1375</v>
      </c>
      <c r="AK162" s="299" t="n">
        <v>-0.008999999</v>
      </c>
      <c r="AL162" s="299" t="n">
        <v>0.031</v>
      </c>
      <c r="AM162" s="299" t="n">
        <v>1.6</v>
      </c>
      <c r="AN162" s="299" t="n">
        <v>-0.0475</v>
      </c>
      <c r="AO162" s="299" t="n">
        <v>-0.34</v>
      </c>
      <c r="AP162" s="299" t="n">
        <v>-0.07</v>
      </c>
      <c r="AQ162" s="299" t="n">
        <v>-0.13</v>
      </c>
      <c r="AR162" s="299" t="n">
        <v>0.378</v>
      </c>
      <c r="AS162" s="299" t="n">
        <v>-0.26</v>
      </c>
      <c r="AT162" s="299" t="n">
        <v>0</v>
      </c>
      <c r="AU162" s="299" t="n">
        <v>0.35</v>
      </c>
      <c r="AV162" s="299" t="n">
        <v>-0.34</v>
      </c>
      <c r="AW162" s="299" t="n">
        <v>-0.1775</v>
      </c>
      <c r="AX162" s="299" t="n">
        <v>-0.06</v>
      </c>
      <c r="AY162" s="299" t="n">
        <v>-0.1175</v>
      </c>
      <c r="AZ162" s="299" t="n">
        <v>-0.0325</v>
      </c>
      <c r="BA162" s="299" t="n">
        <v>-0.093</v>
      </c>
      <c r="BB162" s="299" t="n">
        <v>-0.0105</v>
      </c>
      <c r="BC162" s="299" t="n">
        <v>-0.055</v>
      </c>
      <c r="BD162" s="299" t="n">
        <v>-0.0775</v>
      </c>
      <c r="BE162" s="299" t="n">
        <v>-0.075</v>
      </c>
      <c r="BF162" s="299" t="n">
        <v>0</v>
      </c>
      <c r="BG162" s="299" t="n">
        <v>0</v>
      </c>
      <c r="BH162" s="299" t="n">
        <v>0.02</v>
      </c>
      <c r="BI162" s="299" t="n">
        <v>0</v>
      </c>
      <c r="BJ162" s="299" t="n">
        <v>1.04</v>
      </c>
      <c r="BK162" s="299" t="n">
        <v>0.0025</v>
      </c>
      <c r="BL162" s="299" t="n">
        <v>-0.025</v>
      </c>
      <c r="BM162" s="299" t="n">
        <v>0.005</v>
      </c>
      <c r="BN162" s="299" t="n">
        <v>0</v>
      </c>
      <c r="BO162" s="299" t="n">
        <v>0</v>
      </c>
      <c r="BP162" s="299" t="n">
        <v>0.005</v>
      </c>
      <c r="BQ162" s="299" t="n">
        <v>0</v>
      </c>
      <c r="BR162" s="299" t="n">
        <v>0.45</v>
      </c>
      <c r="BS162" s="0" t="n">
        <v>0.02</v>
      </c>
      <c r="BT162" s="0" t="n">
        <v>0</v>
      </c>
      <c r="BU162" s="0" t="n">
        <v>0</v>
      </c>
      <c r="BV162" s="0" t="n">
        <v>0.03</v>
      </c>
    </row>
    <row r="163" customFormat="false" ht="12.75" hidden="false" customHeight="false" outlineLevel="0" collapsed="false">
      <c r="A163" s="301" t="e">
        <f aca="false">#REF!-B163</f>
        <v>#REF!</v>
      </c>
      <c r="B163" s="301" t="n">
        <v>3.67</v>
      </c>
      <c r="C163" s="308" t="n">
        <f aca="false">EOMONTH(C162,0)+1</f>
        <v>42036</v>
      </c>
      <c r="D163" s="0" t="n">
        <v>4.3825</v>
      </c>
      <c r="E163" s="301" t="n">
        <v>0.17</v>
      </c>
      <c r="F163" s="299" t="n">
        <v>0.0608438384223726</v>
      </c>
      <c r="G163" s="299" t="n">
        <v>-0.1275</v>
      </c>
      <c r="H163" s="299" t="n">
        <v>-0.1475</v>
      </c>
      <c r="I163" s="310" t="n">
        <v>0.01</v>
      </c>
      <c r="J163" s="310" t="n">
        <v>-0.13</v>
      </c>
      <c r="K163" s="299" t="n">
        <v>0.02</v>
      </c>
      <c r="L163" s="299" t="n">
        <v>-0.03</v>
      </c>
      <c r="M163" s="299" t="n">
        <v>-0.07</v>
      </c>
      <c r="N163" s="299" t="n">
        <v>-0.1175</v>
      </c>
      <c r="O163" s="299" t="n">
        <v>-0.1175</v>
      </c>
      <c r="P163" s="299" t="n">
        <v>-0.1275</v>
      </c>
      <c r="Q163" s="299" t="n">
        <v>-0.07625</v>
      </c>
      <c r="R163" s="299" t="n">
        <v>-0.0325</v>
      </c>
      <c r="S163" s="299" t="n">
        <v>0</v>
      </c>
      <c r="T163" s="299" t="n">
        <v>0.02</v>
      </c>
      <c r="U163" s="299" t="n">
        <v>0</v>
      </c>
      <c r="V163" s="299" t="n">
        <v>0.5</v>
      </c>
      <c r="W163" s="299" t="n">
        <v>0.235</v>
      </c>
      <c r="X163" s="299" t="n">
        <v>0.34</v>
      </c>
      <c r="Y163" s="299" t="n">
        <v>-0.004999999</v>
      </c>
      <c r="Z163" s="299" t="n">
        <v>-0.026</v>
      </c>
      <c r="AA163" s="299" t="n">
        <v>0.0125</v>
      </c>
      <c r="AB163" s="299" t="n">
        <v>-0.0025</v>
      </c>
      <c r="AC163" s="299" t="n">
        <v>0.0025</v>
      </c>
      <c r="AD163" s="299" t="n">
        <v>-0.0185</v>
      </c>
      <c r="AE163" s="299" t="n">
        <v>-0.075</v>
      </c>
      <c r="AF163" s="299" t="n">
        <v>-0.0495</v>
      </c>
      <c r="AG163" s="299" t="n">
        <v>-0.072</v>
      </c>
      <c r="AH163" s="299" t="n">
        <v>-0.005499999</v>
      </c>
      <c r="AI163" s="299" t="n">
        <v>-0.064</v>
      </c>
      <c r="AJ163" s="299" t="n">
        <v>-0.12</v>
      </c>
      <c r="AK163" s="299" t="n">
        <v>-0.008999999</v>
      </c>
      <c r="AL163" s="299" t="n">
        <v>0.031</v>
      </c>
      <c r="AM163" s="299" t="n">
        <v>1.6</v>
      </c>
      <c r="AN163" s="299" t="n">
        <v>-0.03</v>
      </c>
      <c r="AO163" s="299" t="n">
        <v>-0.34</v>
      </c>
      <c r="AP163" s="299" t="n">
        <v>-0.07</v>
      </c>
      <c r="AQ163" s="299" t="n">
        <v>-0.13</v>
      </c>
      <c r="AR163" s="299" t="n">
        <v>0.248</v>
      </c>
      <c r="AS163" s="299" t="n">
        <v>-0.26</v>
      </c>
      <c r="AT163" s="299" t="n">
        <v>0</v>
      </c>
      <c r="AU163" s="299" t="n">
        <v>0.35</v>
      </c>
      <c r="AV163" s="299" t="n">
        <v>-0.34</v>
      </c>
      <c r="AW163" s="299" t="n">
        <v>-0.1675</v>
      </c>
      <c r="AX163" s="299" t="n">
        <v>-0.06</v>
      </c>
      <c r="AY163" s="299" t="n">
        <v>-0.1075</v>
      </c>
      <c r="AZ163" s="299" t="n">
        <v>-0.0325</v>
      </c>
      <c r="BA163" s="299" t="n">
        <v>-0.093</v>
      </c>
      <c r="BB163" s="299" t="n">
        <v>-0.0105</v>
      </c>
      <c r="BC163" s="299" t="n">
        <v>-0.055</v>
      </c>
      <c r="BD163" s="299" t="n">
        <v>-0.06</v>
      </c>
      <c r="BE163" s="299" t="n">
        <v>-0.075</v>
      </c>
      <c r="BF163" s="299" t="n">
        <v>0</v>
      </c>
      <c r="BG163" s="299" t="n">
        <v>0</v>
      </c>
      <c r="BH163" s="299" t="n">
        <v>0.02</v>
      </c>
      <c r="BI163" s="299" t="n">
        <v>0</v>
      </c>
      <c r="BJ163" s="299" t="n">
        <v>1.04</v>
      </c>
      <c r="BK163" s="299" t="n">
        <v>0.0025</v>
      </c>
      <c r="BL163" s="299" t="n">
        <v>-0.025</v>
      </c>
      <c r="BM163" s="299" t="n">
        <v>0.005</v>
      </c>
      <c r="BN163" s="299" t="n">
        <v>0</v>
      </c>
      <c r="BO163" s="299" t="n">
        <v>0</v>
      </c>
      <c r="BP163" s="299" t="n">
        <v>0.005</v>
      </c>
      <c r="BQ163" s="299" t="n">
        <v>0</v>
      </c>
      <c r="BR163" s="299" t="n">
        <v>0.45</v>
      </c>
      <c r="BS163" s="0" t="n">
        <v>0.02</v>
      </c>
      <c r="BT163" s="0" t="n">
        <v>0</v>
      </c>
      <c r="BU163" s="0" t="n">
        <v>0</v>
      </c>
      <c r="BV163" s="0" t="n">
        <v>0.03</v>
      </c>
    </row>
    <row r="164" customFormat="false" ht="12.75" hidden="false" customHeight="false" outlineLevel="0" collapsed="false">
      <c r="A164" s="301" t="e">
        <f aca="false">#REF!-B164</f>
        <v>#REF!</v>
      </c>
      <c r="B164" s="301" t="n">
        <v>3.65</v>
      </c>
      <c r="C164" s="308" t="n">
        <f aca="false">EOMONTH(C163,0)+1</f>
        <v>42064</v>
      </c>
      <c r="D164" s="0" t="n">
        <v>4.2525</v>
      </c>
      <c r="E164" s="301" t="n">
        <v>0.17</v>
      </c>
      <c r="F164" s="299" t="n">
        <v>0.060883425208857</v>
      </c>
      <c r="G164" s="299" t="n">
        <v>-0.125</v>
      </c>
      <c r="H164" s="299" t="n">
        <v>-0.145</v>
      </c>
      <c r="I164" s="310" t="n">
        <v>-0.01</v>
      </c>
      <c r="J164" s="310" t="n">
        <v>-0.13</v>
      </c>
      <c r="K164" s="299" t="n">
        <v>0</v>
      </c>
      <c r="L164" s="299" t="n">
        <v>-0.03</v>
      </c>
      <c r="M164" s="299" t="n">
        <v>-0.07</v>
      </c>
      <c r="N164" s="299" t="n">
        <v>-0.115</v>
      </c>
      <c r="O164" s="299" t="n">
        <v>-0.115</v>
      </c>
      <c r="P164" s="299" t="n">
        <v>-0.125</v>
      </c>
      <c r="Q164" s="299" t="n">
        <v>-0.07</v>
      </c>
      <c r="R164" s="299" t="n">
        <v>-0.0325</v>
      </c>
      <c r="S164" s="299" t="n">
        <v>0</v>
      </c>
      <c r="T164" s="299" t="n">
        <v>0.02</v>
      </c>
      <c r="U164" s="299" t="n">
        <v>0</v>
      </c>
      <c r="V164" s="299" t="n">
        <v>0.5</v>
      </c>
      <c r="W164" s="299" t="n">
        <v>0.195</v>
      </c>
      <c r="X164" s="299" t="n">
        <v>0.29</v>
      </c>
      <c r="Y164" s="299" t="n">
        <v>-0.004999999</v>
      </c>
      <c r="Z164" s="299" t="n">
        <v>-0.026</v>
      </c>
      <c r="AA164" s="299" t="n">
        <v>0.02</v>
      </c>
      <c r="AB164" s="299" t="n">
        <v>0.005</v>
      </c>
      <c r="AC164" s="299" t="n">
        <v>0.0025</v>
      </c>
      <c r="AD164" s="299" t="n">
        <v>-0.0185</v>
      </c>
      <c r="AE164" s="299" t="n">
        <v>-0.075</v>
      </c>
      <c r="AF164" s="299" t="n">
        <v>-0.0495</v>
      </c>
      <c r="AG164" s="299" t="n">
        <v>-0.072</v>
      </c>
      <c r="AH164" s="299" t="n">
        <v>-0.005499999</v>
      </c>
      <c r="AI164" s="299" t="n">
        <v>-0.064</v>
      </c>
      <c r="AJ164" s="299" t="n">
        <v>-0.1075</v>
      </c>
      <c r="AK164" s="299" t="n">
        <v>-0.008999999</v>
      </c>
      <c r="AL164" s="299" t="n">
        <v>0.031</v>
      </c>
      <c r="AM164" s="299" t="n">
        <v>0.64</v>
      </c>
      <c r="AN164" s="299" t="n">
        <v>-0.0175</v>
      </c>
      <c r="AO164" s="299" t="n">
        <v>-0.34</v>
      </c>
      <c r="AP164" s="299" t="n">
        <v>-0.07</v>
      </c>
      <c r="AQ164" s="299" t="n">
        <v>-0.13</v>
      </c>
      <c r="AR164" s="299" t="n">
        <v>0.068</v>
      </c>
      <c r="AS164" s="299" t="n">
        <v>-0.26</v>
      </c>
      <c r="AT164" s="299" t="n">
        <v>0</v>
      </c>
      <c r="AU164" s="299" t="n">
        <v>0.35</v>
      </c>
      <c r="AV164" s="299" t="n">
        <v>-0.34</v>
      </c>
      <c r="AW164" s="299" t="n">
        <v>-0.1575</v>
      </c>
      <c r="AX164" s="299" t="n">
        <v>-0.06</v>
      </c>
      <c r="AY164" s="299" t="n">
        <v>-0.0975</v>
      </c>
      <c r="AZ164" s="299" t="n">
        <v>-0.0325</v>
      </c>
      <c r="BA164" s="299" t="n">
        <v>-0.093</v>
      </c>
      <c r="BB164" s="299" t="n">
        <v>-0.0105</v>
      </c>
      <c r="BC164" s="299" t="n">
        <v>-0.055</v>
      </c>
      <c r="BD164" s="299" t="n">
        <v>-0.0475</v>
      </c>
      <c r="BE164" s="299" t="n">
        <v>-0.075</v>
      </c>
      <c r="BF164" s="299" t="n">
        <v>0</v>
      </c>
      <c r="BG164" s="299" t="n">
        <v>0</v>
      </c>
      <c r="BH164" s="299" t="n">
        <v>0.02</v>
      </c>
      <c r="BI164" s="299" t="n">
        <v>0</v>
      </c>
      <c r="BJ164" s="299" t="n">
        <v>0.54</v>
      </c>
      <c r="BK164" s="299" t="n">
        <v>0.0025</v>
      </c>
      <c r="BL164" s="299" t="n">
        <v>-0.02</v>
      </c>
      <c r="BM164" s="299" t="n">
        <v>0.005</v>
      </c>
      <c r="BN164" s="299" t="n">
        <v>0</v>
      </c>
      <c r="BO164" s="299" t="n">
        <v>0</v>
      </c>
      <c r="BP164" s="299" t="n">
        <v>0.005</v>
      </c>
      <c r="BQ164" s="299" t="n">
        <v>0</v>
      </c>
      <c r="BR164" s="299" t="n">
        <v>0.1</v>
      </c>
      <c r="BS164" s="0" t="n">
        <v>0.02</v>
      </c>
      <c r="BT164" s="0" t="n">
        <v>0</v>
      </c>
      <c r="BU164" s="0" t="n">
        <v>0</v>
      </c>
      <c r="BV164" s="0" t="n">
        <v>0.03</v>
      </c>
    </row>
    <row r="165" customFormat="false" ht="12.75" hidden="false" customHeight="false" outlineLevel="0" collapsed="false">
      <c r="A165" s="301" t="e">
        <f aca="false">#REF!-B165</f>
        <v>#REF!</v>
      </c>
      <c r="B165" s="301" t="n">
        <v>3.658</v>
      </c>
      <c r="C165" s="308" t="n">
        <f aca="false">EOMONTH(C164,0)+1</f>
        <v>42095</v>
      </c>
      <c r="D165" s="0" t="n">
        <v>4.0675</v>
      </c>
      <c r="E165" s="301" t="n">
        <v>0.17</v>
      </c>
      <c r="F165" s="299" t="n">
        <v>0.0609272534373577</v>
      </c>
      <c r="G165" s="299" t="n">
        <v>-0.13</v>
      </c>
      <c r="H165" s="299" t="n">
        <v>-0.15</v>
      </c>
      <c r="I165" s="310" t="n">
        <v>-0.09</v>
      </c>
      <c r="J165" s="310" t="n">
        <v>-0.13</v>
      </c>
      <c r="K165" s="299" t="n">
        <v>-0.09</v>
      </c>
      <c r="L165" s="299" t="n">
        <v>-0.03</v>
      </c>
      <c r="M165" s="299" t="n">
        <v>-0.053</v>
      </c>
      <c r="N165" s="299" t="n">
        <v>-0.12</v>
      </c>
      <c r="O165" s="299" t="n">
        <v>-0.12</v>
      </c>
      <c r="P165" s="299" t="n">
        <v>-0.13</v>
      </c>
      <c r="Q165" s="299" t="n">
        <v>-0.05</v>
      </c>
      <c r="R165" s="299" t="n">
        <v>-0.03</v>
      </c>
      <c r="S165" s="299" t="n">
        <v>0</v>
      </c>
      <c r="T165" s="299" t="n">
        <v>0.02</v>
      </c>
      <c r="U165" s="299" t="n">
        <v>0</v>
      </c>
      <c r="V165" s="299" t="n">
        <v>0.5</v>
      </c>
      <c r="W165" s="299" t="n">
        <v>0.145</v>
      </c>
      <c r="X165" s="299" t="n">
        <v>0.195</v>
      </c>
      <c r="Y165" s="299" t="n">
        <v>-0.007499999</v>
      </c>
      <c r="Z165" s="299" t="n">
        <v>-0.041</v>
      </c>
      <c r="AA165" s="299" t="n">
        <v>0.02</v>
      </c>
      <c r="AB165" s="299" t="n">
        <v>0.005</v>
      </c>
      <c r="AC165" s="299" t="n">
        <v>0.0025</v>
      </c>
      <c r="AD165" s="299" t="n">
        <v>-0.0185</v>
      </c>
      <c r="AE165" s="299" t="n">
        <v>-0.0725</v>
      </c>
      <c r="AF165" s="299" t="n">
        <v>-0.047</v>
      </c>
      <c r="AG165" s="299" t="n">
        <v>-0.0695</v>
      </c>
      <c r="AH165" s="299" t="n">
        <v>-0.0105</v>
      </c>
      <c r="AI165" s="299" t="n">
        <v>-0.072</v>
      </c>
      <c r="AJ165" s="299" t="n">
        <v>-0.07</v>
      </c>
      <c r="AK165" s="299" t="n">
        <v>-0.017</v>
      </c>
      <c r="AL165" s="299" t="n">
        <v>0.023</v>
      </c>
      <c r="AM165" s="299" t="n">
        <v>0.38</v>
      </c>
      <c r="AN165" s="299" t="n">
        <v>0.02</v>
      </c>
      <c r="AO165" s="299" t="n">
        <v>0</v>
      </c>
      <c r="AP165" s="299" t="n">
        <v>-0.07</v>
      </c>
      <c r="AQ165" s="299" t="n">
        <v>-0.195</v>
      </c>
      <c r="AR165" s="299" t="n">
        <v>-0.25</v>
      </c>
      <c r="AS165" s="299" t="n">
        <v>-0.37</v>
      </c>
      <c r="AT165" s="299" t="n">
        <v>0</v>
      </c>
      <c r="AU165" s="299" t="n">
        <v>0.43</v>
      </c>
      <c r="AV165" s="299" t="n">
        <v>0</v>
      </c>
      <c r="AW165" s="299" t="n">
        <v>-0.198</v>
      </c>
      <c r="AX165" s="299" t="n">
        <v>-0.06</v>
      </c>
      <c r="AY165" s="299" t="n">
        <v>-0.138</v>
      </c>
      <c r="AZ165" s="299" t="n">
        <v>-0.03</v>
      </c>
      <c r="BA165" s="299" t="n">
        <v>-0.1155</v>
      </c>
      <c r="BB165" s="299" t="n">
        <v>-0.0105</v>
      </c>
      <c r="BC165" s="299" t="n">
        <v>-0.038</v>
      </c>
      <c r="BD165" s="299" t="n">
        <v>-0.01</v>
      </c>
      <c r="BE165" s="299" t="n">
        <v>-0.0725</v>
      </c>
      <c r="BF165" s="299" t="n">
        <v>0</v>
      </c>
      <c r="BG165" s="299" t="n">
        <v>0</v>
      </c>
      <c r="BH165" s="299" t="n">
        <v>0.02</v>
      </c>
      <c r="BI165" s="299" t="n">
        <v>0</v>
      </c>
      <c r="BJ165" s="299" t="n">
        <v>0.36</v>
      </c>
      <c r="BK165" s="299" t="n">
        <v>0.0025</v>
      </c>
      <c r="BL165" s="299" t="n">
        <v>-0.015</v>
      </c>
      <c r="BM165" s="299" t="n">
        <v>0.005</v>
      </c>
      <c r="BN165" s="299" t="n">
        <v>-0.01</v>
      </c>
      <c r="BO165" s="299" t="n">
        <v>0</v>
      </c>
      <c r="BP165" s="299" t="n">
        <v>0.005</v>
      </c>
      <c r="BQ165" s="299" t="n">
        <v>0</v>
      </c>
      <c r="BR165" s="299" t="n">
        <v>0.02</v>
      </c>
      <c r="BS165" s="0" t="n">
        <v>0.005</v>
      </c>
      <c r="BT165" s="0" t="n">
        <v>0</v>
      </c>
      <c r="BU165" s="0" t="n">
        <v>0</v>
      </c>
      <c r="BV165" s="0" t="n">
        <v>0.03</v>
      </c>
    </row>
    <row r="166" customFormat="false" ht="12.75" hidden="false" customHeight="false" outlineLevel="0" collapsed="false">
      <c r="A166" s="301" t="e">
        <f aca="false">#REF!-B166</f>
        <v>#REF!</v>
      </c>
      <c r="B166" s="301" t="n">
        <v>3.72</v>
      </c>
      <c r="C166" s="308" t="n">
        <f aca="false">EOMONTH(C165,0)+1</f>
        <v>42125</v>
      </c>
      <c r="D166" s="0" t="n">
        <v>4.0625</v>
      </c>
      <c r="E166" s="301" t="n">
        <v>0.17</v>
      </c>
      <c r="F166" s="299" t="n">
        <v>0.060969667852643</v>
      </c>
      <c r="G166" s="299" t="n">
        <v>-0.13</v>
      </c>
      <c r="H166" s="299" t="n">
        <v>-0.15</v>
      </c>
      <c r="I166" s="310" t="n">
        <v>-0.09</v>
      </c>
      <c r="J166" s="310" t="n">
        <v>-0.13</v>
      </c>
      <c r="K166" s="299" t="n">
        <v>-0.09</v>
      </c>
      <c r="L166" s="299" t="n">
        <v>-0.03</v>
      </c>
      <c r="M166" s="299" t="n">
        <v>-0.053</v>
      </c>
      <c r="N166" s="299" t="n">
        <v>-0.12</v>
      </c>
      <c r="O166" s="299" t="n">
        <v>-0.12</v>
      </c>
      <c r="P166" s="299" t="n">
        <v>-0.13</v>
      </c>
      <c r="Q166" s="299" t="n">
        <v>-0.05</v>
      </c>
      <c r="R166" s="299" t="n">
        <v>-0.03</v>
      </c>
      <c r="S166" s="299" t="n">
        <v>0</v>
      </c>
      <c r="T166" s="299" t="n">
        <v>0.02</v>
      </c>
      <c r="U166" s="299" t="n">
        <v>0</v>
      </c>
      <c r="V166" s="299" t="n">
        <v>0.5</v>
      </c>
      <c r="W166" s="299" t="n">
        <v>0.125</v>
      </c>
      <c r="X166" s="299" t="n">
        <v>0.135</v>
      </c>
      <c r="Y166" s="299" t="n">
        <v>-0.007499999</v>
      </c>
      <c r="Z166" s="299" t="n">
        <v>-0.041</v>
      </c>
      <c r="AA166" s="299" t="n">
        <v>0.0225</v>
      </c>
      <c r="AB166" s="299" t="n">
        <v>0.0075</v>
      </c>
      <c r="AC166" s="299" t="n">
        <v>0.0025</v>
      </c>
      <c r="AD166" s="299" t="n">
        <v>-0.0185</v>
      </c>
      <c r="AE166" s="299" t="n">
        <v>-0.0725</v>
      </c>
      <c r="AF166" s="299" t="n">
        <v>-0.047</v>
      </c>
      <c r="AG166" s="299" t="n">
        <v>-0.0695</v>
      </c>
      <c r="AH166" s="299" t="n">
        <v>-0.0105</v>
      </c>
      <c r="AI166" s="299" t="n">
        <v>-0.072</v>
      </c>
      <c r="AJ166" s="299" t="n">
        <v>-0.07</v>
      </c>
      <c r="AK166" s="299" t="n">
        <v>-0.017</v>
      </c>
      <c r="AL166" s="299" t="n">
        <v>0.023</v>
      </c>
      <c r="AM166" s="299" t="n">
        <v>0.33</v>
      </c>
      <c r="AN166" s="299" t="n">
        <v>0.02</v>
      </c>
      <c r="AO166" s="299" t="n">
        <v>0</v>
      </c>
      <c r="AP166" s="299" t="n">
        <v>-0.07</v>
      </c>
      <c r="AQ166" s="299" t="n">
        <v>-0.195</v>
      </c>
      <c r="AR166" s="299" t="n">
        <v>-0.1</v>
      </c>
      <c r="AS166" s="299" t="n">
        <v>-0.37</v>
      </c>
      <c r="AT166" s="299" t="n">
        <v>0</v>
      </c>
      <c r="AU166" s="299" t="n">
        <v>0.43</v>
      </c>
      <c r="AV166" s="299" t="n">
        <v>0</v>
      </c>
      <c r="AW166" s="299" t="n">
        <v>-0.1755</v>
      </c>
      <c r="AX166" s="299" t="n">
        <v>-0.06</v>
      </c>
      <c r="AY166" s="299" t="n">
        <v>-0.1155</v>
      </c>
      <c r="AZ166" s="299" t="n">
        <v>-0.03</v>
      </c>
      <c r="BA166" s="299" t="n">
        <v>-0.108</v>
      </c>
      <c r="BB166" s="299" t="n">
        <v>-0.0105</v>
      </c>
      <c r="BC166" s="299" t="n">
        <v>-0.038</v>
      </c>
      <c r="BD166" s="299" t="n">
        <v>-0.01</v>
      </c>
      <c r="BE166" s="299" t="n">
        <v>-0.0725</v>
      </c>
      <c r="BF166" s="299" t="n">
        <v>0</v>
      </c>
      <c r="BG166" s="299" t="n">
        <v>0</v>
      </c>
      <c r="BH166" s="299" t="n">
        <v>0.02</v>
      </c>
      <c r="BI166" s="299" t="n">
        <v>0</v>
      </c>
      <c r="BJ166" s="299" t="n">
        <v>0.325</v>
      </c>
      <c r="BK166" s="299" t="n">
        <v>0.0025</v>
      </c>
      <c r="BL166" s="299" t="n">
        <v>-0.015</v>
      </c>
      <c r="BM166" s="299" t="n">
        <v>0.005</v>
      </c>
      <c r="BN166" s="299" t="n">
        <v>-0.01</v>
      </c>
      <c r="BO166" s="299" t="n">
        <v>0</v>
      </c>
      <c r="BP166" s="299" t="n">
        <v>0.005</v>
      </c>
      <c r="BQ166" s="299" t="n">
        <v>0</v>
      </c>
      <c r="BR166" s="299" t="n">
        <v>0.02</v>
      </c>
      <c r="BS166" s="0" t="n">
        <v>0.005</v>
      </c>
      <c r="BT166" s="0" t="n">
        <v>0</v>
      </c>
      <c r="BU166" s="0" t="n">
        <v>0</v>
      </c>
      <c r="BV166" s="0" t="n">
        <v>0.03</v>
      </c>
    </row>
    <row r="167" customFormat="false" ht="12.75" hidden="false" customHeight="false" outlineLevel="0" collapsed="false">
      <c r="A167" s="301" t="e">
        <f aca="false">#REF!-B167</f>
        <v>#REF!</v>
      </c>
      <c r="B167" s="301" t="n">
        <v>3.799</v>
      </c>
      <c r="C167" s="308" t="n">
        <f aca="false">EOMONTH(C166,0)+1</f>
        <v>42156</v>
      </c>
      <c r="D167" s="0" t="n">
        <v>4.0975</v>
      </c>
      <c r="E167" s="301" t="n">
        <v>0.17</v>
      </c>
      <c r="F167" s="299" t="n">
        <v>0.0610134960823987</v>
      </c>
      <c r="G167" s="299" t="n">
        <v>-0.13</v>
      </c>
      <c r="H167" s="299" t="n">
        <v>-0.15</v>
      </c>
      <c r="I167" s="310" t="n">
        <v>-0.09</v>
      </c>
      <c r="J167" s="310" t="n">
        <v>-0.13</v>
      </c>
      <c r="K167" s="299" t="n">
        <v>-0.09</v>
      </c>
      <c r="L167" s="299" t="n">
        <v>-0.03</v>
      </c>
      <c r="M167" s="299" t="n">
        <v>-0.053</v>
      </c>
      <c r="N167" s="299" t="n">
        <v>-0.12</v>
      </c>
      <c r="O167" s="299" t="n">
        <v>-0.12</v>
      </c>
      <c r="P167" s="299" t="n">
        <v>-0.13</v>
      </c>
      <c r="Q167" s="299" t="n">
        <v>-0.0475</v>
      </c>
      <c r="R167" s="299" t="n">
        <v>-0.03</v>
      </c>
      <c r="S167" s="299" t="n">
        <v>0</v>
      </c>
      <c r="T167" s="299" t="n">
        <v>0.02</v>
      </c>
      <c r="U167" s="299" t="n">
        <v>0</v>
      </c>
      <c r="V167" s="299" t="n">
        <v>0.5</v>
      </c>
      <c r="W167" s="299" t="n">
        <v>0.145</v>
      </c>
      <c r="X167" s="299" t="n">
        <v>0.165</v>
      </c>
      <c r="Y167" s="299" t="n">
        <v>-0.007499999</v>
      </c>
      <c r="Z167" s="299" t="n">
        <v>-0.0385</v>
      </c>
      <c r="AA167" s="299" t="n">
        <v>0.0225</v>
      </c>
      <c r="AB167" s="299" t="n">
        <v>0.0075</v>
      </c>
      <c r="AC167" s="299" t="n">
        <v>0.0025</v>
      </c>
      <c r="AD167" s="299" t="n">
        <v>-0.0185</v>
      </c>
      <c r="AE167" s="299" t="n">
        <v>-0.0725</v>
      </c>
      <c r="AF167" s="299" t="n">
        <v>-0.047</v>
      </c>
      <c r="AG167" s="299" t="n">
        <v>-0.0695</v>
      </c>
      <c r="AH167" s="299" t="n">
        <v>-0.0105</v>
      </c>
      <c r="AI167" s="299" t="n">
        <v>-0.072</v>
      </c>
      <c r="AJ167" s="299" t="n">
        <v>-0.065</v>
      </c>
      <c r="AK167" s="299" t="n">
        <v>-0.017</v>
      </c>
      <c r="AL167" s="299" t="n">
        <v>0.023</v>
      </c>
      <c r="AM167" s="299" t="n">
        <v>0.37</v>
      </c>
      <c r="AN167" s="299" t="n">
        <v>0.025</v>
      </c>
      <c r="AO167" s="299" t="n">
        <v>0</v>
      </c>
      <c r="AP167" s="299" t="n">
        <v>-0.07</v>
      </c>
      <c r="AQ167" s="299" t="n">
        <v>-0.195</v>
      </c>
      <c r="AR167" s="299" t="n">
        <v>-0.1</v>
      </c>
      <c r="AS167" s="299" t="n">
        <v>-0.37</v>
      </c>
      <c r="AT167" s="299" t="n">
        <v>0</v>
      </c>
      <c r="AU167" s="299" t="n">
        <v>0.43</v>
      </c>
      <c r="AV167" s="299" t="n">
        <v>0</v>
      </c>
      <c r="AW167" s="299" t="n">
        <v>-0.123</v>
      </c>
      <c r="AX167" s="299" t="n">
        <v>-0.06</v>
      </c>
      <c r="AY167" s="299" t="n">
        <v>-0.063</v>
      </c>
      <c r="AZ167" s="299" t="n">
        <v>-0.03</v>
      </c>
      <c r="BA167" s="299" t="n">
        <v>-0.0655</v>
      </c>
      <c r="BB167" s="299" t="n">
        <v>-0.0105</v>
      </c>
      <c r="BC167" s="299" t="n">
        <v>-0.038</v>
      </c>
      <c r="BD167" s="299" t="n">
        <v>-0.005</v>
      </c>
      <c r="BE167" s="299" t="n">
        <v>-0.0725</v>
      </c>
      <c r="BF167" s="299" t="n">
        <v>0</v>
      </c>
      <c r="BG167" s="299" t="n">
        <v>0</v>
      </c>
      <c r="BH167" s="299" t="n">
        <v>0.02</v>
      </c>
      <c r="BI167" s="299" t="n">
        <v>0</v>
      </c>
      <c r="BJ167" s="299" t="n">
        <v>0.335</v>
      </c>
      <c r="BK167" s="299" t="n">
        <v>0.0025</v>
      </c>
      <c r="BL167" s="299" t="n">
        <v>-0.015</v>
      </c>
      <c r="BM167" s="299" t="n">
        <v>0.005</v>
      </c>
      <c r="BN167" s="299" t="n">
        <v>-0.01</v>
      </c>
      <c r="BO167" s="299" t="n">
        <v>0</v>
      </c>
      <c r="BP167" s="299" t="n">
        <v>0.005</v>
      </c>
      <c r="BQ167" s="299" t="n">
        <v>0</v>
      </c>
      <c r="BR167" s="299" t="n">
        <v>0.035</v>
      </c>
      <c r="BS167" s="0" t="n">
        <v>0.005</v>
      </c>
      <c r="BT167" s="0" t="n">
        <v>0</v>
      </c>
      <c r="BU167" s="0" t="n">
        <v>0</v>
      </c>
      <c r="BV167" s="0" t="n">
        <v>0.03</v>
      </c>
    </row>
    <row r="168" customFormat="false" ht="12.75" hidden="false" customHeight="false" outlineLevel="0" collapsed="false">
      <c r="A168" s="301" t="e">
        <f aca="false">#REF!-B168</f>
        <v>#REF!</v>
      </c>
      <c r="B168" s="301" t="n">
        <v>4.075</v>
      </c>
      <c r="C168" s="308" t="n">
        <f aca="false">EOMONTH(C167,0)+1</f>
        <v>42186</v>
      </c>
      <c r="D168" s="0" t="n">
        <v>4.1375</v>
      </c>
      <c r="E168" s="301" t="n">
        <v>0.17</v>
      </c>
      <c r="F168" s="299" t="n">
        <v>0.061055910498899</v>
      </c>
      <c r="G168" s="299" t="n">
        <v>-0.13</v>
      </c>
      <c r="H168" s="299" t="n">
        <v>-0.15</v>
      </c>
      <c r="I168" s="310" t="n">
        <v>-0.09</v>
      </c>
      <c r="J168" s="310" t="n">
        <v>-0.13</v>
      </c>
      <c r="K168" s="299" t="n">
        <v>-0.09</v>
      </c>
      <c r="L168" s="299" t="n">
        <v>-0.03</v>
      </c>
      <c r="M168" s="299" t="n">
        <v>-0.053</v>
      </c>
      <c r="N168" s="299" t="n">
        <v>-0.12</v>
      </c>
      <c r="O168" s="299" t="n">
        <v>-0.12</v>
      </c>
      <c r="P168" s="299" t="n">
        <v>-0.13</v>
      </c>
      <c r="Q168" s="299" t="n">
        <v>-0.04625</v>
      </c>
      <c r="R168" s="299" t="n">
        <v>-0.03</v>
      </c>
      <c r="S168" s="299" t="n">
        <v>0</v>
      </c>
      <c r="T168" s="299" t="n">
        <v>0.02</v>
      </c>
      <c r="U168" s="299" t="n">
        <v>0</v>
      </c>
      <c r="V168" s="299" t="n">
        <v>0.5</v>
      </c>
      <c r="W168" s="299" t="n">
        <v>0.15</v>
      </c>
      <c r="X168" s="299" t="n">
        <v>0.205</v>
      </c>
      <c r="Y168" s="299" t="n">
        <v>-0.007499999</v>
      </c>
      <c r="Z168" s="299" t="n">
        <v>-0.0385</v>
      </c>
      <c r="AA168" s="299" t="n">
        <v>0.0225</v>
      </c>
      <c r="AB168" s="299" t="n">
        <v>0.0075</v>
      </c>
      <c r="AC168" s="299" t="n">
        <v>0.0025</v>
      </c>
      <c r="AD168" s="299" t="n">
        <v>-0.0185</v>
      </c>
      <c r="AE168" s="299" t="n">
        <v>-0.0725</v>
      </c>
      <c r="AF168" s="299" t="n">
        <v>-0.047</v>
      </c>
      <c r="AG168" s="299" t="n">
        <v>-0.0695</v>
      </c>
      <c r="AH168" s="299" t="n">
        <v>-0.0105</v>
      </c>
      <c r="AI168" s="299" t="n">
        <v>-0.072</v>
      </c>
      <c r="AJ168" s="299" t="n">
        <v>-0.0625</v>
      </c>
      <c r="AK168" s="299" t="n">
        <v>-0.017</v>
      </c>
      <c r="AL168" s="299" t="n">
        <v>0.023</v>
      </c>
      <c r="AM168" s="299" t="n">
        <v>0.41</v>
      </c>
      <c r="AN168" s="299" t="n">
        <v>0.0275</v>
      </c>
      <c r="AO168" s="299" t="n">
        <v>0</v>
      </c>
      <c r="AP168" s="299" t="n">
        <v>-0.07</v>
      </c>
      <c r="AQ168" s="299" t="n">
        <v>-0.195</v>
      </c>
      <c r="AR168" s="299" t="n">
        <v>-0.1</v>
      </c>
      <c r="AS168" s="299" t="n">
        <v>-0.37</v>
      </c>
      <c r="AT168" s="299" t="n">
        <v>0</v>
      </c>
      <c r="AU168" s="299" t="n">
        <v>0.43</v>
      </c>
      <c r="AV168" s="299" t="n">
        <v>0</v>
      </c>
      <c r="AW168" s="299" t="n">
        <v>-0.133</v>
      </c>
      <c r="AX168" s="299" t="n">
        <v>-0.06</v>
      </c>
      <c r="AY168" s="299" t="n">
        <v>-0.073</v>
      </c>
      <c r="AZ168" s="299" t="n">
        <v>-0.03</v>
      </c>
      <c r="BA168" s="299" t="n">
        <v>-0.063</v>
      </c>
      <c r="BB168" s="299" t="n">
        <v>-0.0105</v>
      </c>
      <c r="BC168" s="299" t="n">
        <v>-0.038</v>
      </c>
      <c r="BD168" s="299" t="n">
        <v>-0.0025</v>
      </c>
      <c r="BE168" s="299" t="n">
        <v>-0.0725</v>
      </c>
      <c r="BF168" s="299" t="n">
        <v>0</v>
      </c>
      <c r="BG168" s="299" t="n">
        <v>0</v>
      </c>
      <c r="BH168" s="299" t="n">
        <v>0.02</v>
      </c>
      <c r="BI168" s="299" t="n">
        <v>0</v>
      </c>
      <c r="BJ168" s="299" t="n">
        <v>0.35</v>
      </c>
      <c r="BK168" s="299" t="n">
        <v>0.0025</v>
      </c>
      <c r="BL168" s="299" t="n">
        <v>-0.01</v>
      </c>
      <c r="BM168" s="299" t="n">
        <v>0.005</v>
      </c>
      <c r="BN168" s="299" t="n">
        <v>-0.01</v>
      </c>
      <c r="BO168" s="299" t="n">
        <v>0</v>
      </c>
      <c r="BP168" s="299" t="n">
        <v>0.005</v>
      </c>
      <c r="BQ168" s="299" t="n">
        <v>0</v>
      </c>
      <c r="BR168" s="299" t="n">
        <v>0.035</v>
      </c>
      <c r="BS168" s="0" t="n">
        <v>0.005</v>
      </c>
      <c r="BT168" s="0" t="n">
        <v>0</v>
      </c>
      <c r="BU168" s="0" t="n">
        <v>0</v>
      </c>
      <c r="BV168" s="0" t="n">
        <v>0.03</v>
      </c>
    </row>
    <row r="169" customFormat="false" ht="12.75" hidden="false" customHeight="false" outlineLevel="0" collapsed="false">
      <c r="A169" s="301" t="e">
        <f aca="false">#REF!-B169</f>
        <v>#REF!</v>
      </c>
      <c r="B169" s="301" t="n">
        <v>3.992</v>
      </c>
      <c r="C169" s="308" t="n">
        <f aca="false">EOMONTH(C168,0)+1</f>
        <v>42217</v>
      </c>
      <c r="D169" s="0" t="n">
        <v>4.1775</v>
      </c>
      <c r="E169" s="301" t="n">
        <v>0.17</v>
      </c>
      <c r="F169" s="299" t="n">
        <v>0.0610997387299097</v>
      </c>
      <c r="G169" s="299" t="n">
        <v>-0.13</v>
      </c>
      <c r="H169" s="299" t="n">
        <v>-0.15</v>
      </c>
      <c r="I169" s="310" t="n">
        <v>-0.09</v>
      </c>
      <c r="J169" s="310" t="n">
        <v>-0.13</v>
      </c>
      <c r="K169" s="299" t="n">
        <v>-0.09</v>
      </c>
      <c r="L169" s="299" t="n">
        <v>-0.03</v>
      </c>
      <c r="M169" s="299" t="n">
        <v>-0.053</v>
      </c>
      <c r="N169" s="299" t="n">
        <v>-0.12</v>
      </c>
      <c r="O169" s="299" t="n">
        <v>-0.12</v>
      </c>
      <c r="P169" s="299" t="n">
        <v>-0.13</v>
      </c>
      <c r="Q169" s="299" t="n">
        <v>-0.045</v>
      </c>
      <c r="R169" s="299" t="n">
        <v>-0.03</v>
      </c>
      <c r="S169" s="299" t="n">
        <v>0</v>
      </c>
      <c r="T169" s="299" t="n">
        <v>0.02</v>
      </c>
      <c r="U169" s="299" t="n">
        <v>0</v>
      </c>
      <c r="V169" s="299" t="n">
        <v>0.5</v>
      </c>
      <c r="W169" s="299" t="n">
        <v>0.15</v>
      </c>
      <c r="X169" s="299" t="n">
        <v>0.205</v>
      </c>
      <c r="Y169" s="299" t="n">
        <v>-0.007499999</v>
      </c>
      <c r="Z169" s="299" t="n">
        <v>-0.0385</v>
      </c>
      <c r="AA169" s="299" t="n">
        <v>0.0175</v>
      </c>
      <c r="AB169" s="299" t="n">
        <v>0.0025</v>
      </c>
      <c r="AC169" s="299" t="n">
        <v>0.0025</v>
      </c>
      <c r="AD169" s="299" t="n">
        <v>-0.0185</v>
      </c>
      <c r="AE169" s="299" t="n">
        <v>-0.0725</v>
      </c>
      <c r="AF169" s="299" t="n">
        <v>-0.047</v>
      </c>
      <c r="AG169" s="299" t="n">
        <v>-0.0695</v>
      </c>
      <c r="AH169" s="299" t="n">
        <v>-0.0105</v>
      </c>
      <c r="AI169" s="299" t="n">
        <v>-0.072</v>
      </c>
      <c r="AJ169" s="299" t="n">
        <v>-0.06</v>
      </c>
      <c r="AK169" s="299" t="n">
        <v>-0.017</v>
      </c>
      <c r="AL169" s="299" t="n">
        <v>0.023</v>
      </c>
      <c r="AM169" s="299" t="n">
        <v>0.41</v>
      </c>
      <c r="AN169" s="299" t="n">
        <v>0.03</v>
      </c>
      <c r="AO169" s="299" t="n">
        <v>0</v>
      </c>
      <c r="AP169" s="299" t="n">
        <v>-0.07</v>
      </c>
      <c r="AQ169" s="299" t="n">
        <v>-0.195</v>
      </c>
      <c r="AR169" s="299" t="n">
        <v>-0.1</v>
      </c>
      <c r="AS169" s="299" t="n">
        <v>-0.37</v>
      </c>
      <c r="AT169" s="299" t="n">
        <v>0</v>
      </c>
      <c r="AU169" s="299" t="n">
        <v>0.43</v>
      </c>
      <c r="AV169" s="299" t="n">
        <v>0</v>
      </c>
      <c r="AW169" s="299" t="n">
        <v>-0.128</v>
      </c>
      <c r="AX169" s="299" t="n">
        <v>-0.06</v>
      </c>
      <c r="AY169" s="299" t="n">
        <v>-0.068</v>
      </c>
      <c r="AZ169" s="299" t="n">
        <v>-0.03</v>
      </c>
      <c r="BA169" s="299" t="n">
        <v>-0.0605</v>
      </c>
      <c r="BB169" s="299" t="n">
        <v>-0.0105</v>
      </c>
      <c r="BC169" s="299" t="n">
        <v>-0.038</v>
      </c>
      <c r="BD169" s="299" t="n">
        <v>0</v>
      </c>
      <c r="BE169" s="299" t="n">
        <v>-0.0725</v>
      </c>
      <c r="BF169" s="299" t="n">
        <v>0</v>
      </c>
      <c r="BG169" s="299" t="n">
        <v>0</v>
      </c>
      <c r="BH169" s="299" t="n">
        <v>0.02</v>
      </c>
      <c r="BI169" s="299" t="n">
        <v>0</v>
      </c>
      <c r="BJ169" s="299" t="n">
        <v>0.35</v>
      </c>
      <c r="BK169" s="299" t="n">
        <v>0.0025</v>
      </c>
      <c r="BL169" s="299" t="n">
        <v>-0.01</v>
      </c>
      <c r="BM169" s="299" t="n">
        <v>0.005</v>
      </c>
      <c r="BN169" s="299" t="n">
        <v>-0.01</v>
      </c>
      <c r="BO169" s="299" t="n">
        <v>0</v>
      </c>
      <c r="BP169" s="299" t="n">
        <v>0.005</v>
      </c>
      <c r="BQ169" s="299" t="n">
        <v>0</v>
      </c>
      <c r="BR169" s="299" t="n">
        <v>0.01</v>
      </c>
      <c r="BS169" s="0" t="n">
        <v>0.005</v>
      </c>
      <c r="BT169" s="0" t="n">
        <v>0</v>
      </c>
      <c r="BU169" s="0" t="n">
        <v>0</v>
      </c>
      <c r="BV169" s="0" t="n">
        <v>0.03</v>
      </c>
    </row>
    <row r="170" customFormat="false" ht="12.75" hidden="false" customHeight="false" outlineLevel="0" collapsed="false">
      <c r="A170" s="301" t="e">
        <f aca="false">#REF!-B170</f>
        <v>#REF!</v>
      </c>
      <c r="B170" s="301" t="n">
        <v>3.867</v>
      </c>
      <c r="C170" s="308" t="n">
        <f aca="false">EOMONTH(C169,0)+1</f>
        <v>42248</v>
      </c>
      <c r="D170" s="0" t="n">
        <v>4.1725</v>
      </c>
      <c r="E170" s="301" t="n">
        <v>0.17</v>
      </c>
      <c r="F170" s="299" t="n">
        <v>0.061143566961559</v>
      </c>
      <c r="G170" s="299" t="n">
        <v>-0.13</v>
      </c>
      <c r="H170" s="299" t="n">
        <v>-0.15</v>
      </c>
      <c r="I170" s="310" t="n">
        <v>-0.09</v>
      </c>
      <c r="J170" s="310" t="n">
        <v>-0.13</v>
      </c>
      <c r="K170" s="299" t="n">
        <v>-0.09</v>
      </c>
      <c r="L170" s="299" t="n">
        <v>0</v>
      </c>
      <c r="M170" s="299" t="n">
        <v>-0.053</v>
      </c>
      <c r="N170" s="299" t="n">
        <v>-0.12</v>
      </c>
      <c r="O170" s="299" t="n">
        <v>-0.12</v>
      </c>
      <c r="P170" s="299" t="n">
        <v>-0.13</v>
      </c>
      <c r="Q170" s="299" t="n">
        <v>0</v>
      </c>
      <c r="R170" s="299" t="n">
        <v>0</v>
      </c>
      <c r="S170" s="299" t="n">
        <v>0</v>
      </c>
      <c r="T170" s="299" t="n">
        <v>0.02</v>
      </c>
      <c r="U170" s="299" t="n">
        <v>0</v>
      </c>
      <c r="V170" s="299" t="n">
        <v>0.5</v>
      </c>
      <c r="W170" s="299" t="n">
        <v>0.125</v>
      </c>
      <c r="X170" s="299" t="n">
        <v>0.145</v>
      </c>
      <c r="Y170" s="299" t="n">
        <v>-0.007499999</v>
      </c>
      <c r="Z170" s="299" t="n">
        <v>-0.0435</v>
      </c>
      <c r="AA170" s="299" t="n">
        <v>0.0175</v>
      </c>
      <c r="AB170" s="299" t="n">
        <v>0.0025</v>
      </c>
      <c r="AC170" s="299" t="n">
        <v>0.0025</v>
      </c>
      <c r="AD170" s="299" t="n">
        <v>-0.0185</v>
      </c>
      <c r="AE170" s="299" t="n">
        <v>-0.0725</v>
      </c>
      <c r="AF170" s="299" t="n">
        <v>-0.047</v>
      </c>
      <c r="AG170" s="299" t="n">
        <v>-0.0695</v>
      </c>
      <c r="AH170" s="299" t="n">
        <v>-0.0105</v>
      </c>
      <c r="AI170" s="299" t="n">
        <v>-0.072</v>
      </c>
      <c r="AJ170" s="299" t="n">
        <v>0</v>
      </c>
      <c r="AK170" s="299" t="n">
        <v>-0.017</v>
      </c>
      <c r="AL170" s="299" t="n">
        <v>0.023</v>
      </c>
      <c r="AM170" s="299" t="n">
        <v>0.36</v>
      </c>
      <c r="AN170" s="299" t="n">
        <v>0.0225</v>
      </c>
      <c r="AO170" s="299" t="n">
        <v>0</v>
      </c>
      <c r="AP170" s="299" t="n">
        <v>-0.07</v>
      </c>
      <c r="AQ170" s="299" t="n">
        <v>-0.195</v>
      </c>
      <c r="AR170" s="299" t="n">
        <v>-0.1</v>
      </c>
      <c r="AS170" s="299" t="n">
        <v>-0.37</v>
      </c>
      <c r="AT170" s="299" t="n">
        <v>0</v>
      </c>
      <c r="AU170" s="299" t="n">
        <v>0.43</v>
      </c>
      <c r="AV170" s="299" t="n">
        <v>0</v>
      </c>
      <c r="AW170" s="299" t="n">
        <v>-0.138</v>
      </c>
      <c r="AX170" s="299" t="n">
        <v>-0.06</v>
      </c>
      <c r="AY170" s="299" t="n">
        <v>-0.078</v>
      </c>
      <c r="AZ170" s="299" t="n">
        <v>0</v>
      </c>
      <c r="BA170" s="299" t="n">
        <v>-0.0655</v>
      </c>
      <c r="BB170" s="299" t="n">
        <v>-0.0105</v>
      </c>
      <c r="BC170" s="299" t="n">
        <v>-0.038</v>
      </c>
      <c r="BD170" s="299" t="n">
        <v>-0.0075</v>
      </c>
      <c r="BE170" s="299" t="n">
        <v>-0.0725</v>
      </c>
      <c r="BF170" s="299" t="n">
        <v>0</v>
      </c>
      <c r="BG170" s="299" t="n">
        <v>0</v>
      </c>
      <c r="BH170" s="299" t="n">
        <v>0.02</v>
      </c>
      <c r="BI170" s="299" t="n">
        <v>0</v>
      </c>
      <c r="BJ170" s="299" t="n">
        <v>0.315</v>
      </c>
      <c r="BK170" s="299" t="n">
        <v>0.0025</v>
      </c>
      <c r="BL170" s="299" t="n">
        <v>-0.01</v>
      </c>
      <c r="BM170" s="299" t="n">
        <v>0.005</v>
      </c>
      <c r="BN170" s="299" t="n">
        <v>-0.01</v>
      </c>
      <c r="BO170" s="299" t="n">
        <v>0</v>
      </c>
      <c r="BP170" s="299" t="n">
        <v>0.005</v>
      </c>
      <c r="BQ170" s="299" t="n">
        <v>0</v>
      </c>
      <c r="BR170" s="299" t="n">
        <v>0.01</v>
      </c>
      <c r="BS170" s="0" t="n">
        <v>0.005</v>
      </c>
      <c r="BT170" s="0" t="n">
        <v>0</v>
      </c>
      <c r="BU170" s="0" t="n">
        <v>0</v>
      </c>
      <c r="BV170" s="0" t="n">
        <v>0.03</v>
      </c>
    </row>
    <row r="171" customFormat="false" ht="12.75" hidden="false" customHeight="false" outlineLevel="0" collapsed="false">
      <c r="A171" s="301" t="e">
        <f aca="false">#REF!-B171</f>
        <v>#REF!</v>
      </c>
      <c r="B171" s="301" t="n">
        <v>3.745</v>
      </c>
      <c r="C171" s="308" t="n">
        <f aca="false">EOMONTH(C170,0)+1</f>
        <v>42278</v>
      </c>
      <c r="D171" s="0" t="n">
        <v>4.1975</v>
      </c>
      <c r="E171" s="301" t="n">
        <v>0.17</v>
      </c>
      <c r="F171" s="299" t="n">
        <v>0.0611859813798912</v>
      </c>
      <c r="G171" s="299" t="n">
        <v>-0.13</v>
      </c>
      <c r="H171" s="299" t="n">
        <v>-0.15</v>
      </c>
      <c r="I171" s="310" t="n">
        <v>-0.09</v>
      </c>
      <c r="J171" s="310" t="n">
        <v>-0.13</v>
      </c>
      <c r="K171" s="299" t="n">
        <v>-0.09</v>
      </c>
      <c r="L171" s="299" t="n">
        <v>0</v>
      </c>
      <c r="M171" s="299" t="n">
        <v>-0.053</v>
      </c>
      <c r="N171" s="299" t="n">
        <v>-0.12</v>
      </c>
      <c r="O171" s="299" t="n">
        <v>-0.12</v>
      </c>
      <c r="P171" s="299" t="n">
        <v>-0.13</v>
      </c>
      <c r="Q171" s="299" t="n">
        <v>0</v>
      </c>
      <c r="R171" s="299" t="n">
        <v>0</v>
      </c>
      <c r="S171" s="299" t="n">
        <v>0</v>
      </c>
      <c r="T171" s="299" t="n">
        <v>0.02</v>
      </c>
      <c r="U171" s="299" t="n">
        <v>0</v>
      </c>
      <c r="V171" s="299" t="n">
        <v>0.5</v>
      </c>
      <c r="W171" s="299" t="n">
        <v>0.145</v>
      </c>
      <c r="X171" s="299" t="n">
        <v>0.175</v>
      </c>
      <c r="Y171" s="299" t="n">
        <v>-0.007499999</v>
      </c>
      <c r="Z171" s="299" t="n">
        <v>-0.0435</v>
      </c>
      <c r="AA171" s="299" t="n">
        <v>0.0125</v>
      </c>
      <c r="AB171" s="299" t="n">
        <v>-0.0025</v>
      </c>
      <c r="AC171" s="299" t="n">
        <v>0.0025</v>
      </c>
      <c r="AD171" s="299" t="n">
        <v>-0.0185</v>
      </c>
      <c r="AE171" s="299" t="n">
        <v>-0.0725</v>
      </c>
      <c r="AF171" s="299" t="n">
        <v>-0.047</v>
      </c>
      <c r="AG171" s="299" t="n">
        <v>-0.0695</v>
      </c>
      <c r="AH171" s="299" t="n">
        <v>-0.0105</v>
      </c>
      <c r="AI171" s="299" t="n">
        <v>-0.072</v>
      </c>
      <c r="AJ171" s="299" t="n">
        <v>0</v>
      </c>
      <c r="AK171" s="299" t="n">
        <v>-0.017</v>
      </c>
      <c r="AL171" s="299" t="n">
        <v>0.023</v>
      </c>
      <c r="AM171" s="299" t="n">
        <v>0.4</v>
      </c>
      <c r="AN171" s="299" t="n">
        <v>0.0125</v>
      </c>
      <c r="AO171" s="299" t="n">
        <v>0</v>
      </c>
      <c r="AP171" s="299" t="n">
        <v>-0.07</v>
      </c>
      <c r="AQ171" s="299" t="n">
        <v>-0.195</v>
      </c>
      <c r="AR171" s="299" t="n">
        <v>-0.1</v>
      </c>
      <c r="AS171" s="299" t="n">
        <v>-0.37</v>
      </c>
      <c r="AT171" s="299" t="n">
        <v>0</v>
      </c>
      <c r="AU171" s="299" t="n">
        <v>0.43</v>
      </c>
      <c r="AV171" s="299" t="n">
        <v>0</v>
      </c>
      <c r="AW171" s="299" t="n">
        <v>-0.1255</v>
      </c>
      <c r="AX171" s="299" t="n">
        <v>-0.06</v>
      </c>
      <c r="AY171" s="299" t="n">
        <v>-0.0655</v>
      </c>
      <c r="AZ171" s="299" t="n">
        <v>0</v>
      </c>
      <c r="BA171" s="299" t="n">
        <v>-0.068</v>
      </c>
      <c r="BB171" s="299" t="n">
        <v>-0.0105</v>
      </c>
      <c r="BC171" s="299" t="n">
        <v>-0.038</v>
      </c>
      <c r="BD171" s="299" t="n">
        <v>-0.0175</v>
      </c>
      <c r="BE171" s="299" t="n">
        <v>-0.0725</v>
      </c>
      <c r="BF171" s="299" t="n">
        <v>0</v>
      </c>
      <c r="BG171" s="299" t="n">
        <v>0</v>
      </c>
      <c r="BH171" s="299" t="n">
        <v>0.02</v>
      </c>
      <c r="BI171" s="299" t="n">
        <v>0</v>
      </c>
      <c r="BJ171" s="299" t="n">
        <v>0.36</v>
      </c>
      <c r="BK171" s="299" t="n">
        <v>0.0025</v>
      </c>
      <c r="BL171" s="299" t="n">
        <v>-0.015</v>
      </c>
      <c r="BM171" s="299" t="n">
        <v>0.005</v>
      </c>
      <c r="BN171" s="299" t="n">
        <v>-0.01</v>
      </c>
      <c r="BO171" s="299" t="n">
        <v>0</v>
      </c>
      <c r="BP171" s="299" t="n">
        <v>0.005</v>
      </c>
      <c r="BQ171" s="299" t="n">
        <v>0</v>
      </c>
      <c r="BR171" s="299" t="n">
        <v>0.01</v>
      </c>
      <c r="BS171" s="0" t="n">
        <v>0.005</v>
      </c>
      <c r="BT171" s="0" t="n">
        <v>0</v>
      </c>
      <c r="BU171" s="0" t="n">
        <v>0</v>
      </c>
      <c r="BV171" s="0" t="n">
        <v>0.03</v>
      </c>
    </row>
    <row r="172" customFormat="false" ht="12.75" hidden="false" customHeight="false" outlineLevel="0" collapsed="false">
      <c r="A172" s="301" t="e">
        <f aca="false">#REF!-B172</f>
        <v>#REF!</v>
      </c>
      <c r="B172" s="301" t="n">
        <v>3.728</v>
      </c>
      <c r="C172" s="308" t="n">
        <f aca="false">EOMONTH(C171,0)+1</f>
        <v>42309</v>
      </c>
      <c r="D172" s="0" t="n">
        <v>4.3495</v>
      </c>
      <c r="E172" s="301" t="n">
        <v>0.17</v>
      </c>
      <c r="F172" s="299" t="n">
        <v>0.0612298096127954</v>
      </c>
      <c r="G172" s="299" t="n">
        <v>-0.13</v>
      </c>
      <c r="H172" s="299" t="n">
        <v>-0.15</v>
      </c>
      <c r="I172" s="310" t="n">
        <v>-0.01</v>
      </c>
      <c r="J172" s="310" t="n">
        <v>-0.13</v>
      </c>
      <c r="K172" s="299" t="n">
        <v>0</v>
      </c>
      <c r="L172" s="299" t="n">
        <v>0</v>
      </c>
      <c r="M172" s="299" t="n">
        <v>-0.0675</v>
      </c>
      <c r="N172" s="299" t="n">
        <v>-0.12</v>
      </c>
      <c r="O172" s="299" t="n">
        <v>-0.12</v>
      </c>
      <c r="P172" s="299" t="n">
        <v>-0.13</v>
      </c>
      <c r="Q172" s="299" t="n">
        <v>0</v>
      </c>
      <c r="R172" s="299" t="n">
        <v>0</v>
      </c>
      <c r="S172" s="299" t="n">
        <v>0</v>
      </c>
      <c r="T172" s="299" t="n">
        <v>0.02</v>
      </c>
      <c r="U172" s="299" t="n">
        <v>0</v>
      </c>
      <c r="V172" s="299" t="n">
        <v>0.5</v>
      </c>
      <c r="W172" s="299" t="n">
        <v>0.195</v>
      </c>
      <c r="X172" s="299" t="n">
        <v>0.21</v>
      </c>
      <c r="Y172" s="299" t="n">
        <v>-0.004999999</v>
      </c>
      <c r="Z172" s="299" t="n">
        <v>-0.0245</v>
      </c>
      <c r="AA172" s="299" t="n">
        <v>0.0135</v>
      </c>
      <c r="AB172" s="299" t="n">
        <v>-0.001499999</v>
      </c>
      <c r="AC172" s="299" t="n">
        <v>0.0025</v>
      </c>
      <c r="AD172" s="299" t="n">
        <v>-0.0185</v>
      </c>
      <c r="AE172" s="299" t="n">
        <v>-0.075</v>
      </c>
      <c r="AF172" s="299" t="n">
        <v>-0.0495</v>
      </c>
      <c r="AG172" s="299" t="n">
        <v>-0.072</v>
      </c>
      <c r="AH172" s="299" t="n">
        <v>-0.006999999</v>
      </c>
      <c r="AI172" s="299" t="n">
        <v>-0.064</v>
      </c>
      <c r="AJ172" s="299" t="n">
        <v>0</v>
      </c>
      <c r="AK172" s="299" t="n">
        <v>-0.008999999</v>
      </c>
      <c r="AL172" s="299" t="n">
        <v>0.031</v>
      </c>
      <c r="AM172" s="299" t="n">
        <v>0.65</v>
      </c>
      <c r="AN172" s="299" t="n">
        <v>-0.0225</v>
      </c>
      <c r="AO172" s="299" t="n">
        <v>0</v>
      </c>
      <c r="AP172" s="299" t="n">
        <v>-0.07</v>
      </c>
      <c r="AQ172" s="299" t="n">
        <v>-0.13</v>
      </c>
      <c r="AR172" s="299" t="n">
        <v>0</v>
      </c>
      <c r="AS172" s="299" t="n">
        <v>-0.26</v>
      </c>
      <c r="AT172" s="299" t="n">
        <v>0</v>
      </c>
      <c r="AU172" s="299" t="n">
        <v>0.35</v>
      </c>
      <c r="AV172" s="299" t="n">
        <v>0</v>
      </c>
      <c r="AW172" s="299" t="n">
        <v>-0.133</v>
      </c>
      <c r="AX172" s="299" t="n">
        <v>-0.06</v>
      </c>
      <c r="AY172" s="299" t="n">
        <v>-0.073</v>
      </c>
      <c r="AZ172" s="299" t="n">
        <v>0</v>
      </c>
      <c r="BA172" s="299" t="n">
        <v>-0.063</v>
      </c>
      <c r="BB172" s="299" t="n">
        <v>-0.012</v>
      </c>
      <c r="BC172" s="299" t="n">
        <v>-0.0525</v>
      </c>
      <c r="BD172" s="299" t="n">
        <v>-0.0525</v>
      </c>
      <c r="BE172" s="299" t="n">
        <v>-0.075</v>
      </c>
      <c r="BF172" s="299" t="n">
        <v>0</v>
      </c>
      <c r="BG172" s="299" t="n">
        <v>0</v>
      </c>
      <c r="BH172" s="299" t="n">
        <v>0.02</v>
      </c>
      <c r="BI172" s="299" t="n">
        <v>0</v>
      </c>
      <c r="BJ172" s="299" t="n">
        <v>0.46</v>
      </c>
      <c r="BK172" s="299" t="n">
        <v>0.0025</v>
      </c>
      <c r="BL172" s="299" t="n">
        <v>-0.02</v>
      </c>
      <c r="BM172" s="299" t="n">
        <v>0.005</v>
      </c>
      <c r="BN172" s="299" t="n">
        <v>0</v>
      </c>
      <c r="BO172" s="299" t="n">
        <v>0</v>
      </c>
      <c r="BP172" s="299" t="n">
        <v>0.005</v>
      </c>
      <c r="BQ172" s="299" t="n">
        <v>0</v>
      </c>
      <c r="BR172" s="299" t="n">
        <v>0.055</v>
      </c>
      <c r="BS172" s="0" t="n">
        <v>0.02</v>
      </c>
      <c r="BT172" s="0" t="n">
        <v>0</v>
      </c>
      <c r="BU172" s="0" t="n">
        <v>0</v>
      </c>
      <c r="BV172" s="0" t="n">
        <v>0</v>
      </c>
    </row>
    <row r="173" customFormat="false" ht="12.75" hidden="false" customHeight="false" outlineLevel="0" collapsed="false">
      <c r="A173" s="301" t="e">
        <f aca="false">#REF!-B173</f>
        <v>#REF!</v>
      </c>
      <c r="B173" s="301" t="n">
        <v>3.719</v>
      </c>
      <c r="C173" s="308" t="n">
        <f aca="false">EOMONTH(C172,0)+1</f>
        <v>42339</v>
      </c>
      <c r="D173" s="0" t="n">
        <v>4.4925</v>
      </c>
      <c r="E173" s="301" t="n">
        <v>0.17</v>
      </c>
      <c r="F173" s="299" t="n">
        <v>0.0612722240323422</v>
      </c>
      <c r="G173" s="299" t="n">
        <v>-0.1325</v>
      </c>
      <c r="H173" s="299" t="n">
        <v>-0.1525</v>
      </c>
      <c r="I173" s="310" t="n">
        <v>-0.005</v>
      </c>
      <c r="J173" s="310" t="n">
        <v>-0.13</v>
      </c>
      <c r="K173" s="299" t="n">
        <v>0.005</v>
      </c>
      <c r="L173" s="299" t="n">
        <v>0</v>
      </c>
      <c r="M173" s="299" t="n">
        <v>-0.0675</v>
      </c>
      <c r="N173" s="299" t="n">
        <v>-0.1225</v>
      </c>
      <c r="O173" s="299" t="n">
        <v>-0.1225</v>
      </c>
      <c r="P173" s="299" t="n">
        <v>-0.1325</v>
      </c>
      <c r="Q173" s="299" t="n">
        <v>0</v>
      </c>
      <c r="R173" s="299" t="n">
        <v>0</v>
      </c>
      <c r="S173" s="299" t="n">
        <v>0</v>
      </c>
      <c r="T173" s="299" t="n">
        <v>0.02</v>
      </c>
      <c r="U173" s="299" t="n">
        <v>0</v>
      </c>
      <c r="V173" s="299" t="n">
        <v>0.5</v>
      </c>
      <c r="W173" s="299" t="n">
        <v>0.215</v>
      </c>
      <c r="X173" s="299" t="n">
        <v>0.29</v>
      </c>
      <c r="Y173" s="299" t="n">
        <v>-0.004999999</v>
      </c>
      <c r="Z173" s="299" t="n">
        <v>-0.0245</v>
      </c>
      <c r="AA173" s="299" t="n">
        <v>0.0135</v>
      </c>
      <c r="AB173" s="299" t="n">
        <v>-0.001499999</v>
      </c>
      <c r="AC173" s="299" t="n">
        <v>0.0025</v>
      </c>
      <c r="AD173" s="299" t="n">
        <v>-0.0185</v>
      </c>
      <c r="AE173" s="299" t="n">
        <v>-0.075</v>
      </c>
      <c r="AF173" s="299" t="n">
        <v>-0.0475</v>
      </c>
      <c r="AG173" s="299" t="n">
        <v>-0.07</v>
      </c>
      <c r="AH173" s="299" t="n">
        <v>-0.004499999</v>
      </c>
      <c r="AI173" s="299" t="n">
        <v>-0.064</v>
      </c>
      <c r="AJ173" s="299" t="n">
        <v>0</v>
      </c>
      <c r="AK173" s="299" t="n">
        <v>-0.008999999</v>
      </c>
      <c r="AL173" s="299" t="n">
        <v>0.031</v>
      </c>
      <c r="AM173" s="299" t="n">
        <v>0.98</v>
      </c>
      <c r="AN173" s="299" t="n">
        <v>-0.045</v>
      </c>
      <c r="AO173" s="299" t="n">
        <v>0</v>
      </c>
      <c r="AP173" s="299" t="n">
        <v>-0.07</v>
      </c>
      <c r="AQ173" s="299" t="n">
        <v>-0.13</v>
      </c>
      <c r="AR173" s="299" t="n">
        <v>0</v>
      </c>
      <c r="AS173" s="299" t="n">
        <v>-0.26</v>
      </c>
      <c r="AT173" s="299" t="n">
        <v>0</v>
      </c>
      <c r="AU173" s="299" t="n">
        <v>0.35</v>
      </c>
      <c r="AV173" s="299" t="n">
        <v>0</v>
      </c>
      <c r="AW173" s="299" t="n">
        <v>-0.1605</v>
      </c>
      <c r="AX173" s="299" t="n">
        <v>-0.06</v>
      </c>
      <c r="AY173" s="299" t="n">
        <v>-0.1005</v>
      </c>
      <c r="AZ173" s="299" t="n">
        <v>0</v>
      </c>
      <c r="BA173" s="299" t="n">
        <v>-0.0905</v>
      </c>
      <c r="BB173" s="299" t="n">
        <v>-0.009499999</v>
      </c>
      <c r="BC173" s="299" t="n">
        <v>-0.0525</v>
      </c>
      <c r="BD173" s="299" t="n">
        <v>-0.075</v>
      </c>
      <c r="BE173" s="299" t="n">
        <v>-0.075</v>
      </c>
      <c r="BF173" s="299" t="n">
        <v>0</v>
      </c>
      <c r="BG173" s="299" t="n">
        <v>0</v>
      </c>
      <c r="BH173" s="299" t="n">
        <v>0.02</v>
      </c>
      <c r="BI173" s="299" t="n">
        <v>0</v>
      </c>
      <c r="BJ173" s="299" t="n">
        <v>0.77</v>
      </c>
      <c r="BK173" s="299" t="n">
        <v>0.0025</v>
      </c>
      <c r="BL173" s="299" t="n">
        <v>-0.025</v>
      </c>
      <c r="BM173" s="299" t="n">
        <v>0.005</v>
      </c>
      <c r="BN173" s="299" t="n">
        <v>0</v>
      </c>
      <c r="BO173" s="299" t="n">
        <v>0</v>
      </c>
      <c r="BP173" s="299" t="n">
        <v>0.005</v>
      </c>
      <c r="BQ173" s="299" t="n">
        <v>0</v>
      </c>
      <c r="BR173" s="299" t="n">
        <v>0.25</v>
      </c>
      <c r="BS173" s="0" t="n">
        <v>0.02</v>
      </c>
      <c r="BT173" s="0" t="n">
        <v>0</v>
      </c>
      <c r="BU173" s="0" t="n">
        <v>0</v>
      </c>
      <c r="BV173" s="0" t="n">
        <v>0</v>
      </c>
    </row>
    <row r="174" customFormat="false" ht="12.75" hidden="false" customHeight="false" outlineLevel="0" collapsed="false">
      <c r="A174" s="301" t="e">
        <f aca="false">#REF!-B174</f>
        <v>#REF!</v>
      </c>
      <c r="B174" s="301" t="n">
        <v>3.784</v>
      </c>
      <c r="C174" s="308" t="n">
        <f aca="false">EOMONTH(C173,0)+1</f>
        <v>42370</v>
      </c>
      <c r="D174" s="0" t="n">
        <v>4.5525</v>
      </c>
      <c r="E174" s="301" t="n">
        <v>0.17</v>
      </c>
      <c r="F174" s="299" t="n">
        <v>0.0613160522665019</v>
      </c>
      <c r="G174" s="299" t="n">
        <v>-0.135</v>
      </c>
      <c r="H174" s="299" t="n">
        <v>-0.155</v>
      </c>
      <c r="I174" s="310" t="n">
        <v>0.015</v>
      </c>
      <c r="J174" s="310" t="n">
        <v>-0.13</v>
      </c>
      <c r="K174" s="299" t="n">
        <v>0.025</v>
      </c>
      <c r="L174" s="299" t="n">
        <v>0</v>
      </c>
      <c r="M174" s="299" t="n">
        <v>-0.0675</v>
      </c>
      <c r="N174" s="299" t="n">
        <v>-0.125</v>
      </c>
      <c r="O174" s="299" t="n">
        <v>-0.125</v>
      </c>
      <c r="P174" s="299" t="n">
        <v>-0.135</v>
      </c>
      <c r="Q174" s="299" t="n">
        <v>0</v>
      </c>
      <c r="R174" s="299" t="n">
        <v>0</v>
      </c>
      <c r="S174" s="299" t="n">
        <v>0</v>
      </c>
      <c r="T174" s="299" t="n">
        <v>0.02</v>
      </c>
      <c r="U174" s="299" t="n">
        <v>0</v>
      </c>
      <c r="V174" s="299" t="n">
        <v>0.5</v>
      </c>
      <c r="W174" s="299" t="n">
        <v>0.235</v>
      </c>
      <c r="X174" s="299" t="n">
        <v>0.34</v>
      </c>
      <c r="Y174" s="299" t="n">
        <v>-0.002999999</v>
      </c>
      <c r="Z174" s="299" t="n">
        <v>-0.0245</v>
      </c>
      <c r="AA174" s="299" t="n">
        <v>0.0135</v>
      </c>
      <c r="AB174" s="299" t="n">
        <v>-0.001499999</v>
      </c>
      <c r="AC174" s="299" t="n">
        <v>0.0025</v>
      </c>
      <c r="AD174" s="299" t="n">
        <v>-0.0165</v>
      </c>
      <c r="AE174" s="299" t="n">
        <v>-0.075</v>
      </c>
      <c r="AF174" s="299" t="n">
        <v>-0.0475</v>
      </c>
      <c r="AG174" s="299" t="n">
        <v>-0.07</v>
      </c>
      <c r="AH174" s="299" t="n">
        <v>-0.004499999</v>
      </c>
      <c r="AI174" s="299" t="n">
        <v>-0.064</v>
      </c>
      <c r="AJ174" s="299" t="n">
        <v>0</v>
      </c>
      <c r="AK174" s="299" t="n">
        <v>-0.008999999</v>
      </c>
      <c r="AL174" s="299" t="n">
        <v>0.031</v>
      </c>
      <c r="AM174" s="299" t="n">
        <v>1.6</v>
      </c>
      <c r="AN174" s="299" t="n">
        <v>-0.0475</v>
      </c>
      <c r="AO174" s="299" t="n">
        <v>0</v>
      </c>
      <c r="AP174" s="299" t="n">
        <v>-0.07</v>
      </c>
      <c r="AQ174" s="299" t="n">
        <v>-0.13</v>
      </c>
      <c r="AR174" s="299" t="n">
        <v>0</v>
      </c>
      <c r="AS174" s="299" t="n">
        <v>-0.26</v>
      </c>
      <c r="AT174" s="299" t="n">
        <v>0</v>
      </c>
      <c r="AU174" s="299" t="n">
        <v>0.35</v>
      </c>
      <c r="AV174" s="299" t="n">
        <v>0</v>
      </c>
      <c r="AW174" s="299" t="n">
        <v>-0.1755</v>
      </c>
      <c r="AX174" s="299" t="n">
        <v>-0.06</v>
      </c>
      <c r="AY174" s="299" t="n">
        <v>-0.1155</v>
      </c>
      <c r="AZ174" s="299" t="n">
        <v>0</v>
      </c>
      <c r="BA174" s="299" t="n">
        <v>-0.091</v>
      </c>
      <c r="BB174" s="299" t="n">
        <v>-0.009499999</v>
      </c>
      <c r="BC174" s="299" t="n">
        <v>-0.0525</v>
      </c>
      <c r="BD174" s="299" t="n">
        <v>-0.0775</v>
      </c>
      <c r="BE174" s="299" t="n">
        <v>-0.075</v>
      </c>
      <c r="BF174" s="299" t="n">
        <v>0</v>
      </c>
      <c r="BG174" s="299" t="n">
        <v>0</v>
      </c>
      <c r="BH174" s="299" t="n">
        <v>0.02</v>
      </c>
      <c r="BI174" s="299" t="n">
        <v>0</v>
      </c>
      <c r="BJ174" s="299" t="n">
        <v>1.04</v>
      </c>
      <c r="BK174" s="299" t="n">
        <v>0.0025</v>
      </c>
      <c r="BL174" s="299" t="n">
        <v>-0.025</v>
      </c>
      <c r="BM174" s="299" t="n">
        <v>0.005</v>
      </c>
      <c r="BN174" s="299" t="n">
        <v>0</v>
      </c>
      <c r="BO174" s="299" t="n">
        <v>0</v>
      </c>
      <c r="BP174" s="299" t="n">
        <v>0.005</v>
      </c>
      <c r="BQ174" s="299" t="n">
        <v>0</v>
      </c>
      <c r="BR174" s="299" t="n">
        <v>0.45</v>
      </c>
      <c r="BS174" s="0" t="n">
        <v>0.02</v>
      </c>
      <c r="BT174" s="0" t="n">
        <v>0</v>
      </c>
      <c r="BU174" s="0" t="n">
        <v>0</v>
      </c>
      <c r="BV174" s="0" t="n">
        <v>0</v>
      </c>
    </row>
    <row r="175" customFormat="false" ht="12.75" hidden="false" customHeight="false" outlineLevel="0" collapsed="false">
      <c r="A175" s="301" t="e">
        <f aca="false">#REF!-B175</f>
        <v>#REF!</v>
      </c>
      <c r="B175" s="301" t="n">
        <v>3.779</v>
      </c>
      <c r="C175" s="308" t="n">
        <f aca="false">EOMONTH(C174,0)+1</f>
        <v>42401</v>
      </c>
      <c r="D175" s="0" t="n">
        <v>4.4675</v>
      </c>
      <c r="E175" s="301" t="n">
        <v>0.17</v>
      </c>
      <c r="F175" s="299" t="n">
        <v>0.0613598805012994</v>
      </c>
      <c r="G175" s="299" t="n">
        <v>-0.1275</v>
      </c>
      <c r="H175" s="299" t="n">
        <v>-0.1475</v>
      </c>
      <c r="I175" s="310" t="n">
        <v>0.01</v>
      </c>
      <c r="J175" s="310" t="n">
        <v>-0.13</v>
      </c>
      <c r="K175" s="299" t="n">
        <v>0.02</v>
      </c>
      <c r="L175" s="299" t="n">
        <v>0</v>
      </c>
      <c r="M175" s="299" t="n">
        <v>-0.0675</v>
      </c>
      <c r="N175" s="299" t="n">
        <v>-0.1175</v>
      </c>
      <c r="O175" s="299" t="n">
        <v>-0.1175</v>
      </c>
      <c r="P175" s="299" t="n">
        <v>-0.1275</v>
      </c>
      <c r="Q175" s="299" t="n">
        <v>0</v>
      </c>
      <c r="R175" s="299" t="n">
        <v>0</v>
      </c>
      <c r="S175" s="299" t="n">
        <v>0</v>
      </c>
      <c r="T175" s="299" t="n">
        <v>0.02</v>
      </c>
      <c r="U175" s="299" t="n">
        <v>0</v>
      </c>
      <c r="V175" s="299" t="n">
        <v>0.5</v>
      </c>
      <c r="W175" s="299" t="n">
        <v>0.235</v>
      </c>
      <c r="X175" s="299" t="n">
        <v>0.34</v>
      </c>
      <c r="Y175" s="299" t="n">
        <v>-0.002999999</v>
      </c>
      <c r="Z175" s="299" t="n">
        <v>-0.0245</v>
      </c>
      <c r="AA175" s="299" t="n">
        <v>0.0135</v>
      </c>
      <c r="AB175" s="299" t="n">
        <v>-0.001499999</v>
      </c>
      <c r="AC175" s="299" t="n">
        <v>0.0025</v>
      </c>
      <c r="AD175" s="299" t="n">
        <v>-0.0165</v>
      </c>
      <c r="AE175" s="299" t="n">
        <v>-0.075</v>
      </c>
      <c r="AF175" s="299" t="n">
        <v>-0.0475</v>
      </c>
      <c r="AG175" s="299" t="n">
        <v>-0.07</v>
      </c>
      <c r="AH175" s="299" t="n">
        <v>-0.004499999</v>
      </c>
      <c r="AI175" s="299" t="n">
        <v>-0.064</v>
      </c>
      <c r="AJ175" s="299" t="n">
        <v>0</v>
      </c>
      <c r="AK175" s="299" t="n">
        <v>-0.008999999</v>
      </c>
      <c r="AL175" s="299" t="n">
        <v>0.031</v>
      </c>
      <c r="AM175" s="299" t="n">
        <v>1.6</v>
      </c>
      <c r="AN175" s="299" t="n">
        <v>-0.03</v>
      </c>
      <c r="AO175" s="299" t="n">
        <v>0</v>
      </c>
      <c r="AP175" s="299" t="n">
        <v>-0.07</v>
      </c>
      <c r="AQ175" s="299" t="n">
        <v>-0.13</v>
      </c>
      <c r="AR175" s="299" t="n">
        <v>0</v>
      </c>
      <c r="AS175" s="299" t="n">
        <v>-0.26</v>
      </c>
      <c r="AT175" s="299" t="n">
        <v>0</v>
      </c>
      <c r="AU175" s="299" t="n">
        <v>0.35</v>
      </c>
      <c r="AV175" s="299" t="n">
        <v>0</v>
      </c>
      <c r="AW175" s="299" t="n">
        <v>-0.1655</v>
      </c>
      <c r="AX175" s="299" t="n">
        <v>-0.06</v>
      </c>
      <c r="AY175" s="299" t="n">
        <v>-0.1055</v>
      </c>
      <c r="AZ175" s="299" t="n">
        <v>0</v>
      </c>
      <c r="BA175" s="299" t="n">
        <v>-0.091</v>
      </c>
      <c r="BB175" s="299" t="n">
        <v>-0.009499999</v>
      </c>
      <c r="BC175" s="299" t="n">
        <v>-0.0525</v>
      </c>
      <c r="BD175" s="299" t="n">
        <v>-0.06</v>
      </c>
      <c r="BE175" s="299" t="n">
        <v>-0.075</v>
      </c>
      <c r="BF175" s="299" t="n">
        <v>0</v>
      </c>
      <c r="BG175" s="299" t="n">
        <v>0</v>
      </c>
      <c r="BH175" s="299" t="n">
        <v>0.02</v>
      </c>
      <c r="BI175" s="299" t="n">
        <v>0</v>
      </c>
      <c r="BJ175" s="299" t="n">
        <v>1.04</v>
      </c>
      <c r="BK175" s="299" t="n">
        <v>0.0025</v>
      </c>
      <c r="BL175" s="299" t="n">
        <v>-0.025</v>
      </c>
      <c r="BM175" s="299" t="n">
        <v>0.005</v>
      </c>
      <c r="BN175" s="299" t="n">
        <v>0</v>
      </c>
      <c r="BO175" s="299" t="n">
        <v>0</v>
      </c>
      <c r="BP175" s="299" t="n">
        <v>0.005</v>
      </c>
      <c r="BQ175" s="299" t="n">
        <v>0</v>
      </c>
      <c r="BR175" s="299" t="n">
        <v>0.45</v>
      </c>
      <c r="BS175" s="0" t="n">
        <v>0.02</v>
      </c>
      <c r="BT175" s="0" t="n">
        <v>0</v>
      </c>
      <c r="BU175" s="0" t="n">
        <v>0</v>
      </c>
      <c r="BV175" s="0" t="n">
        <v>0</v>
      </c>
    </row>
    <row r="176" customFormat="false" ht="12.75" hidden="false" customHeight="false" outlineLevel="0" collapsed="false">
      <c r="A176" s="301"/>
      <c r="B176" s="301" t="n">
        <v>3.758</v>
      </c>
      <c r="C176" s="308" t="n">
        <f aca="false">EOMONTH(C175,0)+1</f>
        <v>42430</v>
      </c>
      <c r="D176" s="0" t="n">
        <v>4.3375</v>
      </c>
      <c r="E176" s="301" t="n">
        <v>0.17</v>
      </c>
      <c r="F176" s="299" t="n">
        <v>0.0614008811086224</v>
      </c>
      <c r="G176" s="299" t="n">
        <v>-0.125</v>
      </c>
      <c r="H176" s="299" t="n">
        <v>-0.145</v>
      </c>
      <c r="I176" s="310" t="n">
        <v>-0.01</v>
      </c>
      <c r="J176" s="310" t="n">
        <v>-0.13</v>
      </c>
      <c r="K176" s="299" t="n">
        <v>0</v>
      </c>
      <c r="L176" s="299" t="n">
        <v>0</v>
      </c>
      <c r="M176" s="299" t="n">
        <v>-0.0675</v>
      </c>
      <c r="N176" s="299" t="n">
        <v>-0.115</v>
      </c>
      <c r="O176" s="299" t="n">
        <v>-0.115</v>
      </c>
      <c r="P176" s="299" t="n">
        <v>-0.125</v>
      </c>
      <c r="Q176" s="299" t="n">
        <v>0</v>
      </c>
      <c r="R176" s="299" t="n">
        <v>0</v>
      </c>
      <c r="S176" s="299" t="n">
        <v>0</v>
      </c>
      <c r="T176" s="299" t="n">
        <v>0.02</v>
      </c>
      <c r="U176" s="299" t="n">
        <v>0</v>
      </c>
      <c r="V176" s="299" t="n">
        <v>0.5</v>
      </c>
      <c r="W176" s="299" t="n">
        <v>0.195</v>
      </c>
      <c r="X176" s="299" t="n">
        <v>0.29</v>
      </c>
      <c r="Y176" s="299" t="n">
        <v>-0.002999999</v>
      </c>
      <c r="Z176" s="299" t="n">
        <v>-0.0245</v>
      </c>
      <c r="AA176" s="299" t="n">
        <v>0.021</v>
      </c>
      <c r="AB176" s="299" t="n">
        <v>0.006</v>
      </c>
      <c r="AC176" s="299" t="n">
        <v>0.0025</v>
      </c>
      <c r="AD176" s="299" t="n">
        <v>0</v>
      </c>
      <c r="AE176" s="299" t="n">
        <v>-0.075</v>
      </c>
      <c r="AF176" s="299" t="n">
        <v>-0.0475</v>
      </c>
      <c r="AG176" s="299" t="n">
        <v>-0.07</v>
      </c>
      <c r="AH176" s="299" t="n">
        <v>-0.004499999</v>
      </c>
      <c r="AI176" s="299" t="n">
        <v>-0.064</v>
      </c>
      <c r="AJ176" s="299" t="n">
        <v>0</v>
      </c>
      <c r="AK176" s="299" t="n">
        <v>-0.008999999</v>
      </c>
      <c r="AL176" s="299" t="n">
        <v>0.031</v>
      </c>
      <c r="AM176" s="299" t="n">
        <v>0.64</v>
      </c>
      <c r="AN176" s="299" t="n">
        <v>-0.0175</v>
      </c>
      <c r="AO176" s="299" t="n">
        <v>0</v>
      </c>
      <c r="AP176" s="299" t="n">
        <v>-0.07</v>
      </c>
      <c r="AQ176" s="299" t="n">
        <v>-0.13</v>
      </c>
      <c r="AR176" s="299" t="n">
        <v>0</v>
      </c>
      <c r="AS176" s="299" t="n">
        <v>-0.26</v>
      </c>
      <c r="AT176" s="299" t="n">
        <v>0</v>
      </c>
      <c r="AU176" s="299" t="n">
        <v>0.35</v>
      </c>
      <c r="AV176" s="299" t="n">
        <v>0</v>
      </c>
      <c r="AW176" s="299" t="n">
        <v>-0.1555</v>
      </c>
      <c r="AX176" s="299" t="n">
        <v>-0.06</v>
      </c>
      <c r="AY176" s="299" t="n">
        <v>-0.0955</v>
      </c>
      <c r="AZ176" s="299" t="n">
        <v>0</v>
      </c>
      <c r="BA176" s="299" t="n">
        <v>-0.091</v>
      </c>
      <c r="BB176" s="299" t="n">
        <v>-0.009499999</v>
      </c>
      <c r="BC176" s="299" t="n">
        <v>-0.0525</v>
      </c>
      <c r="BD176" s="299" t="n">
        <v>-0.0475</v>
      </c>
      <c r="BE176" s="299" t="n">
        <v>-0.075</v>
      </c>
      <c r="BF176" s="299" t="n">
        <v>0</v>
      </c>
      <c r="BG176" s="299" t="n">
        <v>0</v>
      </c>
      <c r="BH176" s="299" t="n">
        <v>0.02</v>
      </c>
      <c r="BI176" s="299" t="n">
        <v>0</v>
      </c>
      <c r="BJ176" s="299" t="n">
        <v>0.54</v>
      </c>
      <c r="BK176" s="299" t="n">
        <v>0</v>
      </c>
      <c r="BL176" s="299" t="n">
        <v>-0.02</v>
      </c>
      <c r="BM176" s="299" t="n">
        <v>0.005</v>
      </c>
      <c r="BN176" s="299" t="n">
        <v>0</v>
      </c>
      <c r="BO176" s="299" t="n">
        <v>0</v>
      </c>
      <c r="BP176" s="299" t="n">
        <v>0.005</v>
      </c>
      <c r="BQ176" s="299" t="n">
        <v>0</v>
      </c>
      <c r="BR176" s="299" t="n">
        <v>0.1</v>
      </c>
      <c r="BS176" s="0" t="n">
        <v>0.02</v>
      </c>
      <c r="BT176" s="0" t="n">
        <v>0</v>
      </c>
      <c r="BU176" s="0" t="n">
        <v>0</v>
      </c>
      <c r="BV176" s="0" t="n">
        <v>0</v>
      </c>
    </row>
    <row r="177" customFormat="false" ht="12.75" hidden="false" customHeight="false" outlineLevel="0" collapsed="false">
      <c r="A177" s="301"/>
      <c r="B177" s="301" t="n">
        <v>3.765</v>
      </c>
      <c r="C177" s="308" t="n">
        <f aca="false">EOMONTH(C176,0)+1</f>
        <v>42461</v>
      </c>
      <c r="D177" s="0" t="n">
        <v>4.1525</v>
      </c>
      <c r="E177" s="301" t="n">
        <v>0.17</v>
      </c>
      <c r="F177" s="299" t="n">
        <v>0.061444709344654</v>
      </c>
      <c r="G177" s="299" t="n">
        <v>-0.13</v>
      </c>
      <c r="H177" s="299" t="n">
        <v>-0.15</v>
      </c>
      <c r="I177" s="310" t="n">
        <v>-0.09</v>
      </c>
      <c r="J177" s="310" t="n">
        <v>-0.13</v>
      </c>
      <c r="K177" s="299" t="n">
        <v>-0.09</v>
      </c>
      <c r="L177" s="299" t="n">
        <v>0</v>
      </c>
      <c r="M177" s="299" t="n">
        <v>-0.0505</v>
      </c>
      <c r="N177" s="299" t="n">
        <v>-0.12</v>
      </c>
      <c r="O177" s="299" t="n">
        <v>-0.12</v>
      </c>
      <c r="P177" s="299" t="n">
        <v>-0.13</v>
      </c>
      <c r="Q177" s="299" t="n">
        <v>0</v>
      </c>
      <c r="R177" s="299" t="n">
        <v>0</v>
      </c>
      <c r="S177" s="299" t="n">
        <v>0</v>
      </c>
      <c r="T177" s="299" t="n">
        <v>0.02</v>
      </c>
      <c r="U177" s="299" t="n">
        <v>0</v>
      </c>
      <c r="V177" s="299" t="n">
        <v>0.5</v>
      </c>
      <c r="W177" s="299" t="n">
        <v>0.145</v>
      </c>
      <c r="X177" s="299" t="n">
        <v>0.195</v>
      </c>
      <c r="Y177" s="299" t="n">
        <v>-0.005499999</v>
      </c>
      <c r="Z177" s="299" t="n">
        <v>-0.0395</v>
      </c>
      <c r="AA177" s="299" t="n">
        <v>0.021</v>
      </c>
      <c r="AB177" s="299" t="n">
        <v>0.006</v>
      </c>
      <c r="AC177" s="299" t="n">
        <v>0.0025</v>
      </c>
      <c r="AD177" s="299" t="n">
        <v>0</v>
      </c>
      <c r="AE177" s="299" t="n">
        <v>-0.0725</v>
      </c>
      <c r="AF177" s="299" t="n">
        <v>-0.045</v>
      </c>
      <c r="AG177" s="299" t="n">
        <v>-0.0675</v>
      </c>
      <c r="AH177" s="299" t="n">
        <v>-0.009499999</v>
      </c>
      <c r="AI177" s="299" t="n">
        <v>-0.072</v>
      </c>
      <c r="AJ177" s="299" t="n">
        <v>0</v>
      </c>
      <c r="AK177" s="299" t="n">
        <v>-0.017</v>
      </c>
      <c r="AL177" s="299" t="n">
        <v>0.023</v>
      </c>
      <c r="AM177" s="299" t="n">
        <v>0.38</v>
      </c>
      <c r="AN177" s="299" t="n">
        <v>0.02</v>
      </c>
      <c r="AO177" s="299" t="n">
        <v>0</v>
      </c>
      <c r="AP177" s="299" t="n">
        <v>-0.07</v>
      </c>
      <c r="AQ177" s="299" t="n">
        <v>-0.195</v>
      </c>
      <c r="AR177" s="299" t="n">
        <v>0</v>
      </c>
      <c r="AS177" s="299" t="n">
        <v>-0.37</v>
      </c>
      <c r="AT177" s="299" t="n">
        <v>0</v>
      </c>
      <c r="AU177" s="299" t="n">
        <v>0.43</v>
      </c>
      <c r="AV177" s="299" t="n">
        <v>0</v>
      </c>
      <c r="AW177" s="299" t="n">
        <v>-0.196</v>
      </c>
      <c r="AX177" s="299" t="n">
        <v>-0.06</v>
      </c>
      <c r="AY177" s="299" t="n">
        <v>-0.136</v>
      </c>
      <c r="AZ177" s="299" t="n">
        <v>0</v>
      </c>
      <c r="BA177" s="299" t="n">
        <v>-0.1135</v>
      </c>
      <c r="BB177" s="299" t="n">
        <v>-0.009499999</v>
      </c>
      <c r="BC177" s="299" t="n">
        <v>-0.0355</v>
      </c>
      <c r="BD177" s="299" t="n">
        <v>-0.01</v>
      </c>
      <c r="BE177" s="299" t="n">
        <v>-0.0725</v>
      </c>
      <c r="BF177" s="299" t="n">
        <v>0</v>
      </c>
      <c r="BG177" s="299" t="n">
        <v>0</v>
      </c>
      <c r="BH177" s="299" t="n">
        <v>0.02</v>
      </c>
      <c r="BI177" s="299" t="n">
        <v>0</v>
      </c>
      <c r="BJ177" s="299" t="n">
        <v>0.36</v>
      </c>
      <c r="BK177" s="299" t="n">
        <v>0</v>
      </c>
      <c r="BL177" s="299" t="n">
        <v>-0.015</v>
      </c>
      <c r="BM177" s="299" t="n">
        <v>0.005</v>
      </c>
      <c r="BN177" s="299" t="n">
        <v>-0.01</v>
      </c>
      <c r="BO177" s="299" t="n">
        <v>0</v>
      </c>
      <c r="BP177" s="299" t="n">
        <v>0.005</v>
      </c>
      <c r="BQ177" s="299" t="n">
        <v>0</v>
      </c>
      <c r="BR177" s="299" t="n">
        <v>0.02</v>
      </c>
      <c r="BS177" s="0" t="n">
        <v>0.005</v>
      </c>
      <c r="BT177" s="0" t="n">
        <v>0</v>
      </c>
      <c r="BU177" s="0" t="n">
        <v>0</v>
      </c>
      <c r="BV177" s="0" t="n">
        <v>0</v>
      </c>
    </row>
    <row r="178" customFormat="false" ht="12.75" hidden="false" customHeight="false" outlineLevel="0" collapsed="false">
      <c r="A178" s="301"/>
      <c r="B178" s="301" t="n">
        <v>3.822</v>
      </c>
      <c r="C178" s="308" t="n">
        <f aca="false">EOMONTH(C177,0)+1</f>
        <v>42491</v>
      </c>
      <c r="D178" s="0" t="n">
        <v>4.1475</v>
      </c>
      <c r="E178" s="301" t="n">
        <v>0.17</v>
      </c>
      <c r="F178" s="299" t="n">
        <v>0.0614871237672272</v>
      </c>
      <c r="G178" s="299" t="n">
        <v>0</v>
      </c>
      <c r="H178" s="299" t="n">
        <v>0</v>
      </c>
      <c r="I178" s="310" t="n">
        <v>0</v>
      </c>
      <c r="J178" s="310" t="n">
        <v>0</v>
      </c>
      <c r="K178" s="299" t="n">
        <v>0</v>
      </c>
      <c r="L178" s="299" t="n">
        <v>0</v>
      </c>
      <c r="M178" s="299" t="n">
        <v>0</v>
      </c>
      <c r="N178" s="299" t="n">
        <v>0</v>
      </c>
      <c r="O178" s="299" t="n">
        <v>0</v>
      </c>
      <c r="P178" s="299" t="n">
        <v>0</v>
      </c>
      <c r="Q178" s="299" t="n">
        <v>0</v>
      </c>
      <c r="R178" s="299" t="n">
        <v>0</v>
      </c>
      <c r="S178" s="299" t="n">
        <v>0</v>
      </c>
      <c r="T178" s="299" t="n">
        <v>0.02</v>
      </c>
      <c r="U178" s="299" t="n">
        <v>0</v>
      </c>
      <c r="V178" s="299" t="n">
        <v>0.5</v>
      </c>
      <c r="W178" s="299" t="n">
        <v>0.125</v>
      </c>
      <c r="X178" s="299" t="n">
        <v>0.135</v>
      </c>
      <c r="Y178" s="299" t="n">
        <v>-0.005499999</v>
      </c>
      <c r="Z178" s="299" t="n">
        <v>-0.0395</v>
      </c>
      <c r="AA178" s="299" t="n">
        <v>0.0235</v>
      </c>
      <c r="AB178" s="299" t="n">
        <v>0.0085</v>
      </c>
      <c r="AC178" s="299" t="n">
        <v>0.0025</v>
      </c>
      <c r="AD178" s="299" t="n">
        <v>0</v>
      </c>
      <c r="AE178" s="299" t="n">
        <v>-0.0725</v>
      </c>
      <c r="AF178" s="299" t="n">
        <v>-0.045</v>
      </c>
      <c r="AG178" s="299" t="n">
        <v>-0.0675</v>
      </c>
      <c r="AH178" s="299" t="n">
        <v>-0.009499999</v>
      </c>
      <c r="AI178" s="299" t="n">
        <v>-0.072</v>
      </c>
      <c r="AJ178" s="299" t="n">
        <v>0</v>
      </c>
      <c r="AK178" s="299" t="n">
        <v>-0.017</v>
      </c>
      <c r="AL178" s="299" t="n">
        <v>0.023</v>
      </c>
      <c r="AM178" s="299" t="n">
        <v>0.33</v>
      </c>
      <c r="AN178" s="299" t="n">
        <v>0.02</v>
      </c>
      <c r="AO178" s="299" t="n">
        <v>0</v>
      </c>
      <c r="AP178" s="299" t="n">
        <v>-0.07</v>
      </c>
      <c r="AQ178" s="299" t="n">
        <v>-0.195</v>
      </c>
      <c r="AR178" s="299" t="n">
        <v>0</v>
      </c>
      <c r="AS178" s="299" t="n">
        <v>-0.37</v>
      </c>
      <c r="AT178" s="299" t="n">
        <v>0</v>
      </c>
      <c r="AU178" s="299" t="n">
        <v>0.43</v>
      </c>
      <c r="AV178" s="299" t="n">
        <v>0</v>
      </c>
      <c r="AW178" s="299" t="n">
        <v>-0.1735</v>
      </c>
      <c r="AX178" s="299" t="n">
        <v>-0.06</v>
      </c>
      <c r="AY178" s="299" t="n">
        <v>-0.1135</v>
      </c>
      <c r="AZ178" s="299" t="n">
        <v>0</v>
      </c>
      <c r="BA178" s="299" t="n">
        <v>-0.106</v>
      </c>
      <c r="BB178" s="299" t="n">
        <v>-0.009499999</v>
      </c>
      <c r="BC178" s="299" t="n">
        <v>0</v>
      </c>
      <c r="BD178" s="299" t="n">
        <v>-0.01</v>
      </c>
      <c r="BE178" s="299" t="n">
        <v>-0.0725</v>
      </c>
      <c r="BF178" s="299" t="n">
        <v>0</v>
      </c>
      <c r="BG178" s="299" t="n">
        <v>0</v>
      </c>
      <c r="BH178" s="299" t="n">
        <v>0.02</v>
      </c>
      <c r="BI178" s="299" t="n">
        <v>0</v>
      </c>
      <c r="BJ178" s="299" t="n">
        <v>0.325</v>
      </c>
      <c r="BK178" s="299" t="n">
        <v>0</v>
      </c>
      <c r="BL178" s="299" t="n">
        <v>-0.015</v>
      </c>
      <c r="BM178" s="299" t="n">
        <v>0.005</v>
      </c>
      <c r="BN178" s="299" t="n">
        <v>0</v>
      </c>
      <c r="BO178" s="299" t="n">
        <v>0</v>
      </c>
      <c r="BP178" s="299" t="n">
        <v>0.005</v>
      </c>
      <c r="BQ178" s="299" t="n">
        <v>0</v>
      </c>
      <c r="BR178" s="299" t="n">
        <v>0.02</v>
      </c>
      <c r="BS178" s="0" t="n">
        <v>0.005</v>
      </c>
      <c r="BT178" s="0" t="n">
        <v>0</v>
      </c>
      <c r="BU178" s="0" t="n">
        <v>0</v>
      </c>
      <c r="BV178" s="0" t="n">
        <v>0</v>
      </c>
    </row>
    <row r="179" customFormat="false" ht="12.75" hidden="false" customHeight="false" outlineLevel="0" collapsed="false">
      <c r="A179" s="301"/>
      <c r="B179" s="301" t="n">
        <v>3.898</v>
      </c>
      <c r="C179" s="308" t="n">
        <f aca="false">EOMONTH(C178,0)+1</f>
        <v>42522</v>
      </c>
      <c r="D179" s="0" t="n">
        <v>4.1825</v>
      </c>
      <c r="E179" s="301" t="n">
        <v>0.17</v>
      </c>
      <c r="F179" s="299" t="n">
        <v>0.0615309520045142</v>
      </c>
      <c r="G179" s="299" t="n">
        <v>0</v>
      </c>
      <c r="H179" s="299" t="n">
        <v>0</v>
      </c>
      <c r="I179" s="310" t="n">
        <v>0</v>
      </c>
      <c r="J179" s="310" t="n">
        <v>0</v>
      </c>
      <c r="K179" s="299" t="n">
        <v>0</v>
      </c>
      <c r="L179" s="299" t="n">
        <v>0</v>
      </c>
      <c r="M179" s="299" t="n">
        <v>0</v>
      </c>
      <c r="N179" s="299" t="n">
        <v>0</v>
      </c>
      <c r="O179" s="299" t="n">
        <v>0</v>
      </c>
      <c r="P179" s="299" t="n">
        <v>0</v>
      </c>
      <c r="Q179" s="299" t="n">
        <v>0</v>
      </c>
      <c r="R179" s="299" t="n">
        <v>0</v>
      </c>
      <c r="S179" s="299" t="n">
        <v>0</v>
      </c>
      <c r="T179" s="299" t="n">
        <v>0</v>
      </c>
      <c r="U179" s="299" t="n">
        <v>0</v>
      </c>
      <c r="V179" s="299" t="n">
        <v>0.5</v>
      </c>
      <c r="W179" s="299" t="n">
        <v>0.145</v>
      </c>
      <c r="X179" s="299" t="n">
        <v>0.165</v>
      </c>
      <c r="Y179" s="299" t="n">
        <v>-0.005499999</v>
      </c>
      <c r="Z179" s="299" t="n">
        <v>-0.037</v>
      </c>
      <c r="AA179" s="299" t="n">
        <v>0.0235</v>
      </c>
      <c r="AB179" s="299" t="n">
        <v>0.0085</v>
      </c>
      <c r="AC179" s="299" t="n">
        <v>0.0025</v>
      </c>
      <c r="AD179" s="299" t="n">
        <v>0</v>
      </c>
      <c r="AE179" s="299" t="n">
        <v>-0.0725</v>
      </c>
      <c r="AF179" s="299" t="n">
        <v>-0.045</v>
      </c>
      <c r="AG179" s="299" t="n">
        <v>-0.0675</v>
      </c>
      <c r="AH179" s="299" t="n">
        <v>-0.009499999</v>
      </c>
      <c r="AI179" s="299" t="n">
        <v>-0.072</v>
      </c>
      <c r="AJ179" s="299" t="n">
        <v>0</v>
      </c>
      <c r="AK179" s="299" t="n">
        <v>-0.017</v>
      </c>
      <c r="AL179" s="299" t="n">
        <v>0.023</v>
      </c>
      <c r="AM179" s="299" t="n">
        <v>0.37</v>
      </c>
      <c r="AN179" s="299" t="n">
        <v>0.025</v>
      </c>
      <c r="AO179" s="299" t="n">
        <v>0</v>
      </c>
      <c r="AP179" s="299" t="n">
        <v>-0.07</v>
      </c>
      <c r="AQ179" s="299" t="n">
        <v>-0.195</v>
      </c>
      <c r="AR179" s="299" t="n">
        <v>0</v>
      </c>
      <c r="AS179" s="299" t="n">
        <v>-0.37</v>
      </c>
      <c r="AT179" s="299" t="n">
        <v>0</v>
      </c>
      <c r="AU179" s="299" t="n">
        <v>0.43</v>
      </c>
      <c r="AV179" s="299" t="n">
        <v>0</v>
      </c>
      <c r="AW179" s="299" t="n">
        <v>-0.121</v>
      </c>
      <c r="AX179" s="299" t="n">
        <v>-0.06</v>
      </c>
      <c r="AY179" s="299" t="n">
        <v>-0.061</v>
      </c>
      <c r="AZ179" s="299" t="n">
        <v>0</v>
      </c>
      <c r="BA179" s="299" t="n">
        <v>-0.0635</v>
      </c>
      <c r="BB179" s="299" t="n">
        <v>-0.009499999</v>
      </c>
      <c r="BC179" s="299" t="n">
        <v>0</v>
      </c>
      <c r="BD179" s="299" t="n">
        <v>-0.005</v>
      </c>
      <c r="BE179" s="299" t="n">
        <v>-0.0725</v>
      </c>
      <c r="BF179" s="299" t="n">
        <v>0</v>
      </c>
      <c r="BG179" s="299" t="n">
        <v>0</v>
      </c>
      <c r="BH179" s="299" t="n">
        <v>0</v>
      </c>
      <c r="BI179" s="299" t="n">
        <v>0</v>
      </c>
      <c r="BJ179" s="299" t="n">
        <v>0.335</v>
      </c>
      <c r="BK179" s="299" t="n">
        <v>0</v>
      </c>
      <c r="BL179" s="299" t="n">
        <v>-0.015</v>
      </c>
      <c r="BM179" s="299" t="n">
        <v>0.005</v>
      </c>
      <c r="BN179" s="299" t="n">
        <v>0</v>
      </c>
      <c r="BO179" s="299" t="n">
        <v>0</v>
      </c>
      <c r="BP179" s="299" t="n">
        <v>0.005</v>
      </c>
      <c r="BQ179" s="299" t="n">
        <v>0</v>
      </c>
      <c r="BR179" s="299" t="n">
        <v>0.035</v>
      </c>
      <c r="BS179" s="0" t="n">
        <v>0.005</v>
      </c>
      <c r="BT179" s="0" t="n">
        <v>0</v>
      </c>
      <c r="BU179" s="0" t="n">
        <v>0</v>
      </c>
      <c r="BV179" s="0" t="n">
        <v>0</v>
      </c>
    </row>
    <row r="180" customFormat="false" ht="12.75" hidden="false" customHeight="false" outlineLevel="0" collapsed="false">
      <c r="A180" s="301"/>
      <c r="B180" s="301" t="n">
        <v>4.172</v>
      </c>
      <c r="C180" s="308" t="n">
        <f aca="false">EOMONTH(C179,0)+1</f>
        <v>42552</v>
      </c>
      <c r="D180" s="0" t="n">
        <v>4.2225</v>
      </c>
      <c r="E180" s="301" t="n">
        <v>0.17</v>
      </c>
      <c r="F180" s="299" t="n">
        <v>0.061573366428302</v>
      </c>
      <c r="G180" s="299" t="n">
        <v>0</v>
      </c>
      <c r="H180" s="299" t="n">
        <v>0</v>
      </c>
      <c r="I180" s="310" t="n">
        <v>0</v>
      </c>
      <c r="J180" s="310" t="n">
        <v>0</v>
      </c>
      <c r="K180" s="299" t="n">
        <v>0</v>
      </c>
      <c r="L180" s="299" t="n">
        <v>0</v>
      </c>
      <c r="M180" s="299" t="n">
        <v>0</v>
      </c>
      <c r="N180" s="299" t="n">
        <v>0</v>
      </c>
      <c r="O180" s="299" t="n">
        <v>0</v>
      </c>
      <c r="P180" s="299" t="n">
        <v>0</v>
      </c>
      <c r="Q180" s="299" t="n">
        <v>0</v>
      </c>
      <c r="R180" s="299" t="n">
        <v>0</v>
      </c>
      <c r="S180" s="299" t="n">
        <v>0</v>
      </c>
      <c r="T180" s="299" t="n">
        <v>0</v>
      </c>
      <c r="U180" s="299" t="n">
        <v>0</v>
      </c>
      <c r="V180" s="299" t="n">
        <v>0.5</v>
      </c>
      <c r="W180" s="299" t="n">
        <v>0.15</v>
      </c>
      <c r="X180" s="299" t="n">
        <v>0.205</v>
      </c>
      <c r="Y180" s="299" t="n">
        <v>-0.005499999</v>
      </c>
      <c r="Z180" s="299" t="n">
        <v>-0.037</v>
      </c>
      <c r="AA180" s="299" t="n">
        <v>0.0235</v>
      </c>
      <c r="AB180" s="299" t="n">
        <v>0.0085</v>
      </c>
      <c r="AC180" s="299" t="n">
        <v>0.0025</v>
      </c>
      <c r="AD180" s="299" t="n">
        <v>0</v>
      </c>
      <c r="AE180" s="299" t="n">
        <v>-0.0725</v>
      </c>
      <c r="AF180" s="299" t="n">
        <v>-0.045</v>
      </c>
      <c r="AG180" s="299" t="n">
        <v>-0.0675</v>
      </c>
      <c r="AH180" s="299" t="n">
        <v>-0.009499999</v>
      </c>
      <c r="AI180" s="299" t="n">
        <v>-0.072</v>
      </c>
      <c r="AJ180" s="299" t="n">
        <v>0</v>
      </c>
      <c r="AK180" s="299" t="n">
        <v>-0.017</v>
      </c>
      <c r="AL180" s="299" t="n">
        <v>0.023</v>
      </c>
      <c r="AM180" s="299" t="n">
        <v>0.41</v>
      </c>
      <c r="AN180" s="299" t="n">
        <v>0.0275</v>
      </c>
      <c r="AO180" s="299" t="n">
        <v>0</v>
      </c>
      <c r="AP180" s="299" t="n">
        <v>-0.07</v>
      </c>
      <c r="AQ180" s="299" t="n">
        <v>-0.195</v>
      </c>
      <c r="AR180" s="299" t="n">
        <v>0</v>
      </c>
      <c r="AS180" s="299" t="n">
        <v>-0.37</v>
      </c>
      <c r="AT180" s="299" t="n">
        <v>0</v>
      </c>
      <c r="AU180" s="299" t="n">
        <v>0.43</v>
      </c>
      <c r="AV180" s="299" t="n">
        <v>0</v>
      </c>
      <c r="AW180" s="299" t="n">
        <v>-0.131</v>
      </c>
      <c r="AX180" s="299" t="n">
        <v>-0.06</v>
      </c>
      <c r="AY180" s="299" t="n">
        <v>-0.071</v>
      </c>
      <c r="AZ180" s="299" t="n">
        <v>0</v>
      </c>
      <c r="BA180" s="299" t="n">
        <v>-0.061</v>
      </c>
      <c r="BB180" s="299" t="n">
        <v>-0.009499999</v>
      </c>
      <c r="BC180" s="299" t="n">
        <v>0</v>
      </c>
      <c r="BD180" s="299" t="n">
        <v>-0.0025</v>
      </c>
      <c r="BE180" s="299" t="n">
        <v>-0.0725</v>
      </c>
      <c r="BF180" s="299" t="n">
        <v>0</v>
      </c>
      <c r="BG180" s="299" t="n">
        <v>0</v>
      </c>
      <c r="BH180" s="299" t="n">
        <v>0</v>
      </c>
      <c r="BI180" s="299" t="n">
        <v>0</v>
      </c>
      <c r="BJ180" s="299" t="n">
        <v>0.35</v>
      </c>
      <c r="BK180" s="299" t="n">
        <v>0</v>
      </c>
      <c r="BL180" s="299" t="n">
        <v>-0.01</v>
      </c>
      <c r="BM180" s="299" t="n">
        <v>0.005</v>
      </c>
      <c r="BN180" s="299" t="n">
        <v>0</v>
      </c>
      <c r="BO180" s="299" t="n">
        <v>0</v>
      </c>
      <c r="BP180" s="299" t="n">
        <v>0.005</v>
      </c>
      <c r="BQ180" s="299" t="n">
        <v>0</v>
      </c>
      <c r="BR180" s="299" t="n">
        <v>0.035</v>
      </c>
      <c r="BS180" s="0" t="n">
        <v>0</v>
      </c>
      <c r="BT180" s="0" t="n">
        <v>0</v>
      </c>
      <c r="BU180" s="0" t="n">
        <v>0</v>
      </c>
      <c r="BV180" s="0" t="n">
        <v>0</v>
      </c>
    </row>
    <row r="181" customFormat="false" ht="12.75" hidden="false" customHeight="false" outlineLevel="0" collapsed="false">
      <c r="A181" s="301"/>
      <c r="B181" s="301" t="n">
        <v>4.093</v>
      </c>
      <c r="C181" s="308" t="n">
        <f aca="false">EOMONTH(C180,0)+1</f>
        <v>42583</v>
      </c>
      <c r="D181" s="0" t="n">
        <v>4.2625</v>
      </c>
      <c r="E181" s="301" t="n">
        <v>0.17</v>
      </c>
      <c r="F181" s="299" t="n">
        <v>0.061617194666844</v>
      </c>
      <c r="G181" s="299" t="n">
        <v>0</v>
      </c>
      <c r="H181" s="299" t="n">
        <v>0</v>
      </c>
      <c r="I181" s="310" t="n">
        <v>0</v>
      </c>
      <c r="J181" s="310" t="n">
        <v>0</v>
      </c>
      <c r="K181" s="299" t="n">
        <v>0</v>
      </c>
      <c r="L181" s="299" t="n">
        <v>0</v>
      </c>
      <c r="M181" s="299" t="n">
        <v>0</v>
      </c>
      <c r="N181" s="299" t="n">
        <v>0</v>
      </c>
      <c r="O181" s="299" t="n">
        <v>0</v>
      </c>
      <c r="P181" s="299" t="n">
        <v>0</v>
      </c>
      <c r="Q181" s="299" t="n">
        <v>0</v>
      </c>
      <c r="R181" s="299" t="n">
        <v>0</v>
      </c>
      <c r="S181" s="299" t="n">
        <v>0</v>
      </c>
      <c r="T181" s="299" t="n">
        <v>0</v>
      </c>
      <c r="U181" s="299" t="n">
        <v>0</v>
      </c>
      <c r="V181" s="299" t="n">
        <v>0.5</v>
      </c>
      <c r="W181" s="299" t="n">
        <v>0.15</v>
      </c>
      <c r="X181" s="299" t="n">
        <v>0.205</v>
      </c>
      <c r="Y181" s="299" t="n">
        <v>-0.005499999</v>
      </c>
      <c r="Z181" s="299" t="n">
        <v>-0.037</v>
      </c>
      <c r="AA181" s="299" t="n">
        <v>0.0185</v>
      </c>
      <c r="AB181" s="299" t="n">
        <v>0.0035</v>
      </c>
      <c r="AC181" s="299" t="n">
        <v>0.0025</v>
      </c>
      <c r="AD181" s="299" t="n">
        <v>0</v>
      </c>
      <c r="AE181" s="299" t="n">
        <v>-0.0725</v>
      </c>
      <c r="AF181" s="299" t="n">
        <v>-0.045</v>
      </c>
      <c r="AG181" s="299" t="n">
        <v>-0.0675</v>
      </c>
      <c r="AH181" s="299" t="n">
        <v>-0.009499999</v>
      </c>
      <c r="AI181" s="299" t="n">
        <v>-0.072</v>
      </c>
      <c r="AJ181" s="299" t="n">
        <v>0</v>
      </c>
      <c r="AK181" s="299" t="n">
        <v>-0.017</v>
      </c>
      <c r="AL181" s="299" t="n">
        <v>0.023</v>
      </c>
      <c r="AM181" s="299" t="n">
        <v>0.41</v>
      </c>
      <c r="AN181" s="299" t="n">
        <v>0.03</v>
      </c>
      <c r="AO181" s="299" t="n">
        <v>0</v>
      </c>
      <c r="AP181" s="299" t="n">
        <v>-0.07</v>
      </c>
      <c r="AQ181" s="299" t="n">
        <v>-0.195</v>
      </c>
      <c r="AR181" s="299" t="n">
        <v>0</v>
      </c>
      <c r="AS181" s="299" t="n">
        <v>-0.37</v>
      </c>
      <c r="AT181" s="299" t="n">
        <v>0</v>
      </c>
      <c r="AU181" s="299" t="n">
        <v>0.43</v>
      </c>
      <c r="AV181" s="299" t="n">
        <v>0</v>
      </c>
      <c r="AW181" s="299" t="n">
        <v>-0.126</v>
      </c>
      <c r="AX181" s="299" t="n">
        <v>-0.06</v>
      </c>
      <c r="AY181" s="299" t="n">
        <v>-0.066</v>
      </c>
      <c r="AZ181" s="299" t="n">
        <v>0</v>
      </c>
      <c r="BA181" s="299" t="n">
        <v>-0.0585</v>
      </c>
      <c r="BB181" s="299" t="n">
        <v>-0.009499999</v>
      </c>
      <c r="BC181" s="299" t="n">
        <v>0</v>
      </c>
      <c r="BD181" s="299" t="n">
        <v>0</v>
      </c>
      <c r="BE181" s="299" t="n">
        <v>-0.0725</v>
      </c>
      <c r="BF181" s="299" t="n">
        <v>0</v>
      </c>
      <c r="BG181" s="299" t="n">
        <v>0</v>
      </c>
      <c r="BH181" s="299" t="n">
        <v>0</v>
      </c>
      <c r="BI181" s="299" t="n">
        <v>0</v>
      </c>
      <c r="BJ181" s="299" t="n">
        <v>0.35</v>
      </c>
      <c r="BK181" s="299" t="n">
        <v>0</v>
      </c>
      <c r="BL181" s="299" t="n">
        <v>-0.01</v>
      </c>
      <c r="BM181" s="299" t="n">
        <v>0.005</v>
      </c>
      <c r="BN181" s="299" t="n">
        <v>0</v>
      </c>
      <c r="BO181" s="299" t="n">
        <v>0</v>
      </c>
      <c r="BP181" s="299" t="n">
        <v>0.005</v>
      </c>
      <c r="BQ181" s="299" t="n">
        <v>0</v>
      </c>
      <c r="BR181" s="299" t="n">
        <v>0.01</v>
      </c>
      <c r="BS181" s="0" t="n">
        <v>0</v>
      </c>
      <c r="BT181" s="0" t="n">
        <v>0</v>
      </c>
      <c r="BU181" s="0" t="n">
        <v>0</v>
      </c>
      <c r="BV181" s="0" t="n">
        <v>0</v>
      </c>
    </row>
    <row r="182" customFormat="false" ht="12.75" hidden="false" customHeight="false" outlineLevel="0" collapsed="false">
      <c r="A182" s="301"/>
      <c r="B182" s="301" t="n">
        <v>3.971</v>
      </c>
      <c r="C182" s="308" t="n">
        <f aca="false">EOMONTH(C181,0)+1</f>
        <v>42614</v>
      </c>
      <c r="D182" s="0" t="n">
        <v>4.2575</v>
      </c>
      <c r="E182" s="301" t="n">
        <v>0.17</v>
      </c>
      <c r="F182" s="299" t="n">
        <v>0.0616610229060237</v>
      </c>
      <c r="G182" s="299" t="n">
        <v>0</v>
      </c>
      <c r="H182" s="299" t="n">
        <v>0</v>
      </c>
      <c r="I182" s="310" t="n">
        <v>0</v>
      </c>
      <c r="J182" s="310" t="n">
        <v>0</v>
      </c>
      <c r="K182" s="299" t="n">
        <v>0</v>
      </c>
      <c r="L182" s="299" t="n">
        <v>0</v>
      </c>
      <c r="M182" s="299" t="n">
        <v>0</v>
      </c>
      <c r="N182" s="299" t="n">
        <v>0</v>
      </c>
      <c r="O182" s="299" t="n">
        <v>0</v>
      </c>
      <c r="P182" s="299" t="n">
        <v>0</v>
      </c>
      <c r="Q182" s="299" t="n">
        <v>0</v>
      </c>
      <c r="R182" s="299" t="n">
        <v>0</v>
      </c>
      <c r="S182" s="299" t="n">
        <v>0</v>
      </c>
      <c r="T182" s="299" t="n">
        <v>0</v>
      </c>
      <c r="U182" s="299" t="n">
        <v>0</v>
      </c>
      <c r="V182" s="299" t="n">
        <v>0.5</v>
      </c>
      <c r="W182" s="299" t="n">
        <v>0.125</v>
      </c>
      <c r="X182" s="299" t="n">
        <v>0.145</v>
      </c>
      <c r="Y182" s="299" t="n">
        <v>-0.005499999</v>
      </c>
      <c r="Z182" s="299" t="n">
        <v>-0.042</v>
      </c>
      <c r="AA182" s="299" t="n">
        <v>0.0185</v>
      </c>
      <c r="AB182" s="299" t="n">
        <v>0.0035</v>
      </c>
      <c r="AC182" s="299" t="n">
        <v>0.0025</v>
      </c>
      <c r="AD182" s="299" t="n">
        <v>0</v>
      </c>
      <c r="AE182" s="299" t="n">
        <v>-0.0725</v>
      </c>
      <c r="AF182" s="299" t="n">
        <v>-0.045</v>
      </c>
      <c r="AG182" s="299" t="n">
        <v>-0.0675</v>
      </c>
      <c r="AH182" s="299" t="n">
        <v>-0.009499999</v>
      </c>
      <c r="AI182" s="299" t="n">
        <v>-0.072</v>
      </c>
      <c r="AJ182" s="299" t="n">
        <v>0</v>
      </c>
      <c r="AK182" s="299" t="n">
        <v>-0.017</v>
      </c>
      <c r="AL182" s="299" t="n">
        <v>0.023</v>
      </c>
      <c r="AM182" s="299" t="n">
        <v>0.36</v>
      </c>
      <c r="AN182" s="299" t="n">
        <v>0.0225</v>
      </c>
      <c r="AO182" s="299" t="n">
        <v>0</v>
      </c>
      <c r="AP182" s="299" t="n">
        <v>-0.07</v>
      </c>
      <c r="AQ182" s="299" t="n">
        <v>-0.195</v>
      </c>
      <c r="AR182" s="299" t="n">
        <v>0</v>
      </c>
      <c r="AS182" s="299" t="n">
        <v>-0.37</v>
      </c>
      <c r="AT182" s="299" t="n">
        <v>0</v>
      </c>
      <c r="AU182" s="299" t="n">
        <v>0.43</v>
      </c>
      <c r="AV182" s="299" t="n">
        <v>0</v>
      </c>
      <c r="AW182" s="299" t="n">
        <v>-0.136</v>
      </c>
      <c r="AX182" s="299" t="n">
        <v>-0.06</v>
      </c>
      <c r="AY182" s="299" t="n">
        <v>-0.076</v>
      </c>
      <c r="AZ182" s="299" t="n">
        <v>0</v>
      </c>
      <c r="BA182" s="299" t="n">
        <v>-0.0635</v>
      </c>
      <c r="BB182" s="299" t="n">
        <v>-0.009499999</v>
      </c>
      <c r="BC182" s="299" t="n">
        <v>0</v>
      </c>
      <c r="BD182" s="299" t="n">
        <v>-0.0075</v>
      </c>
      <c r="BE182" s="299" t="n">
        <v>-0.0725</v>
      </c>
      <c r="BF182" s="299" t="n">
        <v>0</v>
      </c>
      <c r="BG182" s="299" t="n">
        <v>0</v>
      </c>
      <c r="BH182" s="299" t="n">
        <v>0</v>
      </c>
      <c r="BI182" s="299" t="n">
        <v>0</v>
      </c>
      <c r="BJ182" s="299" t="n">
        <v>0.315</v>
      </c>
      <c r="BK182" s="299" t="n">
        <v>0</v>
      </c>
      <c r="BL182" s="299" t="n">
        <v>-0.01</v>
      </c>
      <c r="BM182" s="299" t="n">
        <v>0.005</v>
      </c>
      <c r="BN182" s="299" t="n">
        <v>0</v>
      </c>
      <c r="BO182" s="299" t="n">
        <v>0</v>
      </c>
      <c r="BP182" s="299" t="n">
        <v>0.005</v>
      </c>
      <c r="BQ182" s="299" t="n">
        <v>0</v>
      </c>
      <c r="BR182" s="299" t="n">
        <v>0.01</v>
      </c>
      <c r="BS182" s="0" t="n">
        <v>0</v>
      </c>
      <c r="BT182" s="0" t="n">
        <v>0</v>
      </c>
      <c r="BU182" s="0" t="n">
        <v>0</v>
      </c>
      <c r="BV182" s="0" t="n">
        <v>0</v>
      </c>
    </row>
    <row r="183" customFormat="false" ht="12.75" hidden="false" customHeight="false" outlineLevel="0" collapsed="false">
      <c r="A183" s="301"/>
      <c r="B183" s="301" t="n">
        <v>3.852</v>
      </c>
      <c r="C183" s="308" t="n">
        <f aca="false">EOMONTH(C182,0)+1</f>
        <v>42644</v>
      </c>
      <c r="D183" s="0" t="n">
        <v>4.2825</v>
      </c>
      <c r="E183" s="301" t="n">
        <v>0.17</v>
      </c>
      <c r="F183" s="299" t="n">
        <v>0.061703437331643</v>
      </c>
      <c r="G183" s="299" t="n">
        <v>0</v>
      </c>
      <c r="H183" s="299" t="n">
        <v>0</v>
      </c>
      <c r="I183" s="310" t="n">
        <v>0</v>
      </c>
      <c r="J183" s="310" t="n">
        <v>0</v>
      </c>
      <c r="K183" s="299" t="n">
        <v>0</v>
      </c>
      <c r="L183" s="299" t="n">
        <v>0</v>
      </c>
      <c r="M183" s="299" t="n">
        <v>0</v>
      </c>
      <c r="N183" s="299" t="n">
        <v>0</v>
      </c>
      <c r="O183" s="299" t="n">
        <v>0</v>
      </c>
      <c r="P183" s="299" t="n">
        <v>0</v>
      </c>
      <c r="Q183" s="299" t="n">
        <v>0</v>
      </c>
      <c r="R183" s="299" t="n">
        <v>0</v>
      </c>
      <c r="S183" s="299" t="n">
        <v>0</v>
      </c>
      <c r="T183" s="299" t="n">
        <v>0</v>
      </c>
      <c r="U183" s="299" t="n">
        <v>0</v>
      </c>
      <c r="V183" s="299" t="n">
        <v>0.5</v>
      </c>
      <c r="W183" s="299" t="n">
        <v>0.145</v>
      </c>
      <c r="X183" s="299" t="n">
        <v>0.175</v>
      </c>
      <c r="Y183" s="299" t="n">
        <v>-0.005499999</v>
      </c>
      <c r="Z183" s="299" t="n">
        <v>-0.042</v>
      </c>
      <c r="AA183" s="299" t="n">
        <v>0.0135</v>
      </c>
      <c r="AB183" s="299" t="n">
        <v>-0.001499999</v>
      </c>
      <c r="AC183" s="299" t="n">
        <v>0.0025</v>
      </c>
      <c r="AD183" s="299" t="n">
        <v>0</v>
      </c>
      <c r="AE183" s="299" t="n">
        <v>-0.0725</v>
      </c>
      <c r="AF183" s="299" t="n">
        <v>-0.045</v>
      </c>
      <c r="AG183" s="299" t="n">
        <v>-0.0675</v>
      </c>
      <c r="AH183" s="299" t="n">
        <v>-0.009499999</v>
      </c>
      <c r="AI183" s="299" t="n">
        <v>-0.072</v>
      </c>
      <c r="AJ183" s="299" t="n">
        <v>0</v>
      </c>
      <c r="AK183" s="299" t="n">
        <v>-0.017</v>
      </c>
      <c r="AL183" s="299" t="n">
        <v>0.023</v>
      </c>
      <c r="AM183" s="299" t="n">
        <v>0.4</v>
      </c>
      <c r="AN183" s="299" t="n">
        <v>0.0125</v>
      </c>
      <c r="AO183" s="299" t="n">
        <v>0</v>
      </c>
      <c r="AP183" s="299" t="n">
        <v>-0.07</v>
      </c>
      <c r="AQ183" s="299" t="n">
        <v>-0.195</v>
      </c>
      <c r="AR183" s="299" t="n">
        <v>0</v>
      </c>
      <c r="AS183" s="299" t="n">
        <v>-0.37</v>
      </c>
      <c r="AT183" s="299" t="n">
        <v>0</v>
      </c>
      <c r="AU183" s="299" t="n">
        <v>0.43</v>
      </c>
      <c r="AV183" s="299" t="n">
        <v>0</v>
      </c>
      <c r="AW183" s="299" t="n">
        <v>-0.1235</v>
      </c>
      <c r="AX183" s="299" t="n">
        <v>-0.06</v>
      </c>
      <c r="AY183" s="299" t="n">
        <v>-0.0635</v>
      </c>
      <c r="AZ183" s="299" t="n">
        <v>0</v>
      </c>
      <c r="BA183" s="299" t="n">
        <v>-0.066</v>
      </c>
      <c r="BB183" s="299" t="n">
        <v>-0.009499999</v>
      </c>
      <c r="BC183" s="299" t="n">
        <v>0</v>
      </c>
      <c r="BD183" s="299" t="n">
        <v>-0.0175</v>
      </c>
      <c r="BE183" s="299" t="n">
        <v>-0.0725</v>
      </c>
      <c r="BF183" s="299" t="n">
        <v>0</v>
      </c>
      <c r="BG183" s="299" t="n">
        <v>0</v>
      </c>
      <c r="BH183" s="299" t="n">
        <v>0</v>
      </c>
      <c r="BI183" s="299" t="n">
        <v>0</v>
      </c>
      <c r="BJ183" s="299" t="n">
        <v>0.36</v>
      </c>
      <c r="BK183" s="299" t="n">
        <v>0</v>
      </c>
      <c r="BL183" s="299" t="n">
        <v>-0.015</v>
      </c>
      <c r="BM183" s="299" t="n">
        <v>0.005</v>
      </c>
      <c r="BN183" s="299" t="n">
        <v>0</v>
      </c>
      <c r="BO183" s="299" t="n">
        <v>0</v>
      </c>
      <c r="BP183" s="299" t="n">
        <v>0.005</v>
      </c>
      <c r="BQ183" s="299" t="n">
        <v>0</v>
      </c>
      <c r="BR183" s="299" t="n">
        <v>0.01</v>
      </c>
      <c r="BS183" s="0" t="n">
        <v>0</v>
      </c>
      <c r="BT183" s="0" t="n">
        <v>0</v>
      </c>
      <c r="BU183" s="0" t="n">
        <v>0</v>
      </c>
      <c r="BV183" s="0" t="n">
        <v>0</v>
      </c>
    </row>
    <row r="184" customFormat="false" ht="12.75" hidden="false" customHeight="false" outlineLevel="0" collapsed="false">
      <c r="A184" s="301"/>
      <c r="B184" s="301" t="n">
        <v>3.836</v>
      </c>
      <c r="C184" s="308" t="n">
        <f aca="false">EOMONTH(C183,0)+1</f>
        <v>42675</v>
      </c>
      <c r="D184" s="0" t="n">
        <v>4.4345</v>
      </c>
      <c r="E184" s="301" t="n">
        <v>0.17</v>
      </c>
      <c r="F184" s="299" t="n">
        <v>0.0617472655720777</v>
      </c>
      <c r="G184" s="299" t="n">
        <v>0</v>
      </c>
      <c r="H184" s="299" t="n">
        <v>0</v>
      </c>
      <c r="I184" s="310" t="n">
        <v>0</v>
      </c>
      <c r="J184" s="310" t="n">
        <v>0</v>
      </c>
      <c r="K184" s="299" t="n">
        <v>0</v>
      </c>
      <c r="L184" s="299" t="n">
        <v>0</v>
      </c>
      <c r="M184" s="299" t="n">
        <v>0</v>
      </c>
      <c r="N184" s="299" t="n">
        <v>0</v>
      </c>
      <c r="O184" s="299" t="n">
        <v>0</v>
      </c>
      <c r="P184" s="299" t="n">
        <v>0</v>
      </c>
      <c r="Q184" s="299" t="n">
        <v>0</v>
      </c>
      <c r="R184" s="299" t="n">
        <v>0</v>
      </c>
      <c r="S184" s="299" t="n">
        <v>0</v>
      </c>
      <c r="T184" s="299" t="n">
        <v>0</v>
      </c>
      <c r="U184" s="299" t="n">
        <v>0</v>
      </c>
      <c r="V184" s="299" t="n">
        <v>0.5</v>
      </c>
      <c r="W184" s="299" t="n">
        <v>0.195</v>
      </c>
      <c r="X184" s="299" t="n">
        <v>0.21</v>
      </c>
      <c r="Y184" s="299" t="n">
        <v>-0.002999999</v>
      </c>
      <c r="Z184" s="299" t="n">
        <v>-0.023</v>
      </c>
      <c r="AA184" s="299" t="n">
        <v>0.0145</v>
      </c>
      <c r="AB184" s="299" t="n">
        <v>0.000499999999999994</v>
      </c>
      <c r="AC184" s="299" t="n">
        <v>0.0025</v>
      </c>
      <c r="AD184" s="299" t="n">
        <v>0</v>
      </c>
      <c r="AE184" s="299" t="n">
        <v>-0.075</v>
      </c>
      <c r="AF184" s="299" t="n">
        <v>-0.0475</v>
      </c>
      <c r="AG184" s="299" t="n">
        <v>-0.07</v>
      </c>
      <c r="AH184" s="299" t="n">
        <v>-0.005999999</v>
      </c>
      <c r="AI184" s="299" t="n">
        <v>-0.064</v>
      </c>
      <c r="AJ184" s="299" t="n">
        <v>0</v>
      </c>
      <c r="AK184" s="299" t="n">
        <v>-0.008999999</v>
      </c>
      <c r="AL184" s="299" t="n">
        <v>0.031</v>
      </c>
      <c r="AM184" s="299" t="n">
        <v>0.65</v>
      </c>
      <c r="AN184" s="299" t="n">
        <v>-0.0225</v>
      </c>
      <c r="AO184" s="299" t="n">
        <v>0</v>
      </c>
      <c r="AP184" s="299" t="n">
        <v>-0.07</v>
      </c>
      <c r="AQ184" s="299" t="n">
        <v>-0.13</v>
      </c>
      <c r="AR184" s="299" t="n">
        <v>0</v>
      </c>
      <c r="AS184" s="299" t="n">
        <v>-0.26</v>
      </c>
      <c r="AT184" s="299" t="n">
        <v>0</v>
      </c>
      <c r="AU184" s="299" t="n">
        <v>0.35</v>
      </c>
      <c r="AV184" s="299" t="n">
        <v>0</v>
      </c>
      <c r="AW184" s="299" t="n">
        <v>-0.131</v>
      </c>
      <c r="AX184" s="299" t="n">
        <v>-0.06</v>
      </c>
      <c r="AY184" s="299" t="n">
        <v>-0.071</v>
      </c>
      <c r="AZ184" s="299" t="n">
        <v>0</v>
      </c>
      <c r="BA184" s="299" t="n">
        <v>-0.061</v>
      </c>
      <c r="BB184" s="299" t="n">
        <v>-0.011</v>
      </c>
      <c r="BC184" s="299" t="n">
        <v>0</v>
      </c>
      <c r="BD184" s="299" t="n">
        <v>-0.0525</v>
      </c>
      <c r="BE184" s="299" t="n">
        <v>-0.075</v>
      </c>
      <c r="BF184" s="299" t="n">
        <v>0</v>
      </c>
      <c r="BG184" s="299" t="n">
        <v>0</v>
      </c>
      <c r="BH184" s="299" t="n">
        <v>0</v>
      </c>
      <c r="BI184" s="299" t="n">
        <v>0</v>
      </c>
      <c r="BJ184" s="299" t="n">
        <v>0.46</v>
      </c>
      <c r="BK184" s="299" t="n">
        <v>0</v>
      </c>
      <c r="BL184" s="299" t="n">
        <v>-0.02</v>
      </c>
      <c r="BM184" s="299" t="n">
        <v>0.005</v>
      </c>
      <c r="BN184" s="299" t="n">
        <v>0</v>
      </c>
      <c r="BO184" s="299" t="n">
        <v>0</v>
      </c>
      <c r="BP184" s="299" t="n">
        <v>0.005</v>
      </c>
      <c r="BQ184" s="299" t="n">
        <v>0</v>
      </c>
      <c r="BR184" s="299" t="n">
        <v>0.055</v>
      </c>
      <c r="BS184" s="0" t="n">
        <v>0</v>
      </c>
      <c r="BT184" s="0" t="n">
        <v>0</v>
      </c>
      <c r="BU184" s="0" t="n">
        <v>0</v>
      </c>
      <c r="BV184" s="0" t="n">
        <v>0</v>
      </c>
    </row>
    <row r="185" customFormat="false" ht="12.75" hidden="false" customHeight="false" outlineLevel="0" collapsed="false">
      <c r="A185" s="301"/>
      <c r="B185" s="301" t="n">
        <v>3.828</v>
      </c>
      <c r="C185" s="308" t="n">
        <f aca="false">EOMONTH(C184,0)+1</f>
        <v>42705</v>
      </c>
      <c r="D185" s="0" t="n">
        <v>4.5775</v>
      </c>
      <c r="E185" s="301" t="n">
        <v>0.17</v>
      </c>
      <c r="F185" s="299" t="n">
        <v>0.0617896799989115</v>
      </c>
      <c r="G185" s="299" t="n">
        <v>0</v>
      </c>
      <c r="H185" s="299" t="n">
        <v>0</v>
      </c>
      <c r="I185" s="310" t="n">
        <v>0</v>
      </c>
      <c r="J185" s="310" t="n">
        <v>0</v>
      </c>
      <c r="K185" s="299" t="n">
        <v>0</v>
      </c>
      <c r="L185" s="299" t="n">
        <v>0</v>
      </c>
      <c r="M185" s="299" t="n">
        <v>0</v>
      </c>
      <c r="N185" s="299" t="n">
        <v>0</v>
      </c>
      <c r="O185" s="299" t="n">
        <v>0</v>
      </c>
      <c r="P185" s="299" t="n">
        <v>0</v>
      </c>
      <c r="Q185" s="299" t="n">
        <v>0</v>
      </c>
      <c r="R185" s="299" t="n">
        <v>0</v>
      </c>
      <c r="S185" s="299" t="n">
        <v>0</v>
      </c>
      <c r="T185" s="299" t="n">
        <v>0</v>
      </c>
      <c r="U185" s="299" t="n">
        <v>0</v>
      </c>
      <c r="V185" s="299" t="n">
        <v>0.5</v>
      </c>
      <c r="W185" s="299" t="n">
        <v>0.215</v>
      </c>
      <c r="X185" s="299" t="n">
        <v>0.29</v>
      </c>
      <c r="Y185" s="299" t="n">
        <v>-0.002999999</v>
      </c>
      <c r="Z185" s="299" t="n">
        <v>-0.023</v>
      </c>
      <c r="AA185" s="299" t="n">
        <v>0.0145</v>
      </c>
      <c r="AB185" s="299" t="n">
        <v>0.000499999999999994</v>
      </c>
      <c r="AC185" s="299" t="n">
        <v>0.0025</v>
      </c>
      <c r="AD185" s="299" t="n">
        <v>0</v>
      </c>
      <c r="AE185" s="299" t="n">
        <v>-0.075</v>
      </c>
      <c r="AF185" s="299" t="n">
        <v>-0.0455</v>
      </c>
      <c r="AG185" s="299" t="n">
        <v>-0.068</v>
      </c>
      <c r="AH185" s="299" t="n">
        <v>-0.003499999</v>
      </c>
      <c r="AI185" s="299" t="n">
        <v>-0.064</v>
      </c>
      <c r="AJ185" s="299" t="n">
        <v>0</v>
      </c>
      <c r="AK185" s="299" t="n">
        <v>-0.008999999</v>
      </c>
      <c r="AL185" s="299" t="n">
        <v>0.031</v>
      </c>
      <c r="AM185" s="299" t="n">
        <v>0.98</v>
      </c>
      <c r="AN185" s="299" t="n">
        <v>-0.045</v>
      </c>
      <c r="AO185" s="299" t="n">
        <v>0</v>
      </c>
      <c r="AP185" s="299" t="n">
        <v>-0.07</v>
      </c>
      <c r="AQ185" s="299" t="n">
        <v>-0.13</v>
      </c>
      <c r="AR185" s="299" t="n">
        <v>0</v>
      </c>
      <c r="AS185" s="299" t="n">
        <v>-0.26</v>
      </c>
      <c r="AT185" s="299" t="n">
        <v>0</v>
      </c>
      <c r="AU185" s="299" t="n">
        <v>0.35</v>
      </c>
      <c r="AV185" s="299" t="n">
        <v>0</v>
      </c>
      <c r="AW185" s="299" t="n">
        <v>-0.1585</v>
      </c>
      <c r="AX185" s="299" t="n">
        <v>-0.06</v>
      </c>
      <c r="AY185" s="299" t="n">
        <v>-0.0985</v>
      </c>
      <c r="AZ185" s="299" t="n">
        <v>0</v>
      </c>
      <c r="BA185" s="299" t="n">
        <v>-0.0885</v>
      </c>
      <c r="BB185" s="299" t="n">
        <v>-0.008499999</v>
      </c>
      <c r="BC185" s="299" t="n">
        <v>0</v>
      </c>
      <c r="BD185" s="299" t="n">
        <v>-0.075</v>
      </c>
      <c r="BE185" s="299" t="n">
        <v>-0.075</v>
      </c>
      <c r="BF185" s="299" t="n">
        <v>0</v>
      </c>
      <c r="BG185" s="299" t="n">
        <v>0</v>
      </c>
      <c r="BH185" s="299" t="n">
        <v>0</v>
      </c>
      <c r="BI185" s="299" t="n">
        <v>0</v>
      </c>
      <c r="BJ185" s="299" t="n">
        <v>0.77</v>
      </c>
      <c r="BK185" s="299" t="n">
        <v>0</v>
      </c>
      <c r="BL185" s="299" t="n">
        <v>-0.025</v>
      </c>
      <c r="BM185" s="299" t="n">
        <v>0.005</v>
      </c>
      <c r="BN185" s="299" t="n">
        <v>0</v>
      </c>
      <c r="BO185" s="299" t="n">
        <v>0</v>
      </c>
      <c r="BP185" s="299" t="n">
        <v>0.005</v>
      </c>
      <c r="BQ185" s="299" t="n">
        <v>0</v>
      </c>
      <c r="BR185" s="299" t="n">
        <v>0.25</v>
      </c>
      <c r="BS185" s="0" t="n">
        <v>0</v>
      </c>
      <c r="BT185" s="0" t="n">
        <v>0</v>
      </c>
      <c r="BU185" s="0" t="n">
        <v>0</v>
      </c>
      <c r="BV185" s="0" t="n">
        <v>0</v>
      </c>
    </row>
    <row r="186" customFormat="false" ht="12.75" hidden="false" customHeight="false" outlineLevel="0" collapsed="false">
      <c r="A186" s="301"/>
      <c r="B186" s="301" t="n">
        <v>3.893</v>
      </c>
      <c r="C186" s="308" t="n">
        <f aca="false">EOMONTH(C185,0)+1</f>
        <v>42736</v>
      </c>
      <c r="D186" s="0" t="n">
        <v>4.6375</v>
      </c>
      <c r="E186" s="301" t="n">
        <v>0.17</v>
      </c>
      <c r="F186" s="299" t="n">
        <v>0.0618335082406007</v>
      </c>
      <c r="G186" s="299" t="n">
        <v>0</v>
      </c>
      <c r="H186" s="299" t="n">
        <v>0</v>
      </c>
      <c r="I186" s="310" t="n">
        <v>0</v>
      </c>
      <c r="J186" s="310" t="n">
        <v>0</v>
      </c>
      <c r="K186" s="299" t="n">
        <v>0</v>
      </c>
      <c r="L186" s="299" t="n">
        <v>0</v>
      </c>
      <c r="M186" s="299" t="n">
        <v>0</v>
      </c>
      <c r="N186" s="299" t="n">
        <v>0</v>
      </c>
      <c r="O186" s="299" t="n">
        <v>0</v>
      </c>
      <c r="P186" s="299" t="n">
        <v>0</v>
      </c>
      <c r="Q186" s="299" t="n">
        <v>0</v>
      </c>
      <c r="R186" s="299" t="n">
        <v>0</v>
      </c>
      <c r="S186" s="299" t="n">
        <v>0</v>
      </c>
      <c r="T186" s="299" t="n">
        <v>0</v>
      </c>
      <c r="U186" s="299" t="n">
        <v>0</v>
      </c>
      <c r="V186" s="299" t="n">
        <v>0.5</v>
      </c>
      <c r="W186" s="299" t="n">
        <v>0.235</v>
      </c>
      <c r="X186" s="299" t="n">
        <v>0.34</v>
      </c>
      <c r="Y186" s="299" t="n">
        <v>0.000999999999999994</v>
      </c>
      <c r="Z186" s="299" t="n">
        <v>-0.023</v>
      </c>
      <c r="AA186" s="299" t="n">
        <v>0.0145</v>
      </c>
      <c r="AB186" s="299" t="n">
        <v>0.000499999999999994</v>
      </c>
      <c r="AC186" s="299" t="n">
        <v>0.0025</v>
      </c>
      <c r="AD186" s="299" t="n">
        <v>0</v>
      </c>
      <c r="AE186" s="299" t="n">
        <v>-0.075</v>
      </c>
      <c r="AF186" s="299" t="n">
        <v>-0.0455</v>
      </c>
      <c r="AG186" s="299" t="n">
        <v>-0.068</v>
      </c>
      <c r="AH186" s="299" t="n">
        <v>-0.003499999</v>
      </c>
      <c r="AI186" s="299" t="n">
        <v>-0.064</v>
      </c>
      <c r="AJ186" s="299" t="n">
        <v>0</v>
      </c>
      <c r="AK186" s="299" t="n">
        <v>-0.008999999</v>
      </c>
      <c r="AL186" s="299" t="n">
        <v>0.031</v>
      </c>
      <c r="AM186" s="299" t="n">
        <v>1.6</v>
      </c>
      <c r="AN186" s="299" t="n">
        <v>-0.0475</v>
      </c>
      <c r="AO186" s="299" t="n">
        <v>0</v>
      </c>
      <c r="AP186" s="299" t="n">
        <v>-0.07</v>
      </c>
      <c r="AQ186" s="299" t="n">
        <v>-0.13</v>
      </c>
      <c r="AR186" s="299" t="n">
        <v>0</v>
      </c>
      <c r="AS186" s="299" t="n">
        <v>-0.26</v>
      </c>
      <c r="AT186" s="299" t="n">
        <v>0</v>
      </c>
      <c r="AU186" s="299" t="n">
        <v>0.35</v>
      </c>
      <c r="AV186" s="299" t="n">
        <v>0</v>
      </c>
      <c r="AW186" s="299" t="n">
        <v>-0.1735</v>
      </c>
      <c r="AX186" s="299" t="n">
        <v>-0.06</v>
      </c>
      <c r="AY186" s="299" t="n">
        <v>-0.1135</v>
      </c>
      <c r="AZ186" s="299" t="n">
        <v>0</v>
      </c>
      <c r="BA186" s="299" t="n">
        <v>-0.089</v>
      </c>
      <c r="BB186" s="299" t="n">
        <v>-0.008499999</v>
      </c>
      <c r="BC186" s="299" t="n">
        <v>0</v>
      </c>
      <c r="BD186" s="299" t="n">
        <v>-0.0775</v>
      </c>
      <c r="BE186" s="299" t="n">
        <v>-0.075</v>
      </c>
      <c r="BF186" s="299" t="n">
        <v>0</v>
      </c>
      <c r="BG186" s="299" t="n">
        <v>0</v>
      </c>
      <c r="BH186" s="299" t="n">
        <v>0</v>
      </c>
      <c r="BI186" s="299" t="n">
        <v>0</v>
      </c>
      <c r="BJ186" s="299" t="n">
        <v>1.04</v>
      </c>
      <c r="BK186" s="299" t="n">
        <v>0</v>
      </c>
      <c r="BL186" s="299" t="n">
        <v>-0.025</v>
      </c>
      <c r="BM186" s="299" t="n">
        <v>0.005</v>
      </c>
      <c r="BN186" s="299" t="n">
        <v>0</v>
      </c>
      <c r="BO186" s="299" t="n">
        <v>0</v>
      </c>
      <c r="BP186" s="299" t="n">
        <v>0.005</v>
      </c>
      <c r="BQ186" s="299" t="n">
        <v>0</v>
      </c>
      <c r="BR186" s="299" t="n">
        <v>0.45</v>
      </c>
      <c r="BS186" s="0" t="n">
        <v>0</v>
      </c>
      <c r="BT186" s="0" t="n">
        <v>0</v>
      </c>
      <c r="BU186" s="0" t="n">
        <v>0</v>
      </c>
      <c r="BV186" s="0" t="n">
        <v>0</v>
      </c>
    </row>
    <row r="187" customFormat="false" ht="12.75" hidden="false" customHeight="false" outlineLevel="0" collapsed="false">
      <c r="A187" s="301"/>
      <c r="B187" s="301" t="n">
        <v>3.888</v>
      </c>
      <c r="C187" s="308" t="n">
        <f aca="false">EOMONTH(C186,0)+1</f>
        <v>42767</v>
      </c>
      <c r="D187" s="0" t="n">
        <v>4.5525</v>
      </c>
      <c r="E187" s="301" t="n">
        <v>0.17</v>
      </c>
      <c r="F187" s="299" t="n">
        <v>0.0618773364829273</v>
      </c>
      <c r="G187" s="299" t="n">
        <v>0</v>
      </c>
      <c r="H187" s="299" t="n">
        <v>0</v>
      </c>
      <c r="I187" s="310" t="n">
        <v>0</v>
      </c>
      <c r="J187" s="310" t="n">
        <v>0</v>
      </c>
      <c r="K187" s="299" t="n">
        <v>0</v>
      </c>
      <c r="L187" s="299" t="n">
        <v>0</v>
      </c>
      <c r="M187" s="299" t="n">
        <v>0</v>
      </c>
      <c r="N187" s="299" t="n">
        <v>0</v>
      </c>
      <c r="O187" s="299" t="n">
        <v>0</v>
      </c>
      <c r="P187" s="299" t="n">
        <v>0</v>
      </c>
      <c r="Q187" s="299" t="n">
        <v>0</v>
      </c>
      <c r="R187" s="299" t="n">
        <v>0</v>
      </c>
      <c r="S187" s="299" t="n">
        <v>0</v>
      </c>
      <c r="T187" s="299" t="n">
        <v>0</v>
      </c>
      <c r="U187" s="299" t="n">
        <v>0</v>
      </c>
      <c r="V187" s="299" t="n">
        <v>0.5</v>
      </c>
      <c r="W187" s="299" t="n">
        <v>0.235</v>
      </c>
      <c r="X187" s="299" t="n">
        <v>0.34</v>
      </c>
      <c r="Y187" s="299" t="n">
        <v>0.000999999999999994</v>
      </c>
      <c r="Z187" s="299" t="n">
        <v>-0.023</v>
      </c>
      <c r="AA187" s="299" t="n">
        <v>0.0145</v>
      </c>
      <c r="AB187" s="299" t="n">
        <v>0.000499999999999994</v>
      </c>
      <c r="AC187" s="299" t="n">
        <v>0.0025</v>
      </c>
      <c r="AD187" s="299" t="n">
        <v>0</v>
      </c>
      <c r="AE187" s="299" t="n">
        <v>-0.075</v>
      </c>
      <c r="AF187" s="299" t="n">
        <v>-0.0455</v>
      </c>
      <c r="AG187" s="299" t="n">
        <v>-0.068</v>
      </c>
      <c r="AH187" s="299" t="n">
        <v>-0.003499999</v>
      </c>
      <c r="AI187" s="299" t="n">
        <v>-0.064</v>
      </c>
      <c r="AJ187" s="299" t="n">
        <v>0</v>
      </c>
      <c r="AK187" s="299" t="n">
        <v>-0.008999999</v>
      </c>
      <c r="AL187" s="299" t="n">
        <v>0.031</v>
      </c>
      <c r="AM187" s="299" t="n">
        <v>1.6</v>
      </c>
      <c r="AN187" s="299" t="n">
        <v>-0.03</v>
      </c>
      <c r="AO187" s="299" t="n">
        <v>0</v>
      </c>
      <c r="AP187" s="299" t="n">
        <v>-0.07</v>
      </c>
      <c r="AQ187" s="299" t="n">
        <v>-0.13</v>
      </c>
      <c r="AR187" s="299" t="n">
        <v>0</v>
      </c>
      <c r="AS187" s="299" t="n">
        <v>-0.26</v>
      </c>
      <c r="AT187" s="299" t="n">
        <v>0</v>
      </c>
      <c r="AU187" s="299" t="n">
        <v>0.35</v>
      </c>
      <c r="AV187" s="299" t="n">
        <v>0</v>
      </c>
      <c r="AW187" s="299" t="n">
        <v>-0.1635</v>
      </c>
      <c r="AX187" s="299" t="n">
        <v>-0.06</v>
      </c>
      <c r="AY187" s="299" t="n">
        <v>-0.1035</v>
      </c>
      <c r="AZ187" s="299" t="n">
        <v>0</v>
      </c>
      <c r="BA187" s="299" t="n">
        <v>-0.089</v>
      </c>
      <c r="BB187" s="299" t="n">
        <v>-0.008499999</v>
      </c>
      <c r="BC187" s="299" t="n">
        <v>0</v>
      </c>
      <c r="BD187" s="299" t="n">
        <v>-0.06</v>
      </c>
      <c r="BE187" s="299" t="n">
        <v>-0.075</v>
      </c>
      <c r="BF187" s="299" t="n">
        <v>0</v>
      </c>
      <c r="BG187" s="299" t="n">
        <v>0</v>
      </c>
      <c r="BH187" s="299" t="n">
        <v>0</v>
      </c>
      <c r="BI187" s="299" t="n">
        <v>0</v>
      </c>
      <c r="BJ187" s="299" t="n">
        <v>1.04</v>
      </c>
      <c r="BK187" s="299" t="n">
        <v>0</v>
      </c>
      <c r="BL187" s="299" t="n">
        <v>-0.025</v>
      </c>
      <c r="BM187" s="299" t="n">
        <v>0.005</v>
      </c>
      <c r="BN187" s="299" t="n">
        <v>0</v>
      </c>
      <c r="BO187" s="299" t="n">
        <v>0</v>
      </c>
      <c r="BP187" s="299" t="n">
        <v>0.005</v>
      </c>
      <c r="BQ187" s="299" t="n">
        <v>0</v>
      </c>
      <c r="BR187" s="299" t="n">
        <v>0.45</v>
      </c>
      <c r="BS187" s="0" t="n">
        <v>0</v>
      </c>
      <c r="BT187" s="0" t="n">
        <v>0</v>
      </c>
      <c r="BU187" s="0" t="n">
        <v>0</v>
      </c>
      <c r="BV187" s="0" t="n">
        <v>0</v>
      </c>
    </row>
    <row r="188" customFormat="false" ht="12.75" hidden="false" customHeight="false" outlineLevel="0" collapsed="false">
      <c r="A188" s="301"/>
      <c r="B188" s="301" t="n">
        <v>3.866</v>
      </c>
      <c r="C188" s="308" t="n">
        <f aca="false">EOMONTH(C187,0)+1</f>
        <v>42795</v>
      </c>
      <c r="D188" s="0" t="n">
        <v>4.4225</v>
      </c>
      <c r="E188" s="301" t="n">
        <v>0.17</v>
      </c>
      <c r="F188" s="299" t="n">
        <v>0.0619169232829968</v>
      </c>
      <c r="G188" s="299" t="n">
        <v>0</v>
      </c>
      <c r="H188" s="299" t="n">
        <v>0</v>
      </c>
      <c r="I188" s="310" t="n">
        <v>0</v>
      </c>
      <c r="J188" s="310" t="n">
        <v>0</v>
      </c>
      <c r="K188" s="299" t="n">
        <v>0</v>
      </c>
      <c r="L188" s="299" t="n">
        <v>0</v>
      </c>
      <c r="M188" s="299" t="n">
        <v>0</v>
      </c>
      <c r="N188" s="299" t="n">
        <v>0</v>
      </c>
      <c r="O188" s="299" t="n">
        <v>0</v>
      </c>
      <c r="P188" s="299" t="n">
        <v>0</v>
      </c>
      <c r="Q188" s="299" t="n">
        <v>0</v>
      </c>
      <c r="R188" s="299" t="n">
        <v>0</v>
      </c>
      <c r="S188" s="299" t="n">
        <v>0</v>
      </c>
      <c r="T188" s="299" t="n">
        <v>0</v>
      </c>
      <c r="U188" s="299" t="n">
        <v>0</v>
      </c>
      <c r="V188" s="299" t="n">
        <v>0.5</v>
      </c>
      <c r="W188" s="299" t="n">
        <v>0.195</v>
      </c>
      <c r="X188" s="299" t="n">
        <v>0.29</v>
      </c>
      <c r="Y188" s="299" t="n">
        <v>0</v>
      </c>
      <c r="Z188" s="299" t="n">
        <v>-0.023</v>
      </c>
      <c r="AA188" s="299" t="n">
        <v>0.022</v>
      </c>
      <c r="AB188" s="299" t="n">
        <v>0.007</v>
      </c>
      <c r="AC188" s="299" t="n">
        <v>0</v>
      </c>
      <c r="AD188" s="299" t="n">
        <v>0</v>
      </c>
      <c r="AE188" s="299" t="n">
        <v>-0.0455</v>
      </c>
      <c r="AF188" s="299" t="n">
        <v>-0.0455</v>
      </c>
      <c r="AG188" s="299" t="n">
        <v>-0.068</v>
      </c>
      <c r="AH188" s="299" t="n">
        <v>0</v>
      </c>
      <c r="AI188" s="299" t="n">
        <v>-0.064</v>
      </c>
      <c r="AJ188" s="299" t="n">
        <v>0</v>
      </c>
      <c r="AK188" s="299" t="n">
        <v>-0.008999999</v>
      </c>
      <c r="AL188" s="299" t="n">
        <v>0.031</v>
      </c>
      <c r="AM188" s="299" t="n">
        <v>0.64</v>
      </c>
      <c r="AN188" s="299" t="n">
        <v>-0.0175</v>
      </c>
      <c r="AO188" s="299" t="n">
        <v>0</v>
      </c>
      <c r="AP188" s="299" t="n">
        <v>-0.07</v>
      </c>
      <c r="AQ188" s="299" t="n">
        <v>-0.13</v>
      </c>
      <c r="AR188" s="299" t="n">
        <v>0</v>
      </c>
      <c r="AS188" s="299" t="n">
        <v>-0.26</v>
      </c>
      <c r="AT188" s="299" t="n">
        <v>0</v>
      </c>
      <c r="AU188" s="299" t="n">
        <v>0.35</v>
      </c>
      <c r="AV188" s="299" t="n">
        <v>0</v>
      </c>
      <c r="AW188" s="299" t="n">
        <v>-0.1535</v>
      </c>
      <c r="AX188" s="299" t="n">
        <v>-0.06</v>
      </c>
      <c r="AY188" s="299" t="n">
        <v>-0.0935</v>
      </c>
      <c r="AZ188" s="299" t="n">
        <v>0</v>
      </c>
      <c r="BA188" s="299" t="n">
        <v>0</v>
      </c>
      <c r="BB188" s="299" t="n">
        <v>0</v>
      </c>
      <c r="BC188" s="299" t="n">
        <v>0</v>
      </c>
      <c r="BD188" s="299" t="n">
        <v>-0.0475</v>
      </c>
      <c r="BE188" s="299" t="n">
        <v>0</v>
      </c>
      <c r="BF188" s="299" t="n">
        <v>0</v>
      </c>
      <c r="BG188" s="299" t="n">
        <v>0</v>
      </c>
      <c r="BH188" s="299" t="n">
        <v>0</v>
      </c>
      <c r="BI188" s="299" t="n">
        <v>0</v>
      </c>
      <c r="BJ188" s="299" t="n">
        <v>0.54</v>
      </c>
      <c r="BK188" s="299" t="n">
        <v>0</v>
      </c>
      <c r="BL188" s="299" t="n">
        <v>-0.02</v>
      </c>
      <c r="BM188" s="299" t="n">
        <v>0.005</v>
      </c>
      <c r="BN188" s="299" t="n">
        <v>0</v>
      </c>
      <c r="BO188" s="299" t="n">
        <v>0</v>
      </c>
      <c r="BP188" s="299" t="n">
        <v>0.005</v>
      </c>
      <c r="BQ188" s="299" t="n">
        <v>0</v>
      </c>
      <c r="BR188" s="299" t="n">
        <v>0.1</v>
      </c>
      <c r="BS188" s="0" t="n">
        <v>0</v>
      </c>
      <c r="BT188" s="0" t="n">
        <v>0</v>
      </c>
      <c r="BU188" s="0" t="n">
        <v>0</v>
      </c>
      <c r="BV188" s="0" t="n">
        <v>0</v>
      </c>
    </row>
    <row r="189" customFormat="false" ht="12.75" hidden="false" customHeight="false" outlineLevel="0" collapsed="false">
      <c r="A189" s="301"/>
      <c r="B189" s="301" t="n">
        <v>3.872</v>
      </c>
      <c r="C189" s="308" t="n">
        <f aca="false">EOMONTH(C188,0)+1</f>
        <v>42826</v>
      </c>
      <c r="D189" s="0" t="n">
        <v>4.2375</v>
      </c>
      <c r="E189" s="301" t="n">
        <v>0.17</v>
      </c>
      <c r="F189" s="299" t="n">
        <v>0.061960751526537</v>
      </c>
      <c r="G189" s="299" t="n">
        <v>0</v>
      </c>
      <c r="H189" s="299" t="n">
        <v>0</v>
      </c>
      <c r="I189" s="310" t="n">
        <v>0</v>
      </c>
      <c r="J189" s="310" t="n">
        <v>0</v>
      </c>
      <c r="K189" s="299" t="n">
        <v>0</v>
      </c>
      <c r="L189" s="299" t="n">
        <v>0</v>
      </c>
      <c r="M189" s="299" t="n">
        <v>0</v>
      </c>
      <c r="N189" s="299" t="n">
        <v>0</v>
      </c>
      <c r="O189" s="299" t="n">
        <v>0</v>
      </c>
      <c r="P189" s="299" t="n">
        <v>0</v>
      </c>
      <c r="Q189" s="299" t="n">
        <v>0</v>
      </c>
      <c r="R189" s="299" t="n">
        <v>0</v>
      </c>
      <c r="S189" s="299" t="n">
        <v>0</v>
      </c>
      <c r="T189" s="299" t="n">
        <v>0</v>
      </c>
      <c r="U189" s="299" t="n">
        <v>0</v>
      </c>
      <c r="V189" s="299" t="n">
        <v>0.5</v>
      </c>
      <c r="W189" s="299" t="n">
        <v>0.145</v>
      </c>
      <c r="X189" s="299" t="n">
        <v>0.195</v>
      </c>
      <c r="Y189" s="299" t="n">
        <v>0</v>
      </c>
      <c r="Z189" s="299" t="n">
        <v>-0.038</v>
      </c>
      <c r="AA189" s="299" t="n">
        <v>0.022</v>
      </c>
      <c r="AB189" s="299" t="n">
        <v>0.007</v>
      </c>
      <c r="AC189" s="299" t="n">
        <v>0</v>
      </c>
      <c r="AD189" s="299" t="n">
        <v>0</v>
      </c>
      <c r="AE189" s="299" t="n">
        <v>-0.043</v>
      </c>
      <c r="AF189" s="299" t="n">
        <v>-0.043</v>
      </c>
      <c r="AG189" s="299" t="n">
        <v>-0.0655</v>
      </c>
      <c r="AH189" s="299" t="n">
        <v>0</v>
      </c>
      <c r="AI189" s="299" t="n">
        <v>-0.072</v>
      </c>
      <c r="AJ189" s="299" t="n">
        <v>0</v>
      </c>
      <c r="AK189" s="299" t="n">
        <v>-0.017</v>
      </c>
      <c r="AL189" s="299" t="n">
        <v>0.023</v>
      </c>
      <c r="AM189" s="299" t="n">
        <v>0.38</v>
      </c>
      <c r="AN189" s="299" t="n">
        <v>0.02</v>
      </c>
      <c r="AO189" s="299" t="n">
        <v>0</v>
      </c>
      <c r="AP189" s="299" t="n">
        <v>-0.07</v>
      </c>
      <c r="AQ189" s="299" t="n">
        <v>-0.195</v>
      </c>
      <c r="AR189" s="299" t="n">
        <v>0</v>
      </c>
      <c r="AS189" s="299" t="n">
        <v>-0.37</v>
      </c>
      <c r="AT189" s="299" t="n">
        <v>0</v>
      </c>
      <c r="AU189" s="299" t="n">
        <v>0.43</v>
      </c>
      <c r="AV189" s="299" t="n">
        <v>0</v>
      </c>
      <c r="AW189" s="299" t="n">
        <v>-0.194</v>
      </c>
      <c r="AX189" s="299" t="n">
        <v>-0.06</v>
      </c>
      <c r="AY189" s="299" t="n">
        <v>-0.134</v>
      </c>
      <c r="AZ189" s="299" t="n">
        <v>0</v>
      </c>
      <c r="BA189" s="299" t="n">
        <v>0</v>
      </c>
      <c r="BB189" s="299" t="n">
        <v>0</v>
      </c>
      <c r="BC189" s="299" t="n">
        <v>0</v>
      </c>
      <c r="BD189" s="299" t="n">
        <v>-0.01</v>
      </c>
      <c r="BE189" s="299" t="n">
        <v>0</v>
      </c>
      <c r="BF189" s="299" t="n">
        <v>0</v>
      </c>
      <c r="BG189" s="299" t="n">
        <v>0</v>
      </c>
      <c r="BH189" s="299" t="n">
        <v>0</v>
      </c>
      <c r="BI189" s="299" t="n">
        <v>0</v>
      </c>
      <c r="BJ189" s="299" t="n">
        <v>0.36</v>
      </c>
      <c r="BK189" s="299" t="n">
        <v>0</v>
      </c>
      <c r="BL189" s="299" t="n">
        <v>-0.015</v>
      </c>
      <c r="BM189" s="299" t="n">
        <v>0.005</v>
      </c>
      <c r="BN189" s="299" t="n">
        <v>0</v>
      </c>
      <c r="BO189" s="299" t="n">
        <v>0</v>
      </c>
      <c r="BP189" s="299" t="n">
        <v>0.005</v>
      </c>
      <c r="BQ189" s="299" t="n">
        <v>0</v>
      </c>
      <c r="BR189" s="299" t="n">
        <v>0.02</v>
      </c>
      <c r="BS189" s="0" t="n">
        <v>0</v>
      </c>
      <c r="BT189" s="0" t="n">
        <v>0</v>
      </c>
      <c r="BU189" s="0" t="n">
        <v>0</v>
      </c>
      <c r="BV189" s="0" t="n">
        <v>0</v>
      </c>
    </row>
    <row r="190" customFormat="false" ht="12.75" hidden="false" customHeight="false" outlineLevel="0" collapsed="false">
      <c r="A190" s="301"/>
      <c r="B190" s="301" t="n">
        <v>3.924</v>
      </c>
      <c r="C190" s="308" t="n">
        <f aca="false">EOMONTH(C189,0)+1</f>
        <v>42856</v>
      </c>
      <c r="D190" s="0" t="n">
        <v>4.2325</v>
      </c>
      <c r="E190" s="301" t="n">
        <v>0.17</v>
      </c>
      <c r="F190" s="299" t="n">
        <v>0.0620031659563769</v>
      </c>
      <c r="G190" s="299" t="n">
        <v>0</v>
      </c>
      <c r="H190" s="299" t="n">
        <v>0</v>
      </c>
      <c r="I190" s="310" t="n">
        <v>0</v>
      </c>
      <c r="J190" s="310" t="n">
        <v>0</v>
      </c>
      <c r="K190" s="299" t="n">
        <v>0</v>
      </c>
      <c r="L190" s="299" t="n">
        <v>0</v>
      </c>
      <c r="M190" s="299" t="n">
        <v>0</v>
      </c>
      <c r="N190" s="299" t="n">
        <v>0</v>
      </c>
      <c r="O190" s="299" t="n">
        <v>0</v>
      </c>
      <c r="P190" s="299" t="n">
        <v>0</v>
      </c>
      <c r="Q190" s="299" t="n">
        <v>0</v>
      </c>
      <c r="R190" s="299" t="n">
        <v>0</v>
      </c>
      <c r="S190" s="299" t="n">
        <v>0</v>
      </c>
      <c r="T190" s="299" t="n">
        <v>0</v>
      </c>
      <c r="U190" s="299" t="n">
        <v>0</v>
      </c>
      <c r="V190" s="299" t="n">
        <v>0.5</v>
      </c>
      <c r="W190" s="299" t="n">
        <v>0.125</v>
      </c>
      <c r="X190" s="299" t="n">
        <v>0.135</v>
      </c>
      <c r="Y190" s="299" t="n">
        <v>0</v>
      </c>
      <c r="Z190" s="299" t="n">
        <v>-0.038</v>
      </c>
      <c r="AA190" s="299" t="n">
        <v>0.0245</v>
      </c>
      <c r="AB190" s="299" t="n">
        <v>0.0095</v>
      </c>
      <c r="AC190" s="299" t="n">
        <v>0</v>
      </c>
      <c r="AD190" s="299" t="n">
        <v>0</v>
      </c>
      <c r="AE190" s="299" t="n">
        <v>-0.043</v>
      </c>
      <c r="AF190" s="299" t="n">
        <v>-0.043</v>
      </c>
      <c r="AG190" s="299" t="n">
        <v>-0.0655</v>
      </c>
      <c r="AH190" s="299" t="n">
        <v>0</v>
      </c>
      <c r="AI190" s="299" t="n">
        <v>-0.072</v>
      </c>
      <c r="AJ190" s="299" t="n">
        <v>0</v>
      </c>
      <c r="AK190" s="299" t="n">
        <v>-0.017</v>
      </c>
      <c r="AL190" s="299" t="n">
        <v>0.023</v>
      </c>
      <c r="AM190" s="299" t="n">
        <v>0.33</v>
      </c>
      <c r="AN190" s="299" t="n">
        <v>0.02</v>
      </c>
      <c r="AO190" s="299" t="n">
        <v>0</v>
      </c>
      <c r="AP190" s="299" t="n">
        <v>-0.07</v>
      </c>
      <c r="AQ190" s="299" t="n">
        <v>-0.195</v>
      </c>
      <c r="AR190" s="299" t="n">
        <v>0</v>
      </c>
      <c r="AS190" s="299" t="n">
        <v>-0.37</v>
      </c>
      <c r="AT190" s="299" t="n">
        <v>0</v>
      </c>
      <c r="AU190" s="299" t="n">
        <v>0.43</v>
      </c>
      <c r="AV190" s="299" t="n">
        <v>0</v>
      </c>
      <c r="AW190" s="299" t="n">
        <v>-0.1715</v>
      </c>
      <c r="AX190" s="299" t="n">
        <v>-0.06</v>
      </c>
      <c r="AY190" s="299" t="n">
        <v>-0.1115</v>
      </c>
      <c r="AZ190" s="299" t="n">
        <v>0</v>
      </c>
      <c r="BA190" s="299" t="n">
        <v>0</v>
      </c>
      <c r="BB190" s="299" t="n">
        <v>0</v>
      </c>
      <c r="BC190" s="299" t="n">
        <v>0</v>
      </c>
      <c r="BD190" s="299" t="n">
        <v>-0.01</v>
      </c>
      <c r="BE190" s="299" t="n">
        <v>0</v>
      </c>
      <c r="BF190" s="299" t="n">
        <v>0</v>
      </c>
      <c r="BG190" s="299" t="n">
        <v>0</v>
      </c>
      <c r="BH190" s="299" t="n">
        <v>0</v>
      </c>
      <c r="BI190" s="299" t="n">
        <v>0</v>
      </c>
      <c r="BJ190" s="299" t="n">
        <v>0.325</v>
      </c>
      <c r="BK190" s="299" t="n">
        <v>0</v>
      </c>
      <c r="BL190" s="299" t="n">
        <v>-0.015</v>
      </c>
      <c r="BM190" s="299" t="n">
        <v>0.005</v>
      </c>
      <c r="BN190" s="299" t="n">
        <v>0</v>
      </c>
      <c r="BO190" s="299" t="n">
        <v>0</v>
      </c>
      <c r="BP190" s="299" t="n">
        <v>0.005</v>
      </c>
      <c r="BQ190" s="299" t="n">
        <v>0</v>
      </c>
      <c r="BR190" s="299" t="n">
        <v>0.02</v>
      </c>
      <c r="BS190" s="0" t="n">
        <v>0</v>
      </c>
      <c r="BT190" s="0" t="n">
        <v>0</v>
      </c>
      <c r="BU190" s="0" t="n">
        <v>0</v>
      </c>
      <c r="BV190" s="0" t="n">
        <v>0</v>
      </c>
    </row>
    <row r="191" customFormat="false" ht="12.75" hidden="false" customHeight="false" outlineLevel="0" collapsed="false">
      <c r="A191" s="301"/>
      <c r="B191" s="301" t="n">
        <v>3.997</v>
      </c>
      <c r="C191" s="308" t="n">
        <f aca="false">EOMONTH(C190,0)+1</f>
        <v>42887</v>
      </c>
      <c r="D191" s="0" t="n">
        <v>4.2675</v>
      </c>
      <c r="E191" s="301" t="n">
        <v>0.17</v>
      </c>
      <c r="F191" s="299" t="n">
        <v>0.0620469942011721</v>
      </c>
      <c r="G191" s="299" t="n">
        <v>0</v>
      </c>
      <c r="H191" s="299" t="n">
        <v>0</v>
      </c>
      <c r="I191" s="310" t="n">
        <v>0</v>
      </c>
      <c r="J191" s="310" t="n">
        <v>0</v>
      </c>
      <c r="K191" s="299" t="n">
        <v>0</v>
      </c>
      <c r="L191" s="299" t="n">
        <v>0</v>
      </c>
      <c r="M191" s="299" t="n">
        <v>0</v>
      </c>
      <c r="N191" s="299" t="n">
        <v>0</v>
      </c>
      <c r="O191" s="299" t="n">
        <v>0</v>
      </c>
      <c r="P191" s="299" t="n">
        <v>0</v>
      </c>
      <c r="Q191" s="299" t="n">
        <v>0</v>
      </c>
      <c r="R191" s="299" t="n">
        <v>0</v>
      </c>
      <c r="S191" s="299" t="n">
        <v>0</v>
      </c>
      <c r="T191" s="299" t="n">
        <v>0</v>
      </c>
      <c r="U191" s="312" t="n">
        <v>0</v>
      </c>
      <c r="V191" s="299" t="n">
        <v>0.5</v>
      </c>
      <c r="W191" s="299" t="n">
        <v>0.145</v>
      </c>
      <c r="X191" s="299" t="n">
        <v>0.165</v>
      </c>
      <c r="Y191" s="299" t="n">
        <v>0</v>
      </c>
      <c r="Z191" s="299" t="n">
        <v>-0.0355</v>
      </c>
      <c r="AA191" s="299" t="n">
        <v>0.0245</v>
      </c>
      <c r="AB191" s="299" t="n">
        <v>0.0095</v>
      </c>
      <c r="AC191" s="299" t="n">
        <v>0</v>
      </c>
      <c r="AD191" s="299" t="n">
        <v>0</v>
      </c>
      <c r="AE191" s="299" t="n">
        <v>0</v>
      </c>
      <c r="AF191" s="299" t="n">
        <v>0</v>
      </c>
      <c r="AG191" s="299" t="n">
        <v>0</v>
      </c>
      <c r="AH191" s="299" t="n">
        <v>0</v>
      </c>
      <c r="AI191" s="299" t="n">
        <v>0</v>
      </c>
      <c r="AJ191" s="312" t="n">
        <v>0</v>
      </c>
      <c r="AK191" s="299" t="n">
        <v>0</v>
      </c>
      <c r="AL191" s="299" t="n">
        <v>0</v>
      </c>
      <c r="AM191" s="299" t="n">
        <v>0.37</v>
      </c>
      <c r="AN191" s="299" t="n">
        <v>0.025</v>
      </c>
      <c r="AO191" s="299" t="n">
        <v>0</v>
      </c>
      <c r="AP191" s="299" t="n">
        <v>-0.07</v>
      </c>
      <c r="AQ191" s="299" t="n">
        <v>-0.195</v>
      </c>
      <c r="AR191" s="299" t="n">
        <v>0</v>
      </c>
      <c r="AS191" s="299" t="n">
        <v>-0.37</v>
      </c>
      <c r="AT191" s="299" t="n">
        <v>0</v>
      </c>
      <c r="AU191" s="299" t="n">
        <v>0.43</v>
      </c>
      <c r="AV191" s="299" t="n">
        <v>0</v>
      </c>
      <c r="AW191" s="299" t="n">
        <v>-0.06</v>
      </c>
      <c r="AX191" s="299" t="n">
        <v>-0.06</v>
      </c>
      <c r="AY191" s="299" t="n">
        <v>0</v>
      </c>
      <c r="AZ191" s="299" t="n">
        <v>0</v>
      </c>
      <c r="BA191" s="299" t="n">
        <v>0</v>
      </c>
      <c r="BB191" s="299" t="n">
        <v>0</v>
      </c>
      <c r="BC191" s="299" t="n">
        <v>0</v>
      </c>
      <c r="BD191" s="299" t="n">
        <v>-0.005</v>
      </c>
      <c r="BE191" s="299" t="n">
        <v>0</v>
      </c>
      <c r="BF191" s="299" t="n">
        <v>0</v>
      </c>
      <c r="BG191" s="299" t="n">
        <v>0</v>
      </c>
      <c r="BH191" s="299" t="n">
        <v>0</v>
      </c>
      <c r="BI191" s="299" t="n">
        <v>0</v>
      </c>
      <c r="BJ191" s="299" t="n">
        <v>0.335</v>
      </c>
      <c r="BK191" s="299" t="n">
        <v>0</v>
      </c>
      <c r="BL191" s="299" t="n">
        <v>-0.015</v>
      </c>
      <c r="BM191" s="299" t="n">
        <v>0.005</v>
      </c>
      <c r="BN191" s="299" t="n">
        <v>0</v>
      </c>
      <c r="BO191" s="299" t="n">
        <v>0</v>
      </c>
      <c r="BP191" s="299" t="n">
        <v>0.005</v>
      </c>
      <c r="BQ191" s="299" t="n">
        <v>0</v>
      </c>
      <c r="BR191" s="299" t="n">
        <v>0.035</v>
      </c>
      <c r="BS191" s="0" t="n">
        <v>0</v>
      </c>
      <c r="BT191" s="0" t="n">
        <v>0</v>
      </c>
      <c r="BU191" s="0" t="n">
        <v>0</v>
      </c>
      <c r="BV191" s="0" t="n">
        <v>0</v>
      </c>
    </row>
    <row r="192" customFormat="false" ht="12.75" hidden="false" customHeight="false" outlineLevel="0" collapsed="false">
      <c r="A192" s="301"/>
      <c r="B192" s="301" t="n">
        <v>4.269</v>
      </c>
      <c r="C192" s="308" t="n">
        <f aca="false">EOMONTH(C191,0)+1</f>
        <v>42917</v>
      </c>
      <c r="D192" s="0" t="n">
        <v>4.3075</v>
      </c>
      <c r="E192" s="301" t="n">
        <v>0.17</v>
      </c>
      <c r="F192" s="299" t="n">
        <v>0.0620894086322266</v>
      </c>
      <c r="G192" s="299" t="n">
        <v>0</v>
      </c>
      <c r="H192" s="299" t="n">
        <v>0</v>
      </c>
      <c r="I192" s="310" t="n">
        <v>0</v>
      </c>
      <c r="J192" s="310" t="n">
        <v>0</v>
      </c>
      <c r="K192" s="299" t="n">
        <v>0</v>
      </c>
      <c r="L192" s="299" t="n">
        <v>0</v>
      </c>
      <c r="M192" s="299" t="n">
        <v>0</v>
      </c>
      <c r="N192" s="299" t="n">
        <v>0</v>
      </c>
      <c r="O192" s="299" t="n">
        <v>0</v>
      </c>
      <c r="P192" s="299" t="n">
        <v>0</v>
      </c>
      <c r="Q192" s="299" t="n">
        <v>0</v>
      </c>
      <c r="R192" s="299" t="n">
        <v>0</v>
      </c>
      <c r="S192" s="299" t="n">
        <v>0</v>
      </c>
      <c r="T192" s="299" t="n">
        <v>0</v>
      </c>
      <c r="U192" s="299" t="n">
        <v>0</v>
      </c>
      <c r="V192" s="299" t="n">
        <v>0.5</v>
      </c>
      <c r="W192" s="299" t="n">
        <v>0.15</v>
      </c>
      <c r="X192" s="299" t="n">
        <v>0.205</v>
      </c>
      <c r="Y192" s="299" t="n">
        <v>0</v>
      </c>
      <c r="Z192" s="299" t="n">
        <v>-0.0355</v>
      </c>
      <c r="AA192" s="299" t="n">
        <v>0.0245</v>
      </c>
      <c r="AB192" s="299" t="n">
        <v>0.0095</v>
      </c>
      <c r="AC192" s="299" t="n">
        <v>0</v>
      </c>
      <c r="AD192" s="299" t="n">
        <v>0</v>
      </c>
      <c r="AE192" s="299" t="n">
        <v>0</v>
      </c>
      <c r="AF192" s="299" t="n">
        <v>0</v>
      </c>
      <c r="AG192" s="299" t="n">
        <v>0</v>
      </c>
      <c r="AH192" s="299" t="n">
        <v>0</v>
      </c>
      <c r="AI192" s="299" t="n">
        <v>0</v>
      </c>
      <c r="AJ192" s="299" t="n">
        <v>0</v>
      </c>
      <c r="AK192" s="299" t="n">
        <v>0</v>
      </c>
      <c r="AL192" s="299" t="n">
        <v>0</v>
      </c>
      <c r="AM192" s="299" t="n">
        <v>0.41</v>
      </c>
      <c r="AN192" s="299" t="n">
        <v>0.0275</v>
      </c>
      <c r="AO192" s="299" t="n">
        <v>0</v>
      </c>
      <c r="AP192" s="299" t="n">
        <v>-0.07</v>
      </c>
      <c r="AQ192" s="299" t="n">
        <v>-0.195</v>
      </c>
      <c r="AR192" s="299" t="n">
        <v>0</v>
      </c>
      <c r="AS192" s="299" t="n">
        <v>-0.37</v>
      </c>
      <c r="AT192" s="299" t="n">
        <v>0</v>
      </c>
      <c r="AU192" s="299" t="n">
        <v>0.43</v>
      </c>
      <c r="AV192" s="299" t="n">
        <v>0</v>
      </c>
      <c r="AW192" s="299" t="n">
        <v>-0.06</v>
      </c>
      <c r="AX192" s="299" t="n">
        <v>-0.06</v>
      </c>
      <c r="AY192" s="299" t="n">
        <v>0</v>
      </c>
      <c r="AZ192" s="299" t="n">
        <v>0</v>
      </c>
      <c r="BA192" s="299" t="n">
        <v>0</v>
      </c>
      <c r="BB192" s="299" t="n">
        <v>0</v>
      </c>
      <c r="BC192" s="299" t="n">
        <v>0</v>
      </c>
      <c r="BD192" s="299" t="n">
        <v>-0.0025</v>
      </c>
      <c r="BE192" s="299" t="n">
        <v>0</v>
      </c>
      <c r="BF192" s="299" t="n">
        <v>0</v>
      </c>
      <c r="BG192" s="299" t="n">
        <v>0</v>
      </c>
      <c r="BH192" s="299" t="n">
        <v>0</v>
      </c>
      <c r="BI192" s="299" t="n">
        <v>0</v>
      </c>
      <c r="BJ192" s="299" t="n">
        <v>0.35</v>
      </c>
      <c r="BK192" s="299" t="n">
        <v>0</v>
      </c>
      <c r="BL192" s="299" t="n">
        <v>-0.01</v>
      </c>
      <c r="BM192" s="299" t="n">
        <v>0.005</v>
      </c>
      <c r="BN192" s="299" t="n">
        <v>0</v>
      </c>
      <c r="BO192" s="299" t="n">
        <v>0</v>
      </c>
      <c r="BP192" s="299" t="n">
        <v>0.005</v>
      </c>
      <c r="BQ192" s="299" t="n">
        <v>0</v>
      </c>
      <c r="BR192" s="299" t="n">
        <v>0.035</v>
      </c>
      <c r="BS192" s="0" t="n">
        <v>0</v>
      </c>
      <c r="BT192" s="0" t="n">
        <v>0</v>
      </c>
      <c r="BU192" s="0" t="n">
        <v>0</v>
      </c>
      <c r="BV192" s="0" t="n">
        <v>0</v>
      </c>
    </row>
    <row r="193" customFormat="false" ht="12.75" hidden="false" customHeight="false" outlineLevel="0" collapsed="false">
      <c r="A193" s="301"/>
      <c r="B193" s="301" t="n">
        <v>4.194</v>
      </c>
      <c r="C193" s="308" t="n">
        <f aca="false">EOMONTH(C192,0)+1</f>
        <v>42948</v>
      </c>
      <c r="D193" s="0" t="n">
        <v>4.3475</v>
      </c>
      <c r="E193" s="301" t="n">
        <v>0.17</v>
      </c>
      <c r="F193" s="299" t="n">
        <v>0.0621332368782759</v>
      </c>
      <c r="G193" s="299" t="n">
        <v>0</v>
      </c>
      <c r="H193" s="299" t="n">
        <v>0</v>
      </c>
      <c r="I193" s="310" t="n">
        <v>0</v>
      </c>
      <c r="J193" s="310" t="n">
        <v>0</v>
      </c>
      <c r="K193" s="299" t="n">
        <v>0</v>
      </c>
      <c r="L193" s="299" t="n">
        <v>0</v>
      </c>
      <c r="M193" s="299" t="n">
        <v>0</v>
      </c>
      <c r="N193" s="299" t="n">
        <v>0</v>
      </c>
      <c r="O193" s="299" t="n">
        <v>0</v>
      </c>
      <c r="P193" s="299" t="n">
        <v>0</v>
      </c>
      <c r="Q193" s="299" t="n">
        <v>0</v>
      </c>
      <c r="R193" s="299" t="n">
        <v>0</v>
      </c>
      <c r="S193" s="299" t="n">
        <v>0</v>
      </c>
      <c r="T193" s="299" t="n">
        <v>0</v>
      </c>
      <c r="U193" s="299" t="n">
        <v>0</v>
      </c>
      <c r="V193" s="299" t="n">
        <v>0.5</v>
      </c>
      <c r="W193" s="299" t="n">
        <v>0.15</v>
      </c>
      <c r="X193" s="299" t="n">
        <v>0.205</v>
      </c>
      <c r="Y193" s="299" t="n">
        <v>0</v>
      </c>
      <c r="Z193" s="299" t="n">
        <v>-0.0355</v>
      </c>
      <c r="AA193" s="299" t="n">
        <v>0.0195</v>
      </c>
      <c r="AB193" s="299" t="n">
        <v>0.0045</v>
      </c>
      <c r="AC193" s="299" t="n">
        <v>0</v>
      </c>
      <c r="AD193" s="299" t="n">
        <v>0</v>
      </c>
      <c r="AE193" s="299" t="n">
        <v>0</v>
      </c>
      <c r="AF193" s="299" t="n">
        <v>0</v>
      </c>
      <c r="AG193" s="299" t="n">
        <v>0</v>
      </c>
      <c r="AH193" s="299" t="n">
        <v>0</v>
      </c>
      <c r="AI193" s="299" t="n">
        <v>0</v>
      </c>
      <c r="AJ193" s="299" t="n">
        <v>0</v>
      </c>
      <c r="AK193" s="299" t="n">
        <v>0</v>
      </c>
      <c r="AL193" s="299" t="n">
        <v>0</v>
      </c>
      <c r="AM193" s="299" t="n">
        <v>0.41</v>
      </c>
      <c r="AN193" s="299" t="n">
        <v>0.03</v>
      </c>
      <c r="AO193" s="299" t="n">
        <v>0</v>
      </c>
      <c r="AP193" s="299" t="n">
        <v>-0.07</v>
      </c>
      <c r="AQ193" s="299" t="n">
        <v>-0.195</v>
      </c>
      <c r="AR193" s="299" t="n">
        <v>0</v>
      </c>
      <c r="AS193" s="299" t="n">
        <v>-0.37</v>
      </c>
      <c r="AT193" s="299" t="n">
        <v>0</v>
      </c>
      <c r="AU193" s="299" t="n">
        <v>0.43</v>
      </c>
      <c r="AV193" s="299" t="n">
        <v>0</v>
      </c>
      <c r="AW193" s="299" t="n">
        <v>-0.06</v>
      </c>
      <c r="AX193" s="299" t="n">
        <v>-0.06</v>
      </c>
      <c r="AY193" s="299" t="n">
        <v>0</v>
      </c>
      <c r="AZ193" s="299" t="n">
        <v>0</v>
      </c>
      <c r="BA193" s="299" t="n">
        <v>0</v>
      </c>
      <c r="BB193" s="299" t="n">
        <v>0</v>
      </c>
      <c r="BC193" s="299" t="n">
        <v>0</v>
      </c>
      <c r="BD193" s="299" t="n">
        <v>0</v>
      </c>
      <c r="BE193" s="299" t="n">
        <v>0</v>
      </c>
      <c r="BF193" s="299" t="n">
        <v>0</v>
      </c>
      <c r="BG193" s="299" t="n">
        <v>0</v>
      </c>
      <c r="BH193" s="299" t="n">
        <v>0</v>
      </c>
      <c r="BI193" s="299" t="n">
        <v>0</v>
      </c>
      <c r="BJ193" s="299" t="n">
        <v>0.35</v>
      </c>
      <c r="BK193" s="299" t="n">
        <v>0</v>
      </c>
      <c r="BL193" s="299" t="n">
        <v>-0.01</v>
      </c>
      <c r="BM193" s="299" t="n">
        <v>0.005</v>
      </c>
      <c r="BN193" s="299" t="n">
        <v>0</v>
      </c>
      <c r="BO193" s="299" t="n">
        <v>0</v>
      </c>
      <c r="BP193" s="299" t="n">
        <v>0.005</v>
      </c>
      <c r="BQ193" s="299" t="n">
        <v>0</v>
      </c>
      <c r="BR193" s="299" t="n">
        <v>0.01</v>
      </c>
      <c r="BS193" s="0" t="n">
        <v>0</v>
      </c>
      <c r="BT193" s="0" t="n">
        <v>0</v>
      </c>
      <c r="BU193" s="0" t="n">
        <v>0</v>
      </c>
      <c r="BV193" s="0" t="n">
        <v>0</v>
      </c>
    </row>
    <row r="194" customFormat="false" ht="12.75" hidden="false" customHeight="false" outlineLevel="0" collapsed="false">
      <c r="A194" s="301"/>
      <c r="B194" s="301" t="n">
        <v>4.075</v>
      </c>
      <c r="C194" s="308" t="n">
        <f aca="false">EOMONTH(C193,0)+1</f>
        <v>42979</v>
      </c>
      <c r="D194" s="0" t="n">
        <v>4.3425</v>
      </c>
      <c r="E194" s="301" t="n">
        <v>0.17</v>
      </c>
      <c r="F194" s="299" t="n">
        <v>0.0621770651249634</v>
      </c>
      <c r="G194" s="299" t="n">
        <v>0</v>
      </c>
      <c r="H194" s="299" t="n">
        <v>0</v>
      </c>
      <c r="I194" s="310" t="n">
        <v>0</v>
      </c>
      <c r="J194" s="310" t="n">
        <v>0</v>
      </c>
      <c r="K194" s="299" t="n">
        <v>0</v>
      </c>
      <c r="L194" s="299" t="n">
        <v>0</v>
      </c>
      <c r="M194" s="299" t="n">
        <v>0</v>
      </c>
      <c r="N194" s="299" t="n">
        <v>0</v>
      </c>
      <c r="O194" s="299" t="n">
        <v>0</v>
      </c>
      <c r="P194" s="299" t="n">
        <v>0</v>
      </c>
      <c r="Q194" s="299" t="n">
        <v>0</v>
      </c>
      <c r="R194" s="299" t="n">
        <v>0</v>
      </c>
      <c r="S194" s="299" t="n">
        <v>0</v>
      </c>
      <c r="T194" s="299" t="n">
        <v>0</v>
      </c>
      <c r="U194" s="299" t="n">
        <v>0</v>
      </c>
      <c r="V194" s="299" t="n">
        <v>0.5</v>
      </c>
      <c r="W194" s="299" t="n">
        <v>0.125</v>
      </c>
      <c r="X194" s="299" t="n">
        <v>0.145</v>
      </c>
      <c r="Y194" s="299" t="n">
        <v>0</v>
      </c>
      <c r="Z194" s="299" t="n">
        <v>-0.0405</v>
      </c>
      <c r="AA194" s="299" t="n">
        <v>0.0195</v>
      </c>
      <c r="AB194" s="299" t="n">
        <v>0.0045</v>
      </c>
      <c r="AC194" s="299" t="n">
        <v>0</v>
      </c>
      <c r="AD194" s="299" t="n">
        <v>0</v>
      </c>
      <c r="AE194" s="299" t="n">
        <v>0</v>
      </c>
      <c r="AF194" s="299" t="n">
        <v>0</v>
      </c>
      <c r="AG194" s="299" t="n">
        <v>0</v>
      </c>
      <c r="AH194" s="299" t="n">
        <v>0</v>
      </c>
      <c r="AI194" s="299" t="n">
        <v>0</v>
      </c>
      <c r="AJ194" s="299" t="n">
        <v>0</v>
      </c>
      <c r="AK194" s="299" t="n">
        <v>0</v>
      </c>
      <c r="AL194" s="299" t="n">
        <v>0</v>
      </c>
      <c r="AM194" s="299" t="n">
        <v>0.36</v>
      </c>
      <c r="AN194" s="299" t="n">
        <v>0.0225</v>
      </c>
      <c r="AO194" s="299" t="n">
        <v>0</v>
      </c>
      <c r="AP194" s="299" t="n">
        <v>-0.07</v>
      </c>
      <c r="AQ194" s="299" t="n">
        <v>-0.195</v>
      </c>
      <c r="AR194" s="299" t="n">
        <v>0</v>
      </c>
      <c r="AS194" s="299" t="n">
        <v>-0.37</v>
      </c>
      <c r="AT194" s="299" t="n">
        <v>0</v>
      </c>
      <c r="AU194" s="299" t="n">
        <v>0.43</v>
      </c>
      <c r="AV194" s="299" t="n">
        <v>0</v>
      </c>
      <c r="AW194" s="299" t="n">
        <v>-0.06</v>
      </c>
      <c r="AX194" s="299" t="n">
        <v>-0.06</v>
      </c>
      <c r="AY194" s="299" t="n">
        <v>0</v>
      </c>
      <c r="AZ194" s="299" t="n">
        <v>0</v>
      </c>
      <c r="BA194" s="299" t="n">
        <v>0</v>
      </c>
      <c r="BB194" s="299" t="n">
        <v>0</v>
      </c>
      <c r="BC194" s="299" t="n">
        <v>0</v>
      </c>
      <c r="BD194" s="299" t="n">
        <v>-0.0075</v>
      </c>
      <c r="BE194" s="299" t="n">
        <v>0</v>
      </c>
      <c r="BF194" s="299" t="n">
        <v>0</v>
      </c>
      <c r="BG194" s="299" t="n">
        <v>0</v>
      </c>
      <c r="BH194" s="299" t="n">
        <v>0</v>
      </c>
      <c r="BI194" s="299" t="n">
        <v>0</v>
      </c>
      <c r="BJ194" s="299" t="n">
        <v>0.315</v>
      </c>
      <c r="BK194" s="299" t="n">
        <v>0</v>
      </c>
      <c r="BL194" s="299" t="n">
        <v>-0.01</v>
      </c>
      <c r="BM194" s="299" t="n">
        <v>0.005</v>
      </c>
      <c r="BN194" s="299" t="n">
        <v>0</v>
      </c>
      <c r="BO194" s="299" t="n">
        <v>0</v>
      </c>
      <c r="BP194" s="299" t="n">
        <v>0.005</v>
      </c>
      <c r="BQ194" s="299" t="n">
        <v>0</v>
      </c>
      <c r="BR194" s="299" t="n">
        <v>0.01</v>
      </c>
      <c r="BS194" s="0" t="n">
        <v>0</v>
      </c>
      <c r="BT194" s="0" t="n">
        <v>0</v>
      </c>
      <c r="BU194" s="0" t="n">
        <v>0</v>
      </c>
      <c r="BV194" s="0" t="n">
        <v>0</v>
      </c>
    </row>
    <row r="195" customFormat="false" ht="12.75" hidden="false" customHeight="false" outlineLevel="0" collapsed="false">
      <c r="A195" s="301"/>
      <c r="B195" s="301" t="n">
        <v>3.959</v>
      </c>
      <c r="C195" s="308" t="n">
        <f aca="false">EOMONTH(C194,0)+1</f>
        <v>43009</v>
      </c>
      <c r="D195" s="0" t="n">
        <v>4.3675</v>
      </c>
      <c r="E195" s="301" t="n">
        <v>0.17</v>
      </c>
      <c r="F195" s="299" t="n">
        <v>0.0622194795578483</v>
      </c>
      <c r="G195" s="299" t="n">
        <v>0</v>
      </c>
      <c r="H195" s="299" t="n">
        <v>0</v>
      </c>
      <c r="I195" s="310" t="n">
        <v>0</v>
      </c>
      <c r="J195" s="310" t="n">
        <v>0</v>
      </c>
      <c r="K195" s="299" t="n">
        <v>0</v>
      </c>
      <c r="L195" s="299" t="n">
        <v>0</v>
      </c>
      <c r="M195" s="299" t="n">
        <v>0</v>
      </c>
      <c r="N195" s="299" t="n">
        <v>0</v>
      </c>
      <c r="O195" s="299" t="n">
        <v>0</v>
      </c>
      <c r="P195" s="299" t="n">
        <v>0</v>
      </c>
      <c r="Q195" s="299" t="n">
        <v>0</v>
      </c>
      <c r="R195" s="299" t="n">
        <v>0</v>
      </c>
      <c r="S195" s="299" t="n">
        <v>0</v>
      </c>
      <c r="T195" s="299" t="n">
        <v>0</v>
      </c>
      <c r="U195" s="299" t="n">
        <v>0</v>
      </c>
      <c r="V195" s="299" t="n">
        <v>0.5</v>
      </c>
      <c r="W195" s="299" t="n">
        <v>0.145</v>
      </c>
      <c r="X195" s="299" t="n">
        <v>0.175</v>
      </c>
      <c r="Y195" s="299" t="n">
        <v>0</v>
      </c>
      <c r="Z195" s="299" t="n">
        <v>-0.0405</v>
      </c>
      <c r="AA195" s="299" t="n">
        <v>0.0145</v>
      </c>
      <c r="AB195" s="299" t="n">
        <v>0.000499999999999994</v>
      </c>
      <c r="AC195" s="299" t="n">
        <v>0</v>
      </c>
      <c r="AD195" s="299" t="n">
        <v>0</v>
      </c>
      <c r="AE195" s="299" t="n">
        <v>0</v>
      </c>
      <c r="AF195" s="299" t="n">
        <v>0</v>
      </c>
      <c r="AG195" s="299" t="n">
        <v>0</v>
      </c>
      <c r="AH195" s="299" t="n">
        <v>0</v>
      </c>
      <c r="AI195" s="299" t="n">
        <v>0</v>
      </c>
      <c r="AJ195" s="299" t="n">
        <v>0</v>
      </c>
      <c r="AK195" s="299" t="n">
        <v>0</v>
      </c>
      <c r="AL195" s="299" t="n">
        <v>0</v>
      </c>
      <c r="AM195" s="299" t="n">
        <v>0.4</v>
      </c>
      <c r="AN195" s="299" t="n">
        <v>0.0125</v>
      </c>
      <c r="AO195" s="299" t="n">
        <v>0</v>
      </c>
      <c r="AP195" s="299" t="n">
        <v>-0.07</v>
      </c>
      <c r="AQ195" s="299" t="n">
        <v>-0.195</v>
      </c>
      <c r="AR195" s="299" t="n">
        <v>0</v>
      </c>
      <c r="AS195" s="299" t="n">
        <v>-0.37</v>
      </c>
      <c r="AT195" s="299" t="n">
        <v>0</v>
      </c>
      <c r="AU195" s="299" t="n">
        <v>0.43</v>
      </c>
      <c r="AV195" s="299" t="n">
        <v>0</v>
      </c>
      <c r="AW195" s="299" t="n">
        <v>-0.06</v>
      </c>
      <c r="AX195" s="299" t="n">
        <v>-0.06</v>
      </c>
      <c r="AY195" s="299" t="n">
        <v>0</v>
      </c>
      <c r="AZ195" s="299" t="n">
        <v>0</v>
      </c>
      <c r="BA195" s="299" t="n">
        <v>0</v>
      </c>
      <c r="BB195" s="299" t="n">
        <v>0</v>
      </c>
      <c r="BC195" s="299" t="n">
        <v>0</v>
      </c>
      <c r="BD195" s="299" t="n">
        <v>-0.0175</v>
      </c>
      <c r="BE195" s="299" t="n">
        <v>0</v>
      </c>
      <c r="BF195" s="299" t="n">
        <v>0</v>
      </c>
      <c r="BG195" s="299" t="n">
        <v>0</v>
      </c>
      <c r="BH195" s="299" t="n">
        <v>0</v>
      </c>
      <c r="BI195" s="299" t="n">
        <v>0</v>
      </c>
      <c r="BJ195" s="299" t="n">
        <v>0.36</v>
      </c>
      <c r="BK195" s="299" t="n">
        <v>0</v>
      </c>
      <c r="BL195" s="299" t="n">
        <v>-0.015</v>
      </c>
      <c r="BM195" s="299" t="n">
        <v>0.005</v>
      </c>
      <c r="BN195" s="299" t="n">
        <v>0</v>
      </c>
      <c r="BO195" s="299" t="n">
        <v>0</v>
      </c>
      <c r="BP195" s="299" t="n">
        <v>0.005</v>
      </c>
      <c r="BQ195" s="299" t="n">
        <v>0</v>
      </c>
      <c r="BR195" s="299" t="n">
        <v>0.01</v>
      </c>
      <c r="BS195" s="0" t="n">
        <v>0</v>
      </c>
      <c r="BT195" s="0" t="n">
        <v>0</v>
      </c>
      <c r="BU195" s="0" t="n">
        <v>0</v>
      </c>
      <c r="BV195" s="0" t="n">
        <v>0</v>
      </c>
    </row>
    <row r="196" customFormat="false" ht="12.75" hidden="false" customHeight="false" outlineLevel="0" collapsed="false">
      <c r="A196" s="301"/>
      <c r="B196" s="301" t="n">
        <v>3.944</v>
      </c>
      <c r="C196" s="308" t="n">
        <f aca="false">EOMONTH(C195,0)+1</f>
        <v>43040</v>
      </c>
      <c r="D196" s="0" t="n">
        <v>4.5195</v>
      </c>
      <c r="E196" s="301" t="n">
        <v>0.17</v>
      </c>
      <c r="F196" s="299" t="n">
        <v>0.0622633078057908</v>
      </c>
      <c r="G196" s="299"/>
      <c r="H196" s="299"/>
      <c r="I196" s="310"/>
      <c r="J196" s="310"/>
      <c r="K196" s="299"/>
      <c r="L196" s="299"/>
      <c r="M196" s="299"/>
      <c r="N196" s="299"/>
      <c r="O196" s="299"/>
      <c r="V196" s="299" t="n">
        <v>0.5</v>
      </c>
      <c r="W196" s="299" t="n">
        <v>0.195</v>
      </c>
      <c r="X196" s="299" t="n">
        <v>0.21</v>
      </c>
      <c r="Y196" s="299" t="n">
        <v>0</v>
      </c>
      <c r="Z196" s="299" t="n">
        <v>-0.0215</v>
      </c>
      <c r="AA196" s="299" t="n">
        <v>0.0155</v>
      </c>
      <c r="AB196" s="299" t="n">
        <v>0.000500000000000007</v>
      </c>
      <c r="AC196" s="299" t="n">
        <v>0</v>
      </c>
      <c r="AD196" s="299" t="n">
        <v>0</v>
      </c>
      <c r="AE196" s="299" t="n">
        <v>0</v>
      </c>
      <c r="AF196" s="299" t="n">
        <v>0</v>
      </c>
      <c r="AG196" s="299" t="n">
        <v>0</v>
      </c>
      <c r="AH196" s="299" t="n">
        <v>0</v>
      </c>
      <c r="AI196" s="299" t="n">
        <v>0</v>
      </c>
      <c r="AK196" s="299" t="n">
        <v>0</v>
      </c>
      <c r="AL196" s="299" t="n">
        <v>0</v>
      </c>
      <c r="AM196" s="299" t="n">
        <v>0.65</v>
      </c>
      <c r="AN196" s="299" t="n">
        <v>-0.0225</v>
      </c>
      <c r="AO196" s="299" t="n">
        <v>0</v>
      </c>
      <c r="AP196" s="299" t="n">
        <v>-0.07</v>
      </c>
      <c r="AQ196" s="299" t="n">
        <v>-0.13</v>
      </c>
      <c r="AR196" s="299" t="n">
        <v>0</v>
      </c>
      <c r="AS196" s="299" t="n">
        <v>-0.26</v>
      </c>
      <c r="AT196" s="299" t="n">
        <v>0</v>
      </c>
      <c r="AU196" s="299" t="n">
        <v>0.35</v>
      </c>
      <c r="AV196" s="299" t="n">
        <v>0</v>
      </c>
      <c r="AW196" s="299" t="n">
        <v>-0.06</v>
      </c>
      <c r="AX196" s="299" t="n">
        <v>-0.06</v>
      </c>
      <c r="AY196" s="299" t="n">
        <v>0</v>
      </c>
      <c r="BA196" s="299" t="n">
        <v>0</v>
      </c>
      <c r="BB196" s="299" t="n">
        <v>0</v>
      </c>
      <c r="BD196" s="299" t="n">
        <v>-0.0525</v>
      </c>
      <c r="BE196" s="299" t="n">
        <v>0</v>
      </c>
      <c r="BF196" s="299" t="n">
        <v>0</v>
      </c>
      <c r="BJ196" s="299" t="n">
        <v>0.46</v>
      </c>
      <c r="BK196" s="299" t="n">
        <v>0</v>
      </c>
      <c r="BL196" s="299" t="n">
        <v>-0.02</v>
      </c>
      <c r="BM196" s="299" t="n">
        <v>0.005</v>
      </c>
      <c r="BO196" s="299" t="n">
        <v>0</v>
      </c>
      <c r="BP196" s="299" t="n">
        <v>0.005</v>
      </c>
      <c r="BQ196" s="299" t="n">
        <v>0</v>
      </c>
      <c r="BR196" s="299" t="n">
        <v>0.055</v>
      </c>
      <c r="BS196" s="0"/>
      <c r="BT196" s="0" t="n">
        <v>0</v>
      </c>
      <c r="BU196" s="0" t="n">
        <v>0</v>
      </c>
      <c r="BV196" s="0" t="n">
        <v>0</v>
      </c>
    </row>
    <row r="197" customFormat="false" ht="12.75" hidden="false" customHeight="false" outlineLevel="0" collapsed="false">
      <c r="A197" s="301"/>
      <c r="B197" s="301" t="n">
        <v>3.937</v>
      </c>
      <c r="C197" s="308" t="n">
        <f aca="false">EOMONTH(C196,0)+1</f>
        <v>43070</v>
      </c>
      <c r="D197" s="0" t="n">
        <v>4.6625</v>
      </c>
      <c r="E197" s="301" t="n">
        <v>0.17</v>
      </c>
      <c r="F197" s="299" t="n">
        <v>0.06230572223989</v>
      </c>
      <c r="G197" s="299"/>
      <c r="H197" s="299"/>
      <c r="I197" s="310"/>
      <c r="J197" s="310"/>
      <c r="K197" s="299"/>
      <c r="L197" s="299"/>
      <c r="M197" s="299"/>
      <c r="N197" s="299"/>
      <c r="O197" s="299"/>
      <c r="V197" s="299" t="n">
        <v>0.5</v>
      </c>
      <c r="W197" s="299" t="n">
        <v>0.215</v>
      </c>
      <c r="X197" s="299" t="n">
        <v>0.29</v>
      </c>
      <c r="Y197" s="299" t="n">
        <v>0</v>
      </c>
      <c r="Z197" s="299" t="n">
        <v>-0.0215</v>
      </c>
      <c r="AA197" s="299" t="n">
        <v>0.0155</v>
      </c>
      <c r="AB197" s="299" t="n">
        <v>0.000500000000000007</v>
      </c>
      <c r="AC197" s="299" t="n">
        <v>0</v>
      </c>
      <c r="AD197" s="299" t="n">
        <v>0</v>
      </c>
      <c r="AE197" s="299" t="n">
        <v>0</v>
      </c>
      <c r="AF197" s="299" t="n">
        <v>0</v>
      </c>
      <c r="AG197" s="299" t="n">
        <v>0</v>
      </c>
      <c r="AH197" s="299" t="n">
        <v>0</v>
      </c>
      <c r="AI197" s="299" t="n">
        <v>0</v>
      </c>
      <c r="AK197" s="299" t="n">
        <v>0</v>
      </c>
      <c r="AL197" s="299" t="n">
        <v>0</v>
      </c>
      <c r="AM197" s="299" t="n">
        <v>0.98</v>
      </c>
      <c r="AN197" s="299" t="n">
        <v>-0.045</v>
      </c>
      <c r="AO197" s="299" t="n">
        <v>0</v>
      </c>
      <c r="AP197" s="299" t="n">
        <v>-0.07</v>
      </c>
      <c r="AQ197" s="299" t="n">
        <v>-0.13</v>
      </c>
      <c r="AR197" s="299" t="n">
        <v>0</v>
      </c>
      <c r="AS197" s="299" t="n">
        <v>-0.26</v>
      </c>
      <c r="AT197" s="299" t="n">
        <v>0</v>
      </c>
      <c r="AU197" s="299" t="n">
        <v>0.35</v>
      </c>
      <c r="AV197" s="299" t="n">
        <v>0</v>
      </c>
      <c r="AW197" s="299" t="n">
        <v>-0.06</v>
      </c>
      <c r="AX197" s="299" t="n">
        <v>-0.06</v>
      </c>
      <c r="AY197" s="299" t="n">
        <v>0</v>
      </c>
      <c r="BA197" s="299" t="n">
        <v>0</v>
      </c>
      <c r="BB197" s="299" t="n">
        <v>0</v>
      </c>
      <c r="BD197" s="299" t="n">
        <v>-0.075</v>
      </c>
      <c r="BE197" s="299" t="n">
        <v>0</v>
      </c>
      <c r="BF197" s="299" t="n">
        <v>0</v>
      </c>
      <c r="BJ197" s="299" t="n">
        <v>0.77</v>
      </c>
      <c r="BK197" s="299" t="n">
        <v>0</v>
      </c>
      <c r="BL197" s="299" t="n">
        <v>-0.025</v>
      </c>
      <c r="BM197" s="299" t="n">
        <v>0.005</v>
      </c>
      <c r="BO197" s="299" t="n">
        <v>0</v>
      </c>
      <c r="BP197" s="299" t="n">
        <v>0.005</v>
      </c>
      <c r="BQ197" s="299" t="n">
        <v>0</v>
      </c>
      <c r="BR197" s="299" t="n">
        <v>0.25</v>
      </c>
      <c r="BS197" s="0"/>
      <c r="BT197" s="0" t="n">
        <v>0</v>
      </c>
      <c r="BU197" s="0" t="n">
        <v>0</v>
      </c>
      <c r="BV197" s="0" t="n">
        <v>0</v>
      </c>
    </row>
    <row r="198" customFormat="false" ht="12.75" hidden="false" customHeight="false" outlineLevel="0" collapsed="false">
      <c r="A198" s="301"/>
      <c r="B198" s="301" t="n">
        <v>4.002</v>
      </c>
      <c r="C198" s="308" t="n">
        <f aca="false">EOMONTH(C197,0)+1</f>
        <v>43101</v>
      </c>
      <c r="D198" s="0" t="n">
        <v>4.7225</v>
      </c>
      <c r="E198" s="301" t="n">
        <v>0.17</v>
      </c>
      <c r="F198" s="299" t="n">
        <v>0.0623495504890865</v>
      </c>
      <c r="G198" s="299"/>
      <c r="H198" s="299"/>
      <c r="I198" s="310"/>
      <c r="J198" s="310"/>
      <c r="K198" s="299"/>
      <c r="L198" s="299"/>
      <c r="M198" s="299"/>
      <c r="N198" s="299"/>
      <c r="O198" s="299"/>
      <c r="V198" s="299" t="n">
        <v>0.5</v>
      </c>
      <c r="W198" s="299" t="n">
        <v>0.235</v>
      </c>
      <c r="X198" s="299" t="n">
        <v>0.34</v>
      </c>
      <c r="Y198" s="299" t="n">
        <v>0</v>
      </c>
      <c r="Z198" s="299" t="n">
        <v>-0.0215</v>
      </c>
      <c r="AA198" s="299" t="n">
        <v>0.0155</v>
      </c>
      <c r="AB198" s="299" t="n">
        <v>0.000500000000000007</v>
      </c>
      <c r="AC198" s="299" t="n">
        <v>0</v>
      </c>
      <c r="AD198" s="299" t="n">
        <v>0</v>
      </c>
      <c r="AE198" s="299" t="n">
        <v>0</v>
      </c>
      <c r="AF198" s="299" t="n">
        <v>0</v>
      </c>
      <c r="AG198" s="299" t="n">
        <v>0</v>
      </c>
      <c r="AH198" s="299" t="n">
        <v>0</v>
      </c>
      <c r="AI198" s="299" t="n">
        <v>0</v>
      </c>
      <c r="AK198" s="299" t="n">
        <v>0</v>
      </c>
      <c r="AL198" s="299" t="n">
        <v>0</v>
      </c>
      <c r="AM198" s="299" t="n">
        <v>1.6</v>
      </c>
      <c r="AN198" s="299" t="n">
        <v>-0.0475</v>
      </c>
      <c r="AO198" s="299" t="n">
        <v>0</v>
      </c>
      <c r="AP198" s="299" t="n">
        <v>-0.07</v>
      </c>
      <c r="AQ198" s="299" t="n">
        <v>-0.13</v>
      </c>
      <c r="AR198" s="299" t="n">
        <v>0</v>
      </c>
      <c r="AS198" s="299" t="n">
        <v>-0.26</v>
      </c>
      <c r="AT198" s="299" t="n">
        <v>0</v>
      </c>
      <c r="AU198" s="299" t="n">
        <v>0.35</v>
      </c>
      <c r="AV198" s="299" t="n">
        <v>0</v>
      </c>
      <c r="AW198" s="299" t="n">
        <v>-0.06</v>
      </c>
      <c r="AX198" s="299" t="n">
        <v>-0.06</v>
      </c>
      <c r="AY198" s="299" t="n">
        <v>0</v>
      </c>
      <c r="BA198" s="299" t="n">
        <v>0</v>
      </c>
      <c r="BB198" s="299" t="n">
        <v>0</v>
      </c>
      <c r="BD198" s="299" t="n">
        <v>-0.0775</v>
      </c>
      <c r="BE198" s="299" t="n">
        <v>0</v>
      </c>
      <c r="BF198" s="299" t="n">
        <v>0</v>
      </c>
      <c r="BJ198" s="299" t="n">
        <v>1.04</v>
      </c>
      <c r="BK198" s="299" t="n">
        <v>0</v>
      </c>
      <c r="BL198" s="299" t="n">
        <v>-0.025</v>
      </c>
      <c r="BM198" s="299" t="n">
        <v>0.005</v>
      </c>
      <c r="BO198" s="299" t="n">
        <v>0</v>
      </c>
      <c r="BP198" s="299" t="n">
        <v>0.005</v>
      </c>
      <c r="BQ198" s="299" t="n">
        <v>0</v>
      </c>
      <c r="BR198" s="299" t="n">
        <v>0.45</v>
      </c>
      <c r="BS198" s="0"/>
      <c r="BT198" s="0" t="n">
        <v>0</v>
      </c>
      <c r="BU198" s="0" t="n">
        <v>0</v>
      </c>
      <c r="BV198" s="0" t="n">
        <v>0</v>
      </c>
    </row>
    <row r="199" customFormat="false" ht="12.75" hidden="false" customHeight="false" outlineLevel="0" collapsed="false">
      <c r="A199" s="301"/>
      <c r="B199" s="301" t="n">
        <v>3.997</v>
      </c>
      <c r="C199" s="308" t="n">
        <f aca="false">EOMONTH(C198,0)+1</f>
        <v>43132</v>
      </c>
      <c r="D199" s="0" t="n">
        <v>4.6375</v>
      </c>
      <c r="E199" s="301" t="n">
        <v>0.17</v>
      </c>
      <c r="F199" s="299" t="n">
        <v>0.0623933787389208</v>
      </c>
      <c r="G199" s="299"/>
      <c r="H199" s="299"/>
      <c r="I199" s="310"/>
      <c r="J199" s="310"/>
      <c r="K199" s="299"/>
      <c r="L199" s="299"/>
      <c r="M199" s="299"/>
      <c r="N199" s="299"/>
      <c r="O199" s="299"/>
      <c r="V199" s="299" t="n">
        <v>0.5</v>
      </c>
      <c r="W199" s="299" t="n">
        <v>0.235</v>
      </c>
      <c r="X199" s="299" t="n">
        <v>0.34</v>
      </c>
      <c r="Y199" s="299" t="n">
        <v>0</v>
      </c>
      <c r="Z199" s="299" t="n">
        <v>-0.0215</v>
      </c>
      <c r="AA199" s="299" t="n">
        <v>0.0155</v>
      </c>
      <c r="AB199" s="299" t="n">
        <v>0.000500000000000007</v>
      </c>
      <c r="AC199" s="299" t="n">
        <v>0</v>
      </c>
      <c r="AD199" s="299" t="n">
        <v>0</v>
      </c>
      <c r="AE199" s="299" t="n">
        <v>0</v>
      </c>
      <c r="AF199" s="299" t="n">
        <v>0</v>
      </c>
      <c r="AG199" s="299" t="n">
        <v>0</v>
      </c>
      <c r="AH199" s="299" t="n">
        <v>0</v>
      </c>
      <c r="AI199" s="299" t="n">
        <v>0</v>
      </c>
      <c r="AK199" s="299" t="n">
        <v>0</v>
      </c>
      <c r="AL199" s="299" t="n">
        <v>0</v>
      </c>
      <c r="AM199" s="299" t="n">
        <v>1.6</v>
      </c>
      <c r="AN199" s="299" t="n">
        <v>-0.03</v>
      </c>
      <c r="AO199" s="299" t="n">
        <v>0</v>
      </c>
      <c r="AP199" s="299" t="n">
        <v>-0.07</v>
      </c>
      <c r="AQ199" s="299" t="n">
        <v>-0.13</v>
      </c>
      <c r="AR199" s="299" t="n">
        <v>0</v>
      </c>
      <c r="AS199" s="299" t="n">
        <v>-0.26</v>
      </c>
      <c r="AT199" s="299" t="n">
        <v>0</v>
      </c>
      <c r="AU199" s="299" t="n">
        <v>0.35</v>
      </c>
      <c r="AV199" s="299" t="n">
        <v>0</v>
      </c>
      <c r="AW199" s="299" t="n">
        <v>-0.06</v>
      </c>
      <c r="AX199" s="299" t="n">
        <v>-0.06</v>
      </c>
      <c r="AY199" s="299" t="n">
        <v>0</v>
      </c>
      <c r="BA199" s="299" t="n">
        <v>0</v>
      </c>
      <c r="BB199" s="299" t="n">
        <v>0</v>
      </c>
      <c r="BD199" s="299" t="n">
        <v>-0.06</v>
      </c>
      <c r="BE199" s="299" t="n">
        <v>0</v>
      </c>
      <c r="BF199" s="299" t="n">
        <v>0</v>
      </c>
      <c r="BJ199" s="299" t="n">
        <v>1.04</v>
      </c>
      <c r="BK199" s="299" t="n">
        <v>0</v>
      </c>
      <c r="BL199" s="299" t="n">
        <v>-0.025</v>
      </c>
      <c r="BM199" s="299" t="n">
        <v>0.005</v>
      </c>
      <c r="BO199" s="299" t="n">
        <v>0</v>
      </c>
      <c r="BP199" s="299" t="n">
        <v>0.005</v>
      </c>
      <c r="BQ199" s="299" t="n">
        <v>0</v>
      </c>
      <c r="BR199" s="299" t="n">
        <v>0.45</v>
      </c>
      <c r="BS199" s="0"/>
      <c r="BT199" s="0" t="n">
        <v>0</v>
      </c>
      <c r="BU199" s="0" t="n">
        <v>0</v>
      </c>
      <c r="BV199" s="0" t="n">
        <v>0</v>
      </c>
    </row>
    <row r="200" customFormat="false" ht="12.75" hidden="false" customHeight="false" outlineLevel="0" collapsed="false">
      <c r="A200" s="301"/>
      <c r="B200" s="301" t="n">
        <v>3.974</v>
      </c>
      <c r="C200" s="308" t="n">
        <f aca="false">EOMONTH(C199,0)+1</f>
        <v>43160</v>
      </c>
      <c r="D200" s="0" t="n">
        <v>4.5075</v>
      </c>
      <c r="E200" s="301" t="n">
        <v>0.17</v>
      </c>
      <c r="F200" s="299" t="n">
        <v>0.0624329655457703</v>
      </c>
      <c r="G200" s="299"/>
      <c r="H200" s="299"/>
      <c r="I200" s="310"/>
      <c r="J200" s="310"/>
      <c r="K200" s="299"/>
      <c r="L200" s="299"/>
      <c r="M200" s="299"/>
      <c r="N200" s="299"/>
      <c r="O200" s="299"/>
      <c r="V200" s="299" t="n">
        <v>0.5</v>
      </c>
      <c r="W200" s="299" t="n">
        <v>0.195</v>
      </c>
      <c r="X200" s="299" t="n">
        <v>0.29</v>
      </c>
      <c r="Y200" s="299" t="n">
        <v>0</v>
      </c>
      <c r="Z200" s="299" t="n">
        <v>-0.0215</v>
      </c>
      <c r="AA200" s="299" t="n">
        <v>0.023</v>
      </c>
      <c r="AB200" s="299" t="n">
        <v>0.008</v>
      </c>
      <c r="AC200" s="299" t="n">
        <v>0</v>
      </c>
      <c r="AD200" s="299" t="n">
        <v>0</v>
      </c>
      <c r="AE200" s="299" t="n">
        <v>0</v>
      </c>
      <c r="AF200" s="299" t="n">
        <v>0</v>
      </c>
      <c r="AG200" s="299" t="n">
        <v>0</v>
      </c>
      <c r="AH200" s="299" t="n">
        <v>0</v>
      </c>
      <c r="AI200" s="299" t="n">
        <v>0</v>
      </c>
      <c r="AK200" s="299" t="n">
        <v>0</v>
      </c>
      <c r="AL200" s="299" t="n">
        <v>0</v>
      </c>
      <c r="AM200" s="299" t="n">
        <v>0.64</v>
      </c>
      <c r="AN200" s="299" t="n">
        <v>-0.0175</v>
      </c>
      <c r="AO200" s="299" t="n">
        <v>0</v>
      </c>
      <c r="AP200" s="299" t="n">
        <v>-0.07</v>
      </c>
      <c r="AQ200" s="299" t="n">
        <v>-0.13</v>
      </c>
      <c r="AR200" s="299" t="n">
        <v>0</v>
      </c>
      <c r="AS200" s="299" t="n">
        <v>-0.26</v>
      </c>
      <c r="AT200" s="299" t="n">
        <v>0</v>
      </c>
      <c r="AU200" s="299" t="n">
        <v>0.35</v>
      </c>
      <c r="AV200" s="299" t="n">
        <v>0</v>
      </c>
      <c r="AW200" s="299" t="n">
        <v>-0.06</v>
      </c>
      <c r="AX200" s="299" t="n">
        <v>-0.06</v>
      </c>
      <c r="AY200" s="299" t="n">
        <v>0</v>
      </c>
      <c r="BA200" s="299" t="n">
        <v>0</v>
      </c>
      <c r="BB200" s="299" t="n">
        <v>0</v>
      </c>
      <c r="BD200" s="299" t="n">
        <v>-0.0475</v>
      </c>
      <c r="BE200" s="299" t="n">
        <v>0</v>
      </c>
      <c r="BF200" s="299" t="n">
        <v>0</v>
      </c>
      <c r="BJ200" s="299" t="n">
        <v>0.54</v>
      </c>
      <c r="BK200" s="299" t="n">
        <v>0</v>
      </c>
      <c r="BL200" s="299" t="n">
        <v>-0.02</v>
      </c>
      <c r="BM200" s="299" t="n">
        <v>0.005</v>
      </c>
      <c r="BO200" s="299" t="n">
        <v>0</v>
      </c>
      <c r="BP200" s="299" t="n">
        <v>0.005</v>
      </c>
      <c r="BQ200" s="299" t="n">
        <v>0</v>
      </c>
      <c r="BR200" s="299" t="n">
        <v>0.1</v>
      </c>
      <c r="BS200" s="0"/>
      <c r="BT200" s="0" t="n">
        <v>0</v>
      </c>
      <c r="BU200" s="0" t="n">
        <v>0</v>
      </c>
      <c r="BV200" s="0" t="n">
        <v>0</v>
      </c>
    </row>
    <row r="201" customFormat="false" ht="12.75" hidden="false" customHeight="false" outlineLevel="0" collapsed="false">
      <c r="A201" s="301"/>
      <c r="B201" s="301" t="n">
        <v>3.979</v>
      </c>
      <c r="C201" s="308" t="n">
        <f aca="false">EOMONTH(C200,0)+1</f>
        <v>43191</v>
      </c>
      <c r="D201" s="0" t="n">
        <v>4.3225</v>
      </c>
      <c r="E201" s="301" t="n">
        <v>0.17</v>
      </c>
      <c r="F201" s="299" t="n">
        <v>0.0624767937968178</v>
      </c>
      <c r="G201" s="299"/>
      <c r="H201" s="299"/>
      <c r="I201" s="310"/>
      <c r="J201" s="310"/>
      <c r="K201" s="299"/>
      <c r="L201" s="299"/>
      <c r="M201" s="299"/>
      <c r="N201" s="299"/>
      <c r="O201" s="299"/>
      <c r="V201" s="299" t="n">
        <v>0.5</v>
      </c>
      <c r="W201" s="299" t="n">
        <v>0.145</v>
      </c>
      <c r="X201" s="299" t="n">
        <v>0.195</v>
      </c>
      <c r="Y201" s="299" t="n">
        <v>0</v>
      </c>
      <c r="Z201" s="299" t="n">
        <v>-0.0365</v>
      </c>
      <c r="AA201" s="299" t="n">
        <v>0.023</v>
      </c>
      <c r="AB201" s="299" t="n">
        <v>0.008</v>
      </c>
      <c r="AC201" s="299" t="n">
        <v>0</v>
      </c>
      <c r="AD201" s="299" t="n">
        <v>0</v>
      </c>
      <c r="AE201" s="299" t="n">
        <v>0</v>
      </c>
      <c r="AF201" s="299" t="n">
        <v>0</v>
      </c>
      <c r="AG201" s="299" t="n">
        <v>0</v>
      </c>
      <c r="AH201" s="299" t="n">
        <v>0</v>
      </c>
      <c r="AI201" s="299" t="n">
        <v>0</v>
      </c>
      <c r="AK201" s="299" t="n">
        <v>0</v>
      </c>
      <c r="AL201" s="299" t="n">
        <v>0</v>
      </c>
      <c r="AM201" s="299" t="n">
        <v>0.38</v>
      </c>
      <c r="AN201" s="299" t="n">
        <v>0.02</v>
      </c>
      <c r="AO201" s="299" t="n">
        <v>0</v>
      </c>
      <c r="AP201" s="299" t="n">
        <v>-0.07</v>
      </c>
      <c r="AQ201" s="299" t="n">
        <v>-0.195</v>
      </c>
      <c r="AR201" s="299" t="n">
        <v>0</v>
      </c>
      <c r="AS201" s="299" t="n">
        <v>-0.37</v>
      </c>
      <c r="AT201" s="299" t="n">
        <v>0</v>
      </c>
      <c r="AU201" s="299" t="n">
        <v>0.43</v>
      </c>
      <c r="AV201" s="299" t="n">
        <v>0</v>
      </c>
      <c r="AW201" s="299" t="n">
        <v>-0.06</v>
      </c>
      <c r="AX201" s="299" t="n">
        <v>-0.06</v>
      </c>
      <c r="AY201" s="299" t="n">
        <v>0</v>
      </c>
      <c r="BA201" s="299" t="n">
        <v>0</v>
      </c>
      <c r="BB201" s="299" t="n">
        <v>0</v>
      </c>
      <c r="BD201" s="299" t="n">
        <v>-0.01</v>
      </c>
      <c r="BE201" s="299" t="n">
        <v>0</v>
      </c>
      <c r="BF201" s="299" t="n">
        <v>0</v>
      </c>
      <c r="BJ201" s="299" t="n">
        <v>0.36</v>
      </c>
      <c r="BK201" s="299" t="n">
        <v>0</v>
      </c>
      <c r="BL201" s="299" t="n">
        <v>-0.015</v>
      </c>
      <c r="BM201" s="299" t="n">
        <v>0.005</v>
      </c>
      <c r="BO201" s="299" t="n">
        <v>0</v>
      </c>
      <c r="BP201" s="299" t="n">
        <v>0.005</v>
      </c>
      <c r="BQ201" s="299" t="n">
        <v>0</v>
      </c>
      <c r="BR201" s="299" t="n">
        <v>0.02</v>
      </c>
      <c r="BS201" s="0"/>
      <c r="BT201" s="0" t="n">
        <v>0</v>
      </c>
      <c r="BU201" s="0" t="n">
        <v>0</v>
      </c>
      <c r="BV201" s="0" t="n">
        <v>0</v>
      </c>
    </row>
    <row r="202" customFormat="false" ht="12.75" hidden="false" customHeight="false" outlineLevel="0" collapsed="false">
      <c r="A202" s="301"/>
      <c r="B202" s="301" t="n">
        <v>4.026</v>
      </c>
      <c r="C202" s="308" t="n">
        <f aca="false">EOMONTH(C201,0)+1</f>
        <v>43221</v>
      </c>
      <c r="D202" s="0" t="n">
        <v>4.3175</v>
      </c>
      <c r="E202" s="301" t="n">
        <v>0.17</v>
      </c>
      <c r="F202" s="299" t="n">
        <v>0.0625192082339221</v>
      </c>
      <c r="G202" s="299"/>
      <c r="H202" s="299"/>
      <c r="I202" s="310"/>
      <c r="J202" s="310"/>
      <c r="K202" s="299"/>
      <c r="L202" s="299"/>
      <c r="M202" s="299"/>
      <c r="N202" s="299"/>
      <c r="O202" s="299"/>
      <c r="V202" s="299" t="n">
        <v>0.5</v>
      </c>
      <c r="W202" s="299" t="n">
        <v>0.125</v>
      </c>
      <c r="X202" s="299" t="n">
        <v>0.135</v>
      </c>
      <c r="Y202" s="299" t="n">
        <v>0</v>
      </c>
      <c r="Z202" s="299" t="n">
        <v>-0.0365</v>
      </c>
      <c r="AA202" s="299" t="n">
        <v>0.0255</v>
      </c>
      <c r="AB202" s="299" t="n">
        <v>0.0105</v>
      </c>
      <c r="AC202" s="299" t="n">
        <v>0</v>
      </c>
      <c r="AD202" s="299" t="n">
        <v>0</v>
      </c>
      <c r="AE202" s="299" t="n">
        <v>0</v>
      </c>
      <c r="AF202" s="299" t="n">
        <v>0</v>
      </c>
      <c r="AG202" s="299" t="n">
        <v>0</v>
      </c>
      <c r="AH202" s="299" t="n">
        <v>0</v>
      </c>
      <c r="AI202" s="299" t="n">
        <v>0</v>
      </c>
      <c r="AK202" s="299" t="n">
        <v>0</v>
      </c>
      <c r="AL202" s="299" t="n">
        <v>0</v>
      </c>
      <c r="AM202" s="299" t="n">
        <v>0.33</v>
      </c>
      <c r="AN202" s="299" t="n">
        <v>0.02</v>
      </c>
      <c r="AO202" s="299" t="n">
        <v>0</v>
      </c>
      <c r="AP202" s="299" t="n">
        <v>-0.07</v>
      </c>
      <c r="AQ202" s="299" t="n">
        <v>-0.195</v>
      </c>
      <c r="AR202" s="299" t="n">
        <v>0</v>
      </c>
      <c r="AS202" s="299" t="n">
        <v>-0.37</v>
      </c>
      <c r="AT202" s="299" t="n">
        <v>0</v>
      </c>
      <c r="AU202" s="299" t="n">
        <v>0.43</v>
      </c>
      <c r="AV202" s="299" t="n">
        <v>0</v>
      </c>
      <c r="AW202" s="299" t="n">
        <v>-0.06</v>
      </c>
      <c r="AX202" s="299" t="n">
        <v>-0.06</v>
      </c>
      <c r="AY202" s="299" t="n">
        <v>0</v>
      </c>
      <c r="BA202" s="299" t="n">
        <v>0</v>
      </c>
      <c r="BB202" s="299" t="n">
        <v>0</v>
      </c>
      <c r="BD202" s="299" t="n">
        <v>-0.01</v>
      </c>
      <c r="BE202" s="299" t="n">
        <v>0</v>
      </c>
      <c r="BF202" s="299" t="n">
        <v>0</v>
      </c>
      <c r="BJ202" s="299" t="n">
        <v>0.325</v>
      </c>
      <c r="BK202" s="299" t="n">
        <v>0</v>
      </c>
      <c r="BL202" s="299" t="n">
        <v>-0.015</v>
      </c>
      <c r="BM202" s="299" t="n">
        <v>0.005</v>
      </c>
      <c r="BO202" s="299" t="n">
        <v>0</v>
      </c>
      <c r="BP202" s="299" t="n">
        <v>0.005</v>
      </c>
      <c r="BQ202" s="299" t="n">
        <v>0</v>
      </c>
      <c r="BR202" s="299" t="n">
        <v>0.02</v>
      </c>
      <c r="BS202" s="0"/>
      <c r="BT202" s="0" t="n">
        <v>0</v>
      </c>
      <c r="BU202" s="0" t="n">
        <v>0</v>
      </c>
      <c r="BV202" s="0" t="n">
        <v>0</v>
      </c>
    </row>
    <row r="203" customFormat="false" ht="12.75" hidden="false" customHeight="false" outlineLevel="0" collapsed="false">
      <c r="A203" s="301"/>
      <c r="B203" s="301" t="n">
        <v>4.096</v>
      </c>
      <c r="C203" s="308" t="n">
        <f aca="false">EOMONTH(C202,0)+1</f>
        <v>43252</v>
      </c>
      <c r="D203" s="0" t="n">
        <v>4.3525</v>
      </c>
      <c r="E203" s="301" t="n">
        <v>0.17</v>
      </c>
      <c r="F203" s="299" t="n">
        <v>0.0625630364862237</v>
      </c>
      <c r="G203" s="299"/>
      <c r="H203" s="299"/>
      <c r="I203" s="310"/>
      <c r="J203" s="310"/>
      <c r="K203" s="299"/>
      <c r="L203" s="299"/>
      <c r="M203" s="299"/>
      <c r="N203" s="299"/>
      <c r="O203" s="299"/>
      <c r="V203" s="299" t="n">
        <v>0.5</v>
      </c>
      <c r="W203" s="299" t="n">
        <v>0.145</v>
      </c>
      <c r="X203" s="299" t="n">
        <v>0.165</v>
      </c>
      <c r="Y203" s="299" t="n">
        <v>0</v>
      </c>
      <c r="Z203" s="299" t="n">
        <v>-0.034</v>
      </c>
      <c r="AA203" s="299" t="n">
        <v>0.0255</v>
      </c>
      <c r="AB203" s="299" t="n">
        <v>0.0105</v>
      </c>
      <c r="AC203" s="299" t="n">
        <v>0</v>
      </c>
      <c r="AD203" s="299" t="n">
        <v>0</v>
      </c>
      <c r="AE203" s="299" t="n">
        <v>0</v>
      </c>
      <c r="AF203" s="299" t="n">
        <v>0</v>
      </c>
      <c r="AG203" s="299" t="n">
        <v>0</v>
      </c>
      <c r="AH203" s="299" t="n">
        <v>0</v>
      </c>
      <c r="AI203" s="299" t="n">
        <v>0</v>
      </c>
      <c r="AK203" s="299" t="n">
        <v>0</v>
      </c>
      <c r="AL203" s="299" t="n">
        <v>0</v>
      </c>
      <c r="AM203" s="299" t="n">
        <v>0.37</v>
      </c>
      <c r="AN203" s="299" t="n">
        <v>0.025</v>
      </c>
      <c r="AO203" s="299" t="n">
        <v>0</v>
      </c>
      <c r="AP203" s="299" t="n">
        <v>-0.07</v>
      </c>
      <c r="AQ203" s="299" t="n">
        <v>-0.195</v>
      </c>
      <c r="AR203" s="299" t="n">
        <v>0</v>
      </c>
      <c r="AS203" s="299" t="n">
        <v>-0.37</v>
      </c>
      <c r="AT203" s="299" t="n">
        <v>0</v>
      </c>
      <c r="AU203" s="299" t="n">
        <v>0.43</v>
      </c>
      <c r="AV203" s="299" t="n">
        <v>0</v>
      </c>
      <c r="AW203" s="299" t="n">
        <v>-0.06</v>
      </c>
      <c r="AX203" s="299" t="n">
        <v>-0.06</v>
      </c>
      <c r="AY203" s="299" t="n">
        <v>0</v>
      </c>
      <c r="BA203" s="299" t="n">
        <v>0</v>
      </c>
      <c r="BB203" s="299" t="n">
        <v>0</v>
      </c>
      <c r="BD203" s="299" t="n">
        <v>-0.005</v>
      </c>
      <c r="BE203" s="299" t="n">
        <v>0</v>
      </c>
      <c r="BF203" s="299" t="n">
        <v>0</v>
      </c>
      <c r="BJ203" s="299" t="n">
        <v>0.335</v>
      </c>
      <c r="BK203" s="299" t="n">
        <v>0</v>
      </c>
      <c r="BL203" s="299" t="n">
        <v>-0.015</v>
      </c>
      <c r="BM203" s="299" t="n">
        <v>0.005</v>
      </c>
      <c r="BO203" s="299" t="n">
        <v>0</v>
      </c>
      <c r="BP203" s="299" t="n">
        <v>0.005</v>
      </c>
      <c r="BQ203" s="299" t="n">
        <v>0</v>
      </c>
      <c r="BR203" s="299" t="n">
        <v>0.035</v>
      </c>
      <c r="BS203" s="0"/>
      <c r="BT203" s="0" t="n">
        <v>0</v>
      </c>
      <c r="BU203" s="0" t="n">
        <v>0</v>
      </c>
      <c r="BV203" s="0" t="n">
        <v>0</v>
      </c>
    </row>
    <row r="204" customFormat="false" ht="12.75" hidden="false" customHeight="false" outlineLevel="0" collapsed="false">
      <c r="A204" s="301"/>
      <c r="B204" s="301" t="n">
        <v>4.366</v>
      </c>
      <c r="C204" s="308" t="n">
        <f aca="false">EOMONTH(C203,0)+1</f>
        <v>43282</v>
      </c>
      <c r="D204" s="0" t="n">
        <v>4.3925</v>
      </c>
      <c r="E204" s="301" t="n">
        <v>0.17</v>
      </c>
      <c r="F204" s="299" t="n">
        <v>0.0626054509245422</v>
      </c>
      <c r="G204" s="299"/>
      <c r="H204" s="299"/>
      <c r="I204" s="310"/>
      <c r="J204" s="310"/>
      <c r="K204" s="299"/>
      <c r="L204" s="299"/>
      <c r="M204" s="299"/>
      <c r="N204" s="299"/>
      <c r="O204" s="299"/>
      <c r="V204" s="299" t="n">
        <v>0.5</v>
      </c>
      <c r="W204" s="299" t="n">
        <v>0.15</v>
      </c>
      <c r="X204" s="299" t="n">
        <v>0.205</v>
      </c>
      <c r="Y204" s="299" t="n">
        <v>0</v>
      </c>
      <c r="Z204" s="299" t="n">
        <v>-0.034</v>
      </c>
      <c r="AA204" s="299" t="n">
        <v>0.0255</v>
      </c>
      <c r="AB204" s="299" t="n">
        <v>0.0105</v>
      </c>
      <c r="AC204" s="299" t="n">
        <v>0</v>
      </c>
      <c r="AD204" s="299" t="n">
        <v>0</v>
      </c>
      <c r="AE204" s="299" t="n">
        <v>0</v>
      </c>
      <c r="AF204" s="299" t="n">
        <v>0</v>
      </c>
      <c r="AG204" s="299" t="n">
        <v>0</v>
      </c>
      <c r="AH204" s="299" t="n">
        <v>0</v>
      </c>
      <c r="AI204" s="299" t="n">
        <v>0</v>
      </c>
      <c r="AK204" s="299" t="n">
        <v>0</v>
      </c>
      <c r="AL204" s="299" t="n">
        <v>0</v>
      </c>
      <c r="AM204" s="299" t="n">
        <v>0.41</v>
      </c>
      <c r="AN204" s="299" t="n">
        <v>0.0275</v>
      </c>
      <c r="AO204" s="299" t="n">
        <v>0</v>
      </c>
      <c r="AP204" s="299" t="n">
        <v>-0.07</v>
      </c>
      <c r="AQ204" s="299" t="n">
        <v>-0.195</v>
      </c>
      <c r="AR204" s="299" t="n">
        <v>0</v>
      </c>
      <c r="AS204" s="299" t="n">
        <v>-0.37</v>
      </c>
      <c r="AT204" s="299" t="n">
        <v>0</v>
      </c>
      <c r="AU204" s="299" t="n">
        <v>0.43</v>
      </c>
      <c r="AV204" s="299" t="n">
        <v>0</v>
      </c>
      <c r="AW204" s="299" t="n">
        <v>-0.06</v>
      </c>
      <c r="AX204" s="299" t="n">
        <v>-0.06</v>
      </c>
      <c r="AY204" s="299" t="n">
        <v>0</v>
      </c>
      <c r="BA204" s="299" t="n">
        <v>0</v>
      </c>
      <c r="BB204" s="299" t="n">
        <v>0</v>
      </c>
      <c r="BD204" s="299" t="n">
        <v>-0.0025</v>
      </c>
      <c r="BE204" s="299" t="n">
        <v>0</v>
      </c>
      <c r="BF204" s="299" t="n">
        <v>0</v>
      </c>
      <c r="BJ204" s="299" t="n">
        <v>0.35</v>
      </c>
      <c r="BK204" s="299" t="n">
        <v>0</v>
      </c>
      <c r="BL204" s="299" t="n">
        <v>-0.01</v>
      </c>
      <c r="BM204" s="299" t="n">
        <v>0.005</v>
      </c>
      <c r="BO204" s="299" t="n">
        <v>0</v>
      </c>
      <c r="BP204" s="299" t="n">
        <v>0.005</v>
      </c>
      <c r="BQ204" s="299" t="n">
        <v>0</v>
      </c>
      <c r="BR204" s="299" t="n">
        <v>0.035</v>
      </c>
      <c r="BS204" s="0"/>
      <c r="BT204" s="0" t="n">
        <v>0</v>
      </c>
      <c r="BU204" s="0" t="n">
        <v>0</v>
      </c>
      <c r="BV204" s="0" t="n">
        <v>0</v>
      </c>
    </row>
    <row r="205" customFormat="false" ht="12.75" hidden="false" customHeight="false" outlineLevel="0" collapsed="false">
      <c r="A205" s="301"/>
      <c r="B205" s="301" t="n">
        <v>4.295</v>
      </c>
      <c r="C205" s="308" t="n">
        <f aca="false">EOMONTH(C204,0)+1</f>
        <v>43313</v>
      </c>
      <c r="D205" s="0" t="n">
        <v>4.4325</v>
      </c>
      <c r="E205" s="301" t="n">
        <v>0.17</v>
      </c>
      <c r="F205" s="299" t="n">
        <v>0.0626492791780979</v>
      </c>
      <c r="G205" s="299"/>
      <c r="H205" s="299"/>
      <c r="I205" s="310"/>
      <c r="J205" s="310"/>
      <c r="K205" s="299"/>
      <c r="L205" s="299"/>
      <c r="M205" s="299"/>
      <c r="N205" s="299"/>
      <c r="O205" s="299"/>
      <c r="V205" s="299" t="n">
        <v>0.5</v>
      </c>
      <c r="W205" s="299" t="n">
        <v>0.15</v>
      </c>
      <c r="X205" s="299" t="n">
        <v>0.205</v>
      </c>
      <c r="Y205" s="299" t="n">
        <v>0</v>
      </c>
      <c r="Z205" s="299" t="n">
        <v>-0.034</v>
      </c>
      <c r="AA205" s="299" t="n">
        <v>0.0205</v>
      </c>
      <c r="AB205" s="299" t="n">
        <v>0.0055</v>
      </c>
      <c r="AC205" s="299" t="n">
        <v>0</v>
      </c>
      <c r="AD205" s="299" t="n">
        <v>0</v>
      </c>
      <c r="AE205" s="299" t="n">
        <v>0</v>
      </c>
      <c r="AF205" s="299" t="n">
        <v>0</v>
      </c>
      <c r="AG205" s="299" t="n">
        <v>0</v>
      </c>
      <c r="AH205" s="299" t="n">
        <v>0</v>
      </c>
      <c r="AI205" s="299" t="n">
        <v>0</v>
      </c>
      <c r="AK205" s="299" t="n">
        <v>0</v>
      </c>
      <c r="AL205" s="299" t="n">
        <v>0</v>
      </c>
      <c r="AM205" s="299" t="n">
        <v>0.41</v>
      </c>
      <c r="AN205" s="299" t="n">
        <v>0.03</v>
      </c>
      <c r="AO205" s="299" t="n">
        <v>0</v>
      </c>
      <c r="AP205" s="299" t="n">
        <v>-0.07</v>
      </c>
      <c r="AQ205" s="299" t="n">
        <v>-0.195</v>
      </c>
      <c r="AR205" s="299" t="n">
        <v>0</v>
      </c>
      <c r="AS205" s="299" t="n">
        <v>-0.37</v>
      </c>
      <c r="AT205" s="299" t="n">
        <v>0</v>
      </c>
      <c r="AU205" s="299" t="n">
        <v>0.43</v>
      </c>
      <c r="AV205" s="299" t="n">
        <v>0</v>
      </c>
      <c r="AW205" s="299" t="n">
        <v>-0.06</v>
      </c>
      <c r="AX205" s="299" t="n">
        <v>-0.06</v>
      </c>
      <c r="AY205" s="299" t="n">
        <v>0</v>
      </c>
      <c r="BA205" s="299" t="n">
        <v>0</v>
      </c>
      <c r="BB205" s="299" t="n">
        <v>0</v>
      </c>
      <c r="BD205" s="299" t="n">
        <v>0</v>
      </c>
      <c r="BE205" s="299" t="n">
        <v>0</v>
      </c>
      <c r="BF205" s="299" t="n">
        <v>0</v>
      </c>
      <c r="BJ205" s="299" t="n">
        <v>0.35</v>
      </c>
      <c r="BK205" s="299" t="n">
        <v>0</v>
      </c>
      <c r="BL205" s="299" t="n">
        <v>-0.01</v>
      </c>
      <c r="BM205" s="299" t="n">
        <v>0.005</v>
      </c>
      <c r="BO205" s="299" t="n">
        <v>0</v>
      </c>
      <c r="BP205" s="299" t="n">
        <v>0.005</v>
      </c>
      <c r="BQ205" s="299" t="n">
        <v>0</v>
      </c>
      <c r="BR205" s="299" t="n">
        <v>0.01</v>
      </c>
      <c r="BS205" s="0"/>
      <c r="BT205" s="0" t="n">
        <v>0</v>
      </c>
      <c r="BU205" s="0" t="n">
        <v>0</v>
      </c>
      <c r="BV205" s="0" t="n">
        <v>0</v>
      </c>
    </row>
    <row r="206" customFormat="false" ht="12.75" hidden="false" customHeight="false" outlineLevel="0" collapsed="false">
      <c r="A206" s="301"/>
      <c r="B206" s="301" t="n">
        <v>4.179</v>
      </c>
      <c r="C206" s="308" t="n">
        <f aca="false">EOMONTH(C205,0)+1</f>
        <v>43344</v>
      </c>
      <c r="D206" s="0" t="n">
        <v>4.4275</v>
      </c>
      <c r="E206" s="301" t="n">
        <v>0.17</v>
      </c>
      <c r="F206" s="299" t="n">
        <v>0.0626931074322914</v>
      </c>
      <c r="G206" s="299"/>
      <c r="H206" s="299"/>
      <c r="I206" s="310"/>
      <c r="J206" s="310"/>
      <c r="K206" s="299"/>
      <c r="L206" s="299"/>
      <c r="M206" s="299"/>
      <c r="N206" s="299"/>
      <c r="O206" s="299"/>
      <c r="V206" s="299" t="n">
        <v>0.5</v>
      </c>
      <c r="W206" s="299" t="n">
        <v>0.125</v>
      </c>
      <c r="X206" s="299" t="n">
        <v>0.145</v>
      </c>
      <c r="Y206" s="299" t="n">
        <v>0</v>
      </c>
      <c r="Z206" s="299" t="n">
        <v>-0.039</v>
      </c>
      <c r="AA206" s="299" t="n">
        <v>0.0205</v>
      </c>
      <c r="AB206" s="299" t="n">
        <v>0.0055</v>
      </c>
      <c r="AC206" s="299" t="n">
        <v>0</v>
      </c>
      <c r="AD206" s="299" t="n">
        <v>0</v>
      </c>
      <c r="AE206" s="299" t="n">
        <v>0</v>
      </c>
      <c r="AF206" s="299" t="n">
        <v>0</v>
      </c>
      <c r="AG206" s="299" t="n">
        <v>0</v>
      </c>
      <c r="AH206" s="299" t="n">
        <v>0</v>
      </c>
      <c r="AI206" s="299" t="n">
        <v>0</v>
      </c>
      <c r="AK206" s="299" t="n">
        <v>0</v>
      </c>
      <c r="AL206" s="299" t="n">
        <v>0</v>
      </c>
      <c r="AM206" s="299" t="n">
        <v>0.36</v>
      </c>
      <c r="AN206" s="299" t="n">
        <v>0.0225</v>
      </c>
      <c r="AO206" s="299" t="n">
        <v>0</v>
      </c>
      <c r="AP206" s="299" t="n">
        <v>-0.07</v>
      </c>
      <c r="AQ206" s="299" t="n">
        <v>-0.195</v>
      </c>
      <c r="AR206" s="299" t="n">
        <v>0</v>
      </c>
      <c r="AS206" s="299" t="n">
        <v>-0.37</v>
      </c>
      <c r="AT206" s="299" t="n">
        <v>0</v>
      </c>
      <c r="AU206" s="299" t="n">
        <v>0.43</v>
      </c>
      <c r="AV206" s="299" t="n">
        <v>0</v>
      </c>
      <c r="AW206" s="299" t="n">
        <v>-0.06</v>
      </c>
      <c r="AX206" s="299" t="n">
        <v>-0.06</v>
      </c>
      <c r="AY206" s="299" t="n">
        <v>0</v>
      </c>
      <c r="BA206" s="299" t="n">
        <v>0</v>
      </c>
      <c r="BB206" s="299" t="n">
        <v>0</v>
      </c>
      <c r="BD206" s="299" t="n">
        <v>-0.0075</v>
      </c>
      <c r="BE206" s="299" t="n">
        <v>0</v>
      </c>
      <c r="BF206" s="299" t="n">
        <v>0</v>
      </c>
      <c r="BJ206" s="299" t="n">
        <v>0.315</v>
      </c>
      <c r="BK206" s="299" t="n">
        <v>0</v>
      </c>
      <c r="BL206" s="299" t="n">
        <v>-0.01</v>
      </c>
      <c r="BM206" s="299" t="n">
        <v>0.005</v>
      </c>
      <c r="BO206" s="299" t="n">
        <v>0</v>
      </c>
      <c r="BP206" s="299" t="n">
        <v>0.005</v>
      </c>
      <c r="BQ206" s="299" t="n">
        <v>0</v>
      </c>
      <c r="BR206" s="299" t="n">
        <v>0.01</v>
      </c>
      <c r="BS206" s="0"/>
      <c r="BT206" s="0" t="n">
        <v>0</v>
      </c>
      <c r="BU206" s="0" t="n">
        <v>0</v>
      </c>
      <c r="BV206" s="0" t="n">
        <v>0</v>
      </c>
    </row>
    <row r="207" customFormat="false" ht="12.75" hidden="false" customHeight="false" outlineLevel="0" collapsed="false">
      <c r="A207" s="301"/>
      <c r="B207" s="301" t="n">
        <v>4.066</v>
      </c>
      <c r="C207" s="308" t="n">
        <f aca="false">EOMONTH(C206,0)+1</f>
        <v>43374</v>
      </c>
      <c r="D207" s="0" t="n">
        <v>4.4525</v>
      </c>
      <c r="E207" s="301" t="n">
        <v>0.17</v>
      </c>
      <c r="F207" s="299" t="n">
        <v>0.0627355218724404</v>
      </c>
      <c r="G207" s="299"/>
      <c r="H207" s="299"/>
      <c r="I207" s="310"/>
      <c r="J207" s="310"/>
      <c r="K207" s="299"/>
      <c r="L207" s="299"/>
      <c r="M207" s="299"/>
      <c r="N207" s="299"/>
      <c r="O207" s="299"/>
      <c r="V207" s="299" t="n">
        <v>0.5</v>
      </c>
      <c r="W207" s="299" t="n">
        <v>0.145</v>
      </c>
      <c r="X207" s="299" t="n">
        <v>0.175</v>
      </c>
      <c r="Y207" s="299" t="n">
        <v>0</v>
      </c>
      <c r="Z207" s="299" t="n">
        <v>-0.039</v>
      </c>
      <c r="AA207" s="299" t="n">
        <v>0.0155</v>
      </c>
      <c r="AB207" s="299" t="n">
        <v>0.000500000000000007</v>
      </c>
      <c r="AC207" s="299" t="n">
        <v>0</v>
      </c>
      <c r="AD207" s="299" t="n">
        <v>0</v>
      </c>
      <c r="AE207" s="299" t="n">
        <v>0</v>
      </c>
      <c r="AF207" s="299" t="n">
        <v>0</v>
      </c>
      <c r="AG207" s="299" t="n">
        <v>0</v>
      </c>
      <c r="AH207" s="299" t="n">
        <v>0</v>
      </c>
      <c r="AI207" s="299" t="n">
        <v>0</v>
      </c>
      <c r="AK207" s="299" t="n">
        <v>0</v>
      </c>
      <c r="AL207" s="299" t="n">
        <v>0</v>
      </c>
      <c r="AM207" s="299" t="n">
        <v>0.4</v>
      </c>
      <c r="AN207" s="299" t="n">
        <v>0.0125</v>
      </c>
      <c r="AO207" s="299" t="n">
        <v>0</v>
      </c>
      <c r="AP207" s="299" t="n">
        <v>-0.07</v>
      </c>
      <c r="AQ207" s="299" t="n">
        <v>-0.195</v>
      </c>
      <c r="AR207" s="299" t="n">
        <v>0</v>
      </c>
      <c r="AS207" s="299" t="n">
        <v>-0.37</v>
      </c>
      <c r="AT207" s="299" t="n">
        <v>0</v>
      </c>
      <c r="AU207" s="299" t="n">
        <v>0.43</v>
      </c>
      <c r="AV207" s="299" t="n">
        <v>0</v>
      </c>
      <c r="AW207" s="299" t="n">
        <v>-0.06</v>
      </c>
      <c r="AX207" s="299" t="n">
        <v>-0.06</v>
      </c>
      <c r="AY207" s="299" t="n">
        <v>0</v>
      </c>
      <c r="BA207" s="299" t="n">
        <v>0</v>
      </c>
      <c r="BB207" s="299" t="n">
        <v>0</v>
      </c>
      <c r="BD207" s="299" t="n">
        <v>-0.0175</v>
      </c>
      <c r="BE207" s="299" t="n">
        <v>0</v>
      </c>
      <c r="BF207" s="299" t="n">
        <v>0</v>
      </c>
      <c r="BJ207" s="299" t="n">
        <v>0.36</v>
      </c>
      <c r="BK207" s="299" t="n">
        <v>0</v>
      </c>
      <c r="BL207" s="299" t="n">
        <v>-0.015</v>
      </c>
      <c r="BM207" s="299" t="n">
        <v>0.005</v>
      </c>
      <c r="BO207" s="299" t="n">
        <v>0</v>
      </c>
      <c r="BP207" s="299" t="n">
        <v>0.005</v>
      </c>
      <c r="BQ207" s="299" t="n">
        <v>0</v>
      </c>
      <c r="BR207" s="299" t="n">
        <v>0.01</v>
      </c>
      <c r="BS207" s="0"/>
      <c r="BT207" s="0" t="n">
        <v>0</v>
      </c>
      <c r="BU207" s="0" t="n">
        <v>0</v>
      </c>
      <c r="BV207" s="0" t="n">
        <v>0</v>
      </c>
    </row>
    <row r="208" customFormat="false" ht="12.75" hidden="false" customHeight="false" outlineLevel="0" collapsed="false">
      <c r="A208" s="301"/>
      <c r="B208" s="301" t="n">
        <v>4.052</v>
      </c>
      <c r="C208" s="308" t="n">
        <f aca="false">EOMONTH(C207,0)+1</f>
        <v>43405</v>
      </c>
      <c r="D208" s="0" t="n">
        <v>4.6045</v>
      </c>
      <c r="E208" s="301" t="n">
        <v>0.17</v>
      </c>
      <c r="F208" s="299" t="n">
        <v>0.0627793501278884</v>
      </c>
      <c r="G208" s="299"/>
      <c r="H208" s="299"/>
      <c r="I208" s="310"/>
      <c r="J208" s="310"/>
      <c r="K208" s="299"/>
      <c r="L208" s="299"/>
      <c r="M208" s="299"/>
      <c r="N208" s="299"/>
      <c r="O208" s="299"/>
      <c r="V208" s="299" t="n">
        <v>0.5</v>
      </c>
      <c r="W208" s="299" t="n">
        <v>0.195</v>
      </c>
      <c r="X208" s="299" t="n">
        <v>0.21</v>
      </c>
      <c r="Y208" s="299" t="n">
        <v>0</v>
      </c>
      <c r="Z208" s="299" t="n">
        <v>-0.02</v>
      </c>
      <c r="AA208" s="299" t="n">
        <v>0.0165</v>
      </c>
      <c r="AB208" s="299" t="n">
        <v>0.0015</v>
      </c>
      <c r="AC208" s="299" t="n">
        <v>0</v>
      </c>
      <c r="AD208" s="299" t="n">
        <v>0</v>
      </c>
      <c r="AE208" s="299" t="n">
        <v>0</v>
      </c>
      <c r="AF208" s="299" t="n">
        <v>0</v>
      </c>
      <c r="AG208" s="299" t="n">
        <v>0</v>
      </c>
      <c r="AH208" s="299" t="n">
        <v>0</v>
      </c>
      <c r="AI208" s="299" t="n">
        <v>0</v>
      </c>
      <c r="AK208" s="299" t="n">
        <v>0</v>
      </c>
      <c r="AL208" s="299" t="n">
        <v>0</v>
      </c>
      <c r="AM208" s="299" t="n">
        <v>0.65</v>
      </c>
      <c r="AN208" s="299" t="n">
        <v>-0.0225</v>
      </c>
      <c r="AO208" s="299" t="n">
        <v>0</v>
      </c>
      <c r="AP208" s="299" t="n">
        <v>-0.07</v>
      </c>
      <c r="AQ208" s="299" t="n">
        <v>-0.13</v>
      </c>
      <c r="AR208" s="299" t="n">
        <v>0</v>
      </c>
      <c r="AS208" s="299" t="n">
        <v>-0.26</v>
      </c>
      <c r="AT208" s="299" t="n">
        <v>0</v>
      </c>
      <c r="AU208" s="299" t="n">
        <v>0.35</v>
      </c>
      <c r="AV208" s="299" t="n">
        <v>0</v>
      </c>
      <c r="AW208" s="299" t="n">
        <v>-0.06</v>
      </c>
      <c r="AX208" s="299" t="n">
        <v>-0.06</v>
      </c>
      <c r="AY208" s="299" t="n">
        <v>0</v>
      </c>
      <c r="BA208" s="299" t="n">
        <v>0</v>
      </c>
      <c r="BB208" s="299" t="n">
        <v>0</v>
      </c>
      <c r="BD208" s="299" t="n">
        <v>-0.0525</v>
      </c>
      <c r="BE208" s="299" t="n">
        <v>0</v>
      </c>
      <c r="BF208" s="299" t="n">
        <v>0</v>
      </c>
      <c r="BJ208" s="299" t="n">
        <v>0.46</v>
      </c>
      <c r="BK208" s="299" t="n">
        <v>0</v>
      </c>
      <c r="BL208" s="299" t="n">
        <v>-0.02</v>
      </c>
      <c r="BM208" s="299" t="n">
        <v>0.005</v>
      </c>
      <c r="BO208" s="299" t="n">
        <v>0</v>
      </c>
      <c r="BP208" s="299" t="n">
        <v>0.005</v>
      </c>
      <c r="BQ208" s="299" t="n">
        <v>0</v>
      </c>
      <c r="BR208" s="299" t="n">
        <v>0.055</v>
      </c>
      <c r="BS208" s="0"/>
      <c r="BT208" s="0" t="n">
        <v>0</v>
      </c>
      <c r="BU208" s="0" t="n">
        <v>0</v>
      </c>
      <c r="BV208" s="0" t="n">
        <v>0</v>
      </c>
    </row>
    <row r="209" customFormat="false" ht="12.75" hidden="false" customHeight="false" outlineLevel="0" collapsed="false">
      <c r="A209" s="301"/>
      <c r="B209" s="301" t="n">
        <v>4.046</v>
      </c>
      <c r="C209" s="308" t="n">
        <f aca="false">EOMONTH(C208,0)+1</f>
        <v>43435</v>
      </c>
      <c r="D209" s="0" t="n">
        <v>4.7475</v>
      </c>
      <c r="E209" s="301" t="n">
        <v>0.17</v>
      </c>
      <c r="F209" s="299" t="n">
        <v>0.062821764569251</v>
      </c>
      <c r="G209" s="299"/>
      <c r="H209" s="299"/>
      <c r="I209" s="310"/>
      <c r="J209" s="310"/>
      <c r="K209" s="299"/>
      <c r="L209" s="299"/>
      <c r="M209" s="299"/>
      <c r="N209" s="299"/>
      <c r="O209" s="299"/>
      <c r="V209" s="299" t="n">
        <v>0.5</v>
      </c>
      <c r="W209" s="299" t="n">
        <v>0.215</v>
      </c>
      <c r="X209" s="299" t="n">
        <v>0.29</v>
      </c>
      <c r="Y209" s="299" t="n">
        <v>0</v>
      </c>
      <c r="Z209" s="299" t="n">
        <v>-0.02</v>
      </c>
      <c r="AA209" s="299" t="n">
        <v>0.0165</v>
      </c>
      <c r="AB209" s="299" t="n">
        <v>0.0015</v>
      </c>
      <c r="AC209" s="299" t="n">
        <v>0</v>
      </c>
      <c r="AD209" s="299" t="n">
        <v>0</v>
      </c>
      <c r="AE209" s="299" t="n">
        <v>0</v>
      </c>
      <c r="AF209" s="299" t="n">
        <v>0</v>
      </c>
      <c r="AG209" s="299" t="n">
        <v>0</v>
      </c>
      <c r="AH209" s="299" t="n">
        <v>0</v>
      </c>
      <c r="AI209" s="299" t="n">
        <v>0</v>
      </c>
      <c r="AK209" s="299" t="n">
        <v>0</v>
      </c>
      <c r="AL209" s="299" t="n">
        <v>0</v>
      </c>
      <c r="AM209" s="299" t="n">
        <v>0.98</v>
      </c>
      <c r="AN209" s="299" t="n">
        <v>-0.045</v>
      </c>
      <c r="AO209" s="299" t="n">
        <v>0</v>
      </c>
      <c r="AP209" s="299" t="n">
        <v>-0.07</v>
      </c>
      <c r="AQ209" s="299" t="n">
        <v>-0.13</v>
      </c>
      <c r="AR209" s="299" t="n">
        <v>0</v>
      </c>
      <c r="AS209" s="299" t="n">
        <v>-0.26</v>
      </c>
      <c r="AT209" s="299" t="n">
        <v>0</v>
      </c>
      <c r="AU209" s="299" t="n">
        <v>0.35</v>
      </c>
      <c r="AV209" s="299" t="n">
        <v>0</v>
      </c>
      <c r="AW209" s="299" t="n">
        <v>-0.06</v>
      </c>
      <c r="AX209" s="299" t="n">
        <v>-0.06</v>
      </c>
      <c r="AY209" s="299" t="n">
        <v>0</v>
      </c>
      <c r="BA209" s="299" t="n">
        <v>0</v>
      </c>
      <c r="BB209" s="299" t="n">
        <v>0</v>
      </c>
      <c r="BD209" s="299" t="n">
        <v>-0.075</v>
      </c>
      <c r="BE209" s="299" t="n">
        <v>0</v>
      </c>
      <c r="BF209" s="299" t="n">
        <v>0</v>
      </c>
      <c r="BJ209" s="299" t="n">
        <v>0.77</v>
      </c>
      <c r="BK209" s="299" t="n">
        <v>0</v>
      </c>
      <c r="BL209" s="299" t="n">
        <v>-0.025</v>
      </c>
      <c r="BM209" s="299" t="n">
        <v>0.005</v>
      </c>
      <c r="BO209" s="299" t="n">
        <v>0</v>
      </c>
      <c r="BP209" s="299" t="n">
        <v>0.005</v>
      </c>
      <c r="BQ209" s="299" t="n">
        <v>0</v>
      </c>
      <c r="BR209" s="299" t="n">
        <v>0.25</v>
      </c>
      <c r="BS209" s="0"/>
      <c r="BT209" s="0" t="n">
        <v>0</v>
      </c>
      <c r="BU209" s="0" t="n">
        <v>0</v>
      </c>
      <c r="BV209" s="0" t="n">
        <v>0</v>
      </c>
    </row>
    <row r="210" customFormat="false" ht="12.75" hidden="false" customHeight="false" outlineLevel="0" collapsed="false">
      <c r="A210" s="301"/>
      <c r="B210" s="301" t="n">
        <v>4.111</v>
      </c>
      <c r="C210" s="308" t="n">
        <f aca="false">EOMONTH(C209,0)+1</f>
        <v>43466</v>
      </c>
      <c r="D210" s="0" t="n">
        <v>4.8075</v>
      </c>
      <c r="E210" s="301" t="n">
        <v>0.17</v>
      </c>
      <c r="F210" s="299" t="n">
        <v>0.0628655928259532</v>
      </c>
      <c r="G210" s="299"/>
      <c r="H210" s="299"/>
      <c r="I210" s="310"/>
      <c r="J210" s="310"/>
      <c r="K210" s="299"/>
      <c r="L210" s="299"/>
      <c r="M210" s="299"/>
      <c r="N210" s="299"/>
      <c r="O210" s="299"/>
      <c r="V210" s="299" t="n">
        <v>0.5</v>
      </c>
      <c r="W210" s="299" t="n">
        <v>0.235</v>
      </c>
      <c r="X210" s="299" t="n">
        <v>0.34</v>
      </c>
      <c r="Y210" s="299" t="n">
        <v>0</v>
      </c>
      <c r="Z210" s="299" t="n">
        <v>-0.02</v>
      </c>
      <c r="AA210" s="299" t="n">
        <v>0.0165</v>
      </c>
      <c r="AB210" s="299" t="n">
        <v>0.0015</v>
      </c>
      <c r="AC210" s="299" t="n">
        <v>0</v>
      </c>
      <c r="AD210" s="299" t="n">
        <v>0</v>
      </c>
      <c r="AE210" s="299" t="n">
        <v>0</v>
      </c>
      <c r="AF210" s="299" t="n">
        <v>0</v>
      </c>
      <c r="AG210" s="299" t="n">
        <v>0</v>
      </c>
      <c r="AH210" s="299" t="n">
        <v>0</v>
      </c>
      <c r="AI210" s="299" t="n">
        <v>0</v>
      </c>
      <c r="AK210" s="299" t="n">
        <v>0</v>
      </c>
      <c r="AL210" s="299" t="n">
        <v>0</v>
      </c>
      <c r="AM210" s="299" t="n">
        <v>1.6</v>
      </c>
      <c r="AN210" s="299" t="n">
        <v>-0.0475</v>
      </c>
      <c r="AO210" s="299" t="n">
        <v>0</v>
      </c>
      <c r="AP210" s="299" t="n">
        <v>-0.07</v>
      </c>
      <c r="AQ210" s="299" t="n">
        <v>-0.13</v>
      </c>
      <c r="AR210" s="299" t="n">
        <v>0</v>
      </c>
      <c r="AS210" s="299" t="n">
        <v>-0.26</v>
      </c>
      <c r="AT210" s="299" t="n">
        <v>0</v>
      </c>
      <c r="AU210" s="299" t="n">
        <v>0.35</v>
      </c>
      <c r="AV210" s="299" t="n">
        <v>0</v>
      </c>
      <c r="AW210" s="299" t="n">
        <v>-0.06</v>
      </c>
      <c r="AX210" s="299" t="n">
        <v>-0.06</v>
      </c>
      <c r="AY210" s="299" t="n">
        <v>0</v>
      </c>
      <c r="BA210" s="299" t="n">
        <v>0</v>
      </c>
      <c r="BB210" s="299" t="n">
        <v>0</v>
      </c>
      <c r="BD210" s="299" t="n">
        <v>-0.0775</v>
      </c>
      <c r="BE210" s="299" t="n">
        <v>0</v>
      </c>
      <c r="BF210" s="299" t="n">
        <v>0</v>
      </c>
      <c r="BJ210" s="299" t="n">
        <v>1.04</v>
      </c>
      <c r="BK210" s="299" t="n">
        <v>0</v>
      </c>
      <c r="BL210" s="299" t="n">
        <v>-0.025</v>
      </c>
      <c r="BM210" s="299" t="n">
        <v>0.005</v>
      </c>
      <c r="BO210" s="299" t="n">
        <v>0</v>
      </c>
      <c r="BP210" s="299" t="n">
        <v>0.005</v>
      </c>
      <c r="BQ210" s="299" t="n">
        <v>0</v>
      </c>
      <c r="BR210" s="299" t="n">
        <v>0.45</v>
      </c>
      <c r="BS210" s="0"/>
      <c r="BT210" s="0" t="n">
        <v>0</v>
      </c>
      <c r="BU210" s="0" t="n">
        <v>0</v>
      </c>
      <c r="BV210" s="0" t="n">
        <v>0</v>
      </c>
    </row>
    <row r="211" customFormat="false" ht="12.75" hidden="false" customHeight="false" outlineLevel="0" collapsed="false">
      <c r="A211" s="301"/>
      <c r="B211" s="301" t="n">
        <v>4.106</v>
      </c>
      <c r="C211" s="308" t="n">
        <f aca="false">EOMONTH(C210,0)+1</f>
        <v>43497</v>
      </c>
      <c r="D211" s="0" t="n">
        <v>4.7225</v>
      </c>
      <c r="E211" s="301" t="n">
        <v>0.17</v>
      </c>
      <c r="F211" s="299" t="n">
        <v>0.0629094210832926</v>
      </c>
      <c r="G211" s="299"/>
      <c r="H211" s="299"/>
      <c r="I211" s="310"/>
      <c r="J211" s="310"/>
      <c r="K211" s="299"/>
      <c r="L211" s="299"/>
      <c r="M211" s="299"/>
      <c r="N211" s="299"/>
      <c r="O211" s="299"/>
      <c r="V211" s="299" t="n">
        <v>0.5</v>
      </c>
      <c r="W211" s="299" t="n">
        <v>0.235</v>
      </c>
      <c r="X211" s="299" t="n">
        <v>0.34</v>
      </c>
      <c r="Y211" s="299" t="n">
        <v>0</v>
      </c>
      <c r="Z211" s="299" t="n">
        <v>-0.02</v>
      </c>
      <c r="AA211" s="299" t="n">
        <v>0.0165</v>
      </c>
      <c r="AB211" s="299" t="n">
        <v>0.0015</v>
      </c>
      <c r="AC211" s="299" t="n">
        <v>0</v>
      </c>
      <c r="AD211" s="299" t="n">
        <v>0</v>
      </c>
      <c r="AE211" s="299" t="n">
        <v>0</v>
      </c>
      <c r="AF211" s="299" t="n">
        <v>0</v>
      </c>
      <c r="AG211" s="299" t="n">
        <v>0</v>
      </c>
      <c r="AH211" s="299" t="n">
        <v>0</v>
      </c>
      <c r="AI211" s="299" t="n">
        <v>0</v>
      </c>
      <c r="AK211" s="299" t="n">
        <v>0</v>
      </c>
      <c r="AL211" s="299" t="n">
        <v>0</v>
      </c>
      <c r="AM211" s="299" t="n">
        <v>1.6</v>
      </c>
      <c r="AN211" s="299" t="n">
        <v>-0.03</v>
      </c>
      <c r="AO211" s="299" t="n">
        <v>0</v>
      </c>
      <c r="AP211" s="299" t="n">
        <v>-0.07</v>
      </c>
      <c r="AQ211" s="299" t="n">
        <v>-0.13</v>
      </c>
      <c r="AR211" s="299" t="n">
        <v>0</v>
      </c>
      <c r="AS211" s="299" t="n">
        <v>-0.26</v>
      </c>
      <c r="AT211" s="299" t="n">
        <v>0</v>
      </c>
      <c r="AU211" s="299" t="n">
        <v>0.35</v>
      </c>
      <c r="AV211" s="299" t="n">
        <v>0</v>
      </c>
      <c r="AW211" s="299" t="n">
        <v>-0.06</v>
      </c>
      <c r="AX211" s="299" t="n">
        <v>-0.06</v>
      </c>
      <c r="AY211" s="299" t="n">
        <v>0</v>
      </c>
      <c r="BA211" s="299" t="n">
        <v>0</v>
      </c>
      <c r="BB211" s="299" t="n">
        <v>0</v>
      </c>
      <c r="BD211" s="299" t="n">
        <v>-0.06</v>
      </c>
      <c r="BE211" s="299" t="n">
        <v>0</v>
      </c>
      <c r="BF211" s="299" t="n">
        <v>0</v>
      </c>
      <c r="BJ211" s="299" t="n">
        <v>1.04</v>
      </c>
      <c r="BK211" s="299" t="n">
        <v>0</v>
      </c>
      <c r="BL211" s="299" t="n">
        <v>-0.025</v>
      </c>
      <c r="BM211" s="299" t="n">
        <v>0.005</v>
      </c>
      <c r="BO211" s="299" t="n">
        <v>0</v>
      </c>
      <c r="BP211" s="299" t="n">
        <v>0</v>
      </c>
      <c r="BQ211" s="299" t="n">
        <v>0</v>
      </c>
      <c r="BR211" s="299" t="n">
        <v>0.45</v>
      </c>
      <c r="BS211" s="0"/>
      <c r="BT211" s="0" t="n">
        <v>0</v>
      </c>
      <c r="BU211" s="0" t="n">
        <v>0</v>
      </c>
      <c r="BV211" s="0" t="n">
        <v>0</v>
      </c>
    </row>
    <row r="212" customFormat="false" ht="12.75" hidden="false" customHeight="false" outlineLevel="0" collapsed="false">
      <c r="A212" s="301"/>
      <c r="B212" s="301" t="n">
        <v>4.082</v>
      </c>
      <c r="C212" s="308" t="n">
        <f aca="false">EOMONTH(C211,0)+1</f>
        <v>43525</v>
      </c>
      <c r="D212" s="0" t="n">
        <v>4.5925</v>
      </c>
      <c r="E212" s="301" t="n">
        <v>0.17</v>
      </c>
      <c r="F212" s="299" t="n">
        <v>0.062949007896921</v>
      </c>
      <c r="G212" s="299"/>
      <c r="H212" s="299"/>
      <c r="I212" s="310"/>
      <c r="J212" s="310"/>
      <c r="K212" s="299"/>
      <c r="L212" s="299"/>
      <c r="M212" s="299"/>
      <c r="N212" s="299"/>
      <c r="O212" s="299"/>
      <c r="V212" s="299" t="n">
        <v>0.5</v>
      </c>
      <c r="W212" s="299" t="n">
        <v>0.195</v>
      </c>
      <c r="X212" s="299" t="n">
        <v>0.29</v>
      </c>
      <c r="Y212" s="299" t="n">
        <v>0</v>
      </c>
      <c r="Z212" s="299" t="n">
        <v>-0.02</v>
      </c>
      <c r="AA212" s="299" t="n">
        <v>0.024</v>
      </c>
      <c r="AB212" s="299" t="n">
        <v>0.009</v>
      </c>
      <c r="AC212" s="299" t="n">
        <v>0</v>
      </c>
      <c r="AD212" s="299" t="n">
        <v>0</v>
      </c>
      <c r="AE212" s="299" t="n">
        <v>0</v>
      </c>
      <c r="AF212" s="299" t="n">
        <v>0</v>
      </c>
      <c r="AG212" s="299" t="n">
        <v>0</v>
      </c>
      <c r="AH212" s="299" t="n">
        <v>0</v>
      </c>
      <c r="AI212" s="299" t="n">
        <v>0</v>
      </c>
      <c r="AK212" s="299" t="n">
        <v>0</v>
      </c>
      <c r="AL212" s="299" t="n">
        <v>0</v>
      </c>
      <c r="AM212" s="299" t="n">
        <v>0.64</v>
      </c>
      <c r="AN212" s="299" t="n">
        <v>-0.0175</v>
      </c>
      <c r="AO212" s="299" t="n">
        <v>0</v>
      </c>
      <c r="AP212" s="299" t="n">
        <v>-0.07</v>
      </c>
      <c r="AQ212" s="299" t="n">
        <v>-0.13</v>
      </c>
      <c r="AR212" s="299" t="n">
        <v>0</v>
      </c>
      <c r="AS212" s="299" t="n">
        <v>-0.26</v>
      </c>
      <c r="AT212" s="299" t="n">
        <v>0</v>
      </c>
      <c r="AU212" s="299" t="n">
        <v>0.35</v>
      </c>
      <c r="AV212" s="299" t="n">
        <v>0</v>
      </c>
      <c r="AW212" s="299" t="n">
        <v>-0.06</v>
      </c>
      <c r="AX212" s="299" t="n">
        <v>-0.06</v>
      </c>
      <c r="AY212" s="299" t="n">
        <v>0</v>
      </c>
      <c r="BA212" s="299" t="n">
        <v>0</v>
      </c>
      <c r="BB212" s="299" t="n">
        <v>0</v>
      </c>
      <c r="BD212" s="299" t="n">
        <v>-0.0475</v>
      </c>
      <c r="BE212" s="299" t="n">
        <v>0</v>
      </c>
      <c r="BF212" s="299" t="n">
        <v>0</v>
      </c>
      <c r="BJ212" s="299" t="n">
        <v>0.54</v>
      </c>
      <c r="BK212" s="299" t="n">
        <v>0</v>
      </c>
      <c r="BL212" s="299" t="n">
        <v>-0.02</v>
      </c>
      <c r="BM212" s="299" t="n">
        <v>0.005</v>
      </c>
      <c r="BO212" s="299" t="n">
        <v>0</v>
      </c>
      <c r="BP212" s="299" t="n">
        <v>0</v>
      </c>
      <c r="BQ212" s="299" t="n">
        <v>0</v>
      </c>
      <c r="BR212" s="299" t="n">
        <v>0.1</v>
      </c>
      <c r="BS212" s="0"/>
      <c r="BT212" s="0" t="n">
        <v>0</v>
      </c>
      <c r="BU212" s="0" t="n">
        <v>0</v>
      </c>
      <c r="BV212" s="0" t="n">
        <v>0</v>
      </c>
    </row>
    <row r="213" customFormat="false" ht="12.75" hidden="false" customHeight="false" outlineLevel="0" collapsed="false">
      <c r="A213" s="301"/>
      <c r="B213" s="301" t="n">
        <v>4.086</v>
      </c>
      <c r="C213" s="308" t="n">
        <f aca="false">EOMONTH(C212,0)+1</f>
        <v>43556</v>
      </c>
      <c r="D213" s="0" t="n">
        <v>4.4075</v>
      </c>
      <c r="E213" s="301" t="n">
        <v>0.17</v>
      </c>
      <c r="F213" s="299" t="n">
        <v>0.0629928361554737</v>
      </c>
      <c r="G213" s="299"/>
      <c r="H213" s="299"/>
      <c r="I213" s="310"/>
      <c r="J213" s="310"/>
      <c r="K213" s="299"/>
      <c r="L213" s="299"/>
      <c r="M213" s="299"/>
      <c r="N213" s="299"/>
      <c r="O213" s="299"/>
      <c r="V213" s="299" t="n">
        <v>0.5</v>
      </c>
      <c r="W213" s="299" t="n">
        <v>0.145</v>
      </c>
      <c r="X213" s="299" t="n">
        <v>0.195</v>
      </c>
      <c r="Y213" s="299" t="n">
        <v>0</v>
      </c>
      <c r="Z213" s="299" t="n">
        <v>-0.035</v>
      </c>
      <c r="AA213" s="299" t="n">
        <v>0.024</v>
      </c>
      <c r="AB213" s="299" t="n">
        <v>0.009</v>
      </c>
      <c r="AC213" s="299" t="n">
        <v>0</v>
      </c>
      <c r="AD213" s="299" t="n">
        <v>0</v>
      </c>
      <c r="AE213" s="299" t="n">
        <v>0</v>
      </c>
      <c r="AF213" s="299" t="n">
        <v>0</v>
      </c>
      <c r="AG213" s="299" t="n">
        <v>0</v>
      </c>
      <c r="AH213" s="299" t="n">
        <v>0</v>
      </c>
      <c r="AI213" s="299" t="n">
        <v>0</v>
      </c>
      <c r="AK213" s="299" t="n">
        <v>0</v>
      </c>
      <c r="AL213" s="299" t="n">
        <v>0</v>
      </c>
      <c r="AM213" s="299" t="n">
        <v>0.38</v>
      </c>
      <c r="AN213" s="299" t="n">
        <v>0.02</v>
      </c>
      <c r="AO213" s="299" t="n">
        <v>0</v>
      </c>
      <c r="AP213" s="299" t="n">
        <v>-0.07</v>
      </c>
      <c r="AQ213" s="299" t="n">
        <v>-0.195</v>
      </c>
      <c r="AR213" s="299" t="n">
        <v>0</v>
      </c>
      <c r="AS213" s="299" t="n">
        <v>-0.37</v>
      </c>
      <c r="AT213" s="299" t="n">
        <v>0</v>
      </c>
      <c r="AU213" s="299" t="n">
        <v>0.43</v>
      </c>
      <c r="AV213" s="299" t="n">
        <v>0</v>
      </c>
      <c r="AW213" s="299" t="n">
        <v>-0.06</v>
      </c>
      <c r="AX213" s="299" t="n">
        <v>-0.06</v>
      </c>
      <c r="AY213" s="299" t="n">
        <v>0</v>
      </c>
      <c r="BA213" s="299" t="n">
        <v>0</v>
      </c>
      <c r="BB213" s="299" t="n">
        <v>0</v>
      </c>
      <c r="BD213" s="299" t="n">
        <v>-0.01</v>
      </c>
      <c r="BE213" s="299" t="n">
        <v>0</v>
      </c>
      <c r="BF213" s="299" t="n">
        <v>0</v>
      </c>
      <c r="BJ213" s="299" t="n">
        <v>0.36</v>
      </c>
      <c r="BK213" s="299" t="n">
        <v>0</v>
      </c>
      <c r="BL213" s="299" t="n">
        <v>-0.015</v>
      </c>
      <c r="BM213" s="299" t="n">
        <v>0.005</v>
      </c>
      <c r="BO213" s="299" t="n">
        <v>0</v>
      </c>
      <c r="BP213" s="299" t="n">
        <v>0</v>
      </c>
      <c r="BQ213" s="299" t="n">
        <v>0</v>
      </c>
      <c r="BR213" s="299" t="n">
        <v>0.02</v>
      </c>
      <c r="BS213" s="0"/>
      <c r="BT213" s="0" t="n">
        <v>0</v>
      </c>
      <c r="BU213" s="0" t="n">
        <v>0</v>
      </c>
      <c r="BV213" s="0" t="n">
        <v>0</v>
      </c>
    </row>
    <row r="214" customFormat="false" ht="12.75" hidden="false" customHeight="false" outlineLevel="0" collapsed="false">
      <c r="A214" s="301"/>
      <c r="B214" s="301" t="n">
        <v>4.128</v>
      </c>
      <c r="C214" s="308" t="n">
        <f aca="false">EOMONTH(C213,0)+1</f>
        <v>43586</v>
      </c>
      <c r="D214" s="0" t="n">
        <v>4.4025</v>
      </c>
      <c r="E214" s="301" t="n">
        <v>0.17</v>
      </c>
      <c r="F214" s="299" t="n">
        <v>0.0630352505998406</v>
      </c>
      <c r="G214" s="299"/>
      <c r="H214" s="299"/>
      <c r="I214" s="310"/>
      <c r="J214" s="310"/>
      <c r="K214" s="299"/>
      <c r="L214" s="299"/>
      <c r="M214" s="299"/>
      <c r="N214" s="299"/>
      <c r="O214" s="299"/>
      <c r="V214" s="299" t="n">
        <v>0.5</v>
      </c>
      <c r="W214" s="299" t="n">
        <v>0.125</v>
      </c>
      <c r="X214" s="299" t="n">
        <v>0.135</v>
      </c>
      <c r="Y214" s="299" t="n">
        <v>0</v>
      </c>
      <c r="Z214" s="299" t="n">
        <v>-0.035</v>
      </c>
      <c r="AA214" s="299" t="n">
        <v>0.0265</v>
      </c>
      <c r="AB214" s="299" t="n">
        <v>0.0115</v>
      </c>
      <c r="AC214" s="299" t="n">
        <v>0</v>
      </c>
      <c r="AD214" s="299" t="n">
        <v>0</v>
      </c>
      <c r="AE214" s="299" t="n">
        <v>0</v>
      </c>
      <c r="AF214" s="299" t="n">
        <v>0</v>
      </c>
      <c r="AG214" s="299" t="n">
        <v>0</v>
      </c>
      <c r="AH214" s="299" t="n">
        <v>0</v>
      </c>
      <c r="AI214" s="299" t="n">
        <v>0</v>
      </c>
      <c r="AK214" s="299" t="n">
        <v>0</v>
      </c>
      <c r="AL214" s="299" t="n">
        <v>0</v>
      </c>
      <c r="AM214" s="299" t="n">
        <v>0.33</v>
      </c>
      <c r="AN214" s="299" t="n">
        <v>0.02</v>
      </c>
      <c r="AO214" s="299" t="n">
        <v>0</v>
      </c>
      <c r="AP214" s="299" t="n">
        <v>-0.07</v>
      </c>
      <c r="AQ214" s="299" t="n">
        <v>-0.195</v>
      </c>
      <c r="AR214" s="299" t="n">
        <v>0</v>
      </c>
      <c r="AS214" s="299" t="n">
        <v>-0.37</v>
      </c>
      <c r="AT214" s="299" t="n">
        <v>0</v>
      </c>
      <c r="AU214" s="299" t="n">
        <v>0.43</v>
      </c>
      <c r="AV214" s="299" t="n">
        <v>0</v>
      </c>
      <c r="AW214" s="299" t="n">
        <v>-0.06</v>
      </c>
      <c r="AX214" s="299" t="n">
        <v>-0.06</v>
      </c>
      <c r="AY214" s="299" t="n">
        <v>0</v>
      </c>
      <c r="BA214" s="299" t="n">
        <v>0</v>
      </c>
      <c r="BB214" s="299" t="n">
        <v>0</v>
      </c>
      <c r="BD214" s="299" t="n">
        <v>-0.01</v>
      </c>
      <c r="BE214" s="299" t="n">
        <v>0</v>
      </c>
      <c r="BF214" s="299" t="n">
        <v>0</v>
      </c>
      <c r="BJ214" s="299" t="n">
        <v>0.325</v>
      </c>
      <c r="BK214" s="299" t="n">
        <v>0</v>
      </c>
      <c r="BL214" s="299" t="n">
        <v>-0.015</v>
      </c>
      <c r="BM214" s="299" t="n">
        <v>0.005</v>
      </c>
      <c r="BO214" s="299" t="n">
        <v>0</v>
      </c>
      <c r="BP214" s="299" t="n">
        <v>0</v>
      </c>
      <c r="BQ214" s="299" t="n">
        <v>0</v>
      </c>
      <c r="BR214" s="299" t="n">
        <v>0.02</v>
      </c>
      <c r="BS214" s="0"/>
      <c r="BT214" s="0" t="n">
        <v>0</v>
      </c>
      <c r="BU214" s="0" t="n">
        <v>0</v>
      </c>
      <c r="BV214" s="0" t="n">
        <v>0</v>
      </c>
    </row>
    <row r="215" customFormat="false" ht="12.75" hidden="false" customHeight="false" outlineLevel="0" collapsed="false">
      <c r="A215" s="301"/>
      <c r="B215" s="301" t="n">
        <v>4.195</v>
      </c>
      <c r="C215" s="308" t="n">
        <f aca="false">EOMONTH(C214,0)+1</f>
        <v>43617</v>
      </c>
      <c r="D215" s="0" t="n">
        <v>4.4375</v>
      </c>
      <c r="E215" s="301" t="n">
        <v>0.17</v>
      </c>
      <c r="F215" s="299" t="n">
        <v>0.0630790788596469</v>
      </c>
      <c r="G215" s="299"/>
      <c r="H215" s="299"/>
      <c r="I215" s="310"/>
      <c r="J215" s="310"/>
      <c r="K215" s="299"/>
      <c r="L215" s="299"/>
      <c r="M215" s="299"/>
      <c r="N215" s="299"/>
      <c r="O215" s="299"/>
      <c r="V215" s="299" t="n">
        <v>0.5</v>
      </c>
      <c r="W215" s="299" t="n">
        <v>0.145</v>
      </c>
      <c r="X215" s="299" t="n">
        <v>0.165</v>
      </c>
      <c r="Y215" s="299" t="n">
        <v>0</v>
      </c>
      <c r="Z215" s="299" t="n">
        <v>-0.0325</v>
      </c>
      <c r="AA215" s="299" t="n">
        <v>0.0265</v>
      </c>
      <c r="AB215" s="299" t="n">
        <v>0.0115</v>
      </c>
      <c r="AC215" s="299" t="n">
        <v>0</v>
      </c>
      <c r="AD215" s="299" t="n">
        <v>0</v>
      </c>
      <c r="AE215" s="299" t="n">
        <v>0</v>
      </c>
      <c r="AF215" s="299" t="n">
        <v>0</v>
      </c>
      <c r="AG215" s="299" t="n">
        <v>0</v>
      </c>
      <c r="AH215" s="299" t="n">
        <v>0</v>
      </c>
      <c r="AI215" s="299" t="n">
        <v>0</v>
      </c>
      <c r="AK215" s="299" t="n">
        <v>0</v>
      </c>
      <c r="AL215" s="299" t="n">
        <v>0</v>
      </c>
      <c r="AM215" s="299" t="n">
        <v>0.37</v>
      </c>
      <c r="AN215" s="299" t="n">
        <v>0.025</v>
      </c>
      <c r="AO215" s="299" t="n">
        <v>0</v>
      </c>
      <c r="AP215" s="299" t="n">
        <v>-0.07</v>
      </c>
      <c r="AQ215" s="299" t="n">
        <v>-0.195</v>
      </c>
      <c r="AR215" s="299" t="n">
        <v>0</v>
      </c>
      <c r="AS215" s="299" t="n">
        <v>-0.37</v>
      </c>
      <c r="AT215" s="299" t="n">
        <v>0</v>
      </c>
      <c r="AU215" s="299" t="n">
        <v>0.43</v>
      </c>
      <c r="AV215" s="299" t="n">
        <v>0</v>
      </c>
      <c r="AW215" s="299" t="n">
        <v>-0.06</v>
      </c>
      <c r="AX215" s="299" t="n">
        <v>-0.06</v>
      </c>
      <c r="AY215" s="299" t="n">
        <v>0</v>
      </c>
      <c r="BA215" s="299" t="n">
        <v>0</v>
      </c>
      <c r="BB215" s="299" t="n">
        <v>0</v>
      </c>
      <c r="BD215" s="299" t="n">
        <v>-0.005</v>
      </c>
      <c r="BE215" s="299" t="n">
        <v>0</v>
      </c>
      <c r="BF215" s="299" t="n">
        <v>0</v>
      </c>
      <c r="BJ215" s="299" t="n">
        <v>0.335</v>
      </c>
      <c r="BK215" s="299" t="n">
        <v>0</v>
      </c>
      <c r="BL215" s="299" t="n">
        <v>-0.015</v>
      </c>
      <c r="BM215" s="299" t="n">
        <v>0.005</v>
      </c>
      <c r="BO215" s="299" t="n">
        <v>0</v>
      </c>
      <c r="BP215" s="299" t="n">
        <v>0</v>
      </c>
      <c r="BQ215" s="299" t="n">
        <v>0</v>
      </c>
      <c r="BR215" s="299" t="n">
        <v>0.035</v>
      </c>
      <c r="BS215" s="0"/>
      <c r="BT215" s="0" t="n">
        <v>0</v>
      </c>
      <c r="BU215" s="0" t="n">
        <v>0</v>
      </c>
      <c r="BV215" s="0" t="n">
        <v>0</v>
      </c>
    </row>
    <row r="216" customFormat="false" ht="12.75" hidden="false" customHeight="false" outlineLevel="0" collapsed="false">
      <c r="A216" s="301"/>
      <c r="B216" s="301" t="n">
        <v>4.463</v>
      </c>
      <c r="C216" s="308" t="n">
        <f aca="false">EOMONTH(C215,0)+1</f>
        <v>43647</v>
      </c>
      <c r="D216" s="0" t="n">
        <v>4.4775</v>
      </c>
      <c r="E216" s="301" t="n">
        <v>0.17</v>
      </c>
      <c r="F216" s="299" t="n">
        <v>0.0631214933052275</v>
      </c>
      <c r="G216" s="299"/>
      <c r="H216" s="299"/>
      <c r="I216" s="310"/>
      <c r="J216" s="310"/>
      <c r="K216" s="299"/>
      <c r="L216" s="299"/>
      <c r="M216" s="299"/>
      <c r="N216" s="299"/>
      <c r="O216" s="299"/>
      <c r="V216" s="299" t="n">
        <v>0.5</v>
      </c>
      <c r="W216" s="299" t="n">
        <v>0.15</v>
      </c>
      <c r="X216" s="299" t="n">
        <v>0.205</v>
      </c>
      <c r="Y216" s="299" t="n">
        <v>0</v>
      </c>
      <c r="Z216" s="299" t="n">
        <v>-0.0325</v>
      </c>
      <c r="AA216" s="299" t="n">
        <v>0.0265</v>
      </c>
      <c r="AB216" s="299" t="n">
        <v>0.0115</v>
      </c>
      <c r="AC216" s="299" t="n">
        <v>0</v>
      </c>
      <c r="AD216" s="299" t="n">
        <v>0</v>
      </c>
      <c r="AE216" s="299" t="n">
        <v>0</v>
      </c>
      <c r="AF216" s="299" t="n">
        <v>0</v>
      </c>
      <c r="AG216" s="299" t="n">
        <v>0</v>
      </c>
      <c r="AH216" s="299" t="n">
        <v>0</v>
      </c>
      <c r="AI216" s="299" t="n">
        <v>0</v>
      </c>
      <c r="AK216" s="299" t="n">
        <v>0</v>
      </c>
      <c r="AL216" s="299" t="n">
        <v>0</v>
      </c>
      <c r="AM216" s="299" t="n">
        <v>0.41</v>
      </c>
      <c r="AN216" s="299" t="n">
        <v>0.0275</v>
      </c>
      <c r="AO216" s="299" t="n">
        <v>0</v>
      </c>
      <c r="AP216" s="299" t="n">
        <v>-0.07</v>
      </c>
      <c r="AQ216" s="299" t="n">
        <v>-0.195</v>
      </c>
      <c r="AR216" s="299" t="n">
        <v>0</v>
      </c>
      <c r="AS216" s="299" t="n">
        <v>-0.37</v>
      </c>
      <c r="AT216" s="299" t="n">
        <v>0</v>
      </c>
      <c r="AU216" s="299" t="n">
        <v>0.43</v>
      </c>
      <c r="AV216" s="299" t="n">
        <v>0</v>
      </c>
      <c r="AW216" s="299" t="n">
        <v>-0.06</v>
      </c>
      <c r="AX216" s="299" t="n">
        <v>-0.06</v>
      </c>
      <c r="AY216" s="299" t="n">
        <v>0</v>
      </c>
      <c r="BA216" s="299" t="n">
        <v>0</v>
      </c>
      <c r="BB216" s="299" t="n">
        <v>0</v>
      </c>
      <c r="BD216" s="299" t="n">
        <v>-0.0025</v>
      </c>
      <c r="BE216" s="299" t="n">
        <v>0</v>
      </c>
      <c r="BF216" s="299" t="n">
        <v>0</v>
      </c>
      <c r="BJ216" s="299" t="n">
        <v>0.35</v>
      </c>
      <c r="BK216" s="299" t="n">
        <v>0</v>
      </c>
      <c r="BL216" s="299" t="n">
        <v>-0.01</v>
      </c>
      <c r="BM216" s="299" t="n">
        <v>0.005</v>
      </c>
      <c r="BO216" s="299" t="n">
        <v>0</v>
      </c>
      <c r="BP216" s="299" t="n">
        <v>0</v>
      </c>
      <c r="BQ216" s="299" t="n">
        <v>0</v>
      </c>
      <c r="BR216" s="299" t="n">
        <v>0.035</v>
      </c>
      <c r="BS216" s="0"/>
      <c r="BT216" s="0" t="n">
        <v>0</v>
      </c>
      <c r="BU216" s="0" t="n">
        <v>0</v>
      </c>
      <c r="BV216" s="0" t="n">
        <v>0</v>
      </c>
    </row>
    <row r="217" customFormat="false" ht="12.75" hidden="false" customHeight="false" outlineLevel="0" collapsed="false">
      <c r="A217" s="301"/>
      <c r="B217" s="301" t="n">
        <v>4.396</v>
      </c>
      <c r="C217" s="308" t="n">
        <f aca="false">EOMONTH(C216,0)+1</f>
        <v>43678</v>
      </c>
      <c r="D217" s="0" t="n">
        <v>4.5175</v>
      </c>
      <c r="E217" s="301" t="n">
        <v>0.17</v>
      </c>
      <c r="F217" s="301" t="n">
        <v>0.0631653215662884</v>
      </c>
      <c r="O217" s="299"/>
      <c r="V217" s="310" t="n">
        <v>0.5</v>
      </c>
      <c r="W217" s="310" t="n">
        <v>0.15</v>
      </c>
      <c r="X217" s="299" t="n">
        <v>0.205</v>
      </c>
      <c r="Y217" s="299" t="n">
        <v>0</v>
      </c>
      <c r="Z217" s="299" t="n">
        <v>-0.0325</v>
      </c>
      <c r="AA217" s="299" t="n">
        <v>0.0215</v>
      </c>
      <c r="AB217" s="299" t="n">
        <v>0.0065</v>
      </c>
      <c r="AC217" s="299" t="n">
        <v>0</v>
      </c>
      <c r="AD217" s="299" t="n">
        <v>0</v>
      </c>
      <c r="AE217" s="299" t="n">
        <v>0</v>
      </c>
      <c r="AF217" s="299" t="n">
        <v>0</v>
      </c>
      <c r="AG217" s="299" t="n">
        <v>0</v>
      </c>
      <c r="AH217" s="299" t="n">
        <v>0</v>
      </c>
      <c r="AI217" s="299" t="n">
        <v>0</v>
      </c>
      <c r="AK217" s="299" t="n">
        <v>0</v>
      </c>
      <c r="AL217" s="299" t="n">
        <v>0</v>
      </c>
      <c r="AM217" s="299" t="n">
        <v>0.41</v>
      </c>
      <c r="AN217" s="299" t="n">
        <v>0.03</v>
      </c>
      <c r="AO217" s="299" t="n">
        <v>0</v>
      </c>
      <c r="AP217" s="299" t="n">
        <v>-0.07</v>
      </c>
      <c r="AQ217" s="299" t="n">
        <v>-0.195</v>
      </c>
      <c r="AR217" s="299" t="n">
        <v>0</v>
      </c>
      <c r="AS217" s="299" t="n">
        <v>-0.37</v>
      </c>
      <c r="AT217" s="299" t="n">
        <v>0</v>
      </c>
      <c r="AU217" s="299" t="n">
        <v>0.43</v>
      </c>
      <c r="AV217" s="299" t="n">
        <v>0</v>
      </c>
      <c r="AW217" s="299" t="n">
        <v>-0.06</v>
      </c>
      <c r="AX217" s="299" t="n">
        <v>-0.06</v>
      </c>
      <c r="AY217" s="299" t="n">
        <v>0</v>
      </c>
      <c r="BA217" s="299" t="n">
        <v>0</v>
      </c>
      <c r="BB217" s="299" t="n">
        <v>0</v>
      </c>
      <c r="BD217" s="299" t="n">
        <v>0</v>
      </c>
      <c r="BE217" s="299" t="n">
        <v>0</v>
      </c>
      <c r="BF217" s="299" t="n">
        <v>0</v>
      </c>
      <c r="BJ217" s="299" t="n">
        <v>0.35</v>
      </c>
      <c r="BK217" s="299" t="n">
        <v>0</v>
      </c>
      <c r="BL217" s="299" t="n">
        <v>-0.01</v>
      </c>
      <c r="BM217" s="299" t="n">
        <v>0.005</v>
      </c>
      <c r="BO217" s="299" t="n">
        <v>0</v>
      </c>
      <c r="BP217" s="299" t="n">
        <v>0</v>
      </c>
      <c r="BQ217" s="299" t="n">
        <v>0</v>
      </c>
      <c r="BR217" s="299" t="n">
        <v>0.01</v>
      </c>
      <c r="BS217" s="0"/>
      <c r="BT217" s="0" t="n">
        <v>0</v>
      </c>
      <c r="BU217" s="0" t="n">
        <v>0</v>
      </c>
      <c r="BV217" s="0" t="n">
        <v>0</v>
      </c>
    </row>
    <row r="218" customFormat="false" ht="12.75" hidden="false" customHeight="false" outlineLevel="0" collapsed="false">
      <c r="A218" s="301"/>
      <c r="B218" s="301" t="n">
        <v>4.283</v>
      </c>
      <c r="C218" s="308" t="n">
        <f aca="false">EOMONTH(C217,0)+1</f>
        <v>43709</v>
      </c>
      <c r="D218" s="0" t="n">
        <v>4.5125</v>
      </c>
      <c r="E218" s="301" t="n">
        <v>0.17</v>
      </c>
      <c r="F218" s="301" t="n">
        <v>0.0632091498279856</v>
      </c>
      <c r="O218" s="299"/>
      <c r="V218" s="310" t="n">
        <v>0.5</v>
      </c>
      <c r="W218" s="310" t="n">
        <v>0.125</v>
      </c>
      <c r="X218" s="299" t="n">
        <v>0.145</v>
      </c>
      <c r="Y218" s="299" t="n">
        <v>0</v>
      </c>
      <c r="Z218" s="299" t="n">
        <v>-0.0375</v>
      </c>
      <c r="AA218" s="299" t="n">
        <v>0.0215</v>
      </c>
      <c r="AB218" s="299" t="n">
        <v>0.0065</v>
      </c>
      <c r="AC218" s="299" t="n">
        <v>0</v>
      </c>
      <c r="AD218" s="299" t="n">
        <v>0</v>
      </c>
      <c r="AE218" s="299" t="n">
        <v>0</v>
      </c>
      <c r="AF218" s="299" t="n">
        <v>0</v>
      </c>
      <c r="AG218" s="299" t="n">
        <v>0</v>
      </c>
      <c r="AH218" s="299" t="n">
        <v>0</v>
      </c>
      <c r="AI218" s="299" t="n">
        <v>0</v>
      </c>
      <c r="AK218" s="299" t="n">
        <v>0</v>
      </c>
      <c r="AL218" s="299" t="n">
        <v>0</v>
      </c>
      <c r="AM218" s="299" t="n">
        <v>0.36</v>
      </c>
      <c r="AN218" s="299" t="n">
        <v>0.0225</v>
      </c>
      <c r="AO218" s="299" t="n">
        <v>0</v>
      </c>
      <c r="AP218" s="299" t="n">
        <v>-0.07</v>
      </c>
      <c r="AQ218" s="299" t="n">
        <v>-0.195</v>
      </c>
      <c r="AR218" s="299" t="n">
        <v>0</v>
      </c>
      <c r="AS218" s="299" t="n">
        <v>-0.37</v>
      </c>
      <c r="AT218" s="299" t="n">
        <v>0</v>
      </c>
      <c r="AU218" s="299" t="n">
        <v>0.43</v>
      </c>
      <c r="AV218" s="299" t="n">
        <v>0</v>
      </c>
      <c r="AW218" s="299" t="n">
        <v>-0.06</v>
      </c>
      <c r="AX218" s="299" t="n">
        <v>-0.06</v>
      </c>
      <c r="AY218" s="299" t="n">
        <v>0</v>
      </c>
      <c r="BA218" s="299" t="n">
        <v>0</v>
      </c>
      <c r="BB218" s="299" t="n">
        <v>0</v>
      </c>
      <c r="BD218" s="299" t="n">
        <v>-0.0075</v>
      </c>
      <c r="BE218" s="299" t="n">
        <v>0</v>
      </c>
      <c r="BF218" s="299" t="n">
        <v>0</v>
      </c>
      <c r="BJ218" s="299" t="n">
        <v>0.315</v>
      </c>
      <c r="BK218" s="299" t="n">
        <v>0</v>
      </c>
      <c r="BL218" s="299" t="n">
        <v>-0.01</v>
      </c>
      <c r="BM218" s="299" t="n">
        <v>0.005</v>
      </c>
      <c r="BO218" s="299" t="n">
        <v>0</v>
      </c>
      <c r="BP218" s="299" t="n">
        <v>0</v>
      </c>
      <c r="BQ218" s="299" t="n">
        <v>0</v>
      </c>
      <c r="BR218" s="299" t="n">
        <v>0.01</v>
      </c>
      <c r="BS218" s="0"/>
      <c r="BT218" s="0" t="n">
        <v>0</v>
      </c>
      <c r="BU218" s="0" t="n">
        <v>0</v>
      </c>
      <c r="BV218" s="0" t="n">
        <v>0</v>
      </c>
    </row>
    <row r="219" customFormat="false" ht="12.75" hidden="false" customHeight="false" outlineLevel="0" collapsed="false">
      <c r="A219" s="301"/>
      <c r="B219" s="301" t="n">
        <v>4.173</v>
      </c>
      <c r="C219" s="308" t="n">
        <f aca="false">EOMONTH(C218,0)+1</f>
        <v>43739</v>
      </c>
      <c r="D219" s="0" t="n">
        <v>4.5375</v>
      </c>
      <c r="E219" s="301" t="n">
        <v>0.17</v>
      </c>
      <c r="F219" s="301" t="n">
        <v>0.0632515642753972</v>
      </c>
      <c r="O219" s="299"/>
      <c r="V219" s="310" t="n">
        <v>0.5</v>
      </c>
      <c r="W219" s="310" t="n">
        <v>0.145</v>
      </c>
      <c r="X219" s="299" t="n">
        <v>0.175</v>
      </c>
      <c r="Y219" s="299" t="n">
        <v>0</v>
      </c>
      <c r="Z219" s="299" t="n">
        <v>-0.0375</v>
      </c>
      <c r="AA219" s="299" t="n">
        <v>0.0165</v>
      </c>
      <c r="AB219" s="299" t="n">
        <v>0.0015</v>
      </c>
      <c r="AC219" s="299" t="n">
        <v>0</v>
      </c>
      <c r="AD219" s="299" t="n">
        <v>0</v>
      </c>
      <c r="AE219" s="299" t="n">
        <v>0</v>
      </c>
      <c r="AF219" s="299" t="n">
        <v>0</v>
      </c>
      <c r="AG219" s="299" t="n">
        <v>0</v>
      </c>
      <c r="AH219" s="299" t="n">
        <v>0</v>
      </c>
      <c r="AI219" s="299" t="n">
        <v>0</v>
      </c>
      <c r="AK219" s="299" t="n">
        <v>0</v>
      </c>
      <c r="AL219" s="299" t="n">
        <v>0</v>
      </c>
      <c r="AM219" s="299" t="n">
        <v>0.4</v>
      </c>
      <c r="AN219" s="299" t="n">
        <v>0.0125</v>
      </c>
      <c r="AO219" s="299" t="n">
        <v>0</v>
      </c>
      <c r="AP219" s="299" t="n">
        <v>-0.07</v>
      </c>
      <c r="AQ219" s="299" t="n">
        <v>-0.195</v>
      </c>
      <c r="AR219" s="299" t="n">
        <v>0</v>
      </c>
      <c r="AS219" s="299" t="n">
        <v>-0.37</v>
      </c>
      <c r="AT219" s="299" t="n">
        <v>0</v>
      </c>
      <c r="AU219" s="299" t="n">
        <v>0.43</v>
      </c>
      <c r="AV219" s="299" t="n">
        <v>0</v>
      </c>
      <c r="AW219" s="299" t="n">
        <v>-0.06</v>
      </c>
      <c r="AX219" s="299" t="n">
        <v>-0.06</v>
      </c>
      <c r="AY219" s="299" t="n">
        <v>0</v>
      </c>
      <c r="BA219" s="299" t="n">
        <v>0</v>
      </c>
      <c r="BB219" s="299" t="n">
        <v>0</v>
      </c>
      <c r="BD219" s="299" t="n">
        <v>-0.0175</v>
      </c>
      <c r="BE219" s="299" t="n">
        <v>0</v>
      </c>
      <c r="BF219" s="299" t="n">
        <v>0</v>
      </c>
      <c r="BJ219" s="299" t="n">
        <v>0.36</v>
      </c>
      <c r="BK219" s="299" t="n">
        <v>0</v>
      </c>
      <c r="BL219" s="299" t="n">
        <v>-0.015</v>
      </c>
      <c r="BM219" s="299" t="n">
        <v>0.005</v>
      </c>
      <c r="BO219" s="299" t="n">
        <v>0</v>
      </c>
      <c r="BP219" s="299" t="n">
        <v>0</v>
      </c>
      <c r="BQ219" s="299" t="n">
        <v>0</v>
      </c>
      <c r="BR219" s="299" t="n">
        <v>0.01</v>
      </c>
      <c r="BS219" s="0"/>
      <c r="BT219" s="0" t="n">
        <v>0</v>
      </c>
      <c r="BU219" s="0" t="n">
        <v>0</v>
      </c>
      <c r="BV219" s="0" t="n">
        <v>0</v>
      </c>
    </row>
    <row r="220" customFormat="false" ht="12.75" hidden="false" customHeight="false" outlineLevel="0" collapsed="false">
      <c r="A220" s="301"/>
      <c r="B220" s="301" t="n">
        <v>4.16</v>
      </c>
      <c r="C220" s="308" t="n">
        <f aca="false">EOMONTH(C219,0)+1</f>
        <v>43770</v>
      </c>
      <c r="D220" s="0" t="n">
        <v>4.6895</v>
      </c>
      <c r="E220" s="301" t="n">
        <v>0.17</v>
      </c>
      <c r="F220" s="301" t="n">
        <v>0.0632953925383486</v>
      </c>
      <c r="O220" s="299"/>
      <c r="V220" s="310" t="n">
        <v>0.5</v>
      </c>
      <c r="W220" s="310" t="n">
        <v>0.195</v>
      </c>
      <c r="X220" s="299" t="n">
        <v>0.21</v>
      </c>
      <c r="Y220" s="299" t="n">
        <v>0</v>
      </c>
      <c r="Z220" s="299" t="n">
        <v>-0.0185</v>
      </c>
      <c r="AA220" s="299" t="n">
        <v>0.0175</v>
      </c>
      <c r="AB220" s="299" t="n">
        <v>0.0025</v>
      </c>
      <c r="AC220" s="299" t="n">
        <v>0</v>
      </c>
      <c r="AD220" s="299" t="n">
        <v>0</v>
      </c>
      <c r="AE220" s="299" t="n">
        <v>0</v>
      </c>
      <c r="AF220" s="299" t="n">
        <v>0</v>
      </c>
      <c r="AG220" s="299" t="n">
        <v>0</v>
      </c>
      <c r="AH220" s="299" t="n">
        <v>0</v>
      </c>
      <c r="AI220" s="299" t="n">
        <v>0</v>
      </c>
      <c r="AK220" s="299" t="n">
        <v>0</v>
      </c>
      <c r="AL220" s="299" t="n">
        <v>0</v>
      </c>
      <c r="AM220" s="299" t="n">
        <v>0.65</v>
      </c>
      <c r="AN220" s="299" t="n">
        <v>-0.0225</v>
      </c>
      <c r="AO220" s="299" t="n">
        <v>0</v>
      </c>
      <c r="AP220" s="299" t="n">
        <v>-0.07</v>
      </c>
      <c r="AQ220" s="299" t="n">
        <v>-0.13</v>
      </c>
      <c r="AR220" s="299" t="n">
        <v>0</v>
      </c>
      <c r="AS220" s="299" t="n">
        <v>-0.26</v>
      </c>
      <c r="AT220" s="299" t="n">
        <v>0</v>
      </c>
      <c r="AU220" s="299" t="n">
        <v>0.35</v>
      </c>
      <c r="AV220" s="299" t="n">
        <v>0</v>
      </c>
      <c r="AW220" s="299" t="n">
        <v>-0.06</v>
      </c>
      <c r="AX220" s="299" t="n">
        <v>-0.06</v>
      </c>
      <c r="AY220" s="299" t="n">
        <v>0</v>
      </c>
      <c r="BA220" s="299" t="n">
        <v>0</v>
      </c>
      <c r="BB220" s="299" t="n">
        <v>0</v>
      </c>
      <c r="BD220" s="299" t="n">
        <v>-0.0525</v>
      </c>
      <c r="BE220" s="299" t="n">
        <v>0</v>
      </c>
      <c r="BF220" s="299" t="n">
        <v>0</v>
      </c>
      <c r="BJ220" s="299" t="n">
        <v>0.46</v>
      </c>
      <c r="BK220" s="299" t="n">
        <v>0</v>
      </c>
      <c r="BL220" s="299" t="n">
        <v>-0.02</v>
      </c>
      <c r="BM220" s="299" t="n">
        <v>0.005</v>
      </c>
      <c r="BO220" s="299" t="n">
        <v>0</v>
      </c>
      <c r="BP220" s="299" t="n">
        <v>0</v>
      </c>
      <c r="BQ220" s="299" t="n">
        <v>0</v>
      </c>
      <c r="BR220" s="299" t="n">
        <v>0.055</v>
      </c>
      <c r="BS220" s="0"/>
      <c r="BT220" s="0" t="n">
        <v>0</v>
      </c>
      <c r="BU220" s="0" t="n">
        <v>0</v>
      </c>
      <c r="BV220" s="0" t="n">
        <v>0</v>
      </c>
    </row>
    <row r="221" customFormat="false" ht="12.75" hidden="false" customHeight="false" outlineLevel="0" collapsed="false">
      <c r="A221" s="301"/>
      <c r="B221" s="301" t="n">
        <v>4.155</v>
      </c>
      <c r="C221" s="308" t="n">
        <f aca="false">EOMONTH(C220,0)+1</f>
        <v>43800</v>
      </c>
      <c r="D221" s="0" t="n">
        <v>4.8325</v>
      </c>
      <c r="E221" s="301" t="n">
        <v>0.17</v>
      </c>
      <c r="F221" s="301" t="n">
        <v>0.0633378069869734</v>
      </c>
      <c r="O221" s="299"/>
      <c r="V221" s="310" t="n">
        <v>0.5</v>
      </c>
      <c r="W221" s="310" t="n">
        <v>0.215</v>
      </c>
      <c r="X221" s="299" t="n">
        <v>0.29</v>
      </c>
      <c r="Y221" s="299" t="n">
        <v>0</v>
      </c>
      <c r="Z221" s="299" t="n">
        <v>-0.0185</v>
      </c>
      <c r="AA221" s="299" t="n">
        <v>0.0175</v>
      </c>
      <c r="AB221" s="299" t="n">
        <v>0.0025</v>
      </c>
      <c r="AC221" s="299" t="n">
        <v>0</v>
      </c>
      <c r="AD221" s="299" t="n">
        <v>0</v>
      </c>
      <c r="AE221" s="299" t="n">
        <v>0</v>
      </c>
      <c r="AF221" s="299" t="n">
        <v>0</v>
      </c>
      <c r="AG221" s="299" t="n">
        <v>0</v>
      </c>
      <c r="AH221" s="299" t="n">
        <v>0</v>
      </c>
      <c r="AI221" s="299" t="n">
        <v>0</v>
      </c>
      <c r="AK221" s="299" t="n">
        <v>0</v>
      </c>
      <c r="AL221" s="299" t="n">
        <v>0</v>
      </c>
      <c r="AM221" s="299" t="n">
        <v>0.98</v>
      </c>
      <c r="AN221" s="299" t="n">
        <v>-0.045</v>
      </c>
      <c r="AO221" s="299" t="n">
        <v>0</v>
      </c>
      <c r="AP221" s="299" t="n">
        <v>-0.07</v>
      </c>
      <c r="AQ221" s="299" t="n">
        <v>-0.13</v>
      </c>
      <c r="AR221" s="299" t="n">
        <v>0</v>
      </c>
      <c r="AS221" s="299" t="n">
        <v>-0.26</v>
      </c>
      <c r="AT221" s="299" t="n">
        <v>0</v>
      </c>
      <c r="AU221" s="299" t="n">
        <v>0.35</v>
      </c>
      <c r="AV221" s="299" t="n">
        <v>0</v>
      </c>
      <c r="AW221" s="299" t="n">
        <v>-0.06</v>
      </c>
      <c r="AX221" s="299" t="n">
        <v>-0.06</v>
      </c>
      <c r="AY221" s="299" t="n">
        <v>0</v>
      </c>
      <c r="BA221" s="299" t="n">
        <v>0</v>
      </c>
      <c r="BB221" s="299" t="n">
        <v>0</v>
      </c>
      <c r="BD221" s="299" t="n">
        <v>-0.075</v>
      </c>
      <c r="BE221" s="299" t="n">
        <v>0</v>
      </c>
      <c r="BF221" s="299" t="n">
        <v>0</v>
      </c>
      <c r="BJ221" s="299" t="n">
        <v>0.77</v>
      </c>
      <c r="BK221" s="299" t="n">
        <v>0</v>
      </c>
      <c r="BL221" s="299" t="n">
        <v>-0.025</v>
      </c>
      <c r="BM221" s="299" t="n">
        <v>0.005</v>
      </c>
      <c r="BO221" s="299" t="n">
        <v>0</v>
      </c>
      <c r="BP221" s="299" t="n">
        <v>0</v>
      </c>
      <c r="BQ221" s="299" t="n">
        <v>0</v>
      </c>
      <c r="BR221" s="299" t="n">
        <v>0.25</v>
      </c>
      <c r="BS221" s="0"/>
      <c r="BT221" s="0" t="n">
        <v>0</v>
      </c>
      <c r="BU221" s="0" t="n">
        <v>0</v>
      </c>
      <c r="BV221" s="0" t="n">
        <v>0</v>
      </c>
    </row>
    <row r="222" customFormat="false" ht="12.75" hidden="false" customHeight="false" outlineLevel="0" collapsed="false">
      <c r="A222" s="301"/>
      <c r="B222" s="301" t="n">
        <v>4.22</v>
      </c>
      <c r="C222" s="308" t="n">
        <f aca="false">EOMONTH(C221,0)+1</f>
        <v>43831</v>
      </c>
      <c r="D222" s="0" t="n">
        <v>4.8925</v>
      </c>
      <c r="E222" s="301" t="n">
        <v>0.17</v>
      </c>
      <c r="F222" s="301" t="n">
        <v>0.0633816352511785</v>
      </c>
      <c r="O222" s="299"/>
      <c r="V222" s="310" t="n">
        <v>0.5</v>
      </c>
      <c r="W222" s="310" t="n">
        <v>0.235</v>
      </c>
      <c r="X222" s="299" t="n">
        <v>0.34</v>
      </c>
      <c r="Y222" s="299" t="n">
        <v>0</v>
      </c>
      <c r="Z222" s="299" t="n">
        <v>-0.0185</v>
      </c>
      <c r="AA222" s="299" t="n">
        <v>0.0175</v>
      </c>
      <c r="AB222" s="299" t="n">
        <v>0.0025</v>
      </c>
      <c r="AC222" s="299" t="n">
        <v>0</v>
      </c>
      <c r="AD222" s="299" t="n">
        <v>0</v>
      </c>
      <c r="AE222" s="299" t="n">
        <v>0</v>
      </c>
      <c r="AF222" s="299" t="n">
        <v>0</v>
      </c>
      <c r="AG222" s="299" t="n">
        <v>0</v>
      </c>
      <c r="AH222" s="299" t="n">
        <v>0</v>
      </c>
      <c r="AI222" s="299" t="n">
        <v>0</v>
      </c>
      <c r="AK222" s="299" t="n">
        <v>0</v>
      </c>
      <c r="AL222" s="299" t="n">
        <v>0</v>
      </c>
      <c r="AM222" s="299" t="n">
        <v>1.6</v>
      </c>
      <c r="AN222" s="299" t="n">
        <v>-0.0475</v>
      </c>
      <c r="AO222" s="299" t="n">
        <v>0</v>
      </c>
      <c r="AP222" s="299" t="n">
        <v>-0.07</v>
      </c>
      <c r="AQ222" s="299" t="n">
        <v>-0.13</v>
      </c>
      <c r="AR222" s="299" t="n">
        <v>0</v>
      </c>
      <c r="AS222" s="299" t="n">
        <v>-0.26</v>
      </c>
      <c r="AT222" s="299" t="n">
        <v>0</v>
      </c>
      <c r="AU222" s="299" t="n">
        <v>0.35</v>
      </c>
      <c r="AV222" s="299" t="n">
        <v>0</v>
      </c>
      <c r="AW222" s="299" t="n">
        <v>-0.06</v>
      </c>
      <c r="AX222" s="299" t="n">
        <v>-0.06</v>
      </c>
      <c r="AY222" s="299" t="n">
        <v>0</v>
      </c>
      <c r="BA222" s="299" t="n">
        <v>0</v>
      </c>
      <c r="BB222" s="299" t="n">
        <v>0</v>
      </c>
      <c r="BD222" s="299" t="n">
        <v>-0.0775</v>
      </c>
      <c r="BE222" s="299" t="n">
        <v>0</v>
      </c>
      <c r="BF222" s="299" t="n">
        <v>0</v>
      </c>
      <c r="BJ222" s="299" t="n">
        <v>1.04</v>
      </c>
      <c r="BK222" s="299" t="n">
        <v>0</v>
      </c>
      <c r="BL222" s="299" t="n">
        <v>-0.025</v>
      </c>
      <c r="BM222" s="299" t="n">
        <v>0.005</v>
      </c>
      <c r="BO222" s="299" t="n">
        <v>0</v>
      </c>
      <c r="BP222" s="299" t="n">
        <v>0</v>
      </c>
      <c r="BQ222" s="299" t="n">
        <v>0</v>
      </c>
      <c r="BR222" s="299" t="n">
        <v>0.45</v>
      </c>
      <c r="BS222" s="0"/>
      <c r="BT222" s="0" t="n">
        <v>0</v>
      </c>
      <c r="BU222" s="0" t="n">
        <v>0</v>
      </c>
      <c r="BV222" s="0" t="n">
        <v>0</v>
      </c>
    </row>
    <row r="223" customFormat="false" ht="12.75" hidden="false" customHeight="false" outlineLevel="0" collapsed="false">
      <c r="A223" s="301"/>
      <c r="B223" s="301" t="n">
        <v>4.215</v>
      </c>
      <c r="C223" s="308" t="n">
        <f aca="false">EOMONTH(C222,0)+1</f>
        <v>43862</v>
      </c>
      <c r="D223" s="0" t="n">
        <v>4.8075</v>
      </c>
      <c r="E223" s="301" t="n">
        <v>0.17</v>
      </c>
      <c r="F223" s="301" t="n">
        <v>0.0634254635160216</v>
      </c>
      <c r="O223" s="299"/>
      <c r="V223" s="310" t="n">
        <v>0.5</v>
      </c>
      <c r="W223" s="310" t="n">
        <v>0.235</v>
      </c>
      <c r="X223" s="299" t="n">
        <v>0.34</v>
      </c>
      <c r="Y223" s="299" t="n">
        <v>0</v>
      </c>
      <c r="Z223" s="299" t="n">
        <v>-0.0185</v>
      </c>
      <c r="AA223" s="299" t="n">
        <v>0.0175</v>
      </c>
      <c r="AB223" s="299" t="n">
        <v>0.0025</v>
      </c>
      <c r="AC223" s="299" t="n">
        <v>0</v>
      </c>
      <c r="AD223" s="299" t="n">
        <v>0</v>
      </c>
      <c r="AE223" s="299" t="n">
        <v>0</v>
      </c>
      <c r="AF223" s="299" t="n">
        <v>0</v>
      </c>
      <c r="AG223" s="299" t="n">
        <v>0</v>
      </c>
      <c r="AH223" s="299" t="n">
        <v>0</v>
      </c>
      <c r="AI223" s="299" t="n">
        <v>0</v>
      </c>
      <c r="AK223" s="299" t="n">
        <v>0</v>
      </c>
      <c r="AL223" s="299" t="n">
        <v>0</v>
      </c>
      <c r="AM223" s="299" t="n">
        <v>1.6</v>
      </c>
      <c r="AN223" s="299" t="n">
        <v>-0.03</v>
      </c>
      <c r="AO223" s="299" t="n">
        <v>0</v>
      </c>
      <c r="AP223" s="299" t="n">
        <v>-0.07</v>
      </c>
      <c r="AQ223" s="299" t="n">
        <v>-0.13</v>
      </c>
      <c r="AR223" s="299" t="n">
        <v>0</v>
      </c>
      <c r="AS223" s="299" t="n">
        <v>-0.26</v>
      </c>
      <c r="AT223" s="299" t="n">
        <v>0</v>
      </c>
      <c r="AU223" s="299" t="n">
        <v>0.35</v>
      </c>
      <c r="AV223" s="299" t="n">
        <v>0</v>
      </c>
      <c r="AW223" s="299" t="n">
        <v>-0.06</v>
      </c>
      <c r="AX223" s="299" t="n">
        <v>-0.06</v>
      </c>
      <c r="AY223" s="299" t="n">
        <v>0</v>
      </c>
      <c r="BA223" s="299" t="n">
        <v>0</v>
      </c>
      <c r="BB223" s="299" t="n">
        <v>0</v>
      </c>
      <c r="BD223" s="299" t="n">
        <v>-0.06</v>
      </c>
      <c r="BE223" s="299" t="n">
        <v>0</v>
      </c>
      <c r="BF223" s="299" t="n">
        <v>0</v>
      </c>
      <c r="BJ223" s="299" t="n">
        <v>1.04</v>
      </c>
      <c r="BK223" s="299" t="n">
        <v>0</v>
      </c>
      <c r="BL223" s="299" t="n">
        <v>-0.025</v>
      </c>
      <c r="BM223" s="299" t="n">
        <v>0.005</v>
      </c>
      <c r="BO223" s="299" t="n">
        <v>0</v>
      </c>
      <c r="BP223" s="299" t="n">
        <v>0</v>
      </c>
      <c r="BQ223" s="299" t="n">
        <v>0</v>
      </c>
      <c r="BR223" s="299" t="n">
        <v>0.45</v>
      </c>
      <c r="BS223" s="0"/>
      <c r="BT223" s="0" t="n">
        <v>0</v>
      </c>
      <c r="BU223" s="0" t="n">
        <v>0</v>
      </c>
      <c r="BV223" s="0" t="n">
        <v>0</v>
      </c>
    </row>
    <row r="224" customFormat="false" ht="12.75" hidden="false" customHeight="false" outlineLevel="0" collapsed="false">
      <c r="A224" s="301"/>
      <c r="B224" s="301" t="n">
        <v>4.19</v>
      </c>
      <c r="C224" s="308" t="n">
        <f aca="false">EOMONTH(C223,0)+1</f>
        <v>43891</v>
      </c>
      <c r="D224" s="0" t="n">
        <v>4.6775</v>
      </c>
      <c r="E224" s="301" t="n">
        <v>0.17</v>
      </c>
      <c r="F224" s="301" t="n">
        <v>0.0634664641514515</v>
      </c>
      <c r="O224" s="299"/>
      <c r="V224" s="310" t="n">
        <v>0.5</v>
      </c>
      <c r="W224" s="310" t="n">
        <v>0.195</v>
      </c>
      <c r="X224" s="299" t="n">
        <v>0.29</v>
      </c>
      <c r="Y224" s="299" t="n">
        <v>0</v>
      </c>
      <c r="Z224" s="299" t="n">
        <v>-0.0185</v>
      </c>
      <c r="AA224" s="299" t="n">
        <v>0.025</v>
      </c>
      <c r="AB224" s="299" t="n">
        <v>0.01</v>
      </c>
      <c r="AC224" s="299" t="n">
        <v>0</v>
      </c>
      <c r="AD224" s="299" t="n">
        <v>0</v>
      </c>
      <c r="AE224" s="299" t="n">
        <v>0</v>
      </c>
      <c r="AF224" s="299" t="n">
        <v>0</v>
      </c>
      <c r="AG224" s="299" t="n">
        <v>0</v>
      </c>
      <c r="AH224" s="299" t="n">
        <v>0</v>
      </c>
      <c r="AI224" s="299" t="n">
        <v>0</v>
      </c>
      <c r="AK224" s="299" t="n">
        <v>0</v>
      </c>
      <c r="AL224" s="299" t="n">
        <v>0</v>
      </c>
      <c r="AM224" s="299" t="n">
        <v>0.64</v>
      </c>
      <c r="AN224" s="299" t="n">
        <v>-0.0175</v>
      </c>
      <c r="AO224" s="299" t="n">
        <v>0</v>
      </c>
      <c r="AP224" s="299" t="n">
        <v>-0.07</v>
      </c>
      <c r="AQ224" s="299" t="n">
        <v>-0.13</v>
      </c>
      <c r="AR224" s="299" t="n">
        <v>0</v>
      </c>
      <c r="AS224" s="299" t="n">
        <v>-0.26</v>
      </c>
      <c r="AT224" s="299" t="n">
        <v>0</v>
      </c>
      <c r="AU224" s="299" t="n">
        <v>0.35</v>
      </c>
      <c r="AV224" s="299" t="n">
        <v>0</v>
      </c>
      <c r="AW224" s="299" t="n">
        <v>-0.06</v>
      </c>
      <c r="AX224" s="299" t="n">
        <v>-0.06</v>
      </c>
      <c r="AY224" s="299" t="n">
        <v>0</v>
      </c>
      <c r="BA224" s="299" t="n">
        <v>0</v>
      </c>
      <c r="BB224" s="299" t="n">
        <v>0</v>
      </c>
      <c r="BD224" s="299" t="n">
        <v>-0.0475</v>
      </c>
      <c r="BE224" s="299" t="n">
        <v>0</v>
      </c>
      <c r="BF224" s="299" t="n">
        <v>0</v>
      </c>
      <c r="BJ224" s="299" t="n">
        <v>0.54</v>
      </c>
      <c r="BK224" s="299" t="n">
        <v>0</v>
      </c>
      <c r="BL224" s="299" t="n">
        <v>-0.02</v>
      </c>
      <c r="BM224" s="299" t="n">
        <v>0.005</v>
      </c>
      <c r="BO224" s="299" t="n">
        <v>0</v>
      </c>
      <c r="BP224" s="299" t="n">
        <v>0</v>
      </c>
      <c r="BQ224" s="299" t="n">
        <v>0</v>
      </c>
      <c r="BR224" s="299" t="n">
        <v>0.1</v>
      </c>
      <c r="BS224" s="0"/>
      <c r="BT224" s="0" t="n">
        <v>0</v>
      </c>
      <c r="BU224" s="0" t="n">
        <v>0</v>
      </c>
      <c r="BV224" s="0" t="n">
        <v>0</v>
      </c>
    </row>
    <row r="225" customFormat="false" ht="12.75" hidden="false" customHeight="false" outlineLevel="0" collapsed="false">
      <c r="A225" s="301"/>
      <c r="B225" s="301" t="n">
        <v>4.193</v>
      </c>
      <c r="C225" s="308" t="n">
        <f aca="false">EOMONTH(C224,0)+1</f>
        <v>43922</v>
      </c>
      <c r="D225" s="0" t="n">
        <v>4.4925</v>
      </c>
      <c r="E225" s="301" t="n">
        <v>0.17</v>
      </c>
      <c r="F225" s="301" t="n">
        <v>0.063510292417527</v>
      </c>
      <c r="O225" s="299"/>
      <c r="V225" s="310" t="n">
        <v>0.5</v>
      </c>
      <c r="W225" s="310" t="n">
        <v>0.145</v>
      </c>
      <c r="X225" s="299" t="n">
        <v>0.195</v>
      </c>
      <c r="Y225" s="299" t="n">
        <v>0</v>
      </c>
      <c r="Z225" s="299" t="n">
        <v>-0.0335</v>
      </c>
      <c r="AA225" s="299" t="n">
        <v>0.025</v>
      </c>
      <c r="AB225" s="299" t="n">
        <v>0.01</v>
      </c>
      <c r="AC225" s="299" t="n">
        <v>0</v>
      </c>
      <c r="AD225" s="299" t="n">
        <v>0</v>
      </c>
      <c r="AE225" s="299" t="n">
        <v>0</v>
      </c>
      <c r="AF225" s="299" t="n">
        <v>0</v>
      </c>
      <c r="AG225" s="299" t="n">
        <v>0</v>
      </c>
      <c r="AH225" s="299" t="n">
        <v>0</v>
      </c>
      <c r="AI225" s="299" t="n">
        <v>0</v>
      </c>
      <c r="AK225" s="299" t="n">
        <v>0</v>
      </c>
      <c r="AL225" s="299" t="n">
        <v>0</v>
      </c>
      <c r="AM225" s="299" t="n">
        <v>0.38</v>
      </c>
      <c r="AN225" s="299" t="n">
        <v>0.02</v>
      </c>
      <c r="AO225" s="299" t="n">
        <v>0</v>
      </c>
      <c r="AP225" s="299" t="n">
        <v>-0.07</v>
      </c>
      <c r="AQ225" s="299" t="n">
        <v>-0.195</v>
      </c>
      <c r="AR225" s="299" t="n">
        <v>0</v>
      </c>
      <c r="AS225" s="299" t="n">
        <v>-0.37</v>
      </c>
      <c r="AT225" s="299" t="n">
        <v>0</v>
      </c>
      <c r="AU225" s="299" t="n">
        <v>0.43</v>
      </c>
      <c r="AV225" s="299" t="n">
        <v>0</v>
      </c>
      <c r="AW225" s="299" t="n">
        <v>-0.06</v>
      </c>
      <c r="AX225" s="299" t="n">
        <v>-0.06</v>
      </c>
      <c r="AY225" s="299" t="n">
        <v>0</v>
      </c>
      <c r="BA225" s="299" t="n">
        <v>0</v>
      </c>
      <c r="BB225" s="299" t="n">
        <v>0</v>
      </c>
      <c r="BD225" s="299" t="n">
        <v>-0.01</v>
      </c>
      <c r="BE225" s="299" t="n">
        <v>0</v>
      </c>
      <c r="BF225" s="299" t="n">
        <v>0</v>
      </c>
      <c r="BJ225" s="299" t="n">
        <v>0.36</v>
      </c>
      <c r="BK225" s="299" t="n">
        <v>0</v>
      </c>
      <c r="BL225" s="299" t="n">
        <v>-0.015</v>
      </c>
      <c r="BM225" s="299" t="n">
        <v>0.005</v>
      </c>
      <c r="BO225" s="299" t="n">
        <v>0</v>
      </c>
      <c r="BP225" s="299" t="n">
        <v>0</v>
      </c>
      <c r="BQ225" s="299" t="n">
        <v>0</v>
      </c>
      <c r="BR225" s="299" t="n">
        <v>0.02</v>
      </c>
      <c r="BS225" s="0"/>
      <c r="BT225" s="0" t="n">
        <v>0</v>
      </c>
      <c r="BU225" s="0" t="n">
        <v>0</v>
      </c>
      <c r="BV225" s="0" t="n">
        <v>0</v>
      </c>
    </row>
    <row r="226" customFormat="false" ht="12.75" hidden="false" customHeight="false" outlineLevel="0" collapsed="false">
      <c r="A226" s="301"/>
      <c r="B226" s="301" t="n">
        <v>4.23</v>
      </c>
      <c r="C226" s="308" t="n">
        <f aca="false">EOMONTH(C225,0)+1</f>
        <v>43952</v>
      </c>
      <c r="D226" s="0" t="n">
        <v>4.4875</v>
      </c>
      <c r="E226" s="301" t="n">
        <v>0.17</v>
      </c>
      <c r="F226" s="301" t="n">
        <v>0.0635527068691752</v>
      </c>
      <c r="O226" s="299"/>
      <c r="V226" s="310" t="n">
        <v>0.5</v>
      </c>
      <c r="W226" s="310" t="n">
        <v>0.125</v>
      </c>
      <c r="X226" s="299" t="n">
        <v>0.135</v>
      </c>
      <c r="Y226" s="299" t="n">
        <v>0</v>
      </c>
      <c r="Z226" s="299" t="n">
        <v>-0.0335</v>
      </c>
      <c r="AA226" s="299" t="n">
        <v>0.0275</v>
      </c>
      <c r="AB226" s="299" t="n">
        <v>0.0125</v>
      </c>
      <c r="AC226" s="299" t="n">
        <v>0</v>
      </c>
      <c r="AD226" s="299" t="n">
        <v>0</v>
      </c>
      <c r="AE226" s="299" t="n">
        <v>0</v>
      </c>
      <c r="AF226" s="299" t="n">
        <v>0</v>
      </c>
      <c r="AG226" s="299" t="n">
        <v>0</v>
      </c>
      <c r="AH226" s="299" t="n">
        <v>0</v>
      </c>
      <c r="AI226" s="299" t="n">
        <v>0</v>
      </c>
      <c r="AK226" s="299" t="n">
        <v>0</v>
      </c>
      <c r="AL226" s="299" t="n">
        <v>0</v>
      </c>
      <c r="AM226" s="299" t="n">
        <v>0.33</v>
      </c>
      <c r="AN226" s="299" t="n">
        <v>0.02</v>
      </c>
      <c r="AO226" s="299" t="n">
        <v>0</v>
      </c>
      <c r="AP226" s="299" t="n">
        <v>-0.07</v>
      </c>
      <c r="AQ226" s="299" t="n">
        <v>-0.195</v>
      </c>
      <c r="AR226" s="299" t="n">
        <v>0</v>
      </c>
      <c r="AS226" s="299" t="n">
        <v>-0.37</v>
      </c>
      <c r="AT226" s="299" t="n">
        <v>0</v>
      </c>
      <c r="AU226" s="299" t="n">
        <v>0.43</v>
      </c>
      <c r="AV226" s="299" t="n">
        <v>0</v>
      </c>
      <c r="AW226" s="299" t="n">
        <v>-0.06</v>
      </c>
      <c r="AX226" s="299" t="n">
        <v>-0.06</v>
      </c>
      <c r="AY226" s="299" t="n">
        <v>0</v>
      </c>
      <c r="BA226" s="299" t="n">
        <v>0</v>
      </c>
      <c r="BB226" s="299" t="n">
        <v>0</v>
      </c>
      <c r="BD226" s="299" t="n">
        <v>-0.01</v>
      </c>
      <c r="BE226" s="299" t="n">
        <v>0</v>
      </c>
      <c r="BF226" s="299" t="n">
        <v>0</v>
      </c>
      <c r="BJ226" s="299" t="n">
        <v>0.325</v>
      </c>
      <c r="BK226" s="299" t="n">
        <v>0</v>
      </c>
      <c r="BL226" s="299" t="n">
        <v>-0.015</v>
      </c>
      <c r="BM226" s="299" t="n">
        <v>0.005</v>
      </c>
      <c r="BO226" s="299" t="n">
        <v>0</v>
      </c>
      <c r="BP226" s="299" t="n">
        <v>0</v>
      </c>
      <c r="BQ226" s="299" t="n">
        <v>0</v>
      </c>
      <c r="BR226" s="299" t="n">
        <v>0.02</v>
      </c>
      <c r="BS226" s="0"/>
      <c r="BT226" s="0" t="n">
        <v>0</v>
      </c>
      <c r="BU226" s="0" t="n">
        <v>0</v>
      </c>
      <c r="BV226" s="0" t="n">
        <v>0</v>
      </c>
    </row>
    <row r="227" customFormat="false" ht="12.75" hidden="false" customHeight="false" outlineLevel="0" collapsed="false">
      <c r="A227" s="301"/>
      <c r="B227" s="301" t="n">
        <v>4.294</v>
      </c>
      <c r="C227" s="308" t="n">
        <f aca="false">EOMONTH(C226,0)+1</f>
        <v>43983</v>
      </c>
      <c r="D227" s="0" t="n">
        <v>4.5225</v>
      </c>
      <c r="E227" s="301" t="n">
        <v>0.17</v>
      </c>
      <c r="F227" s="301" t="n">
        <v>0.0635965351365049</v>
      </c>
      <c r="O227" s="299"/>
      <c r="V227" s="310" t="n">
        <v>0.5</v>
      </c>
      <c r="W227" s="299" t="n">
        <v>0.145</v>
      </c>
      <c r="X227" s="299" t="n">
        <v>0.165</v>
      </c>
      <c r="Y227" s="299" t="n">
        <v>0</v>
      </c>
      <c r="Z227" s="299" t="n">
        <v>-0.031</v>
      </c>
      <c r="AA227" s="299" t="n">
        <v>0.0275</v>
      </c>
      <c r="AB227" s="299" t="n">
        <v>0.0125</v>
      </c>
      <c r="AC227" s="299" t="n">
        <v>0</v>
      </c>
      <c r="AD227" s="299" t="n">
        <v>0</v>
      </c>
      <c r="AE227" s="299" t="n">
        <v>0</v>
      </c>
      <c r="AF227" s="299" t="n">
        <v>0</v>
      </c>
      <c r="AG227" s="299" t="n">
        <v>0</v>
      </c>
      <c r="AH227" s="299" t="n">
        <v>0</v>
      </c>
      <c r="AI227" s="299" t="n">
        <v>0</v>
      </c>
      <c r="AK227" s="299" t="n">
        <v>0</v>
      </c>
      <c r="AL227" s="299" t="n">
        <v>0</v>
      </c>
      <c r="AM227" s="299" t="n">
        <v>0.37</v>
      </c>
      <c r="AN227" s="299" t="n">
        <v>0.025</v>
      </c>
      <c r="AO227" s="299" t="n">
        <v>0</v>
      </c>
      <c r="AP227" s="299" t="n">
        <v>-0.07</v>
      </c>
      <c r="AQ227" s="299" t="n">
        <v>-0.195</v>
      </c>
      <c r="AR227" s="299" t="n">
        <v>0</v>
      </c>
      <c r="AS227" s="299" t="n">
        <v>-0.37</v>
      </c>
      <c r="AT227" s="299" t="n">
        <v>0</v>
      </c>
      <c r="AU227" s="299" t="n">
        <v>0.43</v>
      </c>
      <c r="AV227" s="299" t="n">
        <v>0</v>
      </c>
      <c r="AW227" s="299" t="n">
        <v>-0.06</v>
      </c>
      <c r="AX227" s="299" t="n">
        <v>-0.06</v>
      </c>
      <c r="AY227" s="299" t="n">
        <v>0</v>
      </c>
      <c r="BA227" s="299" t="n">
        <v>0</v>
      </c>
      <c r="BB227" s="299" t="n">
        <v>0</v>
      </c>
      <c r="BD227" s="299" t="n">
        <v>-0.005</v>
      </c>
      <c r="BE227" s="299" t="n">
        <v>0</v>
      </c>
      <c r="BF227" s="299" t="n">
        <v>0</v>
      </c>
      <c r="BJ227" s="299" t="n">
        <v>0.335</v>
      </c>
      <c r="BK227" s="299" t="n">
        <v>0</v>
      </c>
      <c r="BL227" s="299" t="n">
        <v>-0.015</v>
      </c>
      <c r="BM227" s="299" t="n">
        <v>0.005</v>
      </c>
      <c r="BO227" s="299" t="n">
        <v>0</v>
      </c>
      <c r="BP227" s="299" t="n">
        <v>0</v>
      </c>
      <c r="BQ227" s="299" t="n">
        <v>0</v>
      </c>
      <c r="BR227" s="299" t="n">
        <v>0.035</v>
      </c>
      <c r="BS227" s="0"/>
      <c r="BT227" s="0" t="n">
        <v>0</v>
      </c>
      <c r="BU227" s="0" t="n">
        <v>0</v>
      </c>
      <c r="BV227" s="0" t="n">
        <v>0</v>
      </c>
    </row>
    <row r="228" customFormat="false" ht="12.75" hidden="false" customHeight="false" outlineLevel="0" collapsed="false">
      <c r="A228" s="301"/>
      <c r="B228" s="301" t="n">
        <v>4.56</v>
      </c>
      <c r="C228" s="308" t="n">
        <f aca="false">EOMONTH(C227,0)+1</f>
        <v>44013</v>
      </c>
      <c r="D228" s="0" t="n">
        <v>4.5625</v>
      </c>
      <c r="E228" s="301" t="n">
        <v>0.17</v>
      </c>
      <c r="F228" s="301" t="n">
        <v>0.0636389495893663</v>
      </c>
      <c r="O228" s="299"/>
      <c r="V228" s="310" t="n">
        <v>0.5</v>
      </c>
      <c r="W228" s="299" t="n">
        <v>0.15</v>
      </c>
      <c r="X228" s="299" t="n">
        <v>0.205</v>
      </c>
      <c r="Y228" s="299" t="n">
        <v>0</v>
      </c>
      <c r="Z228" s="299" t="n">
        <v>-0.031</v>
      </c>
      <c r="AA228" s="299" t="n">
        <v>0.0275</v>
      </c>
      <c r="AB228" s="299" t="n">
        <v>0.0125</v>
      </c>
      <c r="AC228" s="299" t="n">
        <v>0</v>
      </c>
      <c r="AD228" s="299" t="n">
        <v>0</v>
      </c>
      <c r="AE228" s="299" t="n">
        <v>0</v>
      </c>
      <c r="AF228" s="299" t="n">
        <v>0</v>
      </c>
      <c r="AG228" s="299" t="n">
        <v>0</v>
      </c>
      <c r="AH228" s="299" t="n">
        <v>0</v>
      </c>
      <c r="AI228" s="299" t="n">
        <v>0</v>
      </c>
      <c r="AK228" s="299" t="n">
        <v>0</v>
      </c>
      <c r="AL228" s="299" t="n">
        <v>0</v>
      </c>
      <c r="AM228" s="299" t="n">
        <v>0.41</v>
      </c>
      <c r="AN228" s="299" t="n">
        <v>0.0275</v>
      </c>
      <c r="AO228" s="299" t="n">
        <v>0</v>
      </c>
      <c r="AP228" s="299" t="n">
        <v>-0.07</v>
      </c>
      <c r="AQ228" s="299" t="n">
        <v>-0.195</v>
      </c>
      <c r="AR228" s="299" t="n">
        <v>0</v>
      </c>
      <c r="AS228" s="299" t="n">
        <v>-0.37</v>
      </c>
      <c r="AT228" s="299" t="n">
        <v>0</v>
      </c>
      <c r="AU228" s="299" t="n">
        <v>0.43</v>
      </c>
      <c r="AV228" s="299" t="n">
        <v>0</v>
      </c>
      <c r="AW228" s="299" t="n">
        <v>-0.06</v>
      </c>
      <c r="AX228" s="299" t="n">
        <v>-0.06</v>
      </c>
      <c r="AY228" s="299" t="n">
        <v>0</v>
      </c>
      <c r="BA228" s="299" t="n">
        <v>0</v>
      </c>
      <c r="BB228" s="299" t="n">
        <v>0</v>
      </c>
      <c r="BD228" s="299" t="n">
        <v>-0.0025</v>
      </c>
      <c r="BE228" s="299" t="n">
        <v>0</v>
      </c>
      <c r="BF228" s="299" t="n">
        <v>0</v>
      </c>
      <c r="BJ228" s="299" t="n">
        <v>0.35</v>
      </c>
      <c r="BK228" s="299" t="n">
        <v>0</v>
      </c>
      <c r="BL228" s="299" t="n">
        <v>-0.01</v>
      </c>
      <c r="BM228" s="299" t="n">
        <v>0.005</v>
      </c>
      <c r="BO228" s="299" t="n">
        <v>0</v>
      </c>
      <c r="BP228" s="299" t="n">
        <v>0</v>
      </c>
      <c r="BQ228" s="299" t="n">
        <v>0</v>
      </c>
      <c r="BR228" s="299" t="n">
        <v>0.035</v>
      </c>
      <c r="BS228" s="0"/>
      <c r="BT228" s="0" t="n">
        <v>0</v>
      </c>
      <c r="BU228" s="0" t="n">
        <v>0</v>
      </c>
      <c r="BV228" s="0" t="n">
        <v>0</v>
      </c>
    </row>
    <row r="229" customFormat="false" ht="12.75" hidden="false" customHeight="false" outlineLevel="0" collapsed="false">
      <c r="A229" s="301"/>
      <c r="B229" s="301" t="n">
        <v>4.497</v>
      </c>
      <c r="C229" s="308" t="n">
        <f aca="false">EOMONTH(C228,0)+1</f>
        <v>44044</v>
      </c>
      <c r="D229" s="0" t="n">
        <v>4.6025</v>
      </c>
      <c r="E229" s="301" t="n">
        <v>0.17</v>
      </c>
      <c r="F229" s="301" t="n">
        <v>0.0636827778579496</v>
      </c>
      <c r="O229" s="299"/>
      <c r="V229" s="310" t="n">
        <v>0.5</v>
      </c>
      <c r="W229" s="299" t="n">
        <v>0.15</v>
      </c>
      <c r="X229" s="299" t="n">
        <v>0.205</v>
      </c>
      <c r="Y229" s="299" t="n">
        <v>0</v>
      </c>
      <c r="Z229" s="299" t="n">
        <v>-0.031</v>
      </c>
      <c r="AA229" s="299" t="n">
        <v>0.0225</v>
      </c>
      <c r="AB229" s="299" t="n">
        <v>0.0075</v>
      </c>
      <c r="AC229" s="299" t="n">
        <v>0</v>
      </c>
      <c r="AD229" s="299" t="n">
        <v>0</v>
      </c>
      <c r="AE229" s="299" t="n">
        <v>0</v>
      </c>
      <c r="AF229" s="299" t="n">
        <v>0</v>
      </c>
      <c r="AG229" s="299" t="n">
        <v>0</v>
      </c>
      <c r="AH229" s="299" t="n">
        <v>0</v>
      </c>
      <c r="AI229" s="299" t="n">
        <v>0</v>
      </c>
      <c r="AK229" s="299" t="n">
        <v>0</v>
      </c>
      <c r="AL229" s="299" t="n">
        <v>0</v>
      </c>
      <c r="AM229" s="299" t="n">
        <v>0.41</v>
      </c>
      <c r="AN229" s="299" t="n">
        <v>0.03</v>
      </c>
      <c r="AO229" s="299" t="n">
        <v>0</v>
      </c>
      <c r="AP229" s="299" t="n">
        <v>-0.07</v>
      </c>
      <c r="AQ229" s="299" t="n">
        <v>-0.195</v>
      </c>
      <c r="AR229" s="299" t="n">
        <v>0</v>
      </c>
      <c r="AS229" s="299" t="n">
        <v>-0.37</v>
      </c>
      <c r="AT229" s="299" t="n">
        <v>0</v>
      </c>
      <c r="AU229" s="299" t="n">
        <v>0.43</v>
      </c>
      <c r="AV229" s="299" t="n">
        <v>0</v>
      </c>
      <c r="AW229" s="299" t="n">
        <v>-0.06</v>
      </c>
      <c r="AX229" s="299" t="n">
        <v>-0.06</v>
      </c>
      <c r="AY229" s="299" t="n">
        <v>0</v>
      </c>
      <c r="BA229" s="299" t="n">
        <v>0</v>
      </c>
      <c r="BB229" s="299" t="n">
        <v>0</v>
      </c>
      <c r="BD229" s="299" t="n">
        <v>0</v>
      </c>
      <c r="BE229" s="299" t="n">
        <v>0</v>
      </c>
      <c r="BF229" s="299" t="n">
        <v>0</v>
      </c>
      <c r="BJ229" s="299" t="n">
        <v>0.35</v>
      </c>
      <c r="BK229" s="299" t="n">
        <v>0</v>
      </c>
      <c r="BL229" s="299" t="n">
        <v>-0.01</v>
      </c>
      <c r="BM229" s="299" t="n">
        <v>0.005</v>
      </c>
      <c r="BO229" s="299" t="n">
        <v>0</v>
      </c>
      <c r="BP229" s="299" t="n">
        <v>0</v>
      </c>
      <c r="BQ229" s="299" t="n">
        <v>0</v>
      </c>
      <c r="BR229" s="299" t="n">
        <v>0.01</v>
      </c>
      <c r="BS229" s="0"/>
      <c r="BT229" s="0" t="n">
        <v>0</v>
      </c>
      <c r="BU229" s="0" t="n">
        <v>0</v>
      </c>
      <c r="BV229" s="0" t="n">
        <v>0</v>
      </c>
    </row>
    <row r="230" customFormat="false" ht="12.75" hidden="false" customHeight="false" outlineLevel="0" collapsed="false">
      <c r="A230" s="301"/>
      <c r="B230" s="301" t="n">
        <v>4.387</v>
      </c>
      <c r="C230" s="308" t="n">
        <f aca="false">EOMONTH(C229,0)+1</f>
        <v>44075</v>
      </c>
      <c r="D230" s="0" t="n">
        <v>4.5975</v>
      </c>
      <c r="E230" s="301" t="n">
        <v>0.17</v>
      </c>
      <c r="F230" s="301" t="n">
        <v>0.0637266061271706</v>
      </c>
      <c r="O230" s="299"/>
      <c r="V230" s="310" t="n">
        <v>0.5</v>
      </c>
      <c r="W230" s="299" t="n">
        <v>0.125</v>
      </c>
      <c r="X230" s="299" t="n">
        <v>0.145</v>
      </c>
      <c r="Y230" s="299" t="n">
        <v>0</v>
      </c>
      <c r="Z230" s="299" t="n">
        <v>-0.036</v>
      </c>
      <c r="AA230" s="299" t="n">
        <v>0.0225</v>
      </c>
      <c r="AB230" s="299" t="n">
        <v>0.0075</v>
      </c>
      <c r="AC230" s="299" t="n">
        <v>0</v>
      </c>
      <c r="AD230" s="299" t="n">
        <v>0</v>
      </c>
      <c r="AE230" s="299" t="n">
        <v>0</v>
      </c>
      <c r="AF230" s="299" t="n">
        <v>0</v>
      </c>
      <c r="AG230" s="299" t="n">
        <v>0</v>
      </c>
      <c r="AH230" s="299" t="n">
        <v>0</v>
      </c>
      <c r="AI230" s="299" t="n">
        <v>0</v>
      </c>
      <c r="AK230" s="299" t="n">
        <v>0</v>
      </c>
      <c r="AL230" s="299" t="n">
        <v>0</v>
      </c>
      <c r="AM230" s="299" t="n">
        <v>0.36</v>
      </c>
      <c r="AN230" s="299" t="n">
        <v>0.0225</v>
      </c>
      <c r="AO230" s="299" t="n">
        <v>0</v>
      </c>
      <c r="AP230" s="299" t="n">
        <v>-0.07</v>
      </c>
      <c r="AQ230" s="299" t="n">
        <v>-0.195</v>
      </c>
      <c r="AR230" s="299" t="n">
        <v>0</v>
      </c>
      <c r="AS230" s="299" t="n">
        <v>-0.37</v>
      </c>
      <c r="AT230" s="299" t="n">
        <v>0</v>
      </c>
      <c r="AU230" s="299" t="n">
        <v>0.43</v>
      </c>
      <c r="AV230" s="299" t="n">
        <v>0</v>
      </c>
      <c r="AW230" s="299" t="n">
        <v>-0.06</v>
      </c>
      <c r="AX230" s="299" t="n">
        <v>-0.06</v>
      </c>
      <c r="AY230" s="299" t="n">
        <v>0</v>
      </c>
      <c r="BA230" s="299" t="n">
        <v>0</v>
      </c>
      <c r="BB230" s="299" t="n">
        <v>0</v>
      </c>
      <c r="BD230" s="299" t="n">
        <v>-0.0075</v>
      </c>
      <c r="BE230" s="299" t="n">
        <v>0</v>
      </c>
      <c r="BF230" s="299" t="n">
        <v>0</v>
      </c>
      <c r="BJ230" s="299" t="n">
        <v>0.315</v>
      </c>
      <c r="BK230" s="299" t="n">
        <v>0</v>
      </c>
      <c r="BL230" s="299" t="n">
        <v>-0.01</v>
      </c>
      <c r="BM230" s="299" t="n">
        <v>0.005</v>
      </c>
      <c r="BO230" s="299" t="n">
        <v>0</v>
      </c>
      <c r="BP230" s="299" t="n">
        <v>0</v>
      </c>
      <c r="BQ230" s="299" t="n">
        <v>0</v>
      </c>
      <c r="BR230" s="299" t="n">
        <v>0.01</v>
      </c>
      <c r="BS230" s="0"/>
      <c r="BT230" s="0" t="n">
        <v>0</v>
      </c>
      <c r="BU230" s="0" t="n">
        <v>0</v>
      </c>
      <c r="BV230" s="0" t="n">
        <v>0</v>
      </c>
    </row>
    <row r="231" customFormat="false" ht="12.75" hidden="false" customHeight="false" outlineLevel="0" collapsed="false">
      <c r="A231" s="301"/>
      <c r="B231" s="301" t="n">
        <v>4.28</v>
      </c>
      <c r="C231" s="308" t="n">
        <f aca="false">EOMONTH(C230,0)+1</f>
        <v>44105</v>
      </c>
      <c r="D231" s="0" t="n">
        <v>4.6225</v>
      </c>
      <c r="E231" s="301" t="n">
        <v>0.17</v>
      </c>
      <c r="F231" s="301" t="n">
        <v>0.0637690205818613</v>
      </c>
      <c r="O231" s="299"/>
      <c r="V231" s="310" t="n">
        <v>0.5</v>
      </c>
      <c r="W231" s="299" t="n">
        <v>0.145</v>
      </c>
      <c r="X231" s="299" t="n">
        <v>0.175</v>
      </c>
      <c r="Y231" s="299" t="n">
        <v>0</v>
      </c>
      <c r="Z231" s="299" t="n">
        <v>-0.036</v>
      </c>
      <c r="AA231" s="299" t="n">
        <v>0.0175</v>
      </c>
      <c r="AB231" s="299" t="n">
        <v>0.0025</v>
      </c>
      <c r="AC231" s="299" t="n">
        <v>0</v>
      </c>
      <c r="AD231" s="299" t="n">
        <v>0</v>
      </c>
      <c r="AE231" s="299" t="n">
        <v>0</v>
      </c>
      <c r="AF231" s="299" t="n">
        <v>0</v>
      </c>
      <c r="AG231" s="299" t="n">
        <v>0</v>
      </c>
      <c r="AH231" s="299" t="n">
        <v>0</v>
      </c>
      <c r="AI231" s="299" t="n">
        <v>0</v>
      </c>
      <c r="AK231" s="299" t="n">
        <v>0</v>
      </c>
      <c r="AL231" s="299" t="n">
        <v>0</v>
      </c>
      <c r="AM231" s="299" t="n">
        <v>0.4</v>
      </c>
      <c r="AN231" s="299" t="n">
        <v>0.0125</v>
      </c>
      <c r="AO231" s="299" t="n">
        <v>0</v>
      </c>
      <c r="AP231" s="299" t="n">
        <v>-0.07</v>
      </c>
      <c r="AQ231" s="299" t="n">
        <v>-0.195</v>
      </c>
      <c r="AR231" s="299" t="n">
        <v>0</v>
      </c>
      <c r="AS231" s="299" t="n">
        <v>-0.37</v>
      </c>
      <c r="AT231" s="299" t="n">
        <v>0</v>
      </c>
      <c r="AU231" s="299" t="n">
        <v>0.43</v>
      </c>
      <c r="AV231" s="299" t="n">
        <v>0</v>
      </c>
      <c r="AW231" s="299" t="n">
        <v>-0.06</v>
      </c>
      <c r="AX231" s="299" t="n">
        <v>-0.06</v>
      </c>
      <c r="AY231" s="299" t="n">
        <v>0</v>
      </c>
      <c r="BA231" s="299" t="n">
        <v>0</v>
      </c>
      <c r="BB231" s="299" t="n">
        <v>0</v>
      </c>
      <c r="BD231" s="299" t="n">
        <v>-0.0175</v>
      </c>
      <c r="BE231" s="299" t="n">
        <v>0</v>
      </c>
      <c r="BF231" s="299" t="n">
        <v>0</v>
      </c>
      <c r="BJ231" s="299" t="n">
        <v>0.36</v>
      </c>
      <c r="BK231" s="299" t="n">
        <v>0</v>
      </c>
      <c r="BL231" s="299" t="n">
        <v>-0.015</v>
      </c>
      <c r="BM231" s="299" t="n">
        <v>0.005</v>
      </c>
      <c r="BO231" s="299" t="n">
        <v>0</v>
      </c>
      <c r="BP231" s="299" t="n">
        <v>0</v>
      </c>
      <c r="BQ231" s="299" t="n">
        <v>0</v>
      </c>
      <c r="BR231" s="299" t="n">
        <v>0.01</v>
      </c>
      <c r="BS231" s="0"/>
      <c r="BT231" s="0" t="n">
        <v>0</v>
      </c>
      <c r="BU231" s="0" t="n">
        <v>0</v>
      </c>
      <c r="BV231" s="0" t="n">
        <v>0</v>
      </c>
    </row>
    <row r="232" customFormat="false" ht="12.75" hidden="false" customHeight="false" outlineLevel="0" collapsed="false">
      <c r="A232" s="301"/>
      <c r="B232" s="301" t="n">
        <v>4.268</v>
      </c>
      <c r="C232" s="308" t="n">
        <f aca="false">EOMONTH(C231,0)+1</f>
        <v>44136</v>
      </c>
      <c r="D232" s="0" t="n">
        <v>4.7745</v>
      </c>
      <c r="E232" s="301" t="n">
        <v>0.17</v>
      </c>
      <c r="F232" s="301" t="n">
        <v>0.063812848852336</v>
      </c>
      <c r="O232" s="299"/>
      <c r="V232" s="310" t="n">
        <v>0.5</v>
      </c>
      <c r="W232" s="299" t="n">
        <v>0.195</v>
      </c>
      <c r="X232" s="299" t="n">
        <v>0.21</v>
      </c>
      <c r="Y232" s="299" t="n">
        <v>0</v>
      </c>
      <c r="Z232" s="299" t="n">
        <v>-0.017</v>
      </c>
      <c r="AA232" s="299" t="n">
        <v>0.0185</v>
      </c>
      <c r="AB232" s="299" t="n">
        <v>0.0035</v>
      </c>
      <c r="AC232" s="299" t="n">
        <v>0</v>
      </c>
      <c r="AD232" s="299" t="n">
        <v>0</v>
      </c>
      <c r="AE232" s="299" t="n">
        <v>0</v>
      </c>
      <c r="AF232" s="299" t="n">
        <v>0</v>
      </c>
      <c r="AG232" s="299" t="n">
        <v>0</v>
      </c>
      <c r="AH232" s="299" t="n">
        <v>0</v>
      </c>
      <c r="AI232" s="299" t="n">
        <v>0</v>
      </c>
      <c r="AK232" s="299" t="n">
        <v>0</v>
      </c>
      <c r="AL232" s="299" t="n">
        <v>0</v>
      </c>
      <c r="AM232" s="299" t="n">
        <v>0.65</v>
      </c>
      <c r="AN232" s="299" t="n">
        <v>-0.0225</v>
      </c>
      <c r="AO232" s="299" t="n">
        <v>0</v>
      </c>
      <c r="AP232" s="299" t="n">
        <v>-0.07</v>
      </c>
      <c r="AQ232" s="299" t="n">
        <v>0</v>
      </c>
      <c r="AR232" s="299" t="n">
        <v>0</v>
      </c>
      <c r="AS232" s="299" t="n">
        <v>0</v>
      </c>
      <c r="AT232" s="299" t="n">
        <v>0</v>
      </c>
      <c r="AU232" s="299" t="n">
        <v>0.35</v>
      </c>
      <c r="AV232" s="299" t="n">
        <v>0</v>
      </c>
      <c r="AW232" s="299" t="n">
        <v>-0.06</v>
      </c>
      <c r="AX232" s="299" t="n">
        <v>-0.06</v>
      </c>
      <c r="AY232" s="299" t="n">
        <v>0</v>
      </c>
      <c r="BA232" s="299" t="n">
        <v>0</v>
      </c>
      <c r="BB232" s="299" t="n">
        <v>0</v>
      </c>
      <c r="BD232" s="299" t="n">
        <v>-0.0525</v>
      </c>
      <c r="BE232" s="299" t="n">
        <v>0</v>
      </c>
      <c r="BF232" s="299" t="n">
        <v>0</v>
      </c>
      <c r="BJ232" s="299" t="n">
        <v>0.46</v>
      </c>
      <c r="BK232" s="299" t="n">
        <v>0</v>
      </c>
      <c r="BL232" s="299" t="n">
        <v>-0.02</v>
      </c>
      <c r="BM232" s="299" t="n">
        <v>0.005</v>
      </c>
      <c r="BO232" s="299" t="n">
        <v>0</v>
      </c>
      <c r="BP232" s="299" t="n">
        <v>0</v>
      </c>
      <c r="BQ232" s="299" t="n">
        <v>0</v>
      </c>
      <c r="BR232" s="299" t="n">
        <v>0.055</v>
      </c>
      <c r="BS232" s="0"/>
      <c r="BT232" s="0" t="n">
        <v>0</v>
      </c>
      <c r="BU232" s="0" t="n">
        <v>0</v>
      </c>
      <c r="BV232" s="0" t="n">
        <v>0</v>
      </c>
    </row>
    <row r="233" customFormat="false" ht="12.75" hidden="false" customHeight="false" outlineLevel="0" collapsed="false">
      <c r="A233" s="301"/>
      <c r="B233" s="301" t="n">
        <v>4.264</v>
      </c>
      <c r="C233" s="308" t="n">
        <f aca="false">EOMONTH(C232,0)+1</f>
        <v>44166</v>
      </c>
      <c r="D233" s="0" t="n">
        <v>4.9175</v>
      </c>
      <c r="E233" s="301" t="n">
        <v>0.17</v>
      </c>
      <c r="F233" s="301" t="n">
        <v>0.0638552633082399</v>
      </c>
      <c r="O233" s="299"/>
      <c r="V233" s="310" t="n">
        <v>0.5</v>
      </c>
      <c r="W233" s="299" t="n">
        <v>0.215</v>
      </c>
      <c r="X233" s="299" t="n">
        <v>0.29</v>
      </c>
      <c r="Y233" s="299" t="n">
        <v>0</v>
      </c>
      <c r="Z233" s="299" t="n">
        <v>-0.017</v>
      </c>
      <c r="AA233" s="299" t="n">
        <v>0.0185</v>
      </c>
      <c r="AB233" s="299" t="n">
        <v>0.0035</v>
      </c>
      <c r="AC233" s="299" t="n">
        <v>0</v>
      </c>
      <c r="AD233" s="299" t="n">
        <v>0</v>
      </c>
      <c r="AE233" s="299" t="n">
        <v>0</v>
      </c>
      <c r="AF233" s="299" t="n">
        <v>0</v>
      </c>
      <c r="AG233" s="299" t="n">
        <v>0</v>
      </c>
      <c r="AH233" s="299" t="n">
        <v>0</v>
      </c>
      <c r="AI233" s="299" t="n">
        <v>0</v>
      </c>
      <c r="AK233" s="299" t="n">
        <v>0</v>
      </c>
      <c r="AL233" s="299" t="n">
        <v>0</v>
      </c>
      <c r="AM233" s="299" t="n">
        <v>0.98</v>
      </c>
      <c r="AN233" s="299" t="n">
        <v>-0.045</v>
      </c>
      <c r="AO233" s="299" t="n">
        <v>0</v>
      </c>
      <c r="AP233" s="299" t="n">
        <v>-0.07</v>
      </c>
      <c r="AQ233" s="299" t="n">
        <v>0</v>
      </c>
      <c r="AR233" s="299" t="n">
        <v>0</v>
      </c>
      <c r="AS233" s="299" t="n">
        <v>0</v>
      </c>
      <c r="AT233" s="299" t="n">
        <v>0</v>
      </c>
      <c r="AU233" s="299" t="n">
        <v>0.35</v>
      </c>
      <c r="AV233" s="299" t="n">
        <v>0</v>
      </c>
      <c r="AW233" s="299" t="n">
        <v>-0.06</v>
      </c>
      <c r="AX233" s="299" t="n">
        <v>-0.06</v>
      </c>
      <c r="AY233" s="299" t="n">
        <v>0</v>
      </c>
      <c r="BA233" s="299" t="n">
        <v>0</v>
      </c>
      <c r="BB233" s="299" t="n">
        <v>0</v>
      </c>
      <c r="BD233" s="299" t="n">
        <v>-0.075</v>
      </c>
      <c r="BE233" s="299" t="n">
        <v>0</v>
      </c>
      <c r="BF233" s="299" t="n">
        <v>0</v>
      </c>
      <c r="BJ233" s="299" t="n">
        <v>0.77</v>
      </c>
      <c r="BK233" s="299" t="n">
        <v>0</v>
      </c>
      <c r="BL233" s="299" t="n">
        <v>-0.025</v>
      </c>
      <c r="BM233" s="299" t="n">
        <v>0.005</v>
      </c>
      <c r="BO233" s="299" t="n">
        <v>0</v>
      </c>
      <c r="BP233" s="299" t="n">
        <v>0</v>
      </c>
      <c r="BQ233" s="299" t="n">
        <v>0</v>
      </c>
      <c r="BR233" s="299" t="n">
        <v>0.25</v>
      </c>
      <c r="BS233" s="0"/>
      <c r="BT233" s="0" t="n">
        <v>0</v>
      </c>
      <c r="BU233" s="0" t="n">
        <v>0</v>
      </c>
      <c r="BV233" s="0" t="n">
        <v>0</v>
      </c>
    </row>
    <row r="234" customFormat="false" ht="12.75" hidden="false" customHeight="false" outlineLevel="0" collapsed="false">
      <c r="A234" s="301"/>
      <c r="B234" s="301" t="n">
        <v>4.329</v>
      </c>
      <c r="C234" s="308" t="n">
        <f aca="false">EOMONTH(C233,0)+1</f>
        <v>44197</v>
      </c>
      <c r="D234" s="0" t="n">
        <v>4.9775</v>
      </c>
      <c r="E234" s="301" t="n">
        <v>0.17</v>
      </c>
      <c r="F234" s="301" t="n">
        <v>0.0638990915799678</v>
      </c>
      <c r="O234" s="299"/>
      <c r="V234" s="310" t="n">
        <v>0.5</v>
      </c>
      <c r="W234" s="299" t="n">
        <v>0.235</v>
      </c>
      <c r="X234" s="299" t="n">
        <v>0.34</v>
      </c>
      <c r="Y234" s="299" t="n">
        <v>0</v>
      </c>
      <c r="Z234" s="299" t="n">
        <v>-0.017</v>
      </c>
      <c r="AA234" s="299" t="n">
        <v>0.0185</v>
      </c>
      <c r="AB234" s="299" t="n">
        <v>0.0035</v>
      </c>
      <c r="AC234" s="299" t="n">
        <v>0</v>
      </c>
      <c r="AD234" s="299" t="n">
        <v>0</v>
      </c>
      <c r="AE234" s="299" t="n">
        <v>0</v>
      </c>
      <c r="AF234" s="299" t="n">
        <v>0</v>
      </c>
      <c r="AG234" s="299" t="n">
        <v>0</v>
      </c>
      <c r="AH234" s="299" t="n">
        <v>0</v>
      </c>
      <c r="AI234" s="299" t="n">
        <v>0</v>
      </c>
      <c r="AK234" s="299" t="n">
        <v>0</v>
      </c>
      <c r="AL234" s="299" t="n">
        <v>0</v>
      </c>
      <c r="AM234" s="299" t="n">
        <v>1.6</v>
      </c>
      <c r="AN234" s="299" t="n">
        <v>-0.0475</v>
      </c>
      <c r="AO234" s="299" t="n">
        <v>0</v>
      </c>
      <c r="AP234" s="299" t="n">
        <v>-0.07</v>
      </c>
      <c r="AQ234" s="299" t="n">
        <v>0</v>
      </c>
      <c r="AS234" s="299" t="n">
        <v>0</v>
      </c>
      <c r="AT234" s="299" t="n">
        <v>0</v>
      </c>
      <c r="AU234" s="299" t="n">
        <v>0.35</v>
      </c>
      <c r="AV234" s="299" t="n">
        <v>0</v>
      </c>
      <c r="AW234" s="299" t="n">
        <v>-0.06</v>
      </c>
      <c r="AX234" s="299" t="n">
        <v>-0.06</v>
      </c>
      <c r="AY234" s="299" t="n">
        <v>0</v>
      </c>
      <c r="BA234" s="299" t="n">
        <v>0</v>
      </c>
      <c r="BB234" s="299" t="n">
        <v>0</v>
      </c>
      <c r="BD234" s="299" t="n">
        <v>-0.0775</v>
      </c>
      <c r="BE234" s="299" t="n">
        <v>0</v>
      </c>
      <c r="BF234" s="299" t="n">
        <v>0</v>
      </c>
      <c r="BJ234" s="299" t="n">
        <v>1.04</v>
      </c>
      <c r="BK234" s="299" t="n">
        <v>0</v>
      </c>
      <c r="BL234" s="299" t="n">
        <v>-0.025</v>
      </c>
      <c r="BM234" s="299" t="n">
        <v>0.005</v>
      </c>
      <c r="BO234" s="299" t="n">
        <v>0</v>
      </c>
      <c r="BP234" s="299" t="n">
        <v>0</v>
      </c>
      <c r="BQ234" s="299" t="n">
        <v>0</v>
      </c>
      <c r="BR234" s="299" t="n">
        <v>0.45</v>
      </c>
      <c r="BS234" s="0"/>
      <c r="BT234" s="0" t="n">
        <v>0</v>
      </c>
      <c r="BU234" s="0" t="n">
        <v>0</v>
      </c>
      <c r="BV234" s="0" t="n">
        <v>0</v>
      </c>
    </row>
    <row r="235" customFormat="false" ht="12.75" hidden="false" customHeight="false" outlineLevel="0" collapsed="false">
      <c r="A235" s="301"/>
      <c r="B235" s="301" t="n">
        <v>4.324</v>
      </c>
      <c r="C235" s="308" t="n">
        <f aca="false">EOMONTH(C234,0)+1</f>
        <v>44228</v>
      </c>
      <c r="D235" s="0" t="n">
        <v>4.8925</v>
      </c>
      <c r="E235" s="301" t="n">
        <v>0.17</v>
      </c>
      <c r="F235" s="301" t="n">
        <v>0.0639429198523325</v>
      </c>
      <c r="O235" s="299"/>
      <c r="V235" s="310" t="n">
        <v>0.5</v>
      </c>
      <c r="W235" s="299" t="n">
        <v>0.235</v>
      </c>
      <c r="X235" s="299" t="n">
        <v>0.34</v>
      </c>
      <c r="Y235" s="299" t="n">
        <v>0</v>
      </c>
      <c r="Z235" s="299" t="n">
        <v>-0.017</v>
      </c>
      <c r="AA235" s="299" t="n">
        <v>0.0185</v>
      </c>
      <c r="AB235" s="299" t="n">
        <v>0.0035</v>
      </c>
      <c r="AC235" s="299" t="n">
        <v>0</v>
      </c>
      <c r="AD235" s="299" t="n">
        <v>0</v>
      </c>
      <c r="AE235" s="299" t="n">
        <v>0</v>
      </c>
      <c r="AF235" s="299" t="n">
        <v>0</v>
      </c>
      <c r="AG235" s="299" t="n">
        <v>0</v>
      </c>
      <c r="AH235" s="299" t="n">
        <v>0</v>
      </c>
      <c r="AI235" s="299" t="n">
        <v>0</v>
      </c>
      <c r="AK235" s="299" t="n">
        <v>0</v>
      </c>
      <c r="AL235" s="299" t="n">
        <v>0</v>
      </c>
      <c r="AM235" s="299" t="n">
        <v>1.6</v>
      </c>
      <c r="AN235" s="299" t="n">
        <v>-0.03</v>
      </c>
      <c r="AO235" s="299" t="n">
        <v>0</v>
      </c>
      <c r="AP235" s="299" t="n">
        <v>-0.07</v>
      </c>
      <c r="AQ235" s="299" t="n">
        <v>0</v>
      </c>
      <c r="AS235" s="299" t="n">
        <v>0</v>
      </c>
      <c r="AT235" s="299" t="n">
        <v>0</v>
      </c>
      <c r="AU235" s="299" t="n">
        <v>0.35</v>
      </c>
      <c r="AV235" s="299" t="n">
        <v>0</v>
      </c>
      <c r="AW235" s="299" t="n">
        <v>-0.06</v>
      </c>
      <c r="AX235" s="299" t="n">
        <v>-0.06</v>
      </c>
      <c r="AY235" s="299" t="n">
        <v>0</v>
      </c>
      <c r="BA235" s="299" t="n">
        <v>0</v>
      </c>
      <c r="BB235" s="299" t="n">
        <v>0</v>
      </c>
      <c r="BD235" s="299" t="n">
        <v>-0.06</v>
      </c>
      <c r="BE235" s="299" t="n">
        <v>0</v>
      </c>
      <c r="BF235" s="299" t="n">
        <v>0</v>
      </c>
      <c r="BJ235" s="299" t="n">
        <v>1.04</v>
      </c>
      <c r="BK235" s="299" t="n">
        <v>0</v>
      </c>
      <c r="BL235" s="299" t="n">
        <v>-0.025</v>
      </c>
      <c r="BM235" s="299" t="n">
        <v>0.005</v>
      </c>
      <c r="BO235" s="299" t="n">
        <v>0</v>
      </c>
      <c r="BP235" s="299" t="n">
        <v>0</v>
      </c>
      <c r="BQ235" s="299" t="n">
        <v>0</v>
      </c>
      <c r="BR235" s="299" t="n">
        <v>0.45</v>
      </c>
      <c r="BS235" s="0"/>
      <c r="BT235" s="0" t="n">
        <v>0</v>
      </c>
      <c r="BU235" s="0" t="n">
        <v>0</v>
      </c>
      <c r="BV235" s="0" t="n">
        <v>0</v>
      </c>
    </row>
    <row r="236" customFormat="false" ht="12.75" hidden="false" customHeight="false" outlineLevel="0" collapsed="false">
      <c r="A236" s="301"/>
      <c r="B236" s="301" t="n">
        <v>4.298</v>
      </c>
      <c r="C236" s="308" t="n">
        <f aca="false">EOMONTH(C235,0)+1</f>
        <v>44256</v>
      </c>
      <c r="D236" s="0" t="n">
        <v>4.7625</v>
      </c>
      <c r="E236" s="301" t="n">
        <v>0.17</v>
      </c>
      <c r="F236" s="301" t="n">
        <v>0.0639825066795323</v>
      </c>
      <c r="O236" s="299"/>
      <c r="V236" s="310" t="n">
        <v>0.5</v>
      </c>
      <c r="W236" s="299" t="n">
        <v>0.195</v>
      </c>
      <c r="X236" s="299" t="n">
        <v>0.29</v>
      </c>
      <c r="Y236" s="299" t="n">
        <v>0</v>
      </c>
      <c r="Z236" s="299" t="n">
        <v>-0.017</v>
      </c>
      <c r="AA236" s="299" t="n">
        <v>0.026</v>
      </c>
      <c r="AB236" s="299" t="n">
        <v>0.011</v>
      </c>
      <c r="AC236" s="299" t="n">
        <v>0</v>
      </c>
      <c r="AD236" s="299" t="n">
        <v>0</v>
      </c>
      <c r="AE236" s="299" t="n">
        <v>0</v>
      </c>
      <c r="AF236" s="299" t="n">
        <v>0</v>
      </c>
      <c r="AG236" s="299" t="n">
        <v>0</v>
      </c>
      <c r="AH236" s="299" t="n">
        <v>0</v>
      </c>
      <c r="AI236" s="299" t="n">
        <v>0</v>
      </c>
      <c r="AK236" s="299" t="n">
        <v>0</v>
      </c>
      <c r="AL236" s="299" t="n">
        <v>0</v>
      </c>
      <c r="AM236" s="299" t="n">
        <v>0.64</v>
      </c>
      <c r="AN236" s="299" t="n">
        <v>-0.0175</v>
      </c>
      <c r="AO236" s="299" t="n">
        <v>0</v>
      </c>
      <c r="AP236" s="299" t="n">
        <v>-0.07</v>
      </c>
      <c r="AQ236" s="299" t="n">
        <v>0</v>
      </c>
      <c r="AS236" s="299" t="n">
        <v>0</v>
      </c>
      <c r="AT236" s="299" t="n">
        <v>0</v>
      </c>
      <c r="AU236" s="299" t="n">
        <v>0.35</v>
      </c>
      <c r="AV236" s="299" t="n">
        <v>0</v>
      </c>
      <c r="AW236" s="299" t="n">
        <v>-0.06</v>
      </c>
      <c r="AX236" s="299" t="n">
        <v>-0.06</v>
      </c>
      <c r="AY236" s="299" t="n">
        <v>0</v>
      </c>
      <c r="BA236" s="299" t="n">
        <v>0</v>
      </c>
      <c r="BB236" s="299" t="n">
        <v>0</v>
      </c>
      <c r="BD236" s="299" t="n">
        <v>-0.0475</v>
      </c>
      <c r="BE236" s="299" t="n">
        <v>0</v>
      </c>
      <c r="BF236" s="299" t="n">
        <v>0</v>
      </c>
      <c r="BJ236" s="299" t="n">
        <v>0.54</v>
      </c>
      <c r="BK236" s="299" t="n">
        <v>0</v>
      </c>
      <c r="BL236" s="299" t="n">
        <v>-0.02</v>
      </c>
      <c r="BM236" s="299" t="n">
        <v>0.005</v>
      </c>
      <c r="BO236" s="299" t="n">
        <v>0</v>
      </c>
      <c r="BP236" s="299" t="n">
        <v>0</v>
      </c>
      <c r="BQ236" s="299" t="n">
        <v>0</v>
      </c>
      <c r="BR236" s="299" t="n">
        <v>0.1</v>
      </c>
      <c r="BS236" s="0"/>
      <c r="BT236" s="0" t="n">
        <v>0</v>
      </c>
      <c r="BU236" s="0" t="n">
        <v>0</v>
      </c>
      <c r="BV236" s="0" t="n">
        <v>0</v>
      </c>
    </row>
    <row r="237" customFormat="false" ht="12.75" hidden="false" customHeight="false" outlineLevel="0" collapsed="false">
      <c r="A237" s="301"/>
      <c r="B237" s="301" t="n">
        <v>4.3</v>
      </c>
      <c r="C237" s="308" t="n">
        <f aca="false">EOMONTH(C236,0)+1</f>
        <v>44287</v>
      </c>
      <c r="D237" s="0" t="n">
        <v>4.5775</v>
      </c>
      <c r="E237" s="301" t="n">
        <v>0.17</v>
      </c>
      <c r="F237" s="301" t="n">
        <v>0.0640263349531098</v>
      </c>
      <c r="O237" s="299"/>
      <c r="V237" s="310" t="n">
        <v>0.5</v>
      </c>
      <c r="W237" s="299" t="n">
        <v>0.145</v>
      </c>
      <c r="X237" s="299" t="n">
        <v>0.195</v>
      </c>
      <c r="Y237" s="299" t="n">
        <v>0</v>
      </c>
      <c r="Z237" s="299" t="n">
        <v>-0.032</v>
      </c>
      <c r="AA237" s="299" t="n">
        <v>0.026</v>
      </c>
      <c r="AB237" s="299" t="n">
        <v>0.011</v>
      </c>
      <c r="AC237" s="299" t="n">
        <v>0</v>
      </c>
      <c r="AD237" s="299" t="n">
        <v>0</v>
      </c>
      <c r="AE237" s="299" t="n">
        <v>0</v>
      </c>
      <c r="AF237" s="299" t="n">
        <v>0</v>
      </c>
      <c r="AG237" s="299" t="n">
        <v>0</v>
      </c>
      <c r="AH237" s="299" t="n">
        <v>0</v>
      </c>
      <c r="AI237" s="299" t="n">
        <v>0</v>
      </c>
      <c r="AK237" s="299" t="n">
        <v>0</v>
      </c>
      <c r="AL237" s="299" t="n">
        <v>0</v>
      </c>
      <c r="AM237" s="299" t="n">
        <v>0.38</v>
      </c>
      <c r="AN237" s="299" t="n">
        <v>0.02</v>
      </c>
      <c r="AO237" s="299" t="n">
        <v>0</v>
      </c>
      <c r="AP237" s="299" t="n">
        <v>-0.07</v>
      </c>
      <c r="AQ237" s="299" t="n">
        <v>0</v>
      </c>
      <c r="AS237" s="299" t="n">
        <v>0</v>
      </c>
      <c r="AT237" s="299" t="n">
        <v>0</v>
      </c>
      <c r="AU237" s="299" t="n">
        <v>0.43</v>
      </c>
      <c r="AV237" s="299" t="n">
        <v>0</v>
      </c>
      <c r="AW237" s="299" t="n">
        <v>-0.06</v>
      </c>
      <c r="AX237" s="299" t="n">
        <v>-0.06</v>
      </c>
      <c r="AY237" s="299" t="n">
        <v>0</v>
      </c>
      <c r="BA237" s="299" t="n">
        <v>0</v>
      </c>
      <c r="BB237" s="299" t="n">
        <v>0</v>
      </c>
      <c r="BD237" s="299" t="n">
        <v>-0.01</v>
      </c>
      <c r="BE237" s="299" t="n">
        <v>0</v>
      </c>
      <c r="BF237" s="299" t="n">
        <v>0</v>
      </c>
      <c r="BJ237" s="299" t="n">
        <v>0.36</v>
      </c>
      <c r="BK237" s="299" t="n">
        <v>0</v>
      </c>
      <c r="BL237" s="299" t="n">
        <v>-0.015</v>
      </c>
      <c r="BM237" s="299" t="n">
        <v>0.005</v>
      </c>
      <c r="BO237" s="299" t="n">
        <v>0</v>
      </c>
      <c r="BP237" s="299" t="n">
        <v>0</v>
      </c>
      <c r="BQ237" s="299" t="n">
        <v>0</v>
      </c>
      <c r="BR237" s="299" t="n">
        <v>0.02</v>
      </c>
      <c r="BS237" s="0"/>
      <c r="BT237" s="0" t="n">
        <v>0</v>
      </c>
      <c r="BU237" s="0" t="n">
        <v>0</v>
      </c>
      <c r="BV237" s="0" t="n">
        <v>0</v>
      </c>
    </row>
    <row r="238" customFormat="false" ht="12.75" hidden="false" customHeight="false" outlineLevel="0" collapsed="false">
      <c r="A238" s="301"/>
      <c r="B238" s="301" t="n">
        <v>4.332</v>
      </c>
      <c r="C238" s="308" t="n">
        <f aca="false">EOMONTH(C237,0)+1</f>
        <v>44317</v>
      </c>
      <c r="D238" s="0" t="n">
        <v>4.5725</v>
      </c>
      <c r="E238" s="301" t="n">
        <v>0.17</v>
      </c>
      <c r="F238" s="301" t="n">
        <v>0.0640687494120167</v>
      </c>
      <c r="O238" s="299"/>
      <c r="V238" s="310" t="n">
        <v>0.5</v>
      </c>
      <c r="W238" s="299" t="n">
        <v>0.125</v>
      </c>
      <c r="X238" s="299" t="n">
        <v>0.135</v>
      </c>
      <c r="Y238" s="299" t="n">
        <v>0</v>
      </c>
      <c r="Z238" s="299" t="n">
        <v>-0.032</v>
      </c>
      <c r="AA238" s="299" t="n">
        <v>0.0285</v>
      </c>
      <c r="AB238" s="299" t="n">
        <v>0.0135</v>
      </c>
      <c r="AC238" s="299" t="n">
        <v>0</v>
      </c>
      <c r="AD238" s="299" t="n">
        <v>0</v>
      </c>
      <c r="AE238" s="299" t="n">
        <v>0</v>
      </c>
      <c r="AF238" s="299" t="n">
        <v>0</v>
      </c>
      <c r="AG238" s="299" t="n">
        <v>0</v>
      </c>
      <c r="AH238" s="299" t="n">
        <v>0</v>
      </c>
      <c r="AI238" s="299" t="n">
        <v>0</v>
      </c>
      <c r="AK238" s="299" t="n">
        <v>0</v>
      </c>
      <c r="AL238" s="299" t="n">
        <v>0</v>
      </c>
      <c r="AM238" s="299" t="n">
        <v>0.33</v>
      </c>
      <c r="AN238" s="299" t="n">
        <v>0.02</v>
      </c>
      <c r="AO238" s="299" t="n">
        <v>0</v>
      </c>
      <c r="AP238" s="299" t="n">
        <v>-0.07</v>
      </c>
      <c r="AQ238" s="299" t="n">
        <v>0</v>
      </c>
      <c r="AS238" s="299" t="n">
        <v>0</v>
      </c>
      <c r="AT238" s="299" t="n">
        <v>0</v>
      </c>
      <c r="AU238" s="299" t="n">
        <v>0.43</v>
      </c>
      <c r="AV238" s="299" t="n">
        <v>0</v>
      </c>
      <c r="AW238" s="299" t="n">
        <v>-0.06</v>
      </c>
      <c r="AX238" s="299" t="n">
        <v>-0.06</v>
      </c>
      <c r="AY238" s="299" t="n">
        <v>0</v>
      </c>
      <c r="BA238" s="299" t="n">
        <v>0</v>
      </c>
      <c r="BB238" s="299" t="n">
        <v>0</v>
      </c>
      <c r="BD238" s="299" t="n">
        <v>-0.01</v>
      </c>
      <c r="BE238" s="299" t="n">
        <v>0</v>
      </c>
      <c r="BF238" s="299" t="n">
        <v>0</v>
      </c>
      <c r="BJ238" s="299" t="n">
        <v>0.325</v>
      </c>
      <c r="BK238" s="299" t="n">
        <v>0</v>
      </c>
      <c r="BL238" s="299" t="n">
        <v>-0.015</v>
      </c>
      <c r="BM238" s="299" t="n">
        <v>0.005</v>
      </c>
      <c r="BO238" s="299" t="n">
        <v>0</v>
      </c>
      <c r="BP238" s="299" t="n">
        <v>0</v>
      </c>
      <c r="BQ238" s="299" t="n">
        <v>0</v>
      </c>
      <c r="BR238" s="299" t="n">
        <v>0.02</v>
      </c>
      <c r="BS238" s="0"/>
      <c r="BT238" s="0" t="n">
        <v>0</v>
      </c>
      <c r="BU238" s="0" t="n">
        <v>0</v>
      </c>
      <c r="BV238" s="0" t="n">
        <v>0</v>
      </c>
    </row>
    <row r="239" customFormat="false" ht="12.75" hidden="false" customHeight="false" outlineLevel="0" collapsed="false">
      <c r="A239" s="301"/>
      <c r="B239" s="301" t="n">
        <v>4.393</v>
      </c>
      <c r="C239" s="308" t="n">
        <f aca="false">EOMONTH(C238,0)+1</f>
        <v>44348</v>
      </c>
      <c r="D239" s="0" t="n">
        <v>4.6075</v>
      </c>
      <c r="E239" s="301" t="n">
        <v>0.17</v>
      </c>
      <c r="F239" s="301" t="n">
        <v>0.064112577686847</v>
      </c>
      <c r="O239" s="299"/>
      <c r="V239" s="310" t="n">
        <v>0.5</v>
      </c>
      <c r="W239" s="299" t="n">
        <v>0.145</v>
      </c>
      <c r="X239" s="299" t="n">
        <v>0.165</v>
      </c>
      <c r="Y239" s="299" t="n">
        <v>0</v>
      </c>
      <c r="Z239" s="299" t="n">
        <v>-0.0295</v>
      </c>
      <c r="AA239" s="299" t="n">
        <v>0.0285</v>
      </c>
      <c r="AB239" s="299" t="n">
        <v>0.0135</v>
      </c>
      <c r="AC239" s="299" t="n">
        <v>0</v>
      </c>
      <c r="AD239" s="299" t="n">
        <v>0</v>
      </c>
      <c r="AE239" s="299" t="n">
        <v>0</v>
      </c>
      <c r="AF239" s="299" t="n">
        <v>0</v>
      </c>
      <c r="AG239" s="299" t="n">
        <v>0</v>
      </c>
      <c r="AH239" s="299" t="n">
        <v>0</v>
      </c>
      <c r="AI239" s="299" t="n">
        <v>0</v>
      </c>
      <c r="AK239" s="299" t="n">
        <v>0</v>
      </c>
      <c r="AL239" s="299" t="n">
        <v>0</v>
      </c>
      <c r="AM239" s="299" t="n">
        <v>0.37</v>
      </c>
      <c r="AN239" s="299" t="n">
        <v>0.025</v>
      </c>
      <c r="AO239" s="299" t="n">
        <v>0</v>
      </c>
      <c r="AP239" s="299" t="n">
        <v>-0.07</v>
      </c>
      <c r="AQ239" s="299" t="n">
        <v>0</v>
      </c>
      <c r="AS239" s="299" t="n">
        <v>0</v>
      </c>
      <c r="AT239" s="299" t="n">
        <v>0</v>
      </c>
      <c r="AU239" s="299" t="n">
        <v>0.43</v>
      </c>
      <c r="AV239" s="299" t="n">
        <v>0</v>
      </c>
      <c r="AW239" s="299" t="n">
        <v>-0.06</v>
      </c>
      <c r="AX239" s="299" t="n">
        <v>-0.06</v>
      </c>
      <c r="AY239" s="299" t="n">
        <v>0</v>
      </c>
      <c r="BA239" s="299" t="n">
        <v>0</v>
      </c>
      <c r="BB239" s="299" t="n">
        <v>0</v>
      </c>
      <c r="BD239" s="299" t="n">
        <v>-0.005</v>
      </c>
      <c r="BE239" s="299" t="n">
        <v>0</v>
      </c>
      <c r="BF239" s="299" t="n">
        <v>0</v>
      </c>
      <c r="BJ239" s="299" t="n">
        <v>0.335</v>
      </c>
      <c r="BK239" s="299" t="n">
        <v>0</v>
      </c>
      <c r="BL239" s="299" t="n">
        <v>-0.015</v>
      </c>
      <c r="BM239" s="299" t="n">
        <v>0.005</v>
      </c>
      <c r="BO239" s="299" t="n">
        <v>0</v>
      </c>
      <c r="BP239" s="299" t="n">
        <v>0</v>
      </c>
      <c r="BQ239" s="299" t="n">
        <v>0</v>
      </c>
      <c r="BR239" s="299" t="n">
        <v>0.035</v>
      </c>
      <c r="BS239" s="0"/>
      <c r="BT239" s="0" t="n">
        <v>0</v>
      </c>
      <c r="BU239" s="0" t="n">
        <v>0</v>
      </c>
      <c r="BV239" s="0" t="n">
        <v>0</v>
      </c>
    </row>
    <row r="240" customFormat="false" ht="12.75" hidden="false" customHeight="false" outlineLevel="0" collapsed="false">
      <c r="A240" s="301"/>
      <c r="B240" s="301" t="n">
        <v>4.657</v>
      </c>
      <c r="C240" s="308" t="n">
        <f aca="false">EOMONTH(C239,0)+1</f>
        <v>44378</v>
      </c>
      <c r="D240" s="0" t="n">
        <v>4.6475</v>
      </c>
      <c r="E240" s="301" t="n">
        <v>0.17</v>
      </c>
      <c r="F240" s="301" t="n">
        <v>0.0641549921469675</v>
      </c>
      <c r="O240" s="299"/>
      <c r="V240" s="310" t="n">
        <v>0.5</v>
      </c>
      <c r="W240" s="299" t="n">
        <v>0.15</v>
      </c>
      <c r="X240" s="299" t="n">
        <v>0.205</v>
      </c>
      <c r="Y240" s="299" t="n">
        <v>0</v>
      </c>
      <c r="Z240" s="299" t="n">
        <v>-0.0295</v>
      </c>
      <c r="AA240" s="299" t="n">
        <v>0.0285</v>
      </c>
      <c r="AB240" s="299" t="n">
        <v>0.0135</v>
      </c>
      <c r="AC240" s="299" t="n">
        <v>0</v>
      </c>
      <c r="AD240" s="299" t="n">
        <v>0</v>
      </c>
      <c r="AE240" s="299" t="n">
        <v>0</v>
      </c>
      <c r="AF240" s="299" t="n">
        <v>0</v>
      </c>
      <c r="AG240" s="299" t="n">
        <v>0</v>
      </c>
      <c r="AH240" s="299" t="n">
        <v>0</v>
      </c>
      <c r="AI240" s="299" t="n">
        <v>0</v>
      </c>
      <c r="AK240" s="299" t="n">
        <v>0</v>
      </c>
      <c r="AL240" s="299" t="n">
        <v>0</v>
      </c>
      <c r="AM240" s="299" t="n">
        <v>0.41</v>
      </c>
      <c r="AN240" s="299" t="n">
        <v>0.0275</v>
      </c>
      <c r="AO240" s="299" t="n">
        <v>0</v>
      </c>
      <c r="AP240" s="299" t="n">
        <v>-0.07</v>
      </c>
      <c r="AQ240" s="299" t="n">
        <v>0</v>
      </c>
      <c r="AS240" s="299" t="n">
        <v>0</v>
      </c>
      <c r="AT240" s="299" t="n">
        <v>0</v>
      </c>
      <c r="AU240" s="299" t="n">
        <v>0.43</v>
      </c>
      <c r="AV240" s="299" t="n">
        <v>0</v>
      </c>
      <c r="AW240" s="299" t="n">
        <v>-0.06</v>
      </c>
      <c r="AX240" s="299" t="n">
        <v>-0.06</v>
      </c>
      <c r="AY240" s="299" t="n">
        <v>0</v>
      </c>
      <c r="BA240" s="299" t="n">
        <v>0</v>
      </c>
      <c r="BB240" s="299" t="n">
        <v>0</v>
      </c>
      <c r="BD240" s="299" t="n">
        <v>-0.0025</v>
      </c>
      <c r="BE240" s="299" t="n">
        <v>0</v>
      </c>
      <c r="BF240" s="299" t="n">
        <v>0</v>
      </c>
      <c r="BJ240" s="299" t="n">
        <v>0.35</v>
      </c>
      <c r="BK240" s="299" t="n">
        <v>0</v>
      </c>
      <c r="BL240" s="299" t="n">
        <v>-0.01</v>
      </c>
      <c r="BM240" s="299" t="n">
        <v>0.005</v>
      </c>
      <c r="BO240" s="299" t="n">
        <v>0</v>
      </c>
      <c r="BP240" s="299" t="n">
        <v>0</v>
      </c>
      <c r="BQ240" s="299" t="n">
        <v>0</v>
      </c>
      <c r="BR240" s="299" t="n">
        <v>0.035</v>
      </c>
      <c r="BS240" s="0"/>
      <c r="BT240" s="0" t="n">
        <v>0</v>
      </c>
      <c r="BU240" s="0" t="n">
        <v>0</v>
      </c>
      <c r="BV240" s="0" t="n">
        <v>0</v>
      </c>
    </row>
    <row r="241" customFormat="false" ht="12.75" hidden="false" customHeight="false" outlineLevel="0" collapsed="false">
      <c r="A241" s="301"/>
      <c r="B241" s="301" t="n">
        <v>4.598</v>
      </c>
      <c r="C241" s="308" t="n">
        <f aca="false">EOMONTH(C240,0)+1</f>
        <v>44409</v>
      </c>
      <c r="D241" s="0" t="n">
        <v>4.6875</v>
      </c>
      <c r="E241" s="301" t="n">
        <v>0.17</v>
      </c>
      <c r="F241" s="301" t="n">
        <v>0.0641988204230515</v>
      </c>
      <c r="O241" s="299"/>
      <c r="V241" s="310" t="n">
        <v>0.5</v>
      </c>
      <c r="W241" s="299" t="n">
        <v>0.15</v>
      </c>
      <c r="X241" s="299" t="n">
        <v>0.205</v>
      </c>
      <c r="Y241" s="299" t="n">
        <v>0</v>
      </c>
      <c r="Z241" s="299" t="n">
        <v>-0.0295</v>
      </c>
      <c r="AA241" s="299" t="n">
        <v>0.0235</v>
      </c>
      <c r="AB241" s="299" t="n">
        <v>0.0085</v>
      </c>
      <c r="AC241" s="299" t="n">
        <v>0</v>
      </c>
      <c r="AD241" s="299" t="n">
        <v>0</v>
      </c>
      <c r="AE241" s="299" t="n">
        <v>0</v>
      </c>
      <c r="AF241" s="299" t="n">
        <v>0</v>
      </c>
      <c r="AG241" s="299" t="n">
        <v>0</v>
      </c>
      <c r="AH241" s="299" t="n">
        <v>0</v>
      </c>
      <c r="AI241" s="299" t="n">
        <v>0</v>
      </c>
      <c r="AK241" s="299" t="n">
        <v>0</v>
      </c>
      <c r="AL241" s="299" t="n">
        <v>0</v>
      </c>
      <c r="AM241" s="299" t="n">
        <v>0.41</v>
      </c>
      <c r="AN241" s="299" t="n">
        <v>0.03</v>
      </c>
      <c r="AO241" s="299" t="n">
        <v>0</v>
      </c>
      <c r="AP241" s="299" t="n">
        <v>-0.07</v>
      </c>
      <c r="AQ241" s="299" t="n">
        <v>0</v>
      </c>
      <c r="AS241" s="299" t="n">
        <v>0</v>
      </c>
      <c r="AT241" s="299" t="n">
        <v>0</v>
      </c>
      <c r="AU241" s="299" t="n">
        <v>0.43</v>
      </c>
      <c r="AV241" s="299" t="n">
        <v>0</v>
      </c>
      <c r="AW241" s="299" t="n">
        <v>-0.06</v>
      </c>
      <c r="AX241" s="299" t="n">
        <v>-0.06</v>
      </c>
      <c r="AY241" s="299" t="n">
        <v>0</v>
      </c>
      <c r="BA241" s="299" t="n">
        <v>0</v>
      </c>
      <c r="BB241" s="299" t="n">
        <v>0</v>
      </c>
      <c r="BD241" s="299" t="n">
        <v>0</v>
      </c>
      <c r="BE241" s="299" t="n">
        <v>0</v>
      </c>
      <c r="BF241" s="299" t="n">
        <v>0</v>
      </c>
      <c r="BJ241" s="299" t="n">
        <v>0.35</v>
      </c>
      <c r="BK241" s="299" t="n">
        <v>0</v>
      </c>
      <c r="BL241" s="299" t="n">
        <v>-0.01</v>
      </c>
      <c r="BM241" s="299" t="n">
        <v>0.005</v>
      </c>
      <c r="BO241" s="299" t="n">
        <v>0</v>
      </c>
      <c r="BP241" s="299" t="n">
        <v>0</v>
      </c>
      <c r="BQ241" s="299" t="n">
        <v>0</v>
      </c>
      <c r="BR241" s="299" t="n">
        <v>0.01</v>
      </c>
      <c r="BS241" s="0"/>
      <c r="BT241" s="0" t="n">
        <v>0</v>
      </c>
      <c r="BU241" s="0" t="n">
        <v>0</v>
      </c>
      <c r="BV241" s="0" t="n">
        <v>0</v>
      </c>
    </row>
    <row r="242" customFormat="false" ht="12.75" hidden="false" customHeight="false" outlineLevel="0" collapsed="false">
      <c r="A242" s="301"/>
      <c r="B242" s="301" t="n">
        <v>4.491</v>
      </c>
      <c r="C242" s="308" t="n">
        <f aca="false">EOMONTH(C241,0)+1</f>
        <v>44440</v>
      </c>
      <c r="D242" s="0" t="n">
        <v>4.6825</v>
      </c>
      <c r="E242" s="301" t="n">
        <v>0.17</v>
      </c>
      <c r="F242" s="301" t="n">
        <v>0.0642426486997727</v>
      </c>
      <c r="O242" s="299"/>
      <c r="V242" s="310" t="n">
        <v>0.5</v>
      </c>
      <c r="W242" s="299" t="n">
        <v>0.125</v>
      </c>
      <c r="X242" s="299" t="n">
        <v>0.145</v>
      </c>
      <c r="Y242" s="299" t="n">
        <v>0</v>
      </c>
      <c r="Z242" s="299" t="n">
        <v>-0.0345</v>
      </c>
      <c r="AA242" s="299" t="n">
        <v>0.0235</v>
      </c>
      <c r="AB242" s="299" t="n">
        <v>0.0085</v>
      </c>
      <c r="AC242" s="299" t="n">
        <v>0</v>
      </c>
      <c r="AD242" s="299" t="n">
        <v>0</v>
      </c>
      <c r="AE242" s="299" t="n">
        <v>0</v>
      </c>
      <c r="AF242" s="299" t="n">
        <v>0</v>
      </c>
      <c r="AG242" s="299" t="n">
        <v>0</v>
      </c>
      <c r="AH242" s="299" t="n">
        <v>0</v>
      </c>
      <c r="AI242" s="299" t="n">
        <v>0</v>
      </c>
      <c r="AK242" s="299" t="n">
        <v>0</v>
      </c>
      <c r="AL242" s="299" t="n">
        <v>0</v>
      </c>
      <c r="AM242" s="299" t="n">
        <v>0.36</v>
      </c>
      <c r="AN242" s="299" t="n">
        <v>0.0225</v>
      </c>
      <c r="AO242" s="299" t="n">
        <v>0</v>
      </c>
      <c r="AP242" s="299" t="n">
        <v>-0.07</v>
      </c>
      <c r="AQ242" s="299" t="n">
        <v>0</v>
      </c>
      <c r="AS242" s="299" t="n">
        <v>0</v>
      </c>
      <c r="AT242" s="299" t="n">
        <v>0</v>
      </c>
      <c r="AU242" s="299" t="n">
        <v>0.43</v>
      </c>
      <c r="AV242" s="299" t="n">
        <v>0</v>
      </c>
      <c r="AW242" s="299" t="n">
        <v>-0.06</v>
      </c>
      <c r="AX242" s="299" t="n">
        <v>-0.06</v>
      </c>
      <c r="AY242" s="299" t="n">
        <v>0</v>
      </c>
      <c r="BA242" s="299" t="n">
        <v>0</v>
      </c>
      <c r="BB242" s="299" t="n">
        <v>0</v>
      </c>
      <c r="BD242" s="299" t="n">
        <v>-0.0075</v>
      </c>
      <c r="BE242" s="299" t="n">
        <v>0</v>
      </c>
      <c r="BF242" s="299" t="n">
        <v>0</v>
      </c>
      <c r="BJ242" s="299" t="n">
        <v>0.315</v>
      </c>
      <c r="BK242" s="299" t="n">
        <v>0</v>
      </c>
      <c r="BL242" s="299" t="n">
        <v>-0.01</v>
      </c>
      <c r="BM242" s="299" t="n">
        <v>0.005</v>
      </c>
      <c r="BO242" s="299" t="n">
        <v>0</v>
      </c>
      <c r="BP242" s="299" t="n">
        <v>0</v>
      </c>
      <c r="BQ242" s="299" t="n">
        <v>0</v>
      </c>
      <c r="BR242" s="299" t="n">
        <v>0.01</v>
      </c>
      <c r="BS242" s="0"/>
      <c r="BT242" s="0" t="n">
        <v>0</v>
      </c>
      <c r="BU242" s="0" t="n">
        <v>0</v>
      </c>
      <c r="BV242" s="0" t="n">
        <v>0</v>
      </c>
    </row>
    <row r="243" customFormat="false" ht="12.75" hidden="false" customHeight="false" outlineLevel="0" collapsed="false">
      <c r="A243" s="301"/>
      <c r="B243" s="301" t="n">
        <v>4.387</v>
      </c>
      <c r="C243" s="308" t="n">
        <f aca="false">EOMONTH(C242,0)+1</f>
        <v>44470</v>
      </c>
      <c r="D243" s="0" t="n">
        <v>4.7075</v>
      </c>
      <c r="E243" s="301" t="n">
        <v>0.17</v>
      </c>
      <c r="F243" s="301" t="n">
        <v>0.064285063161722</v>
      </c>
      <c r="O243" s="299"/>
      <c r="V243" s="310" t="n">
        <v>0.5</v>
      </c>
      <c r="W243" s="299" t="n">
        <v>0.145</v>
      </c>
      <c r="X243" s="299" t="n">
        <v>0.175</v>
      </c>
      <c r="Y243" s="299" t="n">
        <v>0</v>
      </c>
      <c r="Z243" s="299" t="n">
        <v>-0.0345</v>
      </c>
      <c r="AA243" s="299" t="n">
        <v>0.0185</v>
      </c>
      <c r="AB243" s="299" t="n">
        <v>0.0035</v>
      </c>
      <c r="AC243" s="299" t="n">
        <v>0</v>
      </c>
      <c r="AD243" s="299" t="n">
        <v>0</v>
      </c>
      <c r="AE243" s="299" t="n">
        <v>0</v>
      </c>
      <c r="AF243" s="299" t="n">
        <v>0</v>
      </c>
      <c r="AG243" s="299" t="n">
        <v>0</v>
      </c>
      <c r="AH243" s="299" t="n">
        <v>0</v>
      </c>
      <c r="AI243" s="299" t="n">
        <v>0</v>
      </c>
      <c r="AK243" s="299" t="n">
        <v>0</v>
      </c>
      <c r="AL243" s="299" t="n">
        <v>0</v>
      </c>
      <c r="AM243" s="299" t="n">
        <v>0.4</v>
      </c>
      <c r="AN243" s="299" t="n">
        <v>0.0125</v>
      </c>
      <c r="AO243" s="299" t="n">
        <v>0</v>
      </c>
      <c r="AP243" s="299" t="n">
        <v>-0.07</v>
      </c>
      <c r="AQ243" s="299" t="n">
        <v>0</v>
      </c>
      <c r="AS243" s="299" t="n">
        <v>0</v>
      </c>
      <c r="AT243" s="299" t="n">
        <v>0</v>
      </c>
      <c r="AU243" s="299" t="n">
        <v>0.43</v>
      </c>
      <c r="AV243" s="299" t="n">
        <v>0</v>
      </c>
      <c r="AW243" s="299" t="n">
        <v>-0.06</v>
      </c>
      <c r="AX243" s="299" t="n">
        <v>-0.06</v>
      </c>
      <c r="AY243" s="299" t="n">
        <v>0</v>
      </c>
      <c r="BA243" s="299" t="n">
        <v>0</v>
      </c>
      <c r="BB243" s="299" t="n">
        <v>0</v>
      </c>
      <c r="BD243" s="299" t="n">
        <v>-0.0175</v>
      </c>
      <c r="BE243" s="299" t="n">
        <v>0</v>
      </c>
      <c r="BF243" s="299" t="n">
        <v>0</v>
      </c>
      <c r="BJ243" s="299" t="n">
        <v>0.36</v>
      </c>
      <c r="BK243" s="299" t="n">
        <v>0</v>
      </c>
      <c r="BL243" s="299" t="n">
        <v>-0.015</v>
      </c>
      <c r="BM243" s="299" t="n">
        <v>0.005</v>
      </c>
      <c r="BO243" s="299" t="n">
        <v>0</v>
      </c>
      <c r="BP243" s="299" t="n">
        <v>0</v>
      </c>
      <c r="BQ243" s="299" t="n">
        <v>0</v>
      </c>
      <c r="BR243" s="299" t="n">
        <v>0.01</v>
      </c>
      <c r="BS243" s="0"/>
      <c r="BT243" s="0" t="n">
        <v>0</v>
      </c>
      <c r="BU243" s="0" t="n">
        <v>0</v>
      </c>
      <c r="BV243" s="0" t="n">
        <v>0</v>
      </c>
    </row>
    <row r="244" customFormat="false" ht="12.75" hidden="false" customHeight="false" outlineLevel="0" collapsed="false">
      <c r="A244" s="301"/>
      <c r="B244" s="301" t="n">
        <v>4.376</v>
      </c>
      <c r="C244" s="308" t="n">
        <f aca="false">EOMONTH(C243,0)+1</f>
        <v>44501</v>
      </c>
      <c r="D244" s="0" t="n">
        <v>4.8595</v>
      </c>
      <c r="E244" s="301" t="n">
        <v>0.17</v>
      </c>
      <c r="F244" s="301" t="n">
        <v>0.0643288914396964</v>
      </c>
      <c r="O244" s="299"/>
      <c r="V244" s="310" t="n">
        <v>0</v>
      </c>
      <c r="W244" s="299" t="n">
        <v>0.195</v>
      </c>
      <c r="X244" s="299" t="n">
        <v>0.21</v>
      </c>
      <c r="Y244" s="299" t="n">
        <v>0</v>
      </c>
      <c r="Z244" s="299" t="n">
        <v>-0.0155</v>
      </c>
      <c r="AA244" s="299" t="n">
        <v>0.0195</v>
      </c>
      <c r="AB244" s="299" t="n">
        <v>0.0045</v>
      </c>
      <c r="AC244" s="299" t="n">
        <v>0</v>
      </c>
      <c r="AD244" s="299" t="n">
        <v>0</v>
      </c>
      <c r="AE244" s="299" t="n">
        <v>0</v>
      </c>
      <c r="AF244" s="299" t="n">
        <v>0</v>
      </c>
      <c r="AG244" s="299" t="n">
        <v>0</v>
      </c>
      <c r="AH244" s="299" t="n">
        <v>0</v>
      </c>
      <c r="AI244" s="299" t="n">
        <v>0</v>
      </c>
      <c r="AK244" s="299" t="n">
        <v>0</v>
      </c>
      <c r="AL244" s="299" t="n">
        <v>0</v>
      </c>
      <c r="AM244" s="299" t="n">
        <v>0.65</v>
      </c>
      <c r="AN244" s="299" t="n">
        <v>-0.0225</v>
      </c>
      <c r="AO244" s="299" t="n">
        <v>0</v>
      </c>
      <c r="AP244" s="299" t="n">
        <v>-0.07</v>
      </c>
      <c r="AQ244" s="299" t="n">
        <v>0</v>
      </c>
      <c r="AS244" s="299" t="n">
        <v>0</v>
      </c>
      <c r="AT244" s="299" t="n">
        <v>0</v>
      </c>
      <c r="AU244" s="299" t="n">
        <v>0</v>
      </c>
      <c r="AV244" s="299" t="n">
        <v>0</v>
      </c>
      <c r="AW244" s="299" t="n">
        <v>-0.06</v>
      </c>
      <c r="AX244" s="299" t="n">
        <v>-0.06</v>
      </c>
      <c r="AY244" s="299" t="n">
        <v>0</v>
      </c>
      <c r="BA244" s="299" t="n">
        <v>0</v>
      </c>
      <c r="BB244" s="299" t="n">
        <v>0</v>
      </c>
      <c r="BD244" s="299" t="n">
        <v>-0.0525</v>
      </c>
      <c r="BE244" s="299" t="n">
        <v>0</v>
      </c>
      <c r="BF244" s="299" t="n">
        <v>0</v>
      </c>
      <c r="BJ244" s="299" t="n">
        <v>0.46</v>
      </c>
      <c r="BK244" s="299" t="n">
        <v>0</v>
      </c>
      <c r="BL244" s="299" t="n">
        <v>-0.02</v>
      </c>
      <c r="BM244" s="299" t="n">
        <v>0.005</v>
      </c>
      <c r="BO244" s="299" t="n">
        <v>0</v>
      </c>
      <c r="BP244" s="299" t="n">
        <v>0</v>
      </c>
      <c r="BQ244" s="299" t="n">
        <v>0</v>
      </c>
      <c r="BR244" s="299" t="n">
        <v>0.055</v>
      </c>
      <c r="BS244" s="0"/>
      <c r="BT244" s="0" t="n">
        <v>0</v>
      </c>
      <c r="BU244" s="0" t="n">
        <v>0</v>
      </c>
      <c r="BV244" s="0" t="n">
        <v>0</v>
      </c>
    </row>
    <row r="245" customFormat="false" ht="12.75" hidden="false" customHeight="false" outlineLevel="0" collapsed="false">
      <c r="A245" s="301"/>
      <c r="B245" s="301" t="n">
        <v>4.373</v>
      </c>
      <c r="C245" s="308" t="n">
        <f aca="false">EOMONTH(C244,0)+1</f>
        <v>44531</v>
      </c>
      <c r="D245" s="0" t="n">
        <v>5.0025</v>
      </c>
      <c r="E245" s="301" t="n">
        <v>0.17</v>
      </c>
      <c r="F245" s="301" t="n">
        <v>0.0643713059028586</v>
      </c>
      <c r="O245" s="299"/>
      <c r="V245" s="310" t="n">
        <v>0</v>
      </c>
      <c r="W245" s="299" t="n">
        <v>0.215</v>
      </c>
      <c r="X245" s="299" t="n">
        <v>0.29</v>
      </c>
      <c r="Y245" s="299" t="n">
        <v>0</v>
      </c>
      <c r="Z245" s="299" t="n">
        <v>-0.0155</v>
      </c>
      <c r="AA245" s="299" t="n">
        <v>0.0195</v>
      </c>
      <c r="AB245" s="299" t="n">
        <v>0.0045</v>
      </c>
      <c r="AC245" s="299" t="n">
        <v>0</v>
      </c>
      <c r="AD245" s="299" t="n">
        <v>0</v>
      </c>
      <c r="AE245" s="299" t="n">
        <v>0</v>
      </c>
      <c r="AF245" s="299" t="n">
        <v>0</v>
      </c>
      <c r="AG245" s="299" t="n">
        <v>0</v>
      </c>
      <c r="AH245" s="299" t="n">
        <v>0</v>
      </c>
      <c r="AI245" s="299" t="n">
        <v>0</v>
      </c>
      <c r="AK245" s="299" t="n">
        <v>0</v>
      </c>
      <c r="AL245" s="299" t="n">
        <v>0</v>
      </c>
      <c r="AM245" s="299" t="n">
        <v>0.98</v>
      </c>
      <c r="AN245" s="299" t="n">
        <v>-0.045</v>
      </c>
      <c r="AO245" s="299" t="n">
        <v>0</v>
      </c>
      <c r="AP245" s="299" t="n">
        <v>-0.07</v>
      </c>
      <c r="AQ245" s="299" t="n">
        <v>0</v>
      </c>
      <c r="AS245" s="299" t="n">
        <v>0</v>
      </c>
      <c r="AT245" s="299" t="n">
        <v>0</v>
      </c>
      <c r="AU245" s="299" t="n">
        <v>0</v>
      </c>
      <c r="AV245" s="299" t="n">
        <v>0</v>
      </c>
      <c r="AW245" s="299" t="n">
        <v>-0.06</v>
      </c>
      <c r="AX245" s="299" t="n">
        <v>-0.06</v>
      </c>
      <c r="AY245" s="299" t="n">
        <v>0</v>
      </c>
      <c r="BA245" s="299" t="n">
        <v>0</v>
      </c>
      <c r="BB245" s="299" t="n">
        <v>0</v>
      </c>
      <c r="BD245" s="299" t="n">
        <v>-0.075</v>
      </c>
      <c r="BE245" s="299" t="n">
        <v>0</v>
      </c>
      <c r="BF245" s="299" t="n">
        <v>0</v>
      </c>
      <c r="BJ245" s="299" t="n">
        <v>0.77</v>
      </c>
      <c r="BK245" s="299" t="n">
        <v>0</v>
      </c>
      <c r="BL245" s="299" t="n">
        <v>-0.025</v>
      </c>
      <c r="BM245" s="299" t="n">
        <v>0.005</v>
      </c>
      <c r="BO245" s="299" t="n">
        <v>0</v>
      </c>
      <c r="BP245" s="299" t="n">
        <v>0</v>
      </c>
      <c r="BQ245" s="299" t="n">
        <v>0</v>
      </c>
      <c r="BR245" s="299" t="n">
        <v>0.25</v>
      </c>
      <c r="BS245" s="0"/>
      <c r="BT245" s="0" t="n">
        <v>0</v>
      </c>
      <c r="BU245" s="0" t="n">
        <v>0</v>
      </c>
      <c r="BV245" s="0" t="n">
        <v>0</v>
      </c>
    </row>
    <row r="246" customFormat="false" ht="12.75" hidden="false" customHeight="false" outlineLevel="0" collapsed="false">
      <c r="A246" s="301"/>
      <c r="B246" s="301" t="n">
        <v>4.438</v>
      </c>
      <c r="C246" s="308" t="n">
        <f aca="false">EOMONTH(C245,0)+1</f>
        <v>44562</v>
      </c>
      <c r="D246" s="0" t="n">
        <v>5.0625</v>
      </c>
      <c r="E246" s="301" t="n">
        <v>0.17</v>
      </c>
      <c r="F246" s="301" t="n">
        <v>0.0643857126822906</v>
      </c>
      <c r="O246" s="299"/>
      <c r="V246" s="310" t="n">
        <v>0</v>
      </c>
      <c r="W246" s="299" t="n">
        <v>0.235</v>
      </c>
      <c r="X246" s="299" t="n">
        <v>0.34</v>
      </c>
      <c r="Y246" s="299" t="n">
        <v>0</v>
      </c>
      <c r="Z246" s="299" t="n">
        <v>-0.0155</v>
      </c>
      <c r="AA246" s="299" t="n">
        <v>0.0195</v>
      </c>
      <c r="AB246" s="299" t="n">
        <v>0.0045</v>
      </c>
      <c r="AC246" s="299" t="n">
        <v>0</v>
      </c>
      <c r="AD246" s="299" t="n">
        <v>0</v>
      </c>
      <c r="AE246" s="299" t="n">
        <v>0</v>
      </c>
      <c r="AF246" s="299" t="n">
        <v>0</v>
      </c>
      <c r="AG246" s="299" t="n">
        <v>0</v>
      </c>
      <c r="AH246" s="299" t="n">
        <v>0</v>
      </c>
      <c r="AI246" s="299" t="n">
        <v>0</v>
      </c>
      <c r="AK246" s="299" t="n">
        <v>0</v>
      </c>
      <c r="AL246" s="299" t="n">
        <v>0</v>
      </c>
      <c r="AM246" s="299" t="n">
        <v>1.6</v>
      </c>
      <c r="AN246" s="299" t="n">
        <v>-0.0475</v>
      </c>
      <c r="AO246" s="299" t="n">
        <v>0</v>
      </c>
      <c r="AP246" s="299" t="n">
        <v>-0.07</v>
      </c>
      <c r="AQ246" s="299" t="n">
        <v>0</v>
      </c>
      <c r="AS246" s="299" t="n">
        <v>0</v>
      </c>
      <c r="AT246" s="299" t="n">
        <v>0</v>
      </c>
      <c r="AU246" s="299" t="n">
        <v>0</v>
      </c>
      <c r="AV246" s="299" t="n">
        <v>0</v>
      </c>
      <c r="AW246" s="299" t="n">
        <v>-0.06</v>
      </c>
      <c r="AX246" s="299" t="n">
        <v>-0.06</v>
      </c>
      <c r="AY246" s="299" t="n">
        <v>0</v>
      </c>
      <c r="BA246" s="299" t="n">
        <v>0</v>
      </c>
      <c r="BB246" s="299" t="n">
        <v>0</v>
      </c>
      <c r="BD246" s="299" t="n">
        <v>-0.0775</v>
      </c>
      <c r="BE246" s="299" t="n">
        <v>0</v>
      </c>
      <c r="BF246" s="299" t="n">
        <v>0</v>
      </c>
      <c r="BJ246" s="299" t="n">
        <v>1.04</v>
      </c>
      <c r="BK246" s="299" t="n">
        <v>0</v>
      </c>
      <c r="BL246" s="299" t="n">
        <v>-0.025</v>
      </c>
      <c r="BM246" s="299" t="n">
        <v>0.005</v>
      </c>
      <c r="BO246" s="299" t="n">
        <v>0</v>
      </c>
      <c r="BP246" s="299" t="n">
        <v>0</v>
      </c>
      <c r="BQ246" s="299" t="n">
        <v>0</v>
      </c>
      <c r="BR246" s="299" t="n">
        <v>0.45</v>
      </c>
      <c r="BS246" s="0"/>
      <c r="BT246" s="0" t="n">
        <v>0</v>
      </c>
      <c r="BU246" s="0" t="n">
        <v>0</v>
      </c>
      <c r="BV246" s="0" t="n">
        <v>0</v>
      </c>
    </row>
    <row r="247" customFormat="false" ht="12.75" hidden="false" customHeight="false" outlineLevel="0" collapsed="false">
      <c r="A247" s="301"/>
      <c r="B247" s="301" t="n">
        <v>4.433</v>
      </c>
      <c r="C247" s="308" t="n">
        <f aca="false">EOMONTH(C246,0)+1</f>
        <v>44593</v>
      </c>
      <c r="D247" s="0" t="n">
        <v>4.9775</v>
      </c>
      <c r="E247" s="301" t="n">
        <v>0.17</v>
      </c>
      <c r="F247" s="301" t="n">
        <v>0.0643788706009043</v>
      </c>
      <c r="O247" s="299"/>
      <c r="V247" s="310" t="n">
        <v>0</v>
      </c>
      <c r="W247" s="299" t="n">
        <v>0.235</v>
      </c>
      <c r="X247" s="299" t="n">
        <v>0.34</v>
      </c>
      <c r="Y247" s="299" t="n">
        <v>0</v>
      </c>
      <c r="Z247" s="299" t="n">
        <v>-0.0155</v>
      </c>
      <c r="AA247" s="299" t="n">
        <v>0.0195</v>
      </c>
      <c r="AB247" s="299" t="n">
        <v>0.0045</v>
      </c>
      <c r="AC247" s="299" t="n">
        <v>0</v>
      </c>
      <c r="AD247" s="299" t="n">
        <v>0</v>
      </c>
      <c r="AE247" s="299" t="n">
        <v>0</v>
      </c>
      <c r="AF247" s="299" t="n">
        <v>0</v>
      </c>
      <c r="AG247" s="299" t="n">
        <v>0</v>
      </c>
      <c r="AH247" s="299" t="n">
        <v>0</v>
      </c>
      <c r="AI247" s="299" t="n">
        <v>0</v>
      </c>
      <c r="AK247" s="299" t="n">
        <v>0</v>
      </c>
      <c r="AL247" s="299" t="n">
        <v>0</v>
      </c>
      <c r="AM247" s="299" t="n">
        <v>1.6</v>
      </c>
      <c r="AN247" s="299" t="n">
        <v>-0.03</v>
      </c>
      <c r="AO247" s="299" t="n">
        <v>0</v>
      </c>
      <c r="AP247" s="299" t="n">
        <v>-0.07</v>
      </c>
      <c r="AQ247" s="299" t="n">
        <v>0</v>
      </c>
      <c r="AS247" s="299" t="n">
        <v>0</v>
      </c>
      <c r="AT247" s="299" t="n">
        <v>0</v>
      </c>
      <c r="AU247" s="299" t="n">
        <v>0</v>
      </c>
      <c r="AV247" s="299" t="n">
        <v>0</v>
      </c>
      <c r="AW247" s="299" t="n">
        <v>-0.06</v>
      </c>
      <c r="AX247" s="299" t="n">
        <v>-0.06</v>
      </c>
      <c r="AY247" s="299" t="n">
        <v>0</v>
      </c>
      <c r="BA247" s="299" t="n">
        <v>0</v>
      </c>
      <c r="BB247" s="299" t="n">
        <v>0</v>
      </c>
      <c r="BD247" s="299" t="n">
        <v>-0.06</v>
      </c>
      <c r="BE247" s="299" t="n">
        <v>0</v>
      </c>
      <c r="BF247" s="299" t="n">
        <v>0</v>
      </c>
      <c r="BJ247" s="299" t="n">
        <v>1.04</v>
      </c>
      <c r="BK247" s="299" t="n">
        <v>0</v>
      </c>
      <c r="BL247" s="299" t="n">
        <v>-0.025</v>
      </c>
      <c r="BM247" s="299" t="n">
        <v>0.005</v>
      </c>
      <c r="BO247" s="299" t="n">
        <v>0</v>
      </c>
      <c r="BP247" s="299" t="n">
        <v>0</v>
      </c>
      <c r="BQ247" s="299" t="n">
        <v>0</v>
      </c>
      <c r="BR247" s="299" t="n">
        <v>0.45</v>
      </c>
      <c r="BS247" s="0"/>
      <c r="BT247" s="0" t="n">
        <v>0</v>
      </c>
      <c r="BU247" s="0" t="n">
        <v>0</v>
      </c>
      <c r="BV247" s="0" t="n">
        <v>0</v>
      </c>
    </row>
    <row r="248" customFormat="false" ht="12.75" hidden="false" customHeight="false" outlineLevel="0" collapsed="false">
      <c r="A248" s="301"/>
      <c r="B248" s="301" t="n">
        <v>4.406</v>
      </c>
      <c r="C248" s="308" t="n">
        <f aca="false">EOMONTH(C247,0)+1</f>
        <v>44621</v>
      </c>
      <c r="D248" s="0" t="n">
        <v>4.8475</v>
      </c>
      <c r="E248" s="301" t="n">
        <v>0.17</v>
      </c>
      <c r="F248" s="301" t="n">
        <v>0.0643726906564397</v>
      </c>
      <c r="O248" s="299"/>
      <c r="V248" s="310" t="n">
        <v>0</v>
      </c>
      <c r="W248" s="299" t="n">
        <v>0.195</v>
      </c>
      <c r="X248" s="299" t="n">
        <v>0.29</v>
      </c>
      <c r="Y248" s="299" t="n">
        <v>0</v>
      </c>
      <c r="Z248" s="299" t="n">
        <v>-0.0155</v>
      </c>
      <c r="AA248" s="299" t="n">
        <v>0.027</v>
      </c>
      <c r="AB248" s="299" t="n">
        <v>0.012</v>
      </c>
      <c r="AC248" s="299" t="n">
        <v>0</v>
      </c>
      <c r="AD248" s="299" t="n">
        <v>0</v>
      </c>
      <c r="AE248" s="299" t="n">
        <v>0</v>
      </c>
      <c r="AF248" s="299" t="n">
        <v>0</v>
      </c>
      <c r="AG248" s="299" t="n">
        <v>0</v>
      </c>
      <c r="AH248" s="299" t="n">
        <v>0</v>
      </c>
      <c r="AI248" s="299" t="n">
        <v>0</v>
      </c>
      <c r="AK248" s="299" t="n">
        <v>0</v>
      </c>
      <c r="AL248" s="299" t="n">
        <v>0</v>
      </c>
      <c r="AM248" s="299" t="n">
        <v>0.64</v>
      </c>
      <c r="AN248" s="299" t="n">
        <v>-0.0175</v>
      </c>
      <c r="AO248" s="299" t="n">
        <v>0</v>
      </c>
      <c r="AP248" s="299" t="n">
        <v>-0.07</v>
      </c>
      <c r="AQ248" s="299" t="n">
        <v>0</v>
      </c>
      <c r="AS248" s="299" t="n">
        <v>0</v>
      </c>
      <c r="AT248" s="299" t="n">
        <v>0</v>
      </c>
      <c r="AU248" s="299" t="n">
        <v>0</v>
      </c>
      <c r="AV248" s="299" t="n">
        <v>0</v>
      </c>
      <c r="AW248" s="299" t="n">
        <v>-0.06</v>
      </c>
      <c r="AX248" s="299" t="n">
        <v>-0.06</v>
      </c>
      <c r="AY248" s="299" t="n">
        <v>0</v>
      </c>
      <c r="BA248" s="299" t="n">
        <v>0</v>
      </c>
      <c r="BB248" s="299" t="n">
        <v>0</v>
      </c>
      <c r="BD248" s="299" t="n">
        <v>-0.0475</v>
      </c>
      <c r="BE248" s="299" t="n">
        <v>0</v>
      </c>
      <c r="BF248" s="299" t="n">
        <v>0</v>
      </c>
      <c r="BJ248" s="299" t="n">
        <v>0.54</v>
      </c>
      <c r="BK248" s="299" t="n">
        <v>0</v>
      </c>
      <c r="BL248" s="299" t="n">
        <v>-0.02</v>
      </c>
      <c r="BM248" s="299" t="n">
        <v>0.005</v>
      </c>
      <c r="BO248" s="299" t="n">
        <v>0</v>
      </c>
      <c r="BP248" s="299" t="n">
        <v>0</v>
      </c>
      <c r="BQ248" s="299" t="n">
        <v>0</v>
      </c>
      <c r="BR248" s="299" t="n">
        <v>0.1</v>
      </c>
      <c r="BS248" s="0"/>
      <c r="BT248" s="0" t="n">
        <v>0</v>
      </c>
      <c r="BU248" s="0" t="n">
        <v>0</v>
      </c>
      <c r="BV248" s="0" t="n">
        <v>0</v>
      </c>
    </row>
    <row r="249" customFormat="false" ht="12.75" hidden="false" customHeight="false" outlineLevel="0" collapsed="false">
      <c r="A249" s="301"/>
      <c r="B249" s="301" t="n">
        <v>4.407</v>
      </c>
      <c r="C249" s="308" t="n">
        <f aca="false">EOMONTH(C248,0)+1</f>
        <v>44652</v>
      </c>
      <c r="D249" s="0" t="n">
        <v>4.6625</v>
      </c>
      <c r="E249" s="301" t="n">
        <v>0.17</v>
      </c>
      <c r="F249" s="301" t="n">
        <v>0.0643658485750831</v>
      </c>
      <c r="O249" s="299"/>
      <c r="V249" s="310" t="n">
        <v>0</v>
      </c>
      <c r="W249" s="299" t="n">
        <v>0.145</v>
      </c>
      <c r="X249" s="299" t="n">
        <v>0.195</v>
      </c>
      <c r="Y249" s="299" t="n">
        <v>0</v>
      </c>
      <c r="Z249" s="299" t="n">
        <v>-0.0305</v>
      </c>
      <c r="AA249" s="299" t="n">
        <v>0.027</v>
      </c>
      <c r="AB249" s="299" t="n">
        <v>0.012</v>
      </c>
      <c r="AC249" s="299" t="n">
        <v>0</v>
      </c>
      <c r="AD249" s="299" t="n">
        <v>0</v>
      </c>
      <c r="AE249" s="299" t="n">
        <v>0</v>
      </c>
      <c r="AF249" s="299" t="n">
        <v>0</v>
      </c>
      <c r="AG249" s="299" t="n">
        <v>0</v>
      </c>
      <c r="AH249" s="299" t="n">
        <v>0</v>
      </c>
      <c r="AI249" s="299" t="n">
        <v>0</v>
      </c>
      <c r="AK249" s="299" t="n">
        <v>0</v>
      </c>
      <c r="AL249" s="299" t="n">
        <v>0</v>
      </c>
      <c r="AM249" s="299" t="n">
        <v>0.38</v>
      </c>
      <c r="AN249" s="299" t="n">
        <v>0.02</v>
      </c>
      <c r="AO249" s="299" t="n">
        <v>0</v>
      </c>
      <c r="AP249" s="299" t="n">
        <v>-0.07</v>
      </c>
      <c r="AQ249" s="299" t="n">
        <v>0</v>
      </c>
      <c r="AS249" s="299" t="n">
        <v>0</v>
      </c>
      <c r="AT249" s="299" t="n">
        <v>0</v>
      </c>
      <c r="AU249" s="299" t="n">
        <v>0</v>
      </c>
      <c r="AV249" s="299" t="n">
        <v>0</v>
      </c>
      <c r="AW249" s="299" t="n">
        <v>-0.06</v>
      </c>
      <c r="AX249" s="299" t="n">
        <v>-0.06</v>
      </c>
      <c r="AY249" s="299" t="n">
        <v>0</v>
      </c>
      <c r="BA249" s="299" t="n">
        <v>0</v>
      </c>
      <c r="BB249" s="299" t="n">
        <v>0</v>
      </c>
      <c r="BD249" s="299" t="n">
        <v>-0.01</v>
      </c>
      <c r="BE249" s="299" t="n">
        <v>0</v>
      </c>
      <c r="BF249" s="299" t="n">
        <v>0</v>
      </c>
      <c r="BJ249" s="299" t="n">
        <v>0.36</v>
      </c>
      <c r="BK249" s="299" t="n">
        <v>0</v>
      </c>
      <c r="BL249" s="299" t="n">
        <v>-0.015</v>
      </c>
      <c r="BM249" s="299" t="n">
        <v>0.005</v>
      </c>
      <c r="BO249" s="299" t="n">
        <v>0</v>
      </c>
      <c r="BP249" s="299" t="n">
        <v>0</v>
      </c>
      <c r="BQ249" s="299" t="n">
        <v>0</v>
      </c>
      <c r="BR249" s="299" t="n">
        <v>0.02</v>
      </c>
      <c r="BS249" s="0"/>
      <c r="BT249" s="0" t="n">
        <v>0</v>
      </c>
      <c r="BU249" s="0" t="n">
        <v>0</v>
      </c>
      <c r="BV249" s="0" t="n">
        <v>0</v>
      </c>
    </row>
    <row r="250" customFormat="false" ht="12.75" hidden="false" customHeight="false" outlineLevel="0" collapsed="false">
      <c r="A250" s="301"/>
      <c r="B250" s="301" t="n">
        <v>4.434</v>
      </c>
      <c r="C250" s="308" t="n">
        <f aca="false">EOMONTH(C249,0)+1</f>
        <v>44682</v>
      </c>
      <c r="D250" s="0" t="n">
        <v>4.6575</v>
      </c>
      <c r="E250" s="301" t="n">
        <v>0.17</v>
      </c>
      <c r="F250" s="301" t="n">
        <v>0.0643592272060429</v>
      </c>
      <c r="O250" s="299"/>
      <c r="V250" s="310" t="n">
        <v>0</v>
      </c>
      <c r="W250" s="299" t="n">
        <v>0.125</v>
      </c>
      <c r="X250" s="299" t="n">
        <v>0.135</v>
      </c>
      <c r="Y250" s="299" t="n">
        <v>0</v>
      </c>
      <c r="Z250" s="299" t="n">
        <v>-0.0305</v>
      </c>
      <c r="AA250" s="299" t="n">
        <v>0.0295</v>
      </c>
      <c r="AB250" s="299" t="n">
        <v>0.0145</v>
      </c>
      <c r="AC250" s="299" t="n">
        <v>0</v>
      </c>
      <c r="AD250" s="299" t="n">
        <v>0</v>
      </c>
      <c r="AE250" s="299" t="n">
        <v>0</v>
      </c>
      <c r="AF250" s="299" t="n">
        <v>0</v>
      </c>
      <c r="AG250" s="299" t="n">
        <v>0</v>
      </c>
      <c r="AH250" s="299" t="n">
        <v>0</v>
      </c>
      <c r="AI250" s="299" t="n">
        <v>0</v>
      </c>
      <c r="AK250" s="299" t="n">
        <v>0</v>
      </c>
      <c r="AL250" s="299" t="n">
        <v>0</v>
      </c>
      <c r="AM250" s="299" t="n">
        <v>0.33</v>
      </c>
      <c r="AN250" s="299" t="n">
        <v>0.02</v>
      </c>
      <c r="AO250" s="299" t="n">
        <v>0</v>
      </c>
      <c r="AP250" s="299" t="n">
        <v>-0.07</v>
      </c>
      <c r="AQ250" s="299" t="n">
        <v>0</v>
      </c>
      <c r="AS250" s="299" t="n">
        <v>0</v>
      </c>
      <c r="AT250" s="299" t="n">
        <v>0</v>
      </c>
      <c r="AU250" s="299" t="n">
        <v>0</v>
      </c>
      <c r="AV250" s="299" t="n">
        <v>0</v>
      </c>
      <c r="AW250" s="299" t="n">
        <v>-0.06</v>
      </c>
      <c r="AX250" s="299" t="n">
        <v>-0.06</v>
      </c>
      <c r="AY250" s="299" t="n">
        <v>0</v>
      </c>
      <c r="BA250" s="299" t="n">
        <v>0</v>
      </c>
      <c r="BB250" s="299" t="n">
        <v>0</v>
      </c>
      <c r="BD250" s="299" t="n">
        <v>-0.01</v>
      </c>
      <c r="BE250" s="299" t="n">
        <v>0</v>
      </c>
      <c r="BF250" s="299" t="n">
        <v>0</v>
      </c>
      <c r="BJ250" s="299" t="n">
        <v>0.325</v>
      </c>
      <c r="BK250" s="299" t="n">
        <v>0</v>
      </c>
      <c r="BL250" s="299" t="n">
        <v>-0.015</v>
      </c>
      <c r="BM250" s="299" t="n">
        <v>0.005</v>
      </c>
      <c r="BO250" s="299" t="n">
        <v>0</v>
      </c>
      <c r="BP250" s="299" t="n">
        <v>0</v>
      </c>
      <c r="BQ250" s="299" t="n">
        <v>0</v>
      </c>
      <c r="BR250" s="299" t="n">
        <v>0.02</v>
      </c>
      <c r="BS250" s="0"/>
      <c r="BT250" s="0" t="n">
        <v>0</v>
      </c>
      <c r="BU250" s="0" t="n">
        <v>0</v>
      </c>
      <c r="BV250" s="0" t="n">
        <v>0</v>
      </c>
    </row>
    <row r="251" customFormat="false" ht="12.75" hidden="false" customHeight="false" outlineLevel="0" collapsed="false">
      <c r="A251" s="301"/>
      <c r="B251" s="301" t="n">
        <v>4.492</v>
      </c>
      <c r="C251" s="308" t="n">
        <f aca="false">EOMONTH(C250,0)+1</f>
        <v>44713</v>
      </c>
      <c r="D251" s="0" t="n">
        <v>4.6925</v>
      </c>
      <c r="E251" s="301" t="n">
        <v>0.17</v>
      </c>
      <c r="F251" s="301" t="n">
        <v>0.064352385124717</v>
      </c>
      <c r="O251" s="299"/>
      <c r="V251" s="310" t="n">
        <v>0</v>
      </c>
      <c r="W251" s="299" t="n">
        <v>0.145</v>
      </c>
      <c r="X251" s="299" t="n">
        <v>0.165</v>
      </c>
      <c r="Y251" s="299" t="n">
        <v>0</v>
      </c>
      <c r="Z251" s="299" t="n">
        <v>-0.028</v>
      </c>
      <c r="AA251" s="299" t="n">
        <v>0.0295</v>
      </c>
      <c r="AB251" s="299" t="n">
        <v>0.0145</v>
      </c>
      <c r="AC251" s="299" t="n">
        <v>0</v>
      </c>
      <c r="AD251" s="299" t="n">
        <v>0</v>
      </c>
      <c r="AE251" s="299" t="n">
        <v>0</v>
      </c>
      <c r="AF251" s="299" t="n">
        <v>0</v>
      </c>
      <c r="AG251" s="299" t="n">
        <v>0</v>
      </c>
      <c r="AH251" s="299" t="n">
        <v>0</v>
      </c>
      <c r="AI251" s="299" t="n">
        <v>0</v>
      </c>
      <c r="AK251" s="299" t="n">
        <v>0</v>
      </c>
      <c r="AL251" s="299" t="n">
        <v>0</v>
      </c>
      <c r="AM251" s="299" t="n">
        <v>0.37</v>
      </c>
      <c r="AN251" s="299" t="n">
        <v>0.025</v>
      </c>
      <c r="AO251" s="299" t="n">
        <v>0</v>
      </c>
      <c r="AP251" s="299" t="n">
        <v>-0.07</v>
      </c>
      <c r="AQ251" s="299" t="n">
        <v>0</v>
      </c>
      <c r="AS251" s="299" t="n">
        <v>0</v>
      </c>
      <c r="AT251" s="299" t="n">
        <v>0</v>
      </c>
      <c r="AU251" s="299" t="n">
        <v>0</v>
      </c>
      <c r="AV251" s="299" t="n">
        <v>0</v>
      </c>
      <c r="AW251" s="299" t="n">
        <v>-0.06</v>
      </c>
      <c r="AX251" s="299" t="n">
        <v>-0.06</v>
      </c>
      <c r="AY251" s="299" t="n">
        <v>0</v>
      </c>
      <c r="BA251" s="299" t="n">
        <v>0</v>
      </c>
      <c r="BB251" s="299" t="n">
        <v>0</v>
      </c>
      <c r="BD251" s="299" t="n">
        <v>-0.005</v>
      </c>
      <c r="BE251" s="299" t="n">
        <v>0</v>
      </c>
      <c r="BF251" s="299" t="n">
        <v>0</v>
      </c>
      <c r="BJ251" s="299" t="n">
        <v>0.335</v>
      </c>
      <c r="BK251" s="299" t="n">
        <v>0</v>
      </c>
      <c r="BL251" s="299" t="n">
        <v>-0.015</v>
      </c>
      <c r="BM251" s="299" t="n">
        <v>0.005</v>
      </c>
      <c r="BO251" s="299" t="n">
        <v>0</v>
      </c>
      <c r="BP251" s="299" t="n">
        <v>0</v>
      </c>
      <c r="BQ251" s="299" t="n">
        <v>0</v>
      </c>
      <c r="BR251" s="299" t="n">
        <v>0.035</v>
      </c>
      <c r="BS251" s="0"/>
      <c r="BT251" s="0" t="n">
        <v>0</v>
      </c>
      <c r="BU251" s="0" t="n">
        <v>0</v>
      </c>
      <c r="BV251" s="0" t="n">
        <v>0</v>
      </c>
    </row>
    <row r="252" customFormat="false" ht="12.75" hidden="false" customHeight="false" outlineLevel="0" collapsed="false">
      <c r="A252" s="301"/>
      <c r="B252" s="301" t="n">
        <v>4.754</v>
      </c>
      <c r="C252" s="308" t="n">
        <f aca="false">EOMONTH(C251,0)+1</f>
        <v>44743</v>
      </c>
      <c r="D252" s="0" t="n">
        <v>4.7325</v>
      </c>
      <c r="E252" s="301" t="n">
        <v>0.17</v>
      </c>
      <c r="F252" s="301" t="n">
        <v>0.0643457637557066</v>
      </c>
      <c r="O252" s="299"/>
      <c r="V252" s="310" t="n">
        <v>0</v>
      </c>
      <c r="W252" s="299" t="n">
        <v>0.15</v>
      </c>
      <c r="X252" s="299" t="n">
        <v>0.205</v>
      </c>
      <c r="Y252" s="299" t="n">
        <v>0</v>
      </c>
      <c r="Z252" s="299" t="n">
        <v>-0.028</v>
      </c>
      <c r="AA252" s="299" t="n">
        <v>0.0295</v>
      </c>
      <c r="AB252" s="299" t="n">
        <v>0.0145</v>
      </c>
      <c r="AC252" s="299" t="n">
        <v>0</v>
      </c>
      <c r="AD252" s="299" t="n">
        <v>0</v>
      </c>
      <c r="AE252" s="299" t="n">
        <v>0</v>
      </c>
      <c r="AF252" s="299" t="n">
        <v>0</v>
      </c>
      <c r="AG252" s="299" t="n">
        <v>0</v>
      </c>
      <c r="AH252" s="299" t="n">
        <v>0</v>
      </c>
      <c r="AI252" s="299" t="n">
        <v>0</v>
      </c>
      <c r="AK252" s="299" t="n">
        <v>0</v>
      </c>
      <c r="AL252" s="299" t="n">
        <v>0</v>
      </c>
      <c r="AM252" s="299" t="n">
        <v>0.41</v>
      </c>
      <c r="AN252" s="299" t="n">
        <v>0.0275</v>
      </c>
      <c r="AO252" s="299" t="n">
        <v>0</v>
      </c>
      <c r="AP252" s="299" t="n">
        <v>-0.07</v>
      </c>
      <c r="AQ252" s="299" t="n">
        <v>0</v>
      </c>
      <c r="AS252" s="299" t="n">
        <v>0</v>
      </c>
      <c r="AT252" s="299" t="n">
        <v>0</v>
      </c>
      <c r="AU252" s="299" t="n">
        <v>0</v>
      </c>
      <c r="AV252" s="299" t="n">
        <v>0</v>
      </c>
      <c r="AW252" s="299" t="n">
        <v>-0.06</v>
      </c>
      <c r="AX252" s="299" t="n">
        <v>-0.06</v>
      </c>
      <c r="AY252" s="299" t="n">
        <v>0</v>
      </c>
      <c r="BA252" s="299" t="n">
        <v>0</v>
      </c>
      <c r="BB252" s="299" t="n">
        <v>0</v>
      </c>
      <c r="BD252" s="299" t="n">
        <v>-0.0025</v>
      </c>
      <c r="BE252" s="299" t="n">
        <v>0</v>
      </c>
      <c r="BF252" s="299" t="n">
        <v>0</v>
      </c>
      <c r="BJ252" s="299" t="n">
        <v>0.35</v>
      </c>
      <c r="BK252" s="299" t="n">
        <v>0</v>
      </c>
      <c r="BL252" s="299" t="n">
        <v>-0.01</v>
      </c>
      <c r="BM252" s="299" t="n">
        <v>0.005</v>
      </c>
      <c r="BO252" s="299" t="n">
        <v>0</v>
      </c>
      <c r="BP252" s="299" t="n">
        <v>0</v>
      </c>
      <c r="BQ252" s="299" t="n">
        <v>0</v>
      </c>
      <c r="BR252" s="299" t="n">
        <v>0.035</v>
      </c>
      <c r="BS252" s="0"/>
      <c r="BT252" s="0" t="n">
        <v>0</v>
      </c>
      <c r="BU252" s="0" t="n">
        <v>0</v>
      </c>
      <c r="BV252" s="0" t="n">
        <v>0</v>
      </c>
    </row>
    <row r="253" customFormat="false" ht="12.75" hidden="false" customHeight="false" outlineLevel="0" collapsed="false">
      <c r="A253" s="301"/>
      <c r="B253" s="301" t="n">
        <v>4.699</v>
      </c>
      <c r="C253" s="308" t="n">
        <f aca="false">EOMONTH(C252,0)+1</f>
        <v>44774</v>
      </c>
      <c r="D253" s="0" t="n">
        <v>4.7725</v>
      </c>
      <c r="E253" s="301" t="n">
        <v>0.17</v>
      </c>
      <c r="F253" s="301" t="n">
        <v>0.0643389216744112</v>
      </c>
      <c r="O253" s="299"/>
      <c r="V253" s="310" t="n">
        <v>0</v>
      </c>
      <c r="W253" s="299" t="n">
        <v>0.15</v>
      </c>
      <c r="X253" s="299" t="n">
        <v>0.205</v>
      </c>
      <c r="Y253" s="299" t="n">
        <v>0</v>
      </c>
      <c r="Z253" s="299" t="n">
        <v>-0.028</v>
      </c>
      <c r="AA253" s="299" t="n">
        <v>0.0245</v>
      </c>
      <c r="AB253" s="299" t="n">
        <v>0.0095</v>
      </c>
      <c r="AC253" s="299" t="n">
        <v>0</v>
      </c>
      <c r="AD253" s="299" t="n">
        <v>0</v>
      </c>
      <c r="AE253" s="299" t="n">
        <v>0</v>
      </c>
      <c r="AF253" s="299" t="n">
        <v>0</v>
      </c>
      <c r="AG253" s="299" t="n">
        <v>0</v>
      </c>
      <c r="AH253" s="299" t="n">
        <v>0</v>
      </c>
      <c r="AI253" s="299" t="n">
        <v>0</v>
      </c>
      <c r="AK253" s="299" t="n">
        <v>0</v>
      </c>
      <c r="AL253" s="299" t="n">
        <v>0</v>
      </c>
      <c r="AM253" s="299" t="n">
        <v>0.41</v>
      </c>
      <c r="AN253" s="299" t="n">
        <v>0.03</v>
      </c>
      <c r="AO253" s="299" t="n">
        <v>0</v>
      </c>
      <c r="AP253" s="299" t="n">
        <v>-0.07</v>
      </c>
      <c r="AQ253" s="299" t="n">
        <v>0</v>
      </c>
      <c r="AS253" s="299" t="n">
        <v>0</v>
      </c>
      <c r="AT253" s="299" t="n">
        <v>0</v>
      </c>
      <c r="AU253" s="299" t="n">
        <v>0</v>
      </c>
      <c r="AV253" s="299" t="n">
        <v>0</v>
      </c>
      <c r="AW253" s="299" t="n">
        <v>-0.06</v>
      </c>
      <c r="AX253" s="299" t="n">
        <v>-0.06</v>
      </c>
      <c r="AY253" s="299" t="n">
        <v>0</v>
      </c>
      <c r="BA253" s="299" t="n">
        <v>0</v>
      </c>
      <c r="BB253" s="299" t="n">
        <v>0</v>
      </c>
      <c r="BD253" s="299" t="n">
        <v>0</v>
      </c>
      <c r="BE253" s="299" t="n">
        <v>0</v>
      </c>
      <c r="BF253" s="299" t="n">
        <v>0</v>
      </c>
      <c r="BJ253" s="299" t="n">
        <v>0.35</v>
      </c>
      <c r="BK253" s="299" t="n">
        <v>0</v>
      </c>
      <c r="BL253" s="299" t="n">
        <v>-0.01</v>
      </c>
      <c r="BM253" s="299" t="n">
        <v>0.005</v>
      </c>
      <c r="BO253" s="299" t="n">
        <v>0</v>
      </c>
      <c r="BP253" s="299" t="n">
        <v>0</v>
      </c>
      <c r="BQ253" s="299" t="n">
        <v>0</v>
      </c>
      <c r="BR253" s="299" t="n">
        <v>0.01</v>
      </c>
      <c r="BS253" s="0"/>
      <c r="BT253" s="0" t="n">
        <v>0</v>
      </c>
      <c r="BU253" s="0" t="n">
        <v>0</v>
      </c>
      <c r="BV253" s="0" t="n">
        <v>0</v>
      </c>
    </row>
    <row r="254" customFormat="false" ht="12.75" hidden="false" customHeight="false" outlineLevel="0" collapsed="false">
      <c r="A254" s="301"/>
      <c r="B254" s="301" t="n">
        <v>4.595</v>
      </c>
      <c r="C254" s="308" t="n">
        <f aca="false">EOMONTH(C253,0)+1</f>
        <v>44805</v>
      </c>
      <c r="D254" s="0" t="n">
        <v>4.7675</v>
      </c>
      <c r="E254" s="301" t="n">
        <v>0.17</v>
      </c>
      <c r="F254" s="301" t="n">
        <v>0.064332079593131</v>
      </c>
      <c r="O254" s="299"/>
      <c r="V254" s="310" t="n">
        <v>0</v>
      </c>
      <c r="W254" s="299" t="n">
        <v>0.125</v>
      </c>
      <c r="X254" s="299" t="n">
        <v>0.145</v>
      </c>
      <c r="Y254" s="299" t="n">
        <v>0</v>
      </c>
      <c r="Z254" s="299" t="n">
        <v>-0.033</v>
      </c>
      <c r="AA254" s="299" t="n">
        <v>0.0245</v>
      </c>
      <c r="AB254" s="299" t="n">
        <v>0.0095</v>
      </c>
      <c r="AC254" s="299" t="n">
        <v>0</v>
      </c>
      <c r="AD254" s="299" t="n">
        <v>0</v>
      </c>
      <c r="AE254" s="299" t="n">
        <v>0</v>
      </c>
      <c r="AF254" s="299" t="n">
        <v>0</v>
      </c>
      <c r="AG254" s="299" t="n">
        <v>0</v>
      </c>
      <c r="AH254" s="299" t="n">
        <v>0</v>
      </c>
      <c r="AI254" s="299" t="n">
        <v>0</v>
      </c>
      <c r="AK254" s="299" t="n">
        <v>0</v>
      </c>
      <c r="AL254" s="299" t="n">
        <v>0</v>
      </c>
      <c r="AM254" s="299" t="n">
        <v>0.36</v>
      </c>
      <c r="AN254" s="299" t="n">
        <v>0.0225</v>
      </c>
      <c r="AO254" s="299" t="n">
        <v>0</v>
      </c>
      <c r="AP254" s="299" t="n">
        <v>-0.07</v>
      </c>
      <c r="AQ254" s="299" t="n">
        <v>0</v>
      </c>
      <c r="AS254" s="299" t="n">
        <v>0</v>
      </c>
      <c r="AT254" s="299" t="n">
        <v>0</v>
      </c>
      <c r="AU254" s="299" t="n">
        <v>0</v>
      </c>
      <c r="AV254" s="299" t="n">
        <v>0</v>
      </c>
      <c r="AW254" s="299" t="n">
        <v>-0.06</v>
      </c>
      <c r="AX254" s="299" t="n">
        <v>-0.06</v>
      </c>
      <c r="AY254" s="299" t="n">
        <v>0</v>
      </c>
      <c r="BA254" s="299" t="n">
        <v>0</v>
      </c>
      <c r="BB254" s="299" t="n">
        <v>0</v>
      </c>
      <c r="BD254" s="299" t="n">
        <v>-0.0075</v>
      </c>
      <c r="BE254" s="299" t="n">
        <v>0</v>
      </c>
      <c r="BF254" s="299" t="n">
        <v>0</v>
      </c>
      <c r="BJ254" s="299" t="n">
        <v>0.315</v>
      </c>
      <c r="BK254" s="299" t="n">
        <v>0</v>
      </c>
      <c r="BL254" s="299" t="n">
        <v>-0.01</v>
      </c>
      <c r="BM254" s="299" t="n">
        <v>0.005</v>
      </c>
      <c r="BO254" s="299" t="n">
        <v>0</v>
      </c>
      <c r="BP254" s="299" t="n">
        <v>0</v>
      </c>
      <c r="BQ254" s="299" t="n">
        <v>0</v>
      </c>
      <c r="BR254" s="299" t="n">
        <v>0.01</v>
      </c>
      <c r="BS254" s="0"/>
      <c r="BT254" s="0" t="n">
        <v>0</v>
      </c>
      <c r="BU254" s="0" t="n">
        <v>0</v>
      </c>
      <c r="BV254" s="0" t="n">
        <v>0</v>
      </c>
    </row>
    <row r="255" customFormat="false" ht="12.75" hidden="false" customHeight="false" outlineLevel="0" collapsed="false">
      <c r="A255" s="301"/>
      <c r="B255" s="301" t="n">
        <v>4.494</v>
      </c>
      <c r="C255" s="308" t="n">
        <f aca="false">EOMONTH(C254,0)+1</f>
        <v>44835</v>
      </c>
      <c r="D255" s="0" t="n">
        <v>4.7925</v>
      </c>
      <c r="E255" s="301" t="n">
        <v>0.17</v>
      </c>
      <c r="F255" s="301" t="n">
        <v>0.064325458224165</v>
      </c>
      <c r="O255" s="299"/>
      <c r="V255" s="310" t="n">
        <v>0</v>
      </c>
      <c r="W255" s="299" t="n">
        <v>0.145</v>
      </c>
      <c r="X255" s="299" t="n">
        <v>0.175</v>
      </c>
      <c r="Y255" s="299" t="n">
        <v>0</v>
      </c>
      <c r="Z255" s="299" t="n">
        <v>-0.033</v>
      </c>
      <c r="AA255" s="299" t="n">
        <v>0.0195</v>
      </c>
      <c r="AB255" s="299" t="n">
        <v>0.0045</v>
      </c>
      <c r="AC255" s="299" t="n">
        <v>0</v>
      </c>
      <c r="AD255" s="299" t="n">
        <v>0</v>
      </c>
      <c r="AE255" s="299" t="n">
        <v>0</v>
      </c>
      <c r="AF255" s="299" t="n">
        <v>0</v>
      </c>
      <c r="AG255" s="299" t="n">
        <v>0</v>
      </c>
      <c r="AH255" s="299" t="n">
        <v>0</v>
      </c>
      <c r="AI255" s="299" t="n">
        <v>0</v>
      </c>
      <c r="AK255" s="299" t="n">
        <v>0</v>
      </c>
      <c r="AL255" s="299" t="n">
        <v>0</v>
      </c>
      <c r="AM255" s="299" t="n">
        <v>0.4</v>
      </c>
      <c r="AN255" s="299" t="n">
        <v>0.0125</v>
      </c>
      <c r="AO255" s="299" t="n">
        <v>0</v>
      </c>
      <c r="AP255" s="299" t="n">
        <v>-0.07</v>
      </c>
      <c r="AQ255" s="299" t="n">
        <v>0</v>
      </c>
      <c r="AS255" s="299" t="n">
        <v>0</v>
      </c>
      <c r="AT255" s="299" t="n">
        <v>0</v>
      </c>
      <c r="AU255" s="299" t="n">
        <v>0</v>
      </c>
      <c r="AV255" s="299" t="n">
        <v>0</v>
      </c>
      <c r="AW255" s="299" t="n">
        <v>-0.06</v>
      </c>
      <c r="AX255" s="299" t="n">
        <v>-0.06</v>
      </c>
      <c r="AY255" s="299" t="n">
        <v>0</v>
      </c>
      <c r="BA255" s="299" t="n">
        <v>0</v>
      </c>
      <c r="BB255" s="299" t="n">
        <v>0</v>
      </c>
      <c r="BD255" s="299" t="n">
        <v>-0.0175</v>
      </c>
      <c r="BE255" s="299" t="n">
        <v>0</v>
      </c>
      <c r="BF255" s="299" t="n">
        <v>0</v>
      </c>
      <c r="BJ255" s="299" t="n">
        <v>0.36</v>
      </c>
      <c r="BK255" s="299" t="n">
        <v>0</v>
      </c>
      <c r="BL255" s="299" t="n">
        <v>-0.015</v>
      </c>
      <c r="BM255" s="299" t="n">
        <v>0.005</v>
      </c>
      <c r="BO255" s="299" t="n">
        <v>0</v>
      </c>
      <c r="BP255" s="299" t="n">
        <v>0</v>
      </c>
      <c r="BQ255" s="299" t="n">
        <v>0</v>
      </c>
      <c r="BR255" s="299" t="n">
        <v>0.01</v>
      </c>
      <c r="BS255" s="0"/>
      <c r="BT255" s="0" t="n">
        <v>0</v>
      </c>
      <c r="BU255" s="0" t="n">
        <v>0</v>
      </c>
      <c r="BV255" s="0" t="n">
        <v>0</v>
      </c>
    </row>
    <row r="256" customFormat="false" ht="12.75" hidden="false" customHeight="false" outlineLevel="0" collapsed="false">
      <c r="A256" s="301"/>
      <c r="B256" s="301" t="n">
        <v>4.484</v>
      </c>
      <c r="C256" s="308" t="n">
        <f aca="false">EOMONTH(C255,0)+1</f>
        <v>44866</v>
      </c>
      <c r="D256" s="0" t="n">
        <v>4.9445</v>
      </c>
      <c r="E256" s="301" t="n">
        <v>0.17</v>
      </c>
      <c r="F256" s="301" t="n">
        <v>0.0643186161429154</v>
      </c>
      <c r="O256" s="299"/>
      <c r="V256" s="310" t="n">
        <v>0</v>
      </c>
      <c r="W256" s="299" t="n">
        <v>0.195</v>
      </c>
      <c r="X256" s="299" t="n">
        <v>0.21</v>
      </c>
      <c r="Y256" s="299" t="n">
        <v>0</v>
      </c>
      <c r="Z256" s="299" t="n">
        <v>-0.014</v>
      </c>
      <c r="AA256" s="299" t="n">
        <v>0.0205</v>
      </c>
      <c r="AB256" s="299" t="n">
        <v>0.0055</v>
      </c>
      <c r="AC256" s="299" t="n">
        <v>0</v>
      </c>
      <c r="AD256" s="299" t="n">
        <v>0</v>
      </c>
      <c r="AE256" s="299" t="n">
        <v>0</v>
      </c>
      <c r="AF256" s="299" t="n">
        <v>0</v>
      </c>
      <c r="AG256" s="299" t="n">
        <v>0</v>
      </c>
      <c r="AH256" s="299" t="n">
        <v>0</v>
      </c>
      <c r="AI256" s="299" t="n">
        <v>0</v>
      </c>
      <c r="AK256" s="299" t="n">
        <v>0</v>
      </c>
      <c r="AL256" s="299" t="n">
        <v>0</v>
      </c>
      <c r="AM256" s="299" t="n">
        <v>0.65</v>
      </c>
      <c r="AN256" s="299" t="n">
        <v>-0.0225</v>
      </c>
      <c r="AO256" s="299" t="n">
        <v>0</v>
      </c>
      <c r="AP256" s="299" t="n">
        <v>-0.07</v>
      </c>
      <c r="AQ256" s="299" t="n">
        <v>0</v>
      </c>
      <c r="AS256" s="299" t="n">
        <v>0</v>
      </c>
      <c r="AT256" s="299" t="n">
        <v>0</v>
      </c>
      <c r="AU256" s="299" t="n">
        <v>0</v>
      </c>
      <c r="AV256" s="299" t="n">
        <v>0</v>
      </c>
      <c r="AW256" s="299" t="n">
        <v>-0.06</v>
      </c>
      <c r="AX256" s="299" t="n">
        <v>-0.06</v>
      </c>
      <c r="AY256" s="299" t="n">
        <v>0</v>
      </c>
      <c r="BA256" s="299" t="n">
        <v>0</v>
      </c>
      <c r="BB256" s="299" t="n">
        <v>0</v>
      </c>
      <c r="BD256" s="299" t="n">
        <v>-0.0525</v>
      </c>
      <c r="BE256" s="299" t="n">
        <v>0</v>
      </c>
      <c r="BF256" s="299" t="n">
        <v>0</v>
      </c>
      <c r="BJ256" s="299" t="n">
        <v>0.46</v>
      </c>
      <c r="BK256" s="299" t="n">
        <v>0</v>
      </c>
      <c r="BL256" s="299" t="n">
        <v>-0.02</v>
      </c>
      <c r="BM256" s="299" t="n">
        <v>0.005</v>
      </c>
      <c r="BO256" s="299" t="n">
        <v>0</v>
      </c>
      <c r="BP256" s="299" t="n">
        <v>0</v>
      </c>
      <c r="BQ256" s="299" t="n">
        <v>0</v>
      </c>
      <c r="BR256" s="299" t="n">
        <v>0.055</v>
      </c>
      <c r="BS256" s="0"/>
      <c r="BT256" s="0" t="n">
        <v>0</v>
      </c>
      <c r="BU256" s="0" t="n">
        <v>0</v>
      </c>
      <c r="BV256" s="0" t="n">
        <v>0</v>
      </c>
    </row>
    <row r="257" customFormat="false" ht="12.75" hidden="false" customHeight="false" outlineLevel="0" collapsed="false">
      <c r="A257" s="301"/>
      <c r="B257" s="301" t="n">
        <v>4.482</v>
      </c>
      <c r="C257" s="308" t="n">
        <f aca="false">EOMONTH(C256,0)+1</f>
        <v>44896</v>
      </c>
      <c r="D257" s="0" t="n">
        <v>5.0875</v>
      </c>
      <c r="E257" s="301" t="n">
        <v>0.17</v>
      </c>
      <c r="F257" s="301" t="n">
        <v>0.0643119947739788</v>
      </c>
      <c r="O257" s="299"/>
      <c r="V257" s="310" t="n">
        <v>0</v>
      </c>
      <c r="W257" s="299" t="n">
        <v>0.215</v>
      </c>
      <c r="X257" s="299" t="n">
        <v>0.29</v>
      </c>
      <c r="Y257" s="299" t="n">
        <v>0</v>
      </c>
      <c r="Z257" s="299" t="n">
        <v>-0.014</v>
      </c>
      <c r="AA257" s="299" t="n">
        <v>0.0205</v>
      </c>
      <c r="AB257" s="299" t="n">
        <v>0.0055</v>
      </c>
      <c r="AC257" s="299" t="n">
        <v>0</v>
      </c>
      <c r="AD257" s="299" t="n">
        <v>0</v>
      </c>
      <c r="AE257" s="299" t="n">
        <v>0</v>
      </c>
      <c r="AF257" s="299" t="n">
        <v>0</v>
      </c>
      <c r="AG257" s="299" t="n">
        <v>0</v>
      </c>
      <c r="AH257" s="299" t="n">
        <v>0</v>
      </c>
      <c r="AI257" s="299" t="n">
        <v>0</v>
      </c>
      <c r="AK257" s="299" t="n">
        <v>0</v>
      </c>
      <c r="AL257" s="299" t="n">
        <v>0</v>
      </c>
      <c r="AM257" s="299" t="n">
        <v>0.98</v>
      </c>
      <c r="AN257" s="299" t="n">
        <v>-0.045</v>
      </c>
      <c r="AO257" s="299" t="n">
        <v>0</v>
      </c>
      <c r="AP257" s="299" t="n">
        <v>-0.07</v>
      </c>
      <c r="AQ257" s="299" t="n">
        <v>0</v>
      </c>
      <c r="AS257" s="299" t="n">
        <v>0</v>
      </c>
      <c r="AT257" s="299" t="n">
        <v>0</v>
      </c>
      <c r="AU257" s="299" t="n">
        <v>0</v>
      </c>
      <c r="AV257" s="299" t="n">
        <v>0</v>
      </c>
      <c r="AW257" s="299" t="n">
        <v>-0.06</v>
      </c>
      <c r="AX257" s="299" t="n">
        <v>-0.06</v>
      </c>
      <c r="AY257" s="299" t="n">
        <v>0</v>
      </c>
      <c r="BA257" s="299" t="n">
        <v>0</v>
      </c>
      <c r="BB257" s="299" t="n">
        <v>0</v>
      </c>
      <c r="BD257" s="299" t="n">
        <v>-0.075</v>
      </c>
      <c r="BE257" s="299" t="n">
        <v>0</v>
      </c>
      <c r="BF257" s="299" t="n">
        <v>0</v>
      </c>
      <c r="BJ257" s="299" t="n">
        <v>0.77</v>
      </c>
      <c r="BK257" s="299" t="n">
        <v>0</v>
      </c>
      <c r="BL257" s="299" t="n">
        <v>-0.025</v>
      </c>
      <c r="BM257" s="299" t="n">
        <v>0.005</v>
      </c>
      <c r="BO257" s="299" t="n">
        <v>0</v>
      </c>
      <c r="BP257" s="299" t="n">
        <v>0</v>
      </c>
      <c r="BQ257" s="299" t="n">
        <v>0</v>
      </c>
      <c r="BR257" s="299" t="n">
        <v>0.25</v>
      </c>
      <c r="BS257" s="0"/>
      <c r="BT257" s="0" t="n">
        <v>0</v>
      </c>
      <c r="BU257" s="0" t="n">
        <v>0</v>
      </c>
      <c r="BV257" s="0" t="n">
        <v>0</v>
      </c>
    </row>
    <row r="258" customFormat="false" ht="12.75" hidden="false" customHeight="false" outlineLevel="0" collapsed="false">
      <c r="A258" s="301"/>
      <c r="B258" s="301" t="n">
        <v>4.547</v>
      </c>
      <c r="C258" s="308" t="n">
        <f aca="false">EOMONTH(C257,0)+1</f>
        <v>44927</v>
      </c>
      <c r="D258" s="0" t="n">
        <v>5.1475</v>
      </c>
      <c r="E258" s="301" t="n">
        <v>0.17</v>
      </c>
      <c r="F258" s="301" t="n">
        <v>0.0643051526927598</v>
      </c>
      <c r="O258" s="299"/>
      <c r="V258" s="310" t="n">
        <v>0</v>
      </c>
      <c r="W258" s="299" t="n">
        <v>0.235</v>
      </c>
      <c r="X258" s="299" t="n">
        <v>0.34</v>
      </c>
      <c r="AM258" s="299" t="n">
        <v>1.6</v>
      </c>
      <c r="AN258" s="299" t="n">
        <v>-0.0475</v>
      </c>
      <c r="AO258" s="299" t="n">
        <v>0</v>
      </c>
      <c r="AP258" s="299" t="n">
        <v>-0.07</v>
      </c>
      <c r="AQ258" s="299" t="n">
        <v>0</v>
      </c>
      <c r="AS258" s="299" t="n">
        <v>0</v>
      </c>
      <c r="AT258" s="299" t="n">
        <v>0</v>
      </c>
      <c r="AU258" s="299" t="n">
        <v>0</v>
      </c>
      <c r="AV258" s="299" t="n">
        <v>0</v>
      </c>
      <c r="AW258" s="299" t="n">
        <v>-0.06</v>
      </c>
      <c r="AX258" s="299" t="n">
        <v>-0.06</v>
      </c>
      <c r="BD258" s="299" t="n">
        <v>-0.0775</v>
      </c>
      <c r="BF258" s="299" t="n">
        <v>0</v>
      </c>
      <c r="BJ258" s="299" t="n">
        <v>1.04</v>
      </c>
      <c r="BL258" s="299" t="n">
        <v>-0.025</v>
      </c>
      <c r="BM258" s="299" t="n">
        <v>0.005</v>
      </c>
      <c r="BO258" s="299" t="n">
        <v>0</v>
      </c>
      <c r="BP258" s="299" t="n">
        <v>0</v>
      </c>
      <c r="BQ258" s="299" t="n">
        <v>0</v>
      </c>
      <c r="BR258" s="299" t="n">
        <v>0.45</v>
      </c>
      <c r="BS258" s="0"/>
      <c r="BT258" s="0" t="n">
        <v>0</v>
      </c>
      <c r="BU258" s="0" t="n">
        <v>0</v>
      </c>
      <c r="BV258" s="0" t="n">
        <v>0</v>
      </c>
    </row>
    <row r="259" customFormat="false" ht="12.75" hidden="false" customHeight="false" outlineLevel="0" collapsed="false">
      <c r="A259" s="301"/>
      <c r="B259" s="301" t="n">
        <v>4.542</v>
      </c>
      <c r="C259" s="308" t="n">
        <f aca="false">EOMONTH(C258,0)+1</f>
        <v>44958</v>
      </c>
      <c r="D259" s="0" t="n">
        <v>5.0625</v>
      </c>
      <c r="E259" s="301" t="n">
        <v>0.17</v>
      </c>
      <c r="F259" s="301" t="n">
        <v>0.0642983106115564</v>
      </c>
      <c r="O259" s="299"/>
      <c r="V259" s="310" t="n">
        <v>0</v>
      </c>
      <c r="W259" s="299" t="n">
        <v>0.235</v>
      </c>
      <c r="X259" s="299" t="n">
        <v>0.34</v>
      </c>
      <c r="AM259" s="299" t="n">
        <v>1.6</v>
      </c>
      <c r="AN259" s="299" t="n">
        <v>-0.03</v>
      </c>
      <c r="AO259" s="299" t="n">
        <v>0</v>
      </c>
      <c r="AP259" s="299" t="n">
        <v>-0.07</v>
      </c>
      <c r="AQ259" s="299" t="n">
        <v>0</v>
      </c>
      <c r="AS259" s="299" t="n">
        <v>0</v>
      </c>
      <c r="AT259" s="299" t="n">
        <v>0</v>
      </c>
      <c r="AU259" s="299" t="n">
        <v>0</v>
      </c>
      <c r="AV259" s="299" t="n">
        <v>0</v>
      </c>
      <c r="AW259" s="299" t="n">
        <v>-0.06</v>
      </c>
      <c r="AX259" s="299" t="n">
        <v>-0.06</v>
      </c>
      <c r="BD259" s="299" t="n">
        <v>-0.06</v>
      </c>
      <c r="BF259" s="299" t="n">
        <v>0</v>
      </c>
      <c r="BJ259" s="299" t="n">
        <v>1.04</v>
      </c>
      <c r="BL259" s="299" t="n">
        <v>-0.025</v>
      </c>
      <c r="BM259" s="299" t="n">
        <v>0.005</v>
      </c>
      <c r="BO259" s="299" t="n">
        <v>0</v>
      </c>
      <c r="BP259" s="299" t="n">
        <v>0</v>
      </c>
      <c r="BQ259" s="299" t="n">
        <v>0</v>
      </c>
      <c r="BR259" s="299" t="n">
        <v>0.45</v>
      </c>
      <c r="BS259" s="0"/>
      <c r="BT259" s="0" t="n">
        <v>0</v>
      </c>
      <c r="BU259" s="0" t="n">
        <v>0</v>
      </c>
      <c r="BV259" s="0" t="n">
        <v>0</v>
      </c>
    </row>
    <row r="260" customFormat="false" ht="12.75" hidden="false" customHeight="false" outlineLevel="0" collapsed="false">
      <c r="A260" s="301"/>
      <c r="B260" s="301" t="n">
        <v>4.514</v>
      </c>
      <c r="C260" s="308" t="n">
        <f aca="false">EOMONTH(C259,0)+1</f>
        <v>44986</v>
      </c>
      <c r="D260" s="0" t="n">
        <v>4.9325</v>
      </c>
      <c r="E260" s="301" t="n">
        <v>0.17</v>
      </c>
      <c r="F260" s="301" t="n">
        <v>0.064292130667257</v>
      </c>
      <c r="O260" s="299"/>
      <c r="V260" s="310" t="n">
        <v>0</v>
      </c>
      <c r="W260" s="299" t="n">
        <v>0.195</v>
      </c>
      <c r="X260" s="299" t="n">
        <v>0.29</v>
      </c>
      <c r="AM260" s="299" t="n">
        <v>0.64</v>
      </c>
      <c r="AN260" s="299" t="n">
        <v>-0.0175</v>
      </c>
      <c r="AO260" s="299" t="n">
        <v>0</v>
      </c>
      <c r="AP260" s="299" t="n">
        <v>-0.07</v>
      </c>
      <c r="AQ260" s="299" t="n">
        <v>0</v>
      </c>
      <c r="AS260" s="299" t="n">
        <v>0</v>
      </c>
      <c r="AT260" s="299" t="n">
        <v>0</v>
      </c>
      <c r="AU260" s="299" t="n">
        <v>0</v>
      </c>
      <c r="AV260" s="299" t="n">
        <v>0</v>
      </c>
      <c r="AW260" s="299" t="n">
        <v>-0.06</v>
      </c>
      <c r="AX260" s="299" t="n">
        <v>-0.06</v>
      </c>
      <c r="BD260" s="299" t="n">
        <v>-0.0475</v>
      </c>
      <c r="BF260" s="299" t="n">
        <v>0</v>
      </c>
      <c r="BJ260" s="299" t="n">
        <v>0.54</v>
      </c>
      <c r="BL260" s="299" t="n">
        <v>-0.02</v>
      </c>
      <c r="BM260" s="299" t="n">
        <v>0.005</v>
      </c>
      <c r="BO260" s="299" t="n">
        <v>0</v>
      </c>
      <c r="BP260" s="299" t="n">
        <v>0</v>
      </c>
      <c r="BQ260" s="299" t="n">
        <v>0</v>
      </c>
      <c r="BR260" s="299" t="n">
        <v>0.1</v>
      </c>
      <c r="BS260" s="0"/>
      <c r="BT260" s="0" t="n">
        <v>0</v>
      </c>
      <c r="BU260" s="0" t="n">
        <v>0</v>
      </c>
      <c r="BV260" s="0" t="n">
        <v>0</v>
      </c>
    </row>
    <row r="261" customFormat="false" ht="12.75" hidden="false" customHeight="false" outlineLevel="0" collapsed="false">
      <c r="A261" s="301"/>
      <c r="B261" s="301" t="n">
        <v>4.514</v>
      </c>
      <c r="C261" s="308" t="n">
        <f aca="false">EOMONTH(C260,0)+1</f>
        <v>45017</v>
      </c>
      <c r="D261" s="0" t="n">
        <v>4.7475</v>
      </c>
      <c r="E261" s="301" t="n">
        <v>0.17</v>
      </c>
      <c r="F261" s="301" t="n">
        <v>0.0642852885860834</v>
      </c>
      <c r="O261" s="299"/>
      <c r="V261" s="310" t="n">
        <v>0</v>
      </c>
      <c r="W261" s="299" t="n">
        <v>0.145</v>
      </c>
      <c r="X261" s="299" t="n">
        <v>0.195</v>
      </c>
      <c r="AM261" s="299" t="n">
        <v>0.38</v>
      </c>
      <c r="AN261" s="299" t="n">
        <v>0.02</v>
      </c>
      <c r="AO261" s="299" t="n">
        <v>0</v>
      </c>
      <c r="AP261" s="299" t="n">
        <v>-0.07</v>
      </c>
      <c r="AQ261" s="299" t="n">
        <v>0</v>
      </c>
      <c r="AS261" s="299" t="n">
        <v>0</v>
      </c>
      <c r="AT261" s="299" t="n">
        <v>0</v>
      </c>
      <c r="AU261" s="299" t="n">
        <v>0</v>
      </c>
      <c r="AV261" s="299" t="n">
        <v>0</v>
      </c>
      <c r="AW261" s="299" t="n">
        <v>-0.06</v>
      </c>
      <c r="AX261" s="299" t="n">
        <v>-0.06</v>
      </c>
      <c r="BD261" s="299" t="n">
        <v>-0.01</v>
      </c>
      <c r="BF261" s="299" t="n">
        <v>0</v>
      </c>
      <c r="BJ261" s="299" t="n">
        <v>0.36</v>
      </c>
      <c r="BL261" s="299" t="n">
        <v>-0.015</v>
      </c>
      <c r="BM261" s="299" t="n">
        <v>0.005</v>
      </c>
      <c r="BO261" s="299" t="n">
        <v>0</v>
      </c>
      <c r="BP261" s="299" t="n">
        <v>0</v>
      </c>
      <c r="BQ261" s="299" t="n">
        <v>0</v>
      </c>
      <c r="BR261" s="299" t="n">
        <v>0.02</v>
      </c>
      <c r="BS261" s="0"/>
      <c r="BT261" s="0" t="n">
        <v>0</v>
      </c>
      <c r="BU261" s="0" t="n">
        <v>0</v>
      </c>
      <c r="BV261" s="0" t="n">
        <v>0</v>
      </c>
    </row>
    <row r="262" customFormat="false" ht="12.75" hidden="false" customHeight="false" outlineLevel="0" collapsed="false">
      <c r="A262" s="301"/>
      <c r="B262" s="301" t="n">
        <v>4.536</v>
      </c>
      <c r="C262" s="308" t="n">
        <f aca="false">EOMONTH(C261,0)+1</f>
        <v>45047</v>
      </c>
      <c r="D262" s="0" t="n">
        <v>4.7425</v>
      </c>
      <c r="E262" s="301" t="n">
        <v>0.17</v>
      </c>
      <c r="F262" s="301" t="n">
        <v>0.0642786672172204</v>
      </c>
      <c r="O262" s="299"/>
      <c r="V262" s="310" t="n">
        <v>0</v>
      </c>
      <c r="W262" s="299" t="n">
        <v>0.125</v>
      </c>
      <c r="X262" s="299" t="n">
        <v>0.135</v>
      </c>
      <c r="AM262" s="299" t="n">
        <v>0.33</v>
      </c>
      <c r="AN262" s="299" t="n">
        <v>0.02</v>
      </c>
      <c r="AO262" s="299" t="n">
        <v>0</v>
      </c>
      <c r="AP262" s="299" t="n">
        <v>-0.07</v>
      </c>
      <c r="AQ262" s="299" t="n">
        <v>0</v>
      </c>
      <c r="AS262" s="299" t="n">
        <v>0</v>
      </c>
      <c r="AT262" s="299" t="n">
        <v>0</v>
      </c>
      <c r="AU262" s="299" t="n">
        <v>0</v>
      </c>
      <c r="AV262" s="299" t="n">
        <v>0</v>
      </c>
      <c r="AW262" s="299" t="n">
        <v>-0.06</v>
      </c>
      <c r="AX262" s="299" t="n">
        <v>-0.06</v>
      </c>
      <c r="BD262" s="299" t="n">
        <v>-0.01</v>
      </c>
      <c r="BF262" s="299" t="n">
        <v>0</v>
      </c>
      <c r="BJ262" s="299" t="n">
        <v>0.325</v>
      </c>
      <c r="BL262" s="299" t="n">
        <v>-0.015</v>
      </c>
      <c r="BM262" s="299" t="n">
        <v>0.005</v>
      </c>
      <c r="BO262" s="299" t="n">
        <v>0</v>
      </c>
      <c r="BP262" s="299" t="n">
        <v>0</v>
      </c>
      <c r="BQ262" s="299" t="n">
        <v>0</v>
      </c>
      <c r="BR262" s="299" t="n">
        <v>0.02</v>
      </c>
      <c r="BS262" s="0"/>
      <c r="BT262" s="0" t="n">
        <v>0</v>
      </c>
      <c r="BU262" s="0" t="n">
        <v>0</v>
      </c>
      <c r="BV262" s="0" t="n">
        <v>0</v>
      </c>
    </row>
    <row r="263" customFormat="false" ht="12.75" hidden="false" customHeight="false" outlineLevel="0" collapsed="false">
      <c r="A263" s="301"/>
      <c r="B263" s="301" t="n">
        <v>4.591</v>
      </c>
      <c r="C263" s="308" t="n">
        <f aca="false">EOMONTH(C262,0)+1</f>
        <v>45078</v>
      </c>
      <c r="D263" s="0" t="n">
        <v>4.7775</v>
      </c>
      <c r="E263" s="301" t="n">
        <v>0.17</v>
      </c>
      <c r="F263" s="301" t="n">
        <v>0.0642718251360765</v>
      </c>
      <c r="O263" s="299"/>
      <c r="V263" s="310" t="n">
        <v>0</v>
      </c>
      <c r="W263" s="299" t="n">
        <v>0.145</v>
      </c>
      <c r="X263" s="312" t="n">
        <v>0.165</v>
      </c>
      <c r="Z263" s="312"/>
      <c r="AM263" s="312" t="n">
        <v>0.37</v>
      </c>
      <c r="AN263" s="299" t="n">
        <v>0.025</v>
      </c>
      <c r="AO263" s="299" t="n">
        <v>0</v>
      </c>
      <c r="AP263" s="299" t="n">
        <v>-0.07</v>
      </c>
      <c r="AQ263" s="299" t="n">
        <v>0</v>
      </c>
      <c r="AS263" s="299" t="n">
        <v>0</v>
      </c>
      <c r="AT263" s="299" t="n">
        <v>0</v>
      </c>
      <c r="AU263" s="299" t="n">
        <v>0</v>
      </c>
      <c r="AV263" s="299" t="n">
        <v>0</v>
      </c>
      <c r="AW263" s="299" t="n">
        <v>-0.06</v>
      </c>
      <c r="AX263" s="299" t="n">
        <v>-0.06</v>
      </c>
      <c r="BD263" s="299" t="n">
        <v>-0.005</v>
      </c>
      <c r="BF263" s="299" t="n">
        <v>0</v>
      </c>
      <c r="BJ263" s="299" t="n">
        <v>0.335</v>
      </c>
      <c r="BL263" s="299" t="n">
        <v>-0.015</v>
      </c>
      <c r="BM263" s="299" t="n">
        <v>0.005</v>
      </c>
      <c r="BO263" s="299" t="n">
        <v>0</v>
      </c>
      <c r="BP263" s="299" t="n">
        <v>0</v>
      </c>
      <c r="BQ263" s="299" t="n">
        <v>0</v>
      </c>
      <c r="BR263" s="299" t="n">
        <v>0.035</v>
      </c>
      <c r="BS263" s="0"/>
      <c r="BT263" s="0" t="n">
        <v>0</v>
      </c>
      <c r="BU263" s="0" t="n">
        <v>0</v>
      </c>
      <c r="BV263" s="0" t="n">
        <v>0</v>
      </c>
    </row>
    <row r="264" customFormat="false" ht="12.75" hidden="false" customHeight="false" outlineLevel="0" collapsed="false">
      <c r="A264" s="301"/>
      <c r="B264" s="301" t="n">
        <v>4.851</v>
      </c>
      <c r="C264" s="308" t="n">
        <f aca="false">EOMONTH(C263,0)+1</f>
        <v>45108</v>
      </c>
      <c r="D264" s="0" t="n">
        <v>4.8175</v>
      </c>
      <c r="E264" s="301" t="n">
        <v>0.17</v>
      </c>
      <c r="F264" s="301" t="n">
        <v>0.0642652037672429</v>
      </c>
      <c r="O264" s="299"/>
      <c r="V264" s="310" t="n">
        <v>0</v>
      </c>
      <c r="W264" s="299" t="n">
        <v>0.15</v>
      </c>
      <c r="X264" s="312" t="n">
        <v>0.205</v>
      </c>
      <c r="Z264" s="312"/>
      <c r="AM264" s="312" t="n">
        <v>0.41</v>
      </c>
      <c r="AN264" s="299" t="n">
        <v>0.0275</v>
      </c>
      <c r="AO264" s="299" t="n">
        <v>0</v>
      </c>
      <c r="AP264" s="299" t="n">
        <v>-0.07</v>
      </c>
      <c r="AQ264" s="299" t="n">
        <v>0</v>
      </c>
      <c r="AS264" s="299" t="n">
        <v>0</v>
      </c>
      <c r="AT264" s="299" t="n">
        <v>0</v>
      </c>
      <c r="AU264" s="299" t="n">
        <v>0</v>
      </c>
      <c r="AV264" s="299" t="n">
        <v>0</v>
      </c>
      <c r="AW264" s="299" t="n">
        <v>-0.06</v>
      </c>
      <c r="AX264" s="299" t="n">
        <v>-0.06</v>
      </c>
      <c r="BD264" s="299" t="n">
        <v>-0.0025</v>
      </c>
      <c r="BF264" s="299" t="n">
        <v>0</v>
      </c>
      <c r="BJ264" s="299" t="n">
        <v>0.35</v>
      </c>
      <c r="BL264" s="299" t="n">
        <v>-0.01</v>
      </c>
      <c r="BM264" s="299" t="n">
        <v>0.005</v>
      </c>
      <c r="BO264" s="299" t="n">
        <v>0</v>
      </c>
      <c r="BP264" s="299" t="n">
        <v>0</v>
      </c>
      <c r="BQ264" s="299" t="n">
        <v>0</v>
      </c>
      <c r="BR264" s="299" t="n">
        <v>0.035</v>
      </c>
      <c r="BS264" s="0"/>
      <c r="BT264" s="0" t="n">
        <v>0</v>
      </c>
      <c r="BU264" s="0" t="n">
        <v>0</v>
      </c>
      <c r="BV264" s="0" t="n">
        <v>0</v>
      </c>
    </row>
    <row r="265" customFormat="false" ht="12.75" hidden="false" customHeight="false" outlineLevel="0" collapsed="false">
      <c r="A265" s="301"/>
      <c r="B265" s="301" t="n">
        <v>4.8</v>
      </c>
      <c r="C265" s="308" t="n">
        <f aca="false">EOMONTH(C264,0)+1</f>
        <v>45139</v>
      </c>
      <c r="D265" s="0" t="n">
        <v>4.8575</v>
      </c>
      <c r="E265" s="301" t="n">
        <v>0.17</v>
      </c>
      <c r="F265" s="301" t="n">
        <v>0.0642583616861305</v>
      </c>
      <c r="O265" s="299"/>
      <c r="V265" s="310" t="n">
        <v>0</v>
      </c>
      <c r="W265" s="299" t="n">
        <v>0.15</v>
      </c>
      <c r="X265" s="299" t="n">
        <v>0.205</v>
      </c>
      <c r="AM265" s="299" t="n">
        <v>0.41</v>
      </c>
      <c r="AN265" s="299" t="n">
        <v>0.03</v>
      </c>
      <c r="AO265" s="299" t="n">
        <v>0</v>
      </c>
      <c r="AP265" s="299" t="n">
        <v>-0.07</v>
      </c>
      <c r="AQ265" s="299" t="n">
        <v>0</v>
      </c>
      <c r="AS265" s="299" t="n">
        <v>0</v>
      </c>
      <c r="AT265" s="299" t="n">
        <v>0</v>
      </c>
      <c r="AU265" s="299" t="n">
        <v>0</v>
      </c>
      <c r="AV265" s="299" t="n">
        <v>0</v>
      </c>
      <c r="AW265" s="299" t="n">
        <v>-0.06</v>
      </c>
      <c r="AX265" s="299" t="n">
        <v>-0.06</v>
      </c>
      <c r="BD265" s="299" t="n">
        <v>0</v>
      </c>
      <c r="BF265" s="299" t="n">
        <v>0</v>
      </c>
      <c r="BJ265" s="299" t="n">
        <v>0.35</v>
      </c>
      <c r="BL265" s="299" t="n">
        <v>-0.01</v>
      </c>
      <c r="BM265" s="299" t="n">
        <v>0.005</v>
      </c>
      <c r="BO265" s="299" t="n">
        <v>0</v>
      </c>
      <c r="BP265" s="299" t="n">
        <v>0</v>
      </c>
      <c r="BQ265" s="299" t="n">
        <v>0</v>
      </c>
      <c r="BR265" s="299" t="n">
        <v>0.01</v>
      </c>
      <c r="BS265" s="0"/>
      <c r="BT265" s="0" t="n">
        <v>0</v>
      </c>
      <c r="BU265" s="0" t="n">
        <v>0</v>
      </c>
      <c r="BV265" s="0" t="n">
        <v>0</v>
      </c>
    </row>
    <row r="266" customFormat="false" ht="12.75" hidden="false" customHeight="false" outlineLevel="0" collapsed="false">
      <c r="A266" s="301"/>
      <c r="B266" s="301" t="n">
        <v>4.699</v>
      </c>
      <c r="C266" s="308" t="n">
        <f aca="false">EOMONTH(C265,0)+1</f>
        <v>45170</v>
      </c>
      <c r="D266" s="0" t="n">
        <v>4.8525</v>
      </c>
      <c r="E266" s="301" t="n">
        <v>0.17</v>
      </c>
      <c r="F266" s="301" t="n">
        <v>0.0642515196050333</v>
      </c>
      <c r="O266" s="299"/>
      <c r="V266" s="310" t="n">
        <v>0</v>
      </c>
      <c r="W266" s="299" t="n">
        <v>0.125</v>
      </c>
      <c r="X266" s="299" t="n">
        <v>0.145</v>
      </c>
      <c r="AM266" s="299" t="n">
        <v>0.36</v>
      </c>
      <c r="AN266" s="299" t="n">
        <v>0.0225</v>
      </c>
      <c r="AO266" s="299" t="n">
        <v>0</v>
      </c>
      <c r="AP266" s="299" t="n">
        <v>-0.07</v>
      </c>
      <c r="AQ266" s="299" t="n">
        <v>0</v>
      </c>
      <c r="AS266" s="299" t="n">
        <v>0</v>
      </c>
      <c r="AT266" s="299" t="n">
        <v>0</v>
      </c>
      <c r="AU266" s="299" t="n">
        <v>0</v>
      </c>
      <c r="AV266" s="299" t="n">
        <v>0</v>
      </c>
      <c r="AW266" s="299" t="n">
        <v>-0.06</v>
      </c>
      <c r="AX266" s="299" t="n">
        <v>-0.06</v>
      </c>
      <c r="BD266" s="299" t="n">
        <v>-0.0075</v>
      </c>
      <c r="BF266" s="299" t="n">
        <v>0</v>
      </c>
      <c r="BJ266" s="299" t="n">
        <v>0.315</v>
      </c>
      <c r="BL266" s="299" t="n">
        <v>-0.01</v>
      </c>
      <c r="BM266" s="299" t="n">
        <v>0.005</v>
      </c>
      <c r="BO266" s="299" t="n">
        <v>0</v>
      </c>
      <c r="BP266" s="299" t="n">
        <v>0</v>
      </c>
      <c r="BQ266" s="299" t="n">
        <v>0</v>
      </c>
      <c r="BR266" s="299" t="n">
        <v>0.01</v>
      </c>
      <c r="BS266" s="0"/>
      <c r="BT266" s="0" t="n">
        <v>0</v>
      </c>
      <c r="BU266" s="0" t="n">
        <v>0</v>
      </c>
      <c r="BV266" s="0" t="n">
        <v>0</v>
      </c>
    </row>
    <row r="267" customFormat="false" ht="12.75" hidden="false" customHeight="false" outlineLevel="0" collapsed="false">
      <c r="A267" s="301"/>
      <c r="B267" s="301" t="n">
        <v>4.601</v>
      </c>
      <c r="C267" s="308" t="n">
        <f aca="false">EOMONTH(C266,0)+1</f>
        <v>45200</v>
      </c>
      <c r="D267" s="0" t="n">
        <v>4.8775</v>
      </c>
      <c r="E267" s="301" t="n">
        <v>0.17</v>
      </c>
      <c r="F267" s="301" t="n">
        <v>0.064244898236244</v>
      </c>
      <c r="O267" s="299"/>
      <c r="V267" s="310" t="n">
        <v>0</v>
      </c>
      <c r="W267" s="299" t="n">
        <v>0.145</v>
      </c>
      <c r="X267" s="299" t="n">
        <v>0.175</v>
      </c>
      <c r="AM267" s="299" t="n">
        <v>0.4</v>
      </c>
      <c r="AN267" s="299" t="n">
        <v>0.0125</v>
      </c>
      <c r="AO267" s="299" t="n">
        <v>0</v>
      </c>
      <c r="AP267" s="299" t="n">
        <v>-0.07</v>
      </c>
      <c r="AQ267" s="299" t="n">
        <v>0</v>
      </c>
      <c r="AS267" s="299" t="n">
        <v>0</v>
      </c>
      <c r="AT267" s="299" t="n">
        <v>0</v>
      </c>
      <c r="AU267" s="299" t="n">
        <v>0</v>
      </c>
      <c r="AV267" s="299" t="n">
        <v>0</v>
      </c>
      <c r="AW267" s="299" t="n">
        <v>-0.06</v>
      </c>
      <c r="AX267" s="299" t="n">
        <v>-0.06</v>
      </c>
      <c r="BD267" s="299" t="n">
        <v>-0.0175</v>
      </c>
      <c r="BF267" s="299" t="n">
        <v>0</v>
      </c>
      <c r="BJ267" s="299" t="n">
        <v>0.36</v>
      </c>
      <c r="BL267" s="299" t="n">
        <v>-0.015</v>
      </c>
      <c r="BM267" s="299" t="n">
        <v>0.005</v>
      </c>
      <c r="BO267" s="299" t="n">
        <v>0</v>
      </c>
      <c r="BP267" s="299" t="n">
        <v>0</v>
      </c>
      <c r="BQ267" s="299" t="n">
        <v>0</v>
      </c>
      <c r="BR267" s="299" t="n">
        <v>0.01</v>
      </c>
      <c r="BS267" s="0"/>
      <c r="BT267" s="0" t="n">
        <v>0</v>
      </c>
      <c r="BU267" s="0" t="n">
        <v>0</v>
      </c>
      <c r="BV267" s="0" t="n">
        <v>0</v>
      </c>
    </row>
    <row r="268" customFormat="false" ht="12.75" hidden="false" customHeight="false" outlineLevel="0" collapsed="false">
      <c r="A268" s="301"/>
      <c r="B268" s="301" t="n">
        <v>4.592</v>
      </c>
      <c r="C268" s="308" t="n">
        <f aca="false">EOMONTH(C267,0)+1</f>
        <v>45231</v>
      </c>
      <c r="D268" s="0" t="n">
        <v>5.0295</v>
      </c>
      <c r="E268" s="301" t="n">
        <v>0.17</v>
      </c>
      <c r="F268" s="301" t="n">
        <v>0.064238056155177</v>
      </c>
      <c r="O268" s="299"/>
      <c r="V268" s="310" t="n">
        <v>0</v>
      </c>
      <c r="W268" s="299" t="n">
        <v>0.195</v>
      </c>
      <c r="X268" s="299" t="n">
        <v>0.21</v>
      </c>
      <c r="AM268" s="299" t="n">
        <v>0.65</v>
      </c>
      <c r="AN268" s="299" t="n">
        <v>-0.0225</v>
      </c>
      <c r="AO268" s="299" t="n">
        <v>0</v>
      </c>
      <c r="AP268" s="299" t="n">
        <v>-0.07</v>
      </c>
      <c r="AQ268" s="299" t="n">
        <v>0</v>
      </c>
      <c r="AS268" s="299" t="n">
        <v>0</v>
      </c>
      <c r="AT268" s="299" t="n">
        <v>0</v>
      </c>
      <c r="AU268" s="299" t="n">
        <v>0</v>
      </c>
      <c r="AV268" s="299" t="n">
        <v>0</v>
      </c>
      <c r="AW268" s="299" t="n">
        <v>-0.06</v>
      </c>
      <c r="AX268" s="299" t="n">
        <v>-0.06</v>
      </c>
      <c r="BD268" s="299" t="n">
        <v>-0.0525</v>
      </c>
      <c r="BF268" s="299" t="n">
        <v>0</v>
      </c>
      <c r="BJ268" s="299" t="n">
        <v>0.46</v>
      </c>
      <c r="BL268" s="299" t="n">
        <v>0</v>
      </c>
      <c r="BM268" s="299" t="n">
        <v>0.005</v>
      </c>
      <c r="BO268" s="299" t="n">
        <v>0</v>
      </c>
      <c r="BP268" s="299" t="n">
        <v>0</v>
      </c>
      <c r="BQ268" s="299" t="n">
        <v>0</v>
      </c>
      <c r="BR268" s="299" t="n">
        <v>0.055</v>
      </c>
      <c r="BS268" s="0"/>
      <c r="BT268" s="0" t="n">
        <v>0</v>
      </c>
      <c r="BU268" s="0" t="n">
        <v>0</v>
      </c>
      <c r="BV268" s="0" t="n">
        <v>0</v>
      </c>
    </row>
    <row r="269" customFormat="false" ht="12.75" hidden="false" customHeight="false" outlineLevel="0" collapsed="false">
      <c r="A269" s="301"/>
      <c r="B269" s="301" t="n">
        <v>4.591</v>
      </c>
      <c r="C269" s="308" t="n">
        <f aca="false">EOMONTH(C268,0)+1</f>
        <v>45261</v>
      </c>
      <c r="D269" s="0" t="n">
        <v>5.1725</v>
      </c>
      <c r="E269" s="301" t="n">
        <v>0.17</v>
      </c>
      <c r="F269" s="301" t="n">
        <v>0.0642314347864179</v>
      </c>
      <c r="O269" s="299"/>
      <c r="V269" s="310" t="n">
        <v>0</v>
      </c>
      <c r="W269" s="299" t="n">
        <v>0.215</v>
      </c>
      <c r="X269" s="299" t="n">
        <v>0.29</v>
      </c>
      <c r="AM269" s="299" t="n">
        <v>0.98</v>
      </c>
      <c r="AN269" s="299" t="n">
        <v>-0.045</v>
      </c>
      <c r="AO269" s="299" t="n">
        <v>0</v>
      </c>
      <c r="AP269" s="299" t="n">
        <v>-0.07</v>
      </c>
      <c r="AQ269" s="299" t="n">
        <v>0</v>
      </c>
      <c r="AS269" s="299" t="n">
        <v>0</v>
      </c>
      <c r="AT269" s="299" t="n">
        <v>0</v>
      </c>
      <c r="AU269" s="299" t="n">
        <v>0</v>
      </c>
      <c r="AV269" s="299" t="n">
        <v>0</v>
      </c>
      <c r="AW269" s="299" t="n">
        <v>-0.06</v>
      </c>
      <c r="AX269" s="299" t="n">
        <v>-0.06</v>
      </c>
      <c r="BD269" s="299" t="n">
        <v>-0.075</v>
      </c>
      <c r="BF269" s="299" t="n">
        <v>0</v>
      </c>
      <c r="BJ269" s="299" t="n">
        <v>0.77</v>
      </c>
      <c r="BL269" s="299" t="n">
        <v>0</v>
      </c>
      <c r="BM269" s="299" t="n">
        <v>0.005</v>
      </c>
      <c r="BO269" s="299" t="n">
        <v>0</v>
      </c>
      <c r="BP269" s="299" t="n">
        <v>0</v>
      </c>
      <c r="BQ269" s="299" t="n">
        <v>0</v>
      </c>
      <c r="BR269" s="299" t="n">
        <v>0.25</v>
      </c>
      <c r="BS269" s="0"/>
      <c r="BT269" s="0" t="n">
        <v>0</v>
      </c>
      <c r="BU269" s="0" t="n">
        <v>0</v>
      </c>
      <c r="BV269" s="0" t="n">
        <v>0</v>
      </c>
    </row>
    <row r="270" customFormat="false" ht="12.75" hidden="false" customHeight="false" outlineLevel="0" collapsed="false">
      <c r="A270" s="301"/>
      <c r="B270" s="301" t="n">
        <v>4.656</v>
      </c>
      <c r="C270" s="308" t="n">
        <f aca="false">EOMONTH(C269,0)+1</f>
        <v>45292</v>
      </c>
      <c r="D270" s="0" t="n">
        <v>5.2325</v>
      </c>
      <c r="E270" s="301" t="n">
        <v>0.17</v>
      </c>
      <c r="F270" s="301" t="n">
        <v>0.0642245927053815</v>
      </c>
      <c r="O270" s="299"/>
      <c r="V270" s="310" t="n">
        <v>0</v>
      </c>
      <c r="W270" s="299" t="n">
        <v>0.235</v>
      </c>
      <c r="X270" s="299" t="n">
        <v>0.34</v>
      </c>
      <c r="AM270" s="299" t="n">
        <v>1.6</v>
      </c>
      <c r="AN270" s="299" t="n">
        <v>-0.0475</v>
      </c>
      <c r="AO270" s="299" t="n">
        <v>0</v>
      </c>
      <c r="AP270" s="299" t="n">
        <v>-0.07</v>
      </c>
      <c r="AQ270" s="299" t="n">
        <v>0</v>
      </c>
      <c r="AS270" s="299" t="n">
        <v>0</v>
      </c>
      <c r="AT270" s="299" t="n">
        <v>0</v>
      </c>
      <c r="AU270" s="299" t="n">
        <v>0</v>
      </c>
      <c r="AV270" s="299" t="n">
        <v>0</v>
      </c>
      <c r="AW270" s="299" t="n">
        <v>-0.0775</v>
      </c>
      <c r="AX270" s="299" t="n">
        <v>-0.06</v>
      </c>
      <c r="BD270" s="299" t="n">
        <v>-0.0775</v>
      </c>
      <c r="BF270" s="299" t="n">
        <v>0</v>
      </c>
      <c r="BJ270" s="299" t="n">
        <v>1.04</v>
      </c>
      <c r="BL270" s="299" t="n">
        <v>0</v>
      </c>
      <c r="BM270" s="299" t="n">
        <v>0.005</v>
      </c>
      <c r="BO270" s="299" t="n">
        <v>0</v>
      </c>
      <c r="BP270" s="299" t="n">
        <v>0</v>
      </c>
      <c r="BQ270" s="299" t="n">
        <v>0</v>
      </c>
      <c r="BR270" s="299" t="n">
        <v>0.45</v>
      </c>
      <c r="BS270" s="0"/>
      <c r="BT270" s="0" t="n">
        <v>0</v>
      </c>
      <c r="BU270" s="0" t="n">
        <v>0</v>
      </c>
      <c r="BV270" s="0" t="n">
        <v>0</v>
      </c>
    </row>
    <row r="271" customFormat="false" ht="12.75" hidden="false" customHeight="false" outlineLevel="0" collapsed="false">
      <c r="A271" s="301"/>
      <c r="B271" s="301" t="n">
        <v>4.651</v>
      </c>
      <c r="C271" s="308" t="n">
        <f aca="false">EOMONTH(C270,0)+1</f>
        <v>45323</v>
      </c>
      <c r="D271" s="0" t="n">
        <v>5.1475</v>
      </c>
      <c r="E271" s="301" t="n">
        <v>0.17</v>
      </c>
      <c r="F271" s="301" t="n">
        <v>0.0642177506243606</v>
      </c>
      <c r="O271" s="299"/>
      <c r="V271" s="310" t="n">
        <v>0</v>
      </c>
      <c r="W271" s="299" t="n">
        <v>0.235</v>
      </c>
      <c r="X271" s="299" t="n">
        <v>0.34</v>
      </c>
      <c r="AM271" s="299" t="n">
        <v>1.6</v>
      </c>
      <c r="AN271" s="299" t="n">
        <v>-0.03</v>
      </c>
      <c r="AO271" s="299" t="n">
        <v>0</v>
      </c>
      <c r="AP271" s="299" t="n">
        <v>-0.07</v>
      </c>
      <c r="AQ271" s="299" t="n">
        <v>0</v>
      </c>
      <c r="AS271" s="299" t="n">
        <v>0</v>
      </c>
      <c r="AT271" s="299" t="n">
        <v>0</v>
      </c>
      <c r="AU271" s="299" t="n">
        <v>0</v>
      </c>
      <c r="AV271" s="299" t="n">
        <v>0</v>
      </c>
      <c r="AW271" s="299" t="n">
        <v>-0.06</v>
      </c>
      <c r="AX271" s="299" t="n">
        <v>-0.06</v>
      </c>
      <c r="BD271" s="299" t="n">
        <v>-0.06</v>
      </c>
      <c r="BF271" s="299" t="n">
        <v>0</v>
      </c>
      <c r="BJ271" s="299" t="n">
        <v>1.04</v>
      </c>
      <c r="BL271" s="299" t="n">
        <v>0</v>
      </c>
      <c r="BM271" s="299" t="n">
        <v>0.005</v>
      </c>
      <c r="BO271" s="299" t="n">
        <v>0</v>
      </c>
      <c r="BP271" s="299" t="n">
        <v>0</v>
      </c>
      <c r="BQ271" s="299" t="n">
        <v>0</v>
      </c>
      <c r="BR271" s="299" t="n">
        <v>0.45</v>
      </c>
      <c r="BS271" s="0"/>
      <c r="BT271" s="0" t="n">
        <v>0</v>
      </c>
      <c r="BU271" s="0" t="n">
        <v>0</v>
      </c>
      <c r="BV271" s="0" t="n">
        <v>0</v>
      </c>
    </row>
    <row r="272" customFormat="false" ht="12.75" hidden="false" customHeight="false" outlineLevel="0" collapsed="false">
      <c r="A272" s="301"/>
      <c r="B272" s="301" t="n">
        <v>4.622</v>
      </c>
      <c r="C272" s="308" t="n">
        <f aca="false">EOMONTH(C271,0)+1</f>
        <v>45352</v>
      </c>
      <c r="D272" s="0" t="n">
        <v>5.0175</v>
      </c>
      <c r="E272" s="301" t="n">
        <v>0.17</v>
      </c>
      <c r="F272" s="301" t="n">
        <v>0.0642113499679362</v>
      </c>
      <c r="O272" s="299"/>
      <c r="V272" s="310" t="n">
        <v>0</v>
      </c>
      <c r="W272" s="299" t="n">
        <v>0.195</v>
      </c>
      <c r="X272" s="299" t="n">
        <v>0.29</v>
      </c>
      <c r="AM272" s="299" t="n">
        <v>0.64</v>
      </c>
      <c r="AN272" s="299" t="n">
        <v>-0.0175</v>
      </c>
      <c r="AO272" s="299" t="n">
        <v>0</v>
      </c>
      <c r="AP272" s="299" t="n">
        <v>-0.07</v>
      </c>
      <c r="AQ272" s="299" t="n">
        <v>0</v>
      </c>
      <c r="AS272" s="299" t="n">
        <v>0</v>
      </c>
      <c r="AT272" s="299" t="n">
        <v>0</v>
      </c>
      <c r="AU272" s="299" t="n">
        <v>0</v>
      </c>
      <c r="AV272" s="299" t="n">
        <v>0</v>
      </c>
      <c r="AW272" s="299" t="n">
        <v>-0.0475</v>
      </c>
      <c r="AX272" s="299" t="n">
        <v>-0.06</v>
      </c>
      <c r="BD272" s="299" t="n">
        <v>-0.0475</v>
      </c>
      <c r="BF272" s="299" t="n">
        <v>0</v>
      </c>
      <c r="BJ272" s="299" t="n">
        <v>0.54</v>
      </c>
      <c r="BL272" s="299" t="n">
        <v>0</v>
      </c>
      <c r="BM272" s="299" t="n">
        <v>0.005</v>
      </c>
      <c r="BO272" s="299" t="n">
        <v>0</v>
      </c>
      <c r="BP272" s="299" t="n">
        <v>0</v>
      </c>
      <c r="BQ272" s="299" t="n">
        <v>0</v>
      </c>
      <c r="BR272" s="299" t="n">
        <v>0.1</v>
      </c>
      <c r="BS272" s="0"/>
      <c r="BT272" s="0" t="n">
        <v>0</v>
      </c>
      <c r="BU272" s="0" t="n">
        <v>0</v>
      </c>
      <c r="BV272" s="0" t="n">
        <v>0</v>
      </c>
    </row>
    <row r="273" customFormat="false" ht="12.75" hidden="false" customHeight="false" outlineLevel="0" collapsed="false">
      <c r="A273" s="301"/>
      <c r="B273" s="301" t="n">
        <v>4.621</v>
      </c>
      <c r="C273" s="308" t="n">
        <f aca="false">EOMONTH(C272,0)+1</f>
        <v>45383</v>
      </c>
      <c r="D273" s="0" t="n">
        <v>4.8325</v>
      </c>
      <c r="E273" s="301" t="n">
        <v>0.17</v>
      </c>
      <c r="F273" s="301" t="n">
        <v>0.0642045078869455</v>
      </c>
      <c r="O273" s="299"/>
      <c r="V273" s="310" t="n">
        <v>0</v>
      </c>
      <c r="W273" s="299" t="n">
        <v>0.145</v>
      </c>
      <c r="X273" s="299" t="n">
        <v>0.195</v>
      </c>
      <c r="AM273" s="299" t="n">
        <v>0.38</v>
      </c>
      <c r="AN273" s="299" t="n">
        <v>0.02</v>
      </c>
      <c r="AO273" s="299" t="n">
        <v>0</v>
      </c>
      <c r="AP273" s="299" t="n">
        <v>-0.07</v>
      </c>
      <c r="AQ273" s="299" t="n">
        <v>0</v>
      </c>
      <c r="AS273" s="299" t="n">
        <v>0</v>
      </c>
      <c r="AT273" s="299" t="n">
        <v>0</v>
      </c>
      <c r="AU273" s="299" t="n">
        <v>0</v>
      </c>
      <c r="AV273" s="299" t="n">
        <v>0</v>
      </c>
      <c r="AW273" s="299" t="n">
        <v>-0.01</v>
      </c>
      <c r="AX273" s="299" t="n">
        <v>-0.06</v>
      </c>
      <c r="BD273" s="299" t="n">
        <v>-0.01</v>
      </c>
      <c r="BF273" s="299" t="n">
        <v>0</v>
      </c>
      <c r="BJ273" s="299" t="n">
        <v>0.36</v>
      </c>
      <c r="BL273" s="299" t="n">
        <v>0</v>
      </c>
      <c r="BM273" s="299" t="n">
        <v>0.005</v>
      </c>
      <c r="BO273" s="299" t="n">
        <v>0</v>
      </c>
      <c r="BP273" s="299" t="n">
        <v>0</v>
      </c>
      <c r="BQ273" s="299" t="n">
        <v>0</v>
      </c>
      <c r="BR273" s="299" t="n">
        <v>0.02</v>
      </c>
      <c r="BS273" s="0"/>
      <c r="BT273" s="0" t="n">
        <v>0</v>
      </c>
      <c r="BU273" s="0" t="n">
        <v>0</v>
      </c>
      <c r="BV273" s="0" t="n">
        <v>0</v>
      </c>
    </row>
    <row r="274" customFormat="false" ht="12.75" hidden="false" customHeight="false" outlineLevel="0" collapsed="false">
      <c r="A274" s="301"/>
      <c r="B274" s="301" t="n">
        <v>4.638</v>
      </c>
      <c r="C274" s="308" t="n">
        <f aca="false">EOMONTH(C273,0)+1</f>
        <v>45413</v>
      </c>
      <c r="D274" s="0" t="n">
        <v>4.8275</v>
      </c>
      <c r="E274" s="301" t="n">
        <v>0.17</v>
      </c>
      <c r="F274" s="301" t="n">
        <v>0.0641978865182598</v>
      </c>
      <c r="O274" s="299"/>
      <c r="V274" s="310" t="n">
        <v>0</v>
      </c>
      <c r="W274" s="299" t="n">
        <v>0.125</v>
      </c>
      <c r="X274" s="299" t="n">
        <v>0.135</v>
      </c>
      <c r="AM274" s="299" t="n">
        <v>0.33</v>
      </c>
      <c r="AN274" s="299" t="n">
        <v>0.02</v>
      </c>
      <c r="AO274" s="299" t="n">
        <v>0</v>
      </c>
      <c r="AP274" s="299" t="n">
        <v>-0.07</v>
      </c>
      <c r="AQ274" s="299" t="n">
        <v>0</v>
      </c>
      <c r="AS274" s="299" t="n">
        <v>0</v>
      </c>
      <c r="AT274" s="299" t="n">
        <v>0</v>
      </c>
      <c r="AU274" s="299" t="n">
        <v>0</v>
      </c>
      <c r="AV274" s="299" t="n">
        <v>0</v>
      </c>
      <c r="AW274" s="299" t="n">
        <v>-0.01</v>
      </c>
      <c r="AX274" s="299" t="n">
        <v>-0.06</v>
      </c>
      <c r="BD274" s="299" t="n">
        <v>-0.01</v>
      </c>
      <c r="BF274" s="299" t="n">
        <v>0</v>
      </c>
      <c r="BJ274" s="299" t="n">
        <v>0.325</v>
      </c>
      <c r="BL274" s="299" t="n">
        <v>0</v>
      </c>
      <c r="BM274" s="299" t="n">
        <v>0.005</v>
      </c>
      <c r="BO274" s="299" t="n">
        <v>0</v>
      </c>
      <c r="BP274" s="299" t="n">
        <v>0</v>
      </c>
      <c r="BQ274" s="299" t="n">
        <v>0</v>
      </c>
      <c r="BR274" s="299" t="n">
        <v>0.02</v>
      </c>
      <c r="BS274" s="0"/>
      <c r="BT274" s="0" t="n">
        <v>0</v>
      </c>
      <c r="BU274" s="0" t="n">
        <v>0</v>
      </c>
      <c r="BV274" s="0" t="n">
        <v>0</v>
      </c>
    </row>
    <row r="275" customFormat="false" ht="12.75" hidden="false" customHeight="false" outlineLevel="0" collapsed="false">
      <c r="A275" s="301"/>
      <c r="B275" s="301" t="n">
        <v>4.69</v>
      </c>
      <c r="C275" s="308" t="n">
        <f aca="false">EOMONTH(C274,0)+1</f>
        <v>45444</v>
      </c>
      <c r="D275" s="0" t="n">
        <v>4.8625</v>
      </c>
      <c r="E275" s="301" t="n">
        <v>0.17</v>
      </c>
      <c r="F275" s="301" t="n">
        <v>0.0641910444372997</v>
      </c>
      <c r="O275" s="299"/>
      <c r="V275" s="310" t="n">
        <v>0</v>
      </c>
      <c r="W275" s="299" t="n">
        <v>0.145</v>
      </c>
      <c r="X275" s="299" t="n">
        <v>0.165</v>
      </c>
      <c r="AM275" s="299" t="n">
        <v>0.37</v>
      </c>
      <c r="AN275" s="299" t="n">
        <v>0.025</v>
      </c>
      <c r="AO275" s="299" t="n">
        <v>0</v>
      </c>
      <c r="AP275" s="299" t="n">
        <v>-0.07</v>
      </c>
      <c r="AQ275" s="299" t="n">
        <v>0</v>
      </c>
      <c r="AS275" s="299" t="n">
        <v>0</v>
      </c>
      <c r="AT275" s="299" t="n">
        <v>0</v>
      </c>
      <c r="AU275" s="299" t="n">
        <v>0</v>
      </c>
      <c r="AV275" s="299" t="n">
        <v>0</v>
      </c>
      <c r="AW275" s="299" t="n">
        <v>-0.005</v>
      </c>
      <c r="AX275" s="299" t="n">
        <v>-0.06</v>
      </c>
      <c r="BD275" s="299" t="n">
        <v>-0.005</v>
      </c>
      <c r="BF275" s="299" t="n">
        <v>0</v>
      </c>
      <c r="BJ275" s="299" t="n">
        <v>0.335</v>
      </c>
      <c r="BL275" s="299" t="n">
        <v>0</v>
      </c>
      <c r="BM275" s="299" t="n">
        <v>0.005</v>
      </c>
      <c r="BO275" s="299" t="n">
        <v>0</v>
      </c>
      <c r="BP275" s="299" t="n">
        <v>0</v>
      </c>
      <c r="BQ275" s="299" t="n">
        <v>0</v>
      </c>
      <c r="BR275" s="299" t="n">
        <v>0.035</v>
      </c>
      <c r="BS275" s="0"/>
      <c r="BT275" s="0" t="n">
        <v>0</v>
      </c>
      <c r="BU275" s="0" t="n">
        <v>0</v>
      </c>
      <c r="BV275" s="0" t="n">
        <v>0</v>
      </c>
    </row>
    <row r="276" customFormat="false" ht="12.75" hidden="false" customHeight="false" outlineLevel="0" collapsed="false">
      <c r="A276" s="301"/>
      <c r="B276" s="301" t="n">
        <v>4.948</v>
      </c>
      <c r="C276" s="308" t="n">
        <f aca="false">EOMONTH(C275,0)+1</f>
        <v>45474</v>
      </c>
      <c r="D276" s="0" t="n">
        <v>4.9025</v>
      </c>
      <c r="E276" s="301" t="n">
        <v>0.17</v>
      </c>
      <c r="F276" s="301" t="n">
        <v>0.0641844230686437</v>
      </c>
      <c r="O276" s="299"/>
      <c r="V276" s="310" t="n">
        <v>0</v>
      </c>
      <c r="W276" s="299" t="n">
        <v>0.15</v>
      </c>
      <c r="X276" s="299" t="n">
        <v>0.205</v>
      </c>
      <c r="AM276" s="299" t="n">
        <v>0.41</v>
      </c>
      <c r="AN276" s="299" t="n">
        <v>0.0275</v>
      </c>
      <c r="AO276" s="299" t="n">
        <v>0</v>
      </c>
      <c r="AP276" s="299" t="n">
        <v>-0.07</v>
      </c>
      <c r="AQ276" s="299" t="n">
        <v>0</v>
      </c>
      <c r="AS276" s="299" t="n">
        <v>0</v>
      </c>
      <c r="AT276" s="299" t="n">
        <v>0</v>
      </c>
      <c r="AU276" s="299" t="n">
        <v>0</v>
      </c>
      <c r="AV276" s="299" t="n">
        <v>0</v>
      </c>
      <c r="AW276" s="299" t="n">
        <v>-0.0025</v>
      </c>
      <c r="AX276" s="299" t="n">
        <v>-0.06</v>
      </c>
      <c r="BD276" s="299" t="n">
        <v>-0.0025</v>
      </c>
      <c r="BF276" s="299" t="n">
        <v>0</v>
      </c>
      <c r="BJ276" s="299" t="n">
        <v>0.35</v>
      </c>
      <c r="BL276" s="299" t="n">
        <v>0</v>
      </c>
      <c r="BM276" s="299" t="n">
        <v>0.005</v>
      </c>
      <c r="BO276" s="299" t="n">
        <v>0</v>
      </c>
      <c r="BP276" s="299" t="n">
        <v>0</v>
      </c>
      <c r="BQ276" s="299" t="n">
        <v>0</v>
      </c>
      <c r="BR276" s="299" t="n">
        <v>0.035</v>
      </c>
      <c r="BS276" s="0"/>
      <c r="BT276" s="0" t="n">
        <v>0</v>
      </c>
      <c r="BU276" s="0" t="n">
        <v>0</v>
      </c>
      <c r="BV276" s="0" t="n">
        <v>0</v>
      </c>
    </row>
    <row r="277" customFormat="false" ht="12.75" hidden="false" customHeight="false" outlineLevel="0" collapsed="false">
      <c r="A277" s="301"/>
      <c r="B277" s="301" t="n">
        <v>4.901</v>
      </c>
      <c r="C277" s="308" t="n">
        <f aca="false">EOMONTH(C276,0)+1</f>
        <v>45505</v>
      </c>
      <c r="D277" s="0" t="n">
        <v>4.9425</v>
      </c>
      <c r="E277" s="301" t="n">
        <v>0.17</v>
      </c>
      <c r="F277" s="301" t="n">
        <v>0.0641775809877134</v>
      </c>
      <c r="O277" s="299"/>
      <c r="V277" s="310" t="n">
        <v>0</v>
      </c>
      <c r="W277" s="299" t="n">
        <v>0.15</v>
      </c>
      <c r="X277" s="299" t="n">
        <v>0.205</v>
      </c>
      <c r="AM277" s="299" t="n">
        <v>0.41</v>
      </c>
      <c r="AN277" s="299" t="n">
        <v>0.03</v>
      </c>
      <c r="AO277" s="299" t="n">
        <v>0</v>
      </c>
      <c r="AP277" s="299" t="n">
        <v>-0.07</v>
      </c>
      <c r="AQ277" s="299" t="n">
        <v>0</v>
      </c>
      <c r="AS277" s="299" t="n">
        <v>0</v>
      </c>
      <c r="AT277" s="299" t="n">
        <v>0</v>
      </c>
      <c r="AU277" s="299" t="n">
        <v>0</v>
      </c>
      <c r="AV277" s="299" t="n">
        <v>0</v>
      </c>
      <c r="AW277" s="299" t="n">
        <v>0</v>
      </c>
      <c r="AX277" s="299" t="n">
        <v>-0.06</v>
      </c>
      <c r="BD277" s="299" t="n">
        <v>0</v>
      </c>
      <c r="BF277" s="299" t="n">
        <v>0</v>
      </c>
      <c r="BJ277" s="299" t="n">
        <v>0.35</v>
      </c>
      <c r="BL277" s="299" t="n">
        <v>0</v>
      </c>
      <c r="BM277" s="299" t="n">
        <v>0.005</v>
      </c>
      <c r="BO277" s="299" t="n">
        <v>0</v>
      </c>
      <c r="BP277" s="299" t="n">
        <v>0</v>
      </c>
      <c r="BQ277" s="299" t="n">
        <v>0</v>
      </c>
      <c r="BR277" s="299" t="n">
        <v>0.01</v>
      </c>
      <c r="BS277" s="0"/>
      <c r="BT277" s="0" t="n">
        <v>0</v>
      </c>
      <c r="BU277" s="0" t="n">
        <v>0</v>
      </c>
      <c r="BV277" s="0" t="n">
        <v>0</v>
      </c>
    </row>
    <row r="278" customFormat="false" ht="12.75" hidden="false" customHeight="false" outlineLevel="0" collapsed="false">
      <c r="A278" s="301"/>
      <c r="B278" s="301" t="n">
        <v>4.803</v>
      </c>
      <c r="C278" s="308" t="n">
        <f aca="false">EOMONTH(C277,0)+1</f>
        <v>45536</v>
      </c>
      <c r="D278" s="0" t="n">
        <v>4.9375</v>
      </c>
      <c r="E278" s="301" t="n">
        <v>0.17</v>
      </c>
      <c r="F278" s="301" t="n">
        <v>0.0641707389067996</v>
      </c>
      <c r="O278" s="299"/>
      <c r="V278" s="310" t="n">
        <v>0</v>
      </c>
      <c r="W278" s="299" t="n">
        <v>0.125</v>
      </c>
      <c r="X278" s="299" t="n">
        <v>0.145</v>
      </c>
      <c r="AM278" s="299" t="n">
        <v>0.36</v>
      </c>
      <c r="AN278" s="299" t="n">
        <v>0.0225</v>
      </c>
      <c r="AO278" s="299" t="n">
        <v>0</v>
      </c>
      <c r="AP278" s="299" t="n">
        <v>-0.07</v>
      </c>
      <c r="AQ278" s="299" t="n">
        <v>0</v>
      </c>
      <c r="AS278" s="299" t="n">
        <v>0</v>
      </c>
      <c r="AT278" s="299" t="n">
        <v>0</v>
      </c>
      <c r="AU278" s="299" t="n">
        <v>0</v>
      </c>
      <c r="AV278" s="299" t="n">
        <v>0</v>
      </c>
      <c r="AW278" s="299" t="n">
        <v>-0.0075</v>
      </c>
      <c r="AX278" s="299" t="n">
        <v>-0.06</v>
      </c>
      <c r="BD278" s="299" t="n">
        <v>-0.0075</v>
      </c>
      <c r="BF278" s="299" t="n">
        <v>0</v>
      </c>
      <c r="BJ278" s="299" t="n">
        <v>0.315</v>
      </c>
      <c r="BL278" s="299" t="n">
        <v>0</v>
      </c>
      <c r="BM278" s="299" t="n">
        <v>0.005</v>
      </c>
      <c r="BO278" s="299" t="n">
        <v>0</v>
      </c>
      <c r="BP278" s="299" t="n">
        <v>0</v>
      </c>
      <c r="BQ278" s="299" t="n">
        <v>0</v>
      </c>
      <c r="BR278" s="299" t="n">
        <v>0.01</v>
      </c>
      <c r="BS278" s="0"/>
      <c r="BT278" s="0" t="n">
        <v>0</v>
      </c>
      <c r="BU278" s="0" t="n">
        <v>0</v>
      </c>
      <c r="BV278" s="0" t="n">
        <v>0</v>
      </c>
    </row>
    <row r="279" customFormat="false" ht="12.75" hidden="false" customHeight="false" outlineLevel="0" collapsed="false">
      <c r="A279" s="301"/>
      <c r="B279" s="301" t="n">
        <v>4.708</v>
      </c>
      <c r="C279" s="308" t="n">
        <f aca="false">EOMONTH(C278,0)+1</f>
        <v>45566</v>
      </c>
      <c r="D279" s="0" t="n">
        <v>4.9625</v>
      </c>
      <c r="E279" s="301" t="n">
        <v>0.17</v>
      </c>
      <c r="F279" s="301" t="n">
        <v>0.064164117538188</v>
      </c>
      <c r="O279" s="299"/>
      <c r="V279" s="310" t="n">
        <v>0</v>
      </c>
      <c r="W279" s="299" t="n">
        <v>0.145</v>
      </c>
      <c r="X279" s="299" t="n">
        <v>0.175</v>
      </c>
      <c r="AM279" s="299" t="n">
        <v>0.4</v>
      </c>
      <c r="AN279" s="299" t="n">
        <v>0.0125</v>
      </c>
      <c r="AO279" s="299" t="n">
        <v>0</v>
      </c>
      <c r="AP279" s="299" t="n">
        <v>-0.07</v>
      </c>
      <c r="AQ279" s="299" t="n">
        <v>0</v>
      </c>
      <c r="AS279" s="299" t="n">
        <v>0</v>
      </c>
      <c r="AT279" s="299" t="n">
        <v>0</v>
      </c>
      <c r="AU279" s="299" t="n">
        <v>0</v>
      </c>
      <c r="AV279" s="299" t="n">
        <v>0</v>
      </c>
      <c r="AW279" s="299" t="n">
        <v>-0.0175</v>
      </c>
      <c r="AX279" s="299" t="n">
        <v>-0.06</v>
      </c>
      <c r="BD279" s="299" t="n">
        <v>-0.0175</v>
      </c>
      <c r="BF279" s="299" t="n">
        <v>0</v>
      </c>
      <c r="BJ279" s="299" t="n">
        <v>0.36</v>
      </c>
      <c r="BL279" s="299" t="n">
        <v>0</v>
      </c>
      <c r="BM279" s="299" t="n">
        <v>0.005</v>
      </c>
      <c r="BO279" s="299" t="n">
        <v>0</v>
      </c>
      <c r="BP279" s="299" t="n">
        <v>0</v>
      </c>
      <c r="BQ279" s="299" t="n">
        <v>0</v>
      </c>
      <c r="BR279" s="299" t="n">
        <v>0.01</v>
      </c>
      <c r="BS279" s="0"/>
      <c r="BT279" s="0" t="n">
        <v>0</v>
      </c>
      <c r="BU279" s="0" t="n">
        <v>0</v>
      </c>
      <c r="BV279" s="0" t="n">
        <v>0</v>
      </c>
    </row>
    <row r="280" customFormat="false" ht="12.75" hidden="false" customHeight="false" outlineLevel="0" collapsed="false">
      <c r="A280" s="301"/>
      <c r="B280" s="301" t="n">
        <v>4.7</v>
      </c>
      <c r="C280" s="308" t="n">
        <f aca="false">EOMONTH(C279,0)+1</f>
        <v>45597</v>
      </c>
      <c r="D280" s="0" t="n">
        <v>5.1145</v>
      </c>
      <c r="E280" s="301" t="n">
        <v>0.17</v>
      </c>
      <c r="F280" s="301" t="n">
        <v>0.0641572754573048</v>
      </c>
      <c r="O280" s="299"/>
      <c r="V280" s="310" t="n">
        <v>0</v>
      </c>
      <c r="W280" s="299" t="n">
        <v>0.195</v>
      </c>
      <c r="X280" s="299" t="n">
        <v>0.21</v>
      </c>
      <c r="AM280" s="299" t="n">
        <v>0.65</v>
      </c>
      <c r="AN280" s="299" t="n">
        <v>-0.0225</v>
      </c>
      <c r="AO280" s="299" t="n">
        <v>0</v>
      </c>
      <c r="AP280" s="299" t="n">
        <v>-0.07</v>
      </c>
      <c r="AQ280" s="299" t="n">
        <v>0</v>
      </c>
      <c r="AS280" s="299" t="n">
        <v>0</v>
      </c>
      <c r="AT280" s="299" t="n">
        <v>0</v>
      </c>
      <c r="AU280" s="299" t="n">
        <v>0</v>
      </c>
      <c r="AV280" s="299" t="n">
        <v>0</v>
      </c>
      <c r="AW280" s="299" t="n">
        <v>-0.0525</v>
      </c>
      <c r="AX280" s="299" t="n">
        <v>-0.06</v>
      </c>
      <c r="BD280" s="299" t="n">
        <v>-0.0525</v>
      </c>
      <c r="BF280" s="299" t="n">
        <v>0</v>
      </c>
      <c r="BJ280" s="299" t="n">
        <v>0.46</v>
      </c>
      <c r="BL280" s="299" t="n">
        <v>0</v>
      </c>
      <c r="BM280" s="299" t="n">
        <v>0.005</v>
      </c>
      <c r="BO280" s="299" t="n">
        <v>0</v>
      </c>
      <c r="BP280" s="299" t="n">
        <v>0</v>
      </c>
      <c r="BQ280" s="299" t="n">
        <v>0</v>
      </c>
      <c r="BR280" s="299" t="n">
        <v>0.055</v>
      </c>
      <c r="BS280" s="0"/>
      <c r="BT280" s="0" t="n">
        <v>0</v>
      </c>
      <c r="BU280" s="0" t="n">
        <v>0</v>
      </c>
      <c r="BV280" s="0" t="n">
        <v>0</v>
      </c>
    </row>
    <row r="281" customFormat="false" ht="12.75" hidden="false" customHeight="false" outlineLevel="0" collapsed="false">
      <c r="A281" s="301"/>
      <c r="B281" s="301" t="n">
        <v>4.7</v>
      </c>
      <c r="C281" s="308" t="n">
        <f aca="false">EOMONTH(C280,0)+1</f>
        <v>45627</v>
      </c>
      <c r="D281" s="0" t="n">
        <v>5.2575</v>
      </c>
      <c r="E281" s="301" t="n">
        <v>0.17</v>
      </c>
      <c r="F281" s="301" t="n">
        <v>0.0641506540887224</v>
      </c>
      <c r="O281" s="299"/>
      <c r="V281" s="310" t="n">
        <v>0</v>
      </c>
      <c r="W281" s="299" t="n">
        <v>0.215</v>
      </c>
      <c r="X281" s="299" t="n">
        <v>0.29</v>
      </c>
      <c r="AM281" s="299" t="n">
        <v>0.98</v>
      </c>
      <c r="AN281" s="299" t="n">
        <v>-0.045</v>
      </c>
      <c r="AO281" s="299" t="n">
        <v>0</v>
      </c>
      <c r="AP281" s="299" t="n">
        <v>-0.07</v>
      </c>
      <c r="AQ281" s="299" t="n">
        <v>0</v>
      </c>
      <c r="AS281" s="299" t="n">
        <v>0</v>
      </c>
      <c r="AT281" s="299" t="n">
        <v>0</v>
      </c>
      <c r="AU281" s="299" t="n">
        <v>0</v>
      </c>
      <c r="AV281" s="299" t="n">
        <v>0</v>
      </c>
      <c r="AW281" s="299" t="n">
        <v>-0.075</v>
      </c>
      <c r="AX281" s="299" t="n">
        <v>-0.06</v>
      </c>
      <c r="BD281" s="299" t="n">
        <v>-0.075</v>
      </c>
      <c r="BF281" s="299" t="n">
        <v>0</v>
      </c>
      <c r="BJ281" s="299" t="n">
        <v>0.77</v>
      </c>
      <c r="BL281" s="299" t="n">
        <v>0</v>
      </c>
      <c r="BM281" s="299" t="n">
        <v>0.005</v>
      </c>
      <c r="BO281" s="299" t="n">
        <v>0</v>
      </c>
      <c r="BP281" s="299" t="n">
        <v>0</v>
      </c>
      <c r="BQ281" s="299" t="n">
        <v>0</v>
      </c>
      <c r="BR281" s="299" t="n">
        <v>0.25</v>
      </c>
      <c r="BS281" s="0"/>
      <c r="BT281" s="0" t="n">
        <v>0</v>
      </c>
      <c r="BU281" s="0" t="n">
        <v>0</v>
      </c>
      <c r="BV281" s="0" t="n">
        <v>0</v>
      </c>
    </row>
    <row r="282" customFormat="false" ht="12.75" hidden="false" customHeight="false" outlineLevel="0" collapsed="false">
      <c r="A282" s="301"/>
      <c r="B282" s="301" t="n">
        <v>4.765</v>
      </c>
      <c r="C282" s="308" t="n">
        <f aca="false">EOMONTH(C281,0)+1</f>
        <v>45658</v>
      </c>
      <c r="D282" s="0"/>
      <c r="F282" s="301" t="n">
        <v>0.0641438120078694</v>
      </c>
      <c r="O282" s="299"/>
      <c r="V282" s="310" t="n">
        <v>0</v>
      </c>
      <c r="W282" s="299" t="n">
        <v>0.235</v>
      </c>
      <c r="X282" s="299" t="n">
        <v>0.34</v>
      </c>
      <c r="AM282" s="299" t="n">
        <v>1.6</v>
      </c>
      <c r="AN282" s="299" t="n">
        <v>-0.0475</v>
      </c>
      <c r="AO282" s="299" t="n">
        <v>0</v>
      </c>
      <c r="AP282" s="299" t="n">
        <v>-0.07</v>
      </c>
      <c r="AQ282" s="299" t="n">
        <v>0</v>
      </c>
      <c r="AS282" s="299" t="n">
        <v>0</v>
      </c>
      <c r="AT282" s="299" t="n">
        <v>0</v>
      </c>
      <c r="AU282" s="299" t="n">
        <v>0</v>
      </c>
      <c r="AV282" s="299" t="n">
        <v>0</v>
      </c>
      <c r="AW282" s="299" t="n">
        <v>-0.0775</v>
      </c>
      <c r="AX282" s="299" t="n">
        <v>-0.06</v>
      </c>
      <c r="BD282" s="299" t="n">
        <v>-0.0775</v>
      </c>
      <c r="BF282" s="299" t="n">
        <v>0</v>
      </c>
      <c r="BJ282" s="299" t="n">
        <v>1.04</v>
      </c>
      <c r="BL282" s="299" t="n">
        <v>0</v>
      </c>
      <c r="BM282" s="299" t="n">
        <v>0.005</v>
      </c>
      <c r="BO282" s="299" t="n">
        <v>0</v>
      </c>
      <c r="BP282" s="299" t="n">
        <v>0</v>
      </c>
      <c r="BQ282" s="299" t="n">
        <v>0</v>
      </c>
      <c r="BR282" s="299" t="n">
        <v>0.45</v>
      </c>
      <c r="BS282" s="0"/>
      <c r="BT282" s="0" t="n">
        <v>0</v>
      </c>
      <c r="BU282" s="0" t="n">
        <v>0</v>
      </c>
      <c r="BV282" s="0" t="n">
        <v>0</v>
      </c>
    </row>
    <row r="283" customFormat="false" ht="12.75" hidden="false" customHeight="false" outlineLevel="0" collapsed="false">
      <c r="A283" s="301"/>
      <c r="B283" s="301" t="n">
        <v>4.76</v>
      </c>
      <c r="C283" s="308" t="n">
        <f aca="false">EOMONTH(C282,0)+1</f>
        <v>45689</v>
      </c>
      <c r="D283" s="0"/>
      <c r="F283" s="301" t="n">
        <v>0.064136969927032</v>
      </c>
      <c r="O283" s="299"/>
      <c r="V283" s="310" t="n">
        <v>0</v>
      </c>
      <c r="W283" s="299" t="n">
        <v>0.235</v>
      </c>
      <c r="X283" s="299" t="n">
        <v>0.34</v>
      </c>
      <c r="AM283" s="299" t="n">
        <v>1.6</v>
      </c>
      <c r="AN283" s="299" t="n">
        <v>-0.03</v>
      </c>
      <c r="AO283" s="299" t="n">
        <v>0</v>
      </c>
      <c r="AP283" s="299" t="n">
        <v>-0.07</v>
      </c>
      <c r="AQ283" s="299" t="n">
        <v>0</v>
      </c>
      <c r="AS283" s="299" t="n">
        <v>0</v>
      </c>
      <c r="AT283" s="299" t="n">
        <v>0</v>
      </c>
      <c r="AU283" s="299" t="n">
        <v>0</v>
      </c>
      <c r="AV283" s="299" t="n">
        <v>0</v>
      </c>
      <c r="AW283" s="299" t="n">
        <v>-0.06</v>
      </c>
      <c r="AX283" s="299" t="n">
        <v>-0.06</v>
      </c>
      <c r="BD283" s="299" t="n">
        <v>-0.06</v>
      </c>
      <c r="BF283" s="299" t="n">
        <v>0</v>
      </c>
      <c r="BJ283" s="299" t="n">
        <v>1.04</v>
      </c>
      <c r="BL283" s="299" t="n">
        <v>0</v>
      </c>
      <c r="BM283" s="299" t="n">
        <v>0.005</v>
      </c>
      <c r="BO283" s="299" t="n">
        <v>0</v>
      </c>
      <c r="BP283" s="299" t="n">
        <v>0</v>
      </c>
      <c r="BQ283" s="299" t="n">
        <v>0</v>
      </c>
      <c r="BR283" s="299" t="n">
        <v>0.45</v>
      </c>
      <c r="BS283" s="0"/>
      <c r="BT283" s="0" t="n">
        <v>0</v>
      </c>
      <c r="BU283" s="0" t="n">
        <v>0</v>
      </c>
      <c r="BV283" s="0" t="n">
        <v>0</v>
      </c>
    </row>
    <row r="284" customFormat="false" ht="12.75" hidden="false" customHeight="false" outlineLevel="0" collapsed="false">
      <c r="A284" s="301"/>
      <c r="B284" s="301" t="n">
        <v>4.73</v>
      </c>
      <c r="C284" s="308" t="n">
        <f aca="false">EOMONTH(C283,0)+1</f>
        <v>45717</v>
      </c>
      <c r="D284" s="0"/>
      <c r="F284" s="301" t="n">
        <v>0.0641307899830634</v>
      </c>
      <c r="O284" s="299"/>
      <c r="V284" s="310" t="n">
        <v>0</v>
      </c>
      <c r="W284" s="299" t="n">
        <v>0.195</v>
      </c>
      <c r="X284" s="299" t="n">
        <v>0.29</v>
      </c>
      <c r="AM284" s="299" t="n">
        <v>0.64</v>
      </c>
      <c r="AN284" s="299" t="n">
        <v>-0.0175</v>
      </c>
      <c r="AO284" s="299" t="n">
        <v>0</v>
      </c>
      <c r="AP284" s="299" t="n">
        <v>-0.07</v>
      </c>
      <c r="AQ284" s="299" t="n">
        <v>0</v>
      </c>
      <c r="AS284" s="299" t="n">
        <v>0</v>
      </c>
      <c r="AT284" s="299" t="n">
        <v>0</v>
      </c>
      <c r="AU284" s="299" t="n">
        <v>0</v>
      </c>
      <c r="AV284" s="299" t="n">
        <v>0</v>
      </c>
      <c r="AW284" s="299" t="n">
        <v>-0.0475</v>
      </c>
      <c r="AX284" s="299" t="n">
        <v>-0.06</v>
      </c>
      <c r="BD284" s="299" t="n">
        <v>-0.0475</v>
      </c>
      <c r="BF284" s="299" t="n">
        <v>0</v>
      </c>
      <c r="BJ284" s="299" t="n">
        <v>0.54</v>
      </c>
      <c r="BL284" s="299" t="n">
        <v>0</v>
      </c>
      <c r="BM284" s="299" t="n">
        <v>0.005</v>
      </c>
      <c r="BO284" s="299" t="n">
        <v>0</v>
      </c>
      <c r="BP284" s="299" t="n">
        <v>0</v>
      </c>
      <c r="BQ284" s="299" t="n">
        <v>0</v>
      </c>
      <c r="BR284" s="299" t="n">
        <v>0.1</v>
      </c>
      <c r="BS284" s="0"/>
      <c r="BT284" s="0" t="n">
        <v>0</v>
      </c>
      <c r="BU284" s="0" t="n">
        <v>0</v>
      </c>
      <c r="BV284" s="0" t="n">
        <v>0</v>
      </c>
    </row>
    <row r="285" customFormat="false" ht="12.75" hidden="false" customHeight="false" outlineLevel="0" collapsed="false">
      <c r="A285" s="301"/>
      <c r="B285" s="301" t="n">
        <v>4.728</v>
      </c>
      <c r="C285" s="308" t="n">
        <f aca="false">EOMONTH(C284,0)+1</f>
        <v>45748</v>
      </c>
      <c r="D285" s="0"/>
      <c r="F285" s="301" t="n">
        <v>0.0641239479022557</v>
      </c>
      <c r="O285" s="299"/>
      <c r="V285" s="310" t="n">
        <v>0</v>
      </c>
      <c r="W285" s="299" t="n">
        <v>0.145</v>
      </c>
      <c r="X285" s="299" t="n">
        <v>0.195</v>
      </c>
      <c r="AM285" s="299" t="n">
        <v>0.38</v>
      </c>
      <c r="AN285" s="299" t="n">
        <v>0.02</v>
      </c>
      <c r="AO285" s="299" t="n">
        <v>0</v>
      </c>
      <c r="AP285" s="299" t="n">
        <v>-0.07</v>
      </c>
      <c r="AQ285" s="299" t="n">
        <v>0</v>
      </c>
      <c r="AS285" s="299" t="n">
        <v>0</v>
      </c>
      <c r="AT285" s="299" t="n">
        <v>0</v>
      </c>
      <c r="AU285" s="299" t="n">
        <v>0</v>
      </c>
      <c r="AV285" s="299" t="n">
        <v>0</v>
      </c>
      <c r="AW285" s="299" t="n">
        <v>-0.01</v>
      </c>
      <c r="AX285" s="299" t="n">
        <v>-0.06</v>
      </c>
      <c r="BD285" s="299" t="n">
        <v>-0.01</v>
      </c>
      <c r="BF285" s="299" t="n">
        <v>0</v>
      </c>
      <c r="BJ285" s="299" t="n">
        <v>0.36</v>
      </c>
      <c r="BL285" s="299" t="n">
        <v>0</v>
      </c>
      <c r="BM285" s="299" t="n">
        <v>0.005</v>
      </c>
      <c r="BO285" s="299" t="n">
        <v>0</v>
      </c>
      <c r="BP285" s="299" t="n">
        <v>0</v>
      </c>
      <c r="BQ285" s="299" t="n">
        <v>0</v>
      </c>
      <c r="BR285" s="299" t="n">
        <v>0.02</v>
      </c>
      <c r="BS285" s="0"/>
      <c r="BT285" s="0" t="n">
        <v>0</v>
      </c>
      <c r="BU285" s="0" t="n">
        <v>0</v>
      </c>
      <c r="BV285" s="0" t="n">
        <v>0</v>
      </c>
    </row>
    <row r="286" customFormat="false" ht="12.75" hidden="false" customHeight="false" outlineLevel="0" collapsed="false">
      <c r="A286" s="301"/>
      <c r="B286" s="301" t="n">
        <v>4.74</v>
      </c>
      <c r="C286" s="308" t="n">
        <f aca="false">EOMONTH(C285,0)+1</f>
        <v>45778</v>
      </c>
      <c r="D286" s="0"/>
      <c r="F286" s="301" t="n">
        <v>0.0641173265337462</v>
      </c>
      <c r="O286" s="299"/>
      <c r="V286" s="310" t="n">
        <v>0</v>
      </c>
      <c r="W286" s="299" t="n">
        <v>0.125</v>
      </c>
      <c r="X286" s="299" t="n">
        <v>0.135</v>
      </c>
      <c r="AM286" s="299" t="n">
        <v>0.33</v>
      </c>
      <c r="AN286" s="299" t="n">
        <v>0.02</v>
      </c>
      <c r="AO286" s="299" t="n">
        <v>0</v>
      </c>
      <c r="AP286" s="299" t="n">
        <v>-0.07</v>
      </c>
      <c r="AQ286" s="299" t="n">
        <v>0</v>
      </c>
      <c r="AS286" s="299" t="n">
        <v>0</v>
      </c>
      <c r="AT286" s="299" t="n">
        <v>0</v>
      </c>
      <c r="AU286" s="299" t="n">
        <v>0</v>
      </c>
      <c r="AV286" s="299" t="n">
        <v>0</v>
      </c>
      <c r="AW286" s="299" t="n">
        <v>-0.01</v>
      </c>
      <c r="AX286" s="299" t="n">
        <v>-0.06</v>
      </c>
      <c r="BD286" s="299" t="n">
        <v>-0.01</v>
      </c>
      <c r="BF286" s="299" t="n">
        <v>0</v>
      </c>
      <c r="BJ286" s="299" t="n">
        <v>0.325</v>
      </c>
      <c r="BL286" s="299" t="n">
        <v>0</v>
      </c>
      <c r="BM286" s="299" t="n">
        <v>0.005</v>
      </c>
      <c r="BO286" s="299" t="n">
        <v>0</v>
      </c>
      <c r="BP286" s="299" t="n">
        <v>0</v>
      </c>
      <c r="BQ286" s="299" t="n">
        <v>0</v>
      </c>
      <c r="BR286" s="299" t="n">
        <v>0.02</v>
      </c>
      <c r="BS286" s="0"/>
      <c r="BT286" s="0" t="n">
        <v>0</v>
      </c>
      <c r="BU286" s="0" t="n">
        <v>0</v>
      </c>
      <c r="BV286" s="0" t="n">
        <v>0</v>
      </c>
    </row>
    <row r="287" customFormat="false" ht="12.75" hidden="false" customHeight="false" outlineLevel="0" collapsed="false">
      <c r="A287" s="301"/>
      <c r="B287" s="301" t="n">
        <v>4.789</v>
      </c>
      <c r="C287" s="308" t="n">
        <f aca="false">EOMONTH(C286,0)+1</f>
        <v>45809</v>
      </c>
      <c r="D287" s="0"/>
      <c r="F287" s="301" t="n">
        <v>0.0641104844529692</v>
      </c>
      <c r="O287" s="299"/>
      <c r="V287" s="310" t="n">
        <v>0</v>
      </c>
      <c r="W287" s="299" t="n">
        <v>0.145</v>
      </c>
      <c r="X287" s="299" t="n">
        <v>0.165</v>
      </c>
      <c r="AM287" s="299" t="n">
        <v>0.37</v>
      </c>
      <c r="AN287" s="299" t="n">
        <v>0.025</v>
      </c>
      <c r="AO287" s="299" t="n">
        <v>0</v>
      </c>
      <c r="AP287" s="299" t="n">
        <v>-0.07</v>
      </c>
      <c r="AQ287" s="299" t="n">
        <v>0</v>
      </c>
      <c r="AS287" s="299" t="n">
        <v>0</v>
      </c>
      <c r="AT287" s="299" t="n">
        <v>0</v>
      </c>
      <c r="AU287" s="299" t="n">
        <v>0</v>
      </c>
      <c r="AV287" s="299" t="n">
        <v>0</v>
      </c>
      <c r="AW287" s="299" t="n">
        <v>-0.005</v>
      </c>
      <c r="AX287" s="299" t="n">
        <v>-0.06</v>
      </c>
      <c r="BD287" s="299" t="n">
        <v>-0.005</v>
      </c>
      <c r="BF287" s="299" t="n">
        <v>0</v>
      </c>
      <c r="BJ287" s="299" t="n">
        <v>0.335</v>
      </c>
      <c r="BL287" s="299" t="n">
        <v>0</v>
      </c>
      <c r="BM287" s="299" t="n">
        <v>0.005</v>
      </c>
      <c r="BO287" s="299" t="n">
        <v>0</v>
      </c>
      <c r="BP287" s="299" t="n">
        <v>0</v>
      </c>
      <c r="BQ287" s="299" t="n">
        <v>0</v>
      </c>
      <c r="BR287" s="299" t="n">
        <v>0.035</v>
      </c>
      <c r="BS287" s="0"/>
      <c r="BT287" s="0" t="n">
        <v>0</v>
      </c>
      <c r="BU287" s="0" t="n">
        <v>0</v>
      </c>
      <c r="BV287" s="0" t="n">
        <v>0</v>
      </c>
    </row>
    <row r="288" customFormat="false" ht="12.75" hidden="false" customHeight="false" outlineLevel="0" collapsed="false">
      <c r="A288" s="301"/>
      <c r="B288" s="301" t="n">
        <v>5.045</v>
      </c>
      <c r="C288" s="308" t="n">
        <f aca="false">EOMONTH(C287,0)+1</f>
        <v>45839</v>
      </c>
      <c r="D288" s="0"/>
      <c r="F288" s="301" t="n">
        <v>0.0641038630844899</v>
      </c>
      <c r="O288" s="299"/>
      <c r="V288" s="310" t="n">
        <v>0</v>
      </c>
      <c r="W288" s="299" t="n">
        <v>0.15</v>
      </c>
      <c r="X288" s="299" t="n">
        <v>0.205</v>
      </c>
      <c r="AM288" s="299" t="n">
        <v>0.41</v>
      </c>
      <c r="AN288" s="299" t="n">
        <v>0.0275</v>
      </c>
      <c r="AO288" s="299" t="n">
        <v>0</v>
      </c>
      <c r="AP288" s="299" t="n">
        <v>-0.07</v>
      </c>
      <c r="AQ288" s="299" t="n">
        <v>0</v>
      </c>
      <c r="AS288" s="299" t="n">
        <v>0</v>
      </c>
      <c r="AT288" s="299" t="n">
        <v>0</v>
      </c>
      <c r="AU288" s="299" t="n">
        <v>0</v>
      </c>
      <c r="AV288" s="299" t="n">
        <v>0</v>
      </c>
      <c r="AW288" s="299" t="n">
        <v>-0.0025</v>
      </c>
      <c r="AX288" s="299" t="n">
        <v>-0.06</v>
      </c>
      <c r="BD288" s="299" t="n">
        <v>-0.0025</v>
      </c>
      <c r="BF288" s="299" t="n">
        <v>0</v>
      </c>
      <c r="BJ288" s="299" t="n">
        <v>0.35</v>
      </c>
      <c r="BL288" s="299" t="n">
        <v>0</v>
      </c>
      <c r="BM288" s="299" t="n">
        <v>0.005</v>
      </c>
      <c r="BO288" s="299" t="n">
        <v>0</v>
      </c>
      <c r="BP288" s="299" t="n">
        <v>0</v>
      </c>
      <c r="BQ288" s="299" t="n">
        <v>0</v>
      </c>
      <c r="BR288" s="299" t="n">
        <v>0.035</v>
      </c>
      <c r="BS288" s="0"/>
      <c r="BT288" s="0" t="n">
        <v>0</v>
      </c>
      <c r="BU288" s="0" t="n">
        <v>0</v>
      </c>
      <c r="BV288" s="0" t="n">
        <v>0</v>
      </c>
    </row>
    <row r="289" customFormat="false" ht="12.75" hidden="false" customHeight="false" outlineLevel="0" collapsed="false">
      <c r="A289" s="301"/>
      <c r="B289" s="301" t="n">
        <v>5.002</v>
      </c>
      <c r="C289" s="308" t="n">
        <f aca="false">EOMONTH(C288,0)+1</f>
        <v>45870</v>
      </c>
      <c r="D289" s="0"/>
      <c r="F289" s="301" t="n">
        <v>0.064097021003743</v>
      </c>
      <c r="O289" s="299"/>
      <c r="V289" s="310" t="n">
        <v>0</v>
      </c>
      <c r="W289" s="299" t="n">
        <v>0.15</v>
      </c>
      <c r="X289" s="299" t="n">
        <v>0.205</v>
      </c>
      <c r="AM289" s="299" t="n">
        <v>0.41</v>
      </c>
      <c r="AN289" s="299" t="n">
        <v>0.03</v>
      </c>
      <c r="AO289" s="299" t="n">
        <v>0</v>
      </c>
      <c r="AP289" s="299" t="n">
        <v>-0.07</v>
      </c>
      <c r="AQ289" s="299" t="n">
        <v>0</v>
      </c>
      <c r="AS289" s="299" t="n">
        <v>0</v>
      </c>
      <c r="AT289" s="299" t="n">
        <v>0</v>
      </c>
      <c r="AU289" s="299" t="n">
        <v>0</v>
      </c>
      <c r="AV289" s="299" t="n">
        <v>0</v>
      </c>
      <c r="AW289" s="299" t="n">
        <v>0</v>
      </c>
      <c r="AX289" s="299" t="n">
        <v>-0.06</v>
      </c>
      <c r="BD289" s="299" t="n">
        <v>0</v>
      </c>
      <c r="BF289" s="299" t="n">
        <v>0</v>
      </c>
      <c r="BJ289" s="299" t="n">
        <v>0.35</v>
      </c>
      <c r="BL289" s="299" t="n">
        <v>0</v>
      </c>
      <c r="BM289" s="299" t="n">
        <v>0.005</v>
      </c>
      <c r="BO289" s="299" t="n">
        <v>0</v>
      </c>
      <c r="BP289" s="299" t="n">
        <v>0</v>
      </c>
      <c r="BQ289" s="299" t="n">
        <v>0</v>
      </c>
      <c r="BR289" s="299" t="n">
        <v>0.01</v>
      </c>
      <c r="BS289" s="0"/>
      <c r="BT289" s="0" t="n">
        <v>0</v>
      </c>
      <c r="BU289" s="0" t="n">
        <v>0</v>
      </c>
      <c r="BV289" s="0" t="n">
        <v>0</v>
      </c>
    </row>
    <row r="290" customFormat="false" ht="12.75" hidden="false" customHeight="false" outlineLevel="0" collapsed="false">
      <c r="A290" s="301"/>
      <c r="B290" s="301" t="n">
        <v>4.907</v>
      </c>
      <c r="C290" s="308" t="n">
        <f aca="false">EOMONTH(C289,0)+1</f>
        <v>45901</v>
      </c>
      <c r="D290" s="0"/>
      <c r="F290" s="301" t="n">
        <v>0.0640901789230117</v>
      </c>
      <c r="O290" s="299"/>
      <c r="V290" s="310" t="n">
        <v>0</v>
      </c>
      <c r="W290" s="299" t="n">
        <v>0.125</v>
      </c>
      <c r="X290" s="299" t="n">
        <v>0.145</v>
      </c>
      <c r="AM290" s="299" t="n">
        <v>0.36</v>
      </c>
      <c r="AN290" s="299" t="n">
        <v>0.0225</v>
      </c>
      <c r="AO290" s="299" t="n">
        <v>0</v>
      </c>
      <c r="AP290" s="299" t="n">
        <v>-0.07</v>
      </c>
      <c r="AQ290" s="299" t="n">
        <v>0</v>
      </c>
      <c r="AS290" s="299" t="n">
        <v>0</v>
      </c>
      <c r="AT290" s="299" t="n">
        <v>0</v>
      </c>
      <c r="AU290" s="299" t="n">
        <v>0</v>
      </c>
      <c r="AV290" s="299" t="n">
        <v>0</v>
      </c>
      <c r="AW290" s="299" t="n">
        <v>-0.0075</v>
      </c>
      <c r="AX290" s="299" t="n">
        <v>-0.06</v>
      </c>
      <c r="BD290" s="299" t="n">
        <v>-0.0075</v>
      </c>
      <c r="BF290" s="299" t="n">
        <v>0</v>
      </c>
      <c r="BJ290" s="299" t="n">
        <v>0.315</v>
      </c>
      <c r="BL290" s="299" t="n">
        <v>0</v>
      </c>
      <c r="BM290" s="299" t="n">
        <v>0.005</v>
      </c>
      <c r="BO290" s="299" t="n">
        <v>0</v>
      </c>
      <c r="BP290" s="299" t="n">
        <v>0</v>
      </c>
      <c r="BQ290" s="299" t="n">
        <v>0</v>
      </c>
      <c r="BR290" s="299" t="n">
        <v>0.01</v>
      </c>
      <c r="BS290" s="0"/>
      <c r="BT290" s="0" t="n">
        <v>0</v>
      </c>
      <c r="BU290" s="0" t="n">
        <v>0</v>
      </c>
      <c r="BV290" s="0" t="n">
        <v>0</v>
      </c>
    </row>
    <row r="291" customFormat="false" ht="12.75" hidden="false" customHeight="false" outlineLevel="0" collapsed="false">
      <c r="A291" s="301"/>
      <c r="B291" s="301" t="n">
        <v>4.815</v>
      </c>
      <c r="C291" s="308" t="n">
        <f aca="false">EOMONTH(C290,0)+1</f>
        <v>45931</v>
      </c>
      <c r="D291" s="0"/>
      <c r="F291" s="301" t="n">
        <v>0.0640835575545768</v>
      </c>
      <c r="O291" s="299"/>
      <c r="V291" s="310" t="n">
        <v>0</v>
      </c>
      <c r="W291" s="299" t="n">
        <v>0.145</v>
      </c>
      <c r="X291" s="299" t="n">
        <v>0.175</v>
      </c>
      <c r="AM291" s="299" t="n">
        <v>0.4</v>
      </c>
      <c r="AN291" s="299" t="n">
        <v>0.0125</v>
      </c>
      <c r="AO291" s="299" t="n">
        <v>0</v>
      </c>
      <c r="AP291" s="299" t="n">
        <v>-0.07</v>
      </c>
      <c r="AQ291" s="299" t="n">
        <v>0</v>
      </c>
      <c r="AS291" s="299" t="n">
        <v>0</v>
      </c>
      <c r="AT291" s="299" t="n">
        <v>0</v>
      </c>
      <c r="AU291" s="299" t="n">
        <v>0</v>
      </c>
      <c r="AV291" s="299" t="n">
        <v>0</v>
      </c>
      <c r="AW291" s="299" t="n">
        <v>-0.0175</v>
      </c>
      <c r="AX291" s="299" t="n">
        <v>-0.06</v>
      </c>
      <c r="BD291" s="299" t="n">
        <v>-0.0175</v>
      </c>
      <c r="BF291" s="299" t="n">
        <v>0</v>
      </c>
      <c r="BJ291" s="299" t="n">
        <v>0.36</v>
      </c>
      <c r="BL291" s="299" t="n">
        <v>0</v>
      </c>
      <c r="BM291" s="299" t="n">
        <v>0.005</v>
      </c>
      <c r="BO291" s="299" t="n">
        <v>0</v>
      </c>
      <c r="BP291" s="299" t="n">
        <v>0</v>
      </c>
      <c r="BQ291" s="299" t="n">
        <v>0</v>
      </c>
      <c r="BR291" s="299" t="n">
        <v>0.01</v>
      </c>
      <c r="BS291" s="0"/>
      <c r="BT291" s="0" t="n">
        <v>0</v>
      </c>
      <c r="BU291" s="0" t="n">
        <v>0</v>
      </c>
      <c r="BV291" s="0" t="n">
        <v>0</v>
      </c>
    </row>
    <row r="292" customFormat="false" ht="12.75" hidden="false" customHeight="false" outlineLevel="0" collapsed="false">
      <c r="A292" s="301"/>
      <c r="B292" s="301" t="n">
        <v>4.808</v>
      </c>
      <c r="C292" s="308" t="n">
        <f aca="false">EOMONTH(C291,0)+1</f>
        <v>45962</v>
      </c>
      <c r="D292" s="0"/>
      <c r="F292" s="301" t="n">
        <v>0.0640767154738762</v>
      </c>
      <c r="O292" s="299"/>
      <c r="V292" s="310" t="n">
        <v>0</v>
      </c>
      <c r="W292" s="299" t="n">
        <v>0.195</v>
      </c>
      <c r="X292" s="299" t="n">
        <v>0.21</v>
      </c>
      <c r="AM292" s="299" t="n">
        <v>0.65</v>
      </c>
      <c r="AN292" s="299" t="n">
        <v>-0.0225</v>
      </c>
      <c r="AO292" s="299" t="n">
        <v>0</v>
      </c>
      <c r="AP292" s="299" t="n">
        <v>-0.07</v>
      </c>
      <c r="AQ292" s="299" t="n">
        <v>0</v>
      </c>
      <c r="AS292" s="299" t="n">
        <v>0</v>
      </c>
      <c r="AT292" s="299" t="n">
        <v>0</v>
      </c>
      <c r="AU292" s="299" t="n">
        <v>0</v>
      </c>
      <c r="AV292" s="299" t="n">
        <v>0</v>
      </c>
      <c r="AW292" s="299" t="n">
        <v>-0.0525</v>
      </c>
      <c r="AX292" s="299" t="n">
        <v>-0.06</v>
      </c>
      <c r="BD292" s="299" t="n">
        <v>-0.0525</v>
      </c>
      <c r="BF292" s="299" t="n">
        <v>0</v>
      </c>
      <c r="BJ292" s="299" t="n">
        <v>0.46</v>
      </c>
      <c r="BL292" s="299" t="n">
        <v>0</v>
      </c>
      <c r="BM292" s="299" t="n">
        <v>0.005</v>
      </c>
      <c r="BO292" s="299" t="n">
        <v>0</v>
      </c>
      <c r="BP292" s="299" t="n">
        <v>0</v>
      </c>
      <c r="BQ292" s="299" t="n">
        <v>0</v>
      </c>
      <c r="BR292" s="299" t="n">
        <v>0.055</v>
      </c>
      <c r="BS292" s="0"/>
      <c r="BT292" s="0" t="n">
        <v>0</v>
      </c>
      <c r="BU292" s="0" t="n">
        <v>0</v>
      </c>
      <c r="BV292" s="0" t="n">
        <v>0</v>
      </c>
    </row>
    <row r="293" customFormat="false" ht="12.75" hidden="false" customHeight="false" outlineLevel="0" collapsed="false">
      <c r="A293" s="301"/>
      <c r="B293" s="301"/>
      <c r="C293" s="308" t="n">
        <f aca="false">EOMONTH(C292,0)+1</f>
        <v>45992</v>
      </c>
      <c r="D293" s="0"/>
      <c r="F293" s="301" t="n">
        <v>0.0640700941054706</v>
      </c>
      <c r="O293" s="299"/>
      <c r="V293" s="310" t="n">
        <v>0</v>
      </c>
      <c r="W293" s="299" t="n">
        <v>0.215</v>
      </c>
      <c r="X293" s="299" t="n">
        <v>0.29</v>
      </c>
      <c r="AM293" s="299" t="n">
        <v>0.98</v>
      </c>
      <c r="AN293" s="299" t="n">
        <v>-0.045</v>
      </c>
      <c r="AO293" s="299" t="n">
        <v>0</v>
      </c>
      <c r="AP293" s="299" t="n">
        <v>-0.07</v>
      </c>
      <c r="AQ293" s="299" t="n">
        <v>0</v>
      </c>
      <c r="AS293" s="299" t="n">
        <v>0</v>
      </c>
      <c r="AT293" s="299" t="n">
        <v>0</v>
      </c>
      <c r="AU293" s="299" t="n">
        <v>0</v>
      </c>
      <c r="AV293" s="299" t="n">
        <v>0</v>
      </c>
      <c r="AW293" s="299" t="n">
        <v>-0.075</v>
      </c>
      <c r="AX293" s="299" t="n">
        <v>-0.06</v>
      </c>
      <c r="BD293" s="299" t="n">
        <v>-0.075</v>
      </c>
      <c r="BF293" s="299" t="n">
        <v>0</v>
      </c>
      <c r="BJ293" s="299" t="n">
        <v>0.77</v>
      </c>
      <c r="BL293" s="299" t="n">
        <v>0</v>
      </c>
      <c r="BM293" s="299" t="n">
        <v>0.005</v>
      </c>
      <c r="BO293" s="299" t="n">
        <v>0</v>
      </c>
      <c r="BP293" s="299" t="n">
        <v>0</v>
      </c>
      <c r="BQ293" s="299" t="n">
        <v>0</v>
      </c>
      <c r="BR293" s="299" t="n">
        <v>0.25</v>
      </c>
      <c r="BS293" s="0"/>
      <c r="BT293" s="0" t="n">
        <v>0</v>
      </c>
      <c r="BU293" s="0" t="n">
        <v>0</v>
      </c>
      <c r="BV293" s="0" t="n">
        <v>0</v>
      </c>
    </row>
    <row r="294" customFormat="false" ht="12.75" hidden="false" customHeight="false" outlineLevel="0" collapsed="false">
      <c r="A294" s="301"/>
      <c r="B294" s="301"/>
      <c r="C294" s="308" t="n">
        <f aca="false">EOMONTH(C293,0)+1</f>
        <v>46023</v>
      </c>
      <c r="D294" s="0"/>
      <c r="F294" s="301" t="n">
        <v>0.0640632520248006</v>
      </c>
      <c r="V294" s="299" t="n">
        <v>0</v>
      </c>
      <c r="W294" s="310" t="n">
        <v>0.235</v>
      </c>
      <c r="X294" s="299" t="n">
        <v>0.34</v>
      </c>
      <c r="AM294" s="299" t="n">
        <v>1.6</v>
      </c>
      <c r="AN294" s="299" t="n">
        <v>-0.0475</v>
      </c>
      <c r="AO294" s="299" t="n">
        <v>0</v>
      </c>
      <c r="AP294" s="299" t="n">
        <v>-0.07</v>
      </c>
      <c r="AQ294" s="299" t="n">
        <v>0</v>
      </c>
      <c r="AS294" s="299" t="n">
        <v>0</v>
      </c>
      <c r="AT294" s="299" t="n">
        <v>0</v>
      </c>
      <c r="AU294" s="299" t="n">
        <v>0</v>
      </c>
      <c r="AV294" s="299" t="n">
        <v>0</v>
      </c>
      <c r="AW294" s="299" t="n">
        <v>-0.0775</v>
      </c>
      <c r="AX294" s="299" t="n">
        <v>-0.06</v>
      </c>
      <c r="BD294" s="299" t="n">
        <v>-0.0775</v>
      </c>
      <c r="BF294" s="299" t="n">
        <v>0</v>
      </c>
      <c r="BJ294" s="299" t="n">
        <v>1.04</v>
      </c>
      <c r="BL294" s="299" t="n">
        <v>0</v>
      </c>
      <c r="BM294" s="299" t="n">
        <v>0.005</v>
      </c>
      <c r="BO294" s="299" t="n">
        <v>0</v>
      </c>
      <c r="BP294" s="299" t="n">
        <v>0</v>
      </c>
      <c r="BQ294" s="299" t="n">
        <v>0</v>
      </c>
      <c r="BR294" s="299" t="n">
        <v>0.45</v>
      </c>
      <c r="BS294" s="0"/>
      <c r="BT294" s="0" t="n">
        <v>0</v>
      </c>
      <c r="BU294" s="0" t="n">
        <v>0</v>
      </c>
      <c r="BV294" s="0" t="n">
        <v>0</v>
      </c>
    </row>
    <row r="295" customFormat="false" ht="12.75" hidden="false" customHeight="false" outlineLevel="0" collapsed="false">
      <c r="A295" s="301"/>
      <c r="B295" s="301"/>
      <c r="C295" s="308" t="n">
        <f aca="false">EOMONTH(C294,0)+1</f>
        <v>46054</v>
      </c>
      <c r="D295" s="0"/>
      <c r="F295" s="301" t="n">
        <v>0.0640564099441461</v>
      </c>
      <c r="V295" s="299" t="n">
        <v>0</v>
      </c>
      <c r="W295" s="310" t="n">
        <v>0.235</v>
      </c>
      <c r="X295" s="299" t="n">
        <v>0.34</v>
      </c>
      <c r="AM295" s="299" t="n">
        <v>1.6</v>
      </c>
      <c r="AN295" s="299" t="n">
        <v>-0.03</v>
      </c>
      <c r="AO295" s="299" t="n">
        <v>0</v>
      </c>
      <c r="AP295" s="299" t="n">
        <v>-0.07</v>
      </c>
      <c r="AQ295" s="299" t="n">
        <v>0</v>
      </c>
      <c r="AS295" s="299" t="n">
        <v>0</v>
      </c>
      <c r="AT295" s="299" t="n">
        <v>0</v>
      </c>
      <c r="AU295" s="299" t="n">
        <v>0</v>
      </c>
      <c r="AV295" s="299" t="n">
        <v>0</v>
      </c>
      <c r="AW295" s="299" t="n">
        <v>-0.06</v>
      </c>
      <c r="AX295" s="299" t="n">
        <v>-0.06</v>
      </c>
      <c r="BD295" s="299" t="n">
        <v>-0.06</v>
      </c>
      <c r="BF295" s="299" t="n">
        <v>0</v>
      </c>
      <c r="BJ295" s="299" t="n">
        <v>1.04</v>
      </c>
      <c r="BL295" s="299" t="n">
        <v>0</v>
      </c>
      <c r="BM295" s="299" t="n">
        <v>0.005</v>
      </c>
      <c r="BO295" s="299" t="n">
        <v>0</v>
      </c>
      <c r="BP295" s="299" t="n">
        <v>0</v>
      </c>
      <c r="BQ295" s="299" t="n">
        <v>0</v>
      </c>
      <c r="BR295" s="299" t="n">
        <v>0.45</v>
      </c>
      <c r="BS295" s="0"/>
      <c r="BT295" s="0" t="n">
        <v>0</v>
      </c>
      <c r="BU295" s="0" t="n">
        <v>0</v>
      </c>
      <c r="BV295" s="0" t="n">
        <v>0</v>
      </c>
    </row>
    <row r="296" customFormat="false" ht="12.75" hidden="false" customHeight="false" outlineLevel="0" collapsed="false">
      <c r="A296" s="301"/>
      <c r="B296" s="301"/>
      <c r="C296" s="308" t="n">
        <f aca="false">EOMONTH(C295,0)+1</f>
        <v>46082</v>
      </c>
      <c r="D296" s="0"/>
      <c r="F296" s="301" t="n">
        <v>0.0640502300003423</v>
      </c>
      <c r="V296" s="299" t="n">
        <v>0</v>
      </c>
      <c r="W296" s="310" t="n">
        <v>0.195</v>
      </c>
      <c r="X296" s="299" t="n">
        <v>0.29</v>
      </c>
      <c r="AM296" s="299" t="n">
        <v>0.64</v>
      </c>
      <c r="AN296" s="299" t="n">
        <v>-0.0175</v>
      </c>
      <c r="AO296" s="299" t="n">
        <v>0</v>
      </c>
      <c r="AP296" s="299" t="n">
        <v>-0.07</v>
      </c>
      <c r="AQ296" s="299" t="n">
        <v>0</v>
      </c>
      <c r="AS296" s="299" t="n">
        <v>0</v>
      </c>
      <c r="AT296" s="299" t="n">
        <v>0</v>
      </c>
      <c r="AU296" s="299" t="n">
        <v>0</v>
      </c>
      <c r="AV296" s="299" t="n">
        <v>0</v>
      </c>
      <c r="AW296" s="299" t="n">
        <v>-0.0475</v>
      </c>
      <c r="AX296" s="299" t="n">
        <v>-0.06</v>
      </c>
      <c r="BD296" s="299" t="n">
        <v>-0.0475</v>
      </c>
      <c r="BF296" s="299" t="n">
        <v>0</v>
      </c>
      <c r="BJ296" s="299" t="n">
        <v>0.54</v>
      </c>
      <c r="BL296" s="299" t="n">
        <v>0</v>
      </c>
      <c r="BM296" s="299" t="n">
        <v>0.005</v>
      </c>
      <c r="BO296" s="299" t="n">
        <v>0</v>
      </c>
      <c r="BP296" s="299" t="n">
        <v>0</v>
      </c>
      <c r="BQ296" s="299" t="n">
        <v>0</v>
      </c>
      <c r="BR296" s="299" t="n">
        <v>0.1</v>
      </c>
      <c r="BS296" s="0"/>
      <c r="BT296" s="0" t="n">
        <v>0</v>
      </c>
      <c r="BU296" s="0" t="n">
        <v>0</v>
      </c>
      <c r="BV296" s="0" t="n">
        <v>0</v>
      </c>
    </row>
    <row r="297" customFormat="false" ht="12.75" hidden="false" customHeight="false" outlineLevel="0" collapsed="false">
      <c r="A297" s="301"/>
      <c r="B297" s="301"/>
      <c r="C297" s="308" t="n">
        <f aca="false">EOMONTH(C296,0)+1</f>
        <v>46113</v>
      </c>
      <c r="D297" s="0"/>
      <c r="F297" s="301" t="n">
        <v>0.0640433879197175</v>
      </c>
      <c r="V297" s="299" t="n">
        <v>0</v>
      </c>
      <c r="W297" s="310" t="n">
        <v>0.145</v>
      </c>
      <c r="X297" s="299" t="n">
        <v>0.195</v>
      </c>
      <c r="AM297" s="299" t="n">
        <v>0.38</v>
      </c>
      <c r="AN297" s="299" t="n">
        <v>0.02</v>
      </c>
      <c r="AO297" s="299" t="n">
        <v>0</v>
      </c>
      <c r="AP297" s="299" t="n">
        <v>-0.07</v>
      </c>
      <c r="AQ297" s="299" t="n">
        <v>0</v>
      </c>
      <c r="AS297" s="299" t="n">
        <v>0</v>
      </c>
      <c r="AT297" s="299" t="n">
        <v>0</v>
      </c>
      <c r="AU297" s="299" t="n">
        <v>0</v>
      </c>
      <c r="AV297" s="299" t="n">
        <v>0</v>
      </c>
      <c r="AW297" s="299" t="n">
        <v>-0.01</v>
      </c>
      <c r="AX297" s="299" t="n">
        <v>-0.06</v>
      </c>
      <c r="BD297" s="299" t="n">
        <v>-0.01</v>
      </c>
      <c r="BF297" s="299" t="n">
        <v>0</v>
      </c>
      <c r="BJ297" s="299" t="n">
        <v>0.36</v>
      </c>
      <c r="BL297" s="299" t="n">
        <v>0</v>
      </c>
      <c r="BM297" s="299" t="n">
        <v>0.005</v>
      </c>
      <c r="BO297" s="299" t="n">
        <v>0</v>
      </c>
      <c r="BP297" s="299" t="n">
        <v>0</v>
      </c>
      <c r="BQ297" s="299" t="n">
        <v>0</v>
      </c>
      <c r="BR297" s="299" t="n">
        <v>0.02</v>
      </c>
      <c r="BS297" s="0"/>
      <c r="BT297" s="0" t="n">
        <v>0</v>
      </c>
      <c r="BU297" s="0" t="n">
        <v>0</v>
      </c>
      <c r="BV297" s="0" t="n">
        <v>0</v>
      </c>
    </row>
    <row r="298" customFormat="false" ht="12.75" hidden="false" customHeight="false" outlineLevel="0" collapsed="false">
      <c r="A298" s="301"/>
      <c r="B298" s="301"/>
      <c r="C298" s="308" t="n">
        <f aca="false">EOMONTH(C297,0)+1</f>
        <v>46143</v>
      </c>
      <c r="D298" s="0"/>
      <c r="F298" s="301" t="n">
        <v>0.0640367665513857</v>
      </c>
      <c r="V298" s="299" t="n">
        <v>0</v>
      </c>
      <c r="W298" s="310" t="n">
        <v>0.125</v>
      </c>
      <c r="X298" s="299" t="n">
        <v>0.135</v>
      </c>
      <c r="AM298" s="299" t="n">
        <v>0.33</v>
      </c>
      <c r="AN298" s="299" t="n">
        <v>0.02</v>
      </c>
      <c r="AO298" s="299" t="n">
        <v>0</v>
      </c>
      <c r="AP298" s="299" t="n">
        <v>-0.07</v>
      </c>
      <c r="AQ298" s="299" t="n">
        <v>0</v>
      </c>
      <c r="AS298" s="299" t="n">
        <v>0</v>
      </c>
      <c r="AT298" s="299" t="n">
        <v>0</v>
      </c>
      <c r="AU298" s="299" t="n">
        <v>0</v>
      </c>
      <c r="AV298" s="299" t="n">
        <v>0</v>
      </c>
      <c r="AW298" s="299" t="n">
        <v>-0.01</v>
      </c>
      <c r="AX298" s="299" t="n">
        <v>-0.06</v>
      </c>
      <c r="BD298" s="299" t="n">
        <v>-0.01</v>
      </c>
      <c r="BF298" s="299" t="n">
        <v>0</v>
      </c>
      <c r="BJ298" s="299" t="n">
        <v>0.325</v>
      </c>
      <c r="BL298" s="299" t="n">
        <v>0</v>
      </c>
      <c r="BM298" s="299" t="n">
        <v>0.005</v>
      </c>
      <c r="BO298" s="299" t="n">
        <v>0</v>
      </c>
      <c r="BP298" s="299" t="n">
        <v>0</v>
      </c>
      <c r="BQ298" s="299" t="n">
        <v>0</v>
      </c>
      <c r="BR298" s="299" t="n">
        <v>0.02</v>
      </c>
      <c r="BS298" s="0"/>
      <c r="BT298" s="0" t="n">
        <v>0</v>
      </c>
      <c r="BU298" s="0" t="n">
        <v>0</v>
      </c>
      <c r="BV298" s="0" t="n">
        <v>0</v>
      </c>
    </row>
    <row r="299" customFormat="false" ht="12.75" hidden="false" customHeight="false" outlineLevel="0" collapsed="false">
      <c r="A299" s="301"/>
      <c r="B299" s="301"/>
      <c r="C299" s="308" t="n">
        <f aca="false">EOMONTH(C298,0)+1</f>
        <v>46174</v>
      </c>
      <c r="D299" s="0"/>
      <c r="F299" s="301" t="n">
        <v>0.0640299244707907</v>
      </c>
      <c r="V299" s="299" t="n">
        <v>0</v>
      </c>
      <c r="W299" s="310" t="n">
        <v>0.145</v>
      </c>
      <c r="X299" s="299" t="n">
        <v>0.165</v>
      </c>
      <c r="AM299" s="299" t="n">
        <v>0.37</v>
      </c>
      <c r="AN299" s="299" t="n">
        <v>0.025</v>
      </c>
      <c r="AO299" s="299" t="n">
        <v>0</v>
      </c>
      <c r="AP299" s="299" t="n">
        <v>-0.07</v>
      </c>
      <c r="AQ299" s="299" t="n">
        <v>0</v>
      </c>
      <c r="AS299" s="299" t="n">
        <v>0</v>
      </c>
      <c r="AT299" s="299" t="n">
        <v>0</v>
      </c>
      <c r="AU299" s="299" t="n">
        <v>0</v>
      </c>
      <c r="AV299" s="299" t="n">
        <v>0</v>
      </c>
      <c r="AW299" s="299" t="n">
        <v>-0.005</v>
      </c>
      <c r="AX299" s="299" t="n">
        <v>-0.06</v>
      </c>
      <c r="BD299" s="299" t="n">
        <v>-0.005</v>
      </c>
      <c r="BF299" s="299" t="n">
        <v>0</v>
      </c>
      <c r="BJ299" s="299" t="n">
        <v>0.335</v>
      </c>
      <c r="BL299" s="299" t="n">
        <v>0</v>
      </c>
      <c r="BM299" s="299" t="n">
        <v>0.005</v>
      </c>
      <c r="BO299" s="299" t="n">
        <v>0</v>
      </c>
      <c r="BP299" s="299" t="n">
        <v>0</v>
      </c>
      <c r="BQ299" s="299" t="n">
        <v>0</v>
      </c>
      <c r="BR299" s="299" t="n">
        <v>0.035</v>
      </c>
      <c r="BS299" s="0"/>
      <c r="BT299" s="0" t="n">
        <v>0</v>
      </c>
      <c r="BU299" s="0" t="n">
        <v>0</v>
      </c>
      <c r="BV299" s="0" t="n">
        <v>0</v>
      </c>
    </row>
    <row r="300" customFormat="false" ht="12.75" hidden="false" customHeight="false" outlineLevel="0" collapsed="false">
      <c r="A300" s="301"/>
      <c r="B300" s="301"/>
      <c r="C300" s="308" t="n">
        <f aca="false">EOMONTH(C299,0)+1</f>
        <v>46204</v>
      </c>
      <c r="D300" s="0"/>
      <c r="F300" s="301" t="n">
        <v>0.0640233031024882</v>
      </c>
      <c r="V300" s="299" t="n">
        <v>0</v>
      </c>
      <c r="W300" s="310" t="n">
        <v>0.15</v>
      </c>
      <c r="X300" s="299" t="n">
        <v>0.205</v>
      </c>
      <c r="AM300" s="299" t="n">
        <v>0.41</v>
      </c>
      <c r="AN300" s="299" t="n">
        <v>0.0275</v>
      </c>
      <c r="AO300" s="299" t="n">
        <v>0</v>
      </c>
      <c r="AP300" s="299" t="n">
        <v>-0.07</v>
      </c>
      <c r="AQ300" s="299" t="n">
        <v>0</v>
      </c>
      <c r="AS300" s="299" t="n">
        <v>0</v>
      </c>
      <c r="AT300" s="299" t="n">
        <v>0</v>
      </c>
      <c r="AU300" s="299" t="n">
        <v>0</v>
      </c>
      <c r="AV300" s="299" t="n">
        <v>0</v>
      </c>
      <c r="AW300" s="299" t="n">
        <v>-0.0025</v>
      </c>
      <c r="AX300" s="299" t="n">
        <v>-0.06</v>
      </c>
      <c r="BD300" s="299" t="n">
        <v>-0.0025</v>
      </c>
      <c r="BF300" s="299" t="n">
        <v>0</v>
      </c>
      <c r="BJ300" s="299" t="n">
        <v>0.35</v>
      </c>
      <c r="BL300" s="299" t="n">
        <v>0</v>
      </c>
      <c r="BM300" s="299" t="n">
        <v>0.005</v>
      </c>
      <c r="BO300" s="299" t="n">
        <v>0</v>
      </c>
      <c r="BP300" s="299" t="n">
        <v>0</v>
      </c>
      <c r="BQ300" s="299" t="n">
        <v>0</v>
      </c>
      <c r="BR300" s="299" t="n">
        <v>0.035</v>
      </c>
      <c r="BS300" s="0"/>
      <c r="BT300" s="0" t="n">
        <v>0</v>
      </c>
      <c r="BU300" s="0" t="n">
        <v>0</v>
      </c>
      <c r="BV300" s="0" t="n">
        <v>0</v>
      </c>
    </row>
    <row r="301" customFormat="false" ht="12.75" hidden="false" customHeight="false" outlineLevel="0" collapsed="false">
      <c r="A301" s="301"/>
      <c r="B301" s="301"/>
      <c r="C301" s="308" t="n">
        <f aca="false">EOMONTH(C300,0)+1</f>
        <v>46235</v>
      </c>
      <c r="D301" s="0"/>
      <c r="F301" s="301" t="n">
        <v>0.0640164610219243</v>
      </c>
      <c r="V301" s="299" t="n">
        <v>0</v>
      </c>
      <c r="W301" s="310" t="n">
        <v>0.15</v>
      </c>
      <c r="X301" s="299" t="n">
        <v>0.205</v>
      </c>
      <c r="AM301" s="299" t="n">
        <v>0.41</v>
      </c>
      <c r="AN301" s="299" t="n">
        <v>0.03</v>
      </c>
      <c r="AO301" s="299" t="n">
        <v>0</v>
      </c>
      <c r="AP301" s="299" t="n">
        <v>-0.07</v>
      </c>
      <c r="AQ301" s="299" t="n">
        <v>0</v>
      </c>
      <c r="AS301" s="299" t="n">
        <v>0</v>
      </c>
      <c r="AT301" s="299" t="n">
        <v>0</v>
      </c>
      <c r="AU301" s="299" t="n">
        <v>0</v>
      </c>
      <c r="AV301" s="299" t="n">
        <v>0</v>
      </c>
      <c r="AW301" s="299" t="n">
        <v>0</v>
      </c>
      <c r="AX301" s="299" t="n">
        <v>-0.06</v>
      </c>
      <c r="BD301" s="299" t="n">
        <v>0</v>
      </c>
      <c r="BF301" s="299" t="n">
        <v>0</v>
      </c>
      <c r="BJ301" s="299" t="n">
        <v>0.35</v>
      </c>
      <c r="BL301" s="299" t="n">
        <v>0</v>
      </c>
      <c r="BM301" s="299" t="n">
        <v>0.005</v>
      </c>
      <c r="BO301" s="299" t="n">
        <v>0</v>
      </c>
      <c r="BP301" s="299" t="n">
        <v>0</v>
      </c>
      <c r="BQ301" s="299" t="n">
        <v>0</v>
      </c>
      <c r="BR301" s="299" t="n">
        <v>0.01</v>
      </c>
      <c r="BS301" s="0"/>
      <c r="BT301" s="0" t="n">
        <v>0</v>
      </c>
      <c r="BU301" s="0" t="n">
        <v>0</v>
      </c>
      <c r="BV301" s="0" t="n">
        <v>0</v>
      </c>
    </row>
    <row r="302" customFormat="false" ht="12.75" hidden="false" customHeight="false" outlineLevel="0" collapsed="false">
      <c r="A302" s="301"/>
      <c r="B302" s="301"/>
      <c r="C302" s="308" t="n">
        <f aca="false">EOMONTH(C301,0)+1</f>
        <v>46266</v>
      </c>
      <c r="D302" s="0"/>
      <c r="F302" s="301" t="n">
        <v>0.0640096189413759</v>
      </c>
      <c r="V302" s="299" t="n">
        <v>0</v>
      </c>
      <c r="W302" s="310" t="n">
        <v>0.125</v>
      </c>
      <c r="X302" s="299" t="n">
        <v>0.145</v>
      </c>
      <c r="AM302" s="299" t="n">
        <v>0.36</v>
      </c>
      <c r="AN302" s="299" t="n">
        <v>0.0225</v>
      </c>
      <c r="AO302" s="299" t="n">
        <v>0</v>
      </c>
      <c r="AP302" s="299" t="n">
        <v>-0.07</v>
      </c>
      <c r="AQ302" s="299" t="n">
        <v>0</v>
      </c>
      <c r="AS302" s="299" t="n">
        <v>0</v>
      </c>
      <c r="AT302" s="299" t="n">
        <v>0</v>
      </c>
      <c r="AU302" s="299" t="n">
        <v>0</v>
      </c>
      <c r="AV302" s="299" t="n">
        <v>0</v>
      </c>
      <c r="AW302" s="299" t="n">
        <v>-0.0075</v>
      </c>
      <c r="AX302" s="299" t="n">
        <v>-0.06</v>
      </c>
      <c r="BD302" s="299" t="n">
        <v>-0.0075</v>
      </c>
      <c r="BF302" s="299" t="n">
        <v>0</v>
      </c>
      <c r="BJ302" s="299" t="n">
        <v>0.315</v>
      </c>
      <c r="BL302" s="299" t="n">
        <v>0</v>
      </c>
      <c r="BM302" s="299" t="n">
        <v>0.005</v>
      </c>
      <c r="BO302" s="299" t="n">
        <v>0</v>
      </c>
      <c r="BP302" s="299" t="n">
        <v>0</v>
      </c>
      <c r="BQ302" s="299" t="n">
        <v>0</v>
      </c>
      <c r="BR302" s="299" t="n">
        <v>0.01</v>
      </c>
      <c r="BS302" s="0"/>
      <c r="BT302" s="0" t="n">
        <v>0</v>
      </c>
      <c r="BU302" s="0" t="n">
        <v>0</v>
      </c>
      <c r="BV302" s="0" t="n">
        <v>0</v>
      </c>
    </row>
    <row r="303" customFormat="false" ht="12.75" hidden="false" customHeight="false" outlineLevel="0" collapsed="false">
      <c r="A303" s="301"/>
      <c r="B303" s="301"/>
      <c r="C303" s="308" t="n">
        <f aca="false">EOMONTH(C302,0)+1</f>
        <v>46296</v>
      </c>
      <c r="D303" s="0"/>
      <c r="F303" s="301" t="n">
        <v>0.0640029975731178</v>
      </c>
      <c r="V303" s="299" t="n">
        <v>0</v>
      </c>
      <c r="W303" s="310" t="n">
        <v>0.145</v>
      </c>
      <c r="X303" s="299" t="n">
        <v>0.175</v>
      </c>
      <c r="AM303" s="299" t="n">
        <v>0.4</v>
      </c>
      <c r="AN303" s="299" t="n">
        <v>0.0125</v>
      </c>
      <c r="AO303" s="299" t="n">
        <v>0</v>
      </c>
      <c r="AP303" s="299" t="n">
        <v>-0.07</v>
      </c>
      <c r="AQ303" s="299" t="n">
        <v>0</v>
      </c>
      <c r="AS303" s="299" t="n">
        <v>0</v>
      </c>
      <c r="AT303" s="299" t="n">
        <v>0</v>
      </c>
      <c r="AU303" s="299" t="n">
        <v>0</v>
      </c>
      <c r="AV303" s="299" t="n">
        <v>0</v>
      </c>
      <c r="AW303" s="299" t="n">
        <v>-0.0175</v>
      </c>
      <c r="AX303" s="299" t="n">
        <v>-0.06</v>
      </c>
      <c r="BD303" s="299" t="n">
        <v>-0.0175</v>
      </c>
      <c r="BF303" s="299" t="n">
        <v>0</v>
      </c>
      <c r="BJ303" s="299" t="n">
        <v>0.36</v>
      </c>
      <c r="BL303" s="299" t="n">
        <v>0</v>
      </c>
      <c r="BM303" s="299" t="n">
        <v>0.005</v>
      </c>
      <c r="BO303" s="299" t="n">
        <v>0</v>
      </c>
      <c r="BP303" s="299" t="n">
        <v>0</v>
      </c>
      <c r="BQ303" s="299" t="n">
        <v>0</v>
      </c>
      <c r="BR303" s="299" t="n">
        <v>0.01</v>
      </c>
      <c r="BS303" s="0"/>
      <c r="BT303" s="0" t="n">
        <v>0</v>
      </c>
      <c r="BU303" s="0" t="n">
        <v>0</v>
      </c>
      <c r="BV303" s="0" t="n">
        <v>0</v>
      </c>
    </row>
    <row r="304" customFormat="false" ht="12.75" hidden="false" customHeight="false" outlineLevel="0" collapsed="false">
      <c r="A304" s="301"/>
      <c r="B304" s="301"/>
      <c r="C304" s="308" t="n">
        <f aca="false">EOMONTH(C303,0)+1</f>
        <v>46327</v>
      </c>
      <c r="D304" s="0"/>
      <c r="F304" s="301" t="n">
        <v>0.0639961554926001</v>
      </c>
      <c r="V304" s="299" t="n">
        <v>0</v>
      </c>
      <c r="W304" s="310" t="n">
        <v>0.195</v>
      </c>
      <c r="X304" s="299" t="n">
        <v>0.21</v>
      </c>
      <c r="AM304" s="299" t="n">
        <v>0.65</v>
      </c>
      <c r="AN304" s="299" t="n">
        <v>-0.0225</v>
      </c>
      <c r="AO304" s="299" t="n">
        <v>0</v>
      </c>
      <c r="AP304" s="299" t="n">
        <v>-0.07</v>
      </c>
      <c r="AQ304" s="299" t="n">
        <v>0</v>
      </c>
      <c r="AS304" s="299" t="n">
        <v>0</v>
      </c>
      <c r="AT304" s="299" t="n">
        <v>0</v>
      </c>
      <c r="AU304" s="299" t="n">
        <v>0</v>
      </c>
      <c r="AV304" s="299" t="n">
        <v>0</v>
      </c>
      <c r="AW304" s="299" t="n">
        <v>-0.0525</v>
      </c>
      <c r="AX304" s="299" t="n">
        <v>-0.06</v>
      </c>
      <c r="BD304" s="299" t="n">
        <v>-0.0525</v>
      </c>
      <c r="BF304" s="299" t="n">
        <v>0</v>
      </c>
      <c r="BJ304" s="299" t="n">
        <v>0.46</v>
      </c>
      <c r="BL304" s="299" t="n">
        <v>0</v>
      </c>
      <c r="BM304" s="299" t="n">
        <v>0.005</v>
      </c>
      <c r="BO304" s="299" t="n">
        <v>0</v>
      </c>
      <c r="BP304" s="299" t="n">
        <v>0</v>
      </c>
      <c r="BQ304" s="299" t="n">
        <v>0</v>
      </c>
      <c r="BR304" s="299" t="n">
        <v>0.055</v>
      </c>
      <c r="BS304" s="0"/>
      <c r="BT304" s="0" t="n">
        <v>0</v>
      </c>
      <c r="BU304" s="0" t="n">
        <v>0</v>
      </c>
      <c r="BV304" s="0" t="n">
        <v>0</v>
      </c>
    </row>
    <row r="305" customFormat="false" ht="12.75" hidden="false" customHeight="false" outlineLevel="0" collapsed="false">
      <c r="A305" s="301"/>
      <c r="B305" s="301"/>
      <c r="C305" s="308" t="n">
        <f aca="false">EOMONTH(C304,0)+1</f>
        <v>46357</v>
      </c>
      <c r="D305" s="0"/>
      <c r="F305" s="301" t="n">
        <v>0.0639895341243717</v>
      </c>
      <c r="V305" s="299" t="n">
        <v>0</v>
      </c>
      <c r="W305" s="310" t="n">
        <v>0.215</v>
      </c>
      <c r="X305" s="299" t="n">
        <v>0.29</v>
      </c>
      <c r="AM305" s="299" t="n">
        <v>0.98</v>
      </c>
      <c r="AN305" s="299" t="n">
        <v>-0.045</v>
      </c>
      <c r="AO305" s="299" t="n">
        <v>0</v>
      </c>
      <c r="AP305" s="299" t="n">
        <v>-0.07</v>
      </c>
      <c r="AQ305" s="299" t="n">
        <v>0</v>
      </c>
      <c r="AS305" s="299" t="n">
        <v>0</v>
      </c>
      <c r="AT305" s="299" t="n">
        <v>0</v>
      </c>
      <c r="AU305" s="299" t="n">
        <v>0</v>
      </c>
      <c r="AV305" s="299" t="n">
        <v>0</v>
      </c>
      <c r="AW305" s="299" t="n">
        <v>-0.075</v>
      </c>
      <c r="AX305" s="299" t="n">
        <v>-0.06</v>
      </c>
      <c r="BD305" s="299" t="n">
        <v>-0.075</v>
      </c>
      <c r="BF305" s="299" t="n">
        <v>0</v>
      </c>
      <c r="BJ305" s="299" t="n">
        <v>0.77</v>
      </c>
      <c r="BL305" s="299" t="n">
        <v>0</v>
      </c>
      <c r="BM305" s="299" t="n">
        <v>0.005</v>
      </c>
      <c r="BO305" s="299" t="n">
        <v>0</v>
      </c>
      <c r="BP305" s="299" t="n">
        <v>0</v>
      </c>
      <c r="BQ305" s="299" t="n">
        <v>0</v>
      </c>
      <c r="BR305" s="299" t="n">
        <v>0.25</v>
      </c>
      <c r="BS305" s="0"/>
      <c r="BT305" s="0" t="n">
        <v>0</v>
      </c>
      <c r="BU305" s="0" t="n">
        <v>0</v>
      </c>
      <c r="BV305" s="0" t="n">
        <v>0</v>
      </c>
    </row>
    <row r="306" customFormat="false" ht="12.75" hidden="false" customHeight="false" outlineLevel="0" collapsed="false">
      <c r="A306" s="301"/>
      <c r="B306" s="301"/>
      <c r="C306" s="308" t="n">
        <f aca="false">EOMONTH(C305,0)+1</f>
        <v>46388</v>
      </c>
      <c r="D306" s="0"/>
      <c r="F306" s="301" t="n">
        <v>0.0639826920438842</v>
      </c>
      <c r="V306" s="299" t="n">
        <v>0</v>
      </c>
      <c r="W306" s="310" t="n">
        <v>0.235</v>
      </c>
      <c r="X306" s="299" t="n">
        <v>0.34</v>
      </c>
      <c r="AM306" s="299" t="n">
        <v>1.6</v>
      </c>
      <c r="AN306" s="299" t="n">
        <v>-0.0475</v>
      </c>
      <c r="AO306" s="299" t="n">
        <v>0</v>
      </c>
      <c r="AP306" s="299" t="n">
        <v>-0.07</v>
      </c>
      <c r="AQ306" s="299" t="n">
        <v>0</v>
      </c>
      <c r="AS306" s="299" t="n">
        <v>0</v>
      </c>
      <c r="AT306" s="299" t="n">
        <v>0</v>
      </c>
      <c r="AU306" s="299" t="n">
        <v>0</v>
      </c>
      <c r="AV306" s="299" t="n">
        <v>0</v>
      </c>
      <c r="AW306" s="299" t="n">
        <v>-0.0775</v>
      </c>
      <c r="AX306" s="299" t="n">
        <v>-0.06</v>
      </c>
      <c r="BD306" s="299" t="n">
        <v>-0.0775</v>
      </c>
      <c r="BF306" s="299" t="n">
        <v>0</v>
      </c>
      <c r="BJ306" s="299" t="n">
        <v>1.04</v>
      </c>
      <c r="BL306" s="299" t="n">
        <v>0</v>
      </c>
      <c r="BM306" s="299" t="n">
        <v>0.005</v>
      </c>
      <c r="BO306" s="299" t="n">
        <v>0</v>
      </c>
      <c r="BP306" s="299" t="n">
        <v>0</v>
      </c>
      <c r="BQ306" s="299" t="n">
        <v>0</v>
      </c>
      <c r="BR306" s="299" t="n">
        <v>0.45</v>
      </c>
      <c r="BS306" s="0"/>
      <c r="BT306" s="0" t="n">
        <v>0</v>
      </c>
      <c r="BU306" s="0" t="n">
        <v>0</v>
      </c>
      <c r="BV306" s="0" t="n">
        <v>0</v>
      </c>
    </row>
    <row r="307" customFormat="false" ht="12.75" hidden="false" customHeight="false" outlineLevel="0" collapsed="false">
      <c r="C307" s="308" t="n">
        <f aca="false">EOMONTH(C306,0)+1</f>
        <v>46419</v>
      </c>
      <c r="F307" s="301" t="n">
        <v>0.0639758499634122</v>
      </c>
      <c r="V307" s="299" t="n">
        <v>0</v>
      </c>
      <c r="W307" s="310" t="n">
        <v>0.235</v>
      </c>
      <c r="X307" s="299" t="n">
        <v>0.34</v>
      </c>
      <c r="AM307" s="299" t="n">
        <v>1.6</v>
      </c>
      <c r="AN307" s="299" t="n">
        <v>-0.03</v>
      </c>
      <c r="AO307" s="299" t="n">
        <v>0</v>
      </c>
      <c r="AP307" s="299" t="n">
        <v>-0.07</v>
      </c>
      <c r="AQ307" s="299" t="n">
        <v>0</v>
      </c>
      <c r="AS307" s="299" t="n">
        <v>0</v>
      </c>
      <c r="AT307" s="299" t="n">
        <v>0</v>
      </c>
      <c r="AU307" s="299" t="n">
        <v>0</v>
      </c>
      <c r="AV307" s="299" t="n">
        <v>0</v>
      </c>
      <c r="AW307" s="299" t="n">
        <v>-0.06</v>
      </c>
      <c r="AX307" s="299" t="n">
        <v>-0.06</v>
      </c>
      <c r="BD307" s="299" t="n">
        <v>-0.06</v>
      </c>
      <c r="BF307" s="299" t="n">
        <v>0</v>
      </c>
      <c r="BJ307" s="299" t="n">
        <v>1.04</v>
      </c>
      <c r="BL307" s="299" t="n">
        <v>0</v>
      </c>
      <c r="BM307" s="299" t="n">
        <v>0.005</v>
      </c>
      <c r="BO307" s="299" t="n">
        <v>0</v>
      </c>
      <c r="BP307" s="299" t="n">
        <v>0</v>
      </c>
      <c r="BQ307" s="299" t="n">
        <v>0</v>
      </c>
      <c r="BR307" s="299" t="n">
        <v>0.45</v>
      </c>
      <c r="BS307" s="0"/>
      <c r="BT307" s="0" t="n">
        <v>0</v>
      </c>
      <c r="BU307" s="0" t="n">
        <v>0</v>
      </c>
      <c r="BV307" s="0" t="n">
        <v>0</v>
      </c>
    </row>
    <row r="308" customFormat="false" ht="12.75" hidden="false" customHeight="false" outlineLevel="0" collapsed="false">
      <c r="C308" s="308" t="n">
        <f aca="false">EOMONTH(C307,0)+1</f>
        <v>46447</v>
      </c>
      <c r="F308" s="301" t="n">
        <v>0.0639696700197736</v>
      </c>
      <c r="V308" s="299" t="n">
        <v>0</v>
      </c>
      <c r="W308" s="310" t="n">
        <v>0.195</v>
      </c>
      <c r="X308" s="299" t="n">
        <v>0.29</v>
      </c>
      <c r="AM308" s="299" t="n">
        <v>0.64</v>
      </c>
      <c r="AN308" s="299" t="n">
        <v>-0.0175</v>
      </c>
      <c r="AO308" s="299" t="n">
        <v>0</v>
      </c>
      <c r="AP308" s="299" t="n">
        <v>-0.07</v>
      </c>
      <c r="AQ308" s="299" t="n">
        <v>0</v>
      </c>
      <c r="AS308" s="299" t="n">
        <v>0</v>
      </c>
      <c r="AT308" s="299" t="n">
        <v>0</v>
      </c>
      <c r="AU308" s="299" t="n">
        <v>0</v>
      </c>
      <c r="AV308" s="299" t="n">
        <v>0</v>
      </c>
      <c r="AW308" s="299" t="n">
        <v>-0.0475</v>
      </c>
      <c r="AX308" s="299" t="n">
        <v>-0.06</v>
      </c>
      <c r="BD308" s="299" t="n">
        <v>-0.0475</v>
      </c>
      <c r="BF308" s="299" t="n">
        <v>0</v>
      </c>
      <c r="BJ308" s="299" t="n">
        <v>0.54</v>
      </c>
      <c r="BL308" s="299" t="n">
        <v>0</v>
      </c>
      <c r="BM308" s="299" t="n">
        <v>0.005</v>
      </c>
      <c r="BO308" s="299" t="n">
        <v>0</v>
      </c>
      <c r="BP308" s="299" t="n">
        <v>0</v>
      </c>
      <c r="BQ308" s="299" t="n">
        <v>0</v>
      </c>
      <c r="BR308" s="299" t="n">
        <v>0.1</v>
      </c>
      <c r="BS308" s="0"/>
      <c r="BT308" s="0" t="n">
        <v>0</v>
      </c>
      <c r="BU308" s="0" t="n">
        <v>0</v>
      </c>
      <c r="BV308" s="0" t="n">
        <v>0</v>
      </c>
    </row>
    <row r="309" customFormat="false" ht="12.75" hidden="false" customHeight="false" outlineLevel="0" collapsed="false">
      <c r="C309" s="308" t="n">
        <f aca="false">EOMONTH(C308,0)+1</f>
        <v>46478</v>
      </c>
      <c r="F309" s="301" t="n">
        <v>0.0639628279393314</v>
      </c>
      <c r="V309" s="299" t="n">
        <v>0</v>
      </c>
      <c r="W309" s="310" t="n">
        <v>0.145</v>
      </c>
      <c r="X309" s="299" t="n">
        <v>0.195</v>
      </c>
      <c r="AM309" s="299" t="n">
        <v>0.38</v>
      </c>
      <c r="AN309" s="299" t="n">
        <v>0.02</v>
      </c>
      <c r="AO309" s="299" t="n">
        <v>0</v>
      </c>
      <c r="AP309" s="299" t="n">
        <v>-0.07</v>
      </c>
      <c r="AQ309" s="299" t="n">
        <v>0</v>
      </c>
      <c r="AS309" s="299" t="n">
        <v>0</v>
      </c>
      <c r="AT309" s="299" t="n">
        <v>0</v>
      </c>
      <c r="AU309" s="299" t="n">
        <v>0</v>
      </c>
      <c r="AV309" s="299" t="n">
        <v>0</v>
      </c>
      <c r="AW309" s="299" t="n">
        <v>-0.01</v>
      </c>
      <c r="AX309" s="299" t="n">
        <v>-0.06</v>
      </c>
      <c r="BD309" s="299" t="n">
        <v>-0.01</v>
      </c>
      <c r="BF309" s="299" t="n">
        <v>0</v>
      </c>
      <c r="BJ309" s="299" t="n">
        <v>0.36</v>
      </c>
      <c r="BL309" s="299" t="n">
        <v>0</v>
      </c>
      <c r="BM309" s="299" t="n">
        <v>0</v>
      </c>
      <c r="BO309" s="299" t="n">
        <v>0</v>
      </c>
      <c r="BP309" s="299" t="n">
        <v>0</v>
      </c>
      <c r="BQ309" s="299" t="n">
        <v>0</v>
      </c>
      <c r="BR309" s="299" t="n">
        <v>0.02</v>
      </c>
      <c r="BS309" s="0"/>
      <c r="BT309" s="0" t="n">
        <v>0</v>
      </c>
      <c r="BU309" s="0" t="n">
        <v>0</v>
      </c>
      <c r="BV309" s="0" t="n">
        <v>0</v>
      </c>
    </row>
    <row r="310" customFormat="false" ht="12.75" hidden="false" customHeight="false" outlineLevel="0" collapsed="false">
      <c r="C310" s="308" t="n">
        <f aca="false">EOMONTH(C309,0)+1</f>
        <v>46508</v>
      </c>
      <c r="F310" s="301" t="n">
        <v>0.0639562065711763</v>
      </c>
      <c r="V310" s="299" t="n">
        <v>0</v>
      </c>
      <c r="W310" s="310" t="n">
        <v>0.125</v>
      </c>
      <c r="X310" s="299" t="n">
        <v>0.135</v>
      </c>
      <c r="AM310" s="299" t="n">
        <v>0.33</v>
      </c>
      <c r="AN310" s="299" t="n">
        <v>0.02</v>
      </c>
      <c r="AO310" s="299" t="n">
        <v>0</v>
      </c>
      <c r="AP310" s="299" t="n">
        <v>-0.07</v>
      </c>
      <c r="AQ310" s="299" t="n">
        <v>0</v>
      </c>
      <c r="AS310" s="299" t="n">
        <v>0</v>
      </c>
      <c r="AT310" s="299" t="n">
        <v>0</v>
      </c>
      <c r="AU310" s="299" t="n">
        <v>0</v>
      </c>
      <c r="AV310" s="299" t="n">
        <v>0</v>
      </c>
      <c r="AW310" s="299" t="n">
        <v>-0.01</v>
      </c>
      <c r="AX310" s="299" t="n">
        <v>-0.06</v>
      </c>
      <c r="BD310" s="299" t="n">
        <v>-0.01</v>
      </c>
      <c r="BF310" s="299" t="n">
        <v>0</v>
      </c>
      <c r="BJ310" s="299" t="n">
        <v>0.325</v>
      </c>
      <c r="BL310" s="299" t="n">
        <v>0</v>
      </c>
      <c r="BM310" s="299" t="n">
        <v>0</v>
      </c>
      <c r="BO310" s="299" t="n">
        <v>0</v>
      </c>
      <c r="BP310" s="299" t="n">
        <v>0</v>
      </c>
      <c r="BQ310" s="299" t="n">
        <v>0</v>
      </c>
      <c r="BR310" s="299" t="n">
        <v>0.02</v>
      </c>
      <c r="BS310" s="0"/>
      <c r="BT310" s="0" t="n">
        <v>0</v>
      </c>
      <c r="BU310" s="0" t="n">
        <v>0</v>
      </c>
      <c r="BV310" s="0" t="n">
        <v>0</v>
      </c>
    </row>
    <row r="311" customFormat="false" ht="12.75" hidden="false" customHeight="false" outlineLevel="0" collapsed="false">
      <c r="C311" s="308" t="n">
        <f aca="false">EOMONTH(C310,0)+1</f>
        <v>46539</v>
      </c>
      <c r="F311" s="301" t="n">
        <v>0.0639493644907647</v>
      </c>
      <c r="V311" s="299" t="n">
        <v>0</v>
      </c>
      <c r="W311" s="310" t="n">
        <v>0.145</v>
      </c>
      <c r="X311" s="299" t="n">
        <v>0.165</v>
      </c>
      <c r="AM311" s="299" t="n">
        <v>0.37</v>
      </c>
      <c r="AN311" s="299" t="n">
        <v>0.025</v>
      </c>
      <c r="AO311" s="299" t="n">
        <v>0</v>
      </c>
      <c r="AP311" s="299" t="n">
        <v>-0.07</v>
      </c>
      <c r="AQ311" s="299" t="n">
        <v>0</v>
      </c>
      <c r="AS311" s="299" t="n">
        <v>0</v>
      </c>
      <c r="AT311" s="299" t="n">
        <v>0</v>
      </c>
      <c r="AU311" s="299" t="n">
        <v>0</v>
      </c>
      <c r="AV311" s="299" t="n">
        <v>0</v>
      </c>
      <c r="AW311" s="299" t="n">
        <v>-0.005</v>
      </c>
      <c r="AX311" s="299" t="n">
        <v>-0.06</v>
      </c>
      <c r="BD311" s="299" t="n">
        <v>-0.005</v>
      </c>
      <c r="BF311" s="299" t="n">
        <v>0</v>
      </c>
      <c r="BJ311" s="299" t="n">
        <v>0.335</v>
      </c>
      <c r="BL311" s="299" t="n">
        <v>0</v>
      </c>
      <c r="BM311" s="299" t="n">
        <v>0</v>
      </c>
      <c r="BO311" s="299" t="n">
        <v>0</v>
      </c>
      <c r="BP311" s="299" t="n">
        <v>0</v>
      </c>
      <c r="BQ311" s="299" t="n">
        <v>0</v>
      </c>
      <c r="BR311" s="299" t="n">
        <v>0.035</v>
      </c>
      <c r="BS311" s="0"/>
      <c r="BT311" s="0" t="n">
        <v>0</v>
      </c>
      <c r="BU311" s="0" t="n">
        <v>0</v>
      </c>
      <c r="BV311" s="0" t="n">
        <v>0</v>
      </c>
    </row>
    <row r="312" customFormat="false" ht="12.75" hidden="false" customHeight="false" outlineLevel="0" collapsed="false">
      <c r="C312" s="308" t="n">
        <f aca="false">EOMONTH(C311,0)+1</f>
        <v>46569</v>
      </c>
      <c r="F312" s="301" t="n">
        <v>0.0639427431226389</v>
      </c>
      <c r="V312" s="299" t="n">
        <v>0</v>
      </c>
      <c r="W312" s="310" t="n">
        <v>0.15</v>
      </c>
      <c r="X312" s="299" t="n">
        <v>0.205</v>
      </c>
      <c r="AM312" s="299" t="n">
        <v>0.41</v>
      </c>
      <c r="AN312" s="299" t="n">
        <v>0.0275</v>
      </c>
      <c r="AO312" s="299" t="n">
        <v>0</v>
      </c>
      <c r="AP312" s="299" t="n">
        <v>-0.07</v>
      </c>
      <c r="AQ312" s="299" t="n">
        <v>0</v>
      </c>
      <c r="AS312" s="299" t="n">
        <v>0</v>
      </c>
      <c r="AT312" s="299" t="n">
        <v>0</v>
      </c>
      <c r="AU312" s="299" t="n">
        <v>0</v>
      </c>
      <c r="AV312" s="299" t="n">
        <v>0</v>
      </c>
      <c r="AW312" s="299" t="n">
        <v>-0.0025</v>
      </c>
      <c r="AX312" s="299" t="n">
        <v>-0.06</v>
      </c>
      <c r="BD312" s="299" t="n">
        <v>-0.0025</v>
      </c>
      <c r="BF312" s="299" t="n">
        <v>0</v>
      </c>
      <c r="BJ312" s="299" t="n">
        <v>0.35</v>
      </c>
      <c r="BL312" s="299" t="n">
        <v>0</v>
      </c>
      <c r="BM312" s="299" t="n">
        <v>0</v>
      </c>
      <c r="BO312" s="299" t="n">
        <v>0</v>
      </c>
      <c r="BP312" s="299" t="n">
        <v>0</v>
      </c>
      <c r="BQ312" s="299" t="n">
        <v>0</v>
      </c>
      <c r="BR312" s="299" t="n">
        <v>0.035</v>
      </c>
      <c r="BS312" s="0"/>
      <c r="BT312" s="0" t="n">
        <v>0</v>
      </c>
      <c r="BU312" s="0" t="n">
        <v>0</v>
      </c>
      <c r="BV312" s="0" t="n">
        <v>0</v>
      </c>
    </row>
    <row r="313" customFormat="false" ht="12.75" hidden="false" customHeight="false" outlineLevel="0" collapsed="false">
      <c r="C313" s="308" t="n">
        <f aca="false">EOMONTH(C312,0)+1</f>
        <v>46600</v>
      </c>
      <c r="F313" s="301" t="n">
        <v>0.0639359010422576</v>
      </c>
      <c r="V313" s="299" t="n">
        <v>0</v>
      </c>
      <c r="W313" s="310" t="n">
        <v>0.15</v>
      </c>
      <c r="X313" s="299" t="n">
        <v>0.205</v>
      </c>
      <c r="AM313" s="299" t="n">
        <v>0.41</v>
      </c>
      <c r="AN313" s="299" t="n">
        <v>0.03</v>
      </c>
      <c r="AO313" s="299" t="n">
        <v>0</v>
      </c>
      <c r="AP313" s="299" t="n">
        <v>-0.07</v>
      </c>
      <c r="AQ313" s="299" t="n">
        <v>0</v>
      </c>
      <c r="AS313" s="299" t="n">
        <v>0</v>
      </c>
      <c r="AT313" s="299" t="n">
        <v>0</v>
      </c>
      <c r="AU313" s="299" t="n">
        <v>0</v>
      </c>
      <c r="AV313" s="299" t="n">
        <v>0</v>
      </c>
      <c r="AW313" s="299" t="n">
        <v>0</v>
      </c>
      <c r="AX313" s="299" t="n">
        <v>-0.06</v>
      </c>
      <c r="BD313" s="299" t="n">
        <v>0</v>
      </c>
      <c r="BF313" s="299" t="n">
        <v>0</v>
      </c>
      <c r="BJ313" s="299" t="n">
        <v>0.35</v>
      </c>
      <c r="BL313" s="299" t="n">
        <v>0</v>
      </c>
      <c r="BM313" s="299" t="n">
        <v>0</v>
      </c>
      <c r="BO313" s="299" t="n">
        <v>0</v>
      </c>
      <c r="BP313" s="299" t="n">
        <v>0</v>
      </c>
      <c r="BQ313" s="299" t="n">
        <v>0</v>
      </c>
      <c r="BR313" s="299" t="n">
        <v>0.01</v>
      </c>
      <c r="BS313" s="0"/>
      <c r="BT313" s="0" t="n">
        <v>0</v>
      </c>
      <c r="BU313" s="0" t="n">
        <v>0</v>
      </c>
      <c r="BV313" s="0" t="n">
        <v>0</v>
      </c>
    </row>
    <row r="314" customFormat="false" ht="12.75" hidden="false" customHeight="false" outlineLevel="0" collapsed="false">
      <c r="C314" s="308" t="n">
        <f aca="false">EOMONTH(C313,0)+1</f>
        <v>46631</v>
      </c>
      <c r="F314" s="301" t="n">
        <v>0.0639290589618922</v>
      </c>
      <c r="V314" s="299" t="n">
        <v>0</v>
      </c>
      <c r="W314" s="310" t="n">
        <v>0.125</v>
      </c>
      <c r="X314" s="299" t="n">
        <v>0.145</v>
      </c>
      <c r="AM314" s="299" t="n">
        <v>0.36</v>
      </c>
      <c r="AN314" s="299" t="n">
        <v>0.0225</v>
      </c>
      <c r="AO314" s="299" t="n">
        <v>0</v>
      </c>
      <c r="AP314" s="299" t="n">
        <v>-0.07</v>
      </c>
      <c r="AQ314" s="299" t="n">
        <v>0</v>
      </c>
      <c r="AS314" s="299" t="n">
        <v>0</v>
      </c>
      <c r="AT314" s="299" t="n">
        <v>0</v>
      </c>
      <c r="AU314" s="299" t="n">
        <v>0</v>
      </c>
      <c r="AV314" s="299" t="n">
        <v>0</v>
      </c>
      <c r="AW314" s="299" t="n">
        <v>-0.0075</v>
      </c>
      <c r="AX314" s="299" t="n">
        <v>-0.06</v>
      </c>
      <c r="BD314" s="299" t="n">
        <v>-0.0075</v>
      </c>
      <c r="BF314" s="299" t="n">
        <v>0</v>
      </c>
      <c r="BJ314" s="299" t="n">
        <v>0.315</v>
      </c>
      <c r="BL314" s="299" t="n">
        <v>0</v>
      </c>
      <c r="BM314" s="299" t="n">
        <v>0</v>
      </c>
      <c r="BO314" s="299" t="n">
        <v>0</v>
      </c>
      <c r="BP314" s="299" t="n">
        <v>0</v>
      </c>
      <c r="BQ314" s="299" t="n">
        <v>0</v>
      </c>
      <c r="BR314" s="299" t="n">
        <v>0.01</v>
      </c>
      <c r="BS314" s="0"/>
      <c r="BT314" s="0" t="n">
        <v>0</v>
      </c>
      <c r="BU314" s="0" t="n">
        <v>0</v>
      </c>
      <c r="BV314" s="0" t="n">
        <v>0</v>
      </c>
    </row>
    <row r="315" customFormat="false" ht="12.75" hidden="false" customHeight="false" outlineLevel="0" collapsed="false">
      <c r="C315" s="308" t="n">
        <f aca="false">EOMONTH(C314,0)+1</f>
        <v>46661</v>
      </c>
      <c r="F315" s="301" t="n">
        <v>0.0639224375938108</v>
      </c>
      <c r="V315" s="299" t="n">
        <v>0</v>
      </c>
      <c r="W315" s="310" t="n">
        <v>0.145</v>
      </c>
      <c r="X315" s="299" t="n">
        <v>0.175</v>
      </c>
      <c r="AM315" s="299" t="n">
        <v>0.4</v>
      </c>
      <c r="AN315" s="299" t="n">
        <v>0.0125</v>
      </c>
      <c r="AO315" s="299" t="n">
        <v>0</v>
      </c>
      <c r="AP315" s="299" t="n">
        <v>-0.07</v>
      </c>
      <c r="AQ315" s="299" t="n">
        <v>0</v>
      </c>
      <c r="AS315" s="299" t="n">
        <v>0</v>
      </c>
      <c r="AT315" s="299" t="n">
        <v>0</v>
      </c>
      <c r="AU315" s="299" t="n">
        <v>0</v>
      </c>
      <c r="AV315" s="299" t="n">
        <v>0</v>
      </c>
      <c r="AW315" s="299" t="n">
        <v>-0.0175</v>
      </c>
      <c r="AX315" s="299" t="n">
        <v>-0.06</v>
      </c>
      <c r="BD315" s="299" t="n">
        <v>-0.0175</v>
      </c>
      <c r="BF315" s="299" t="n">
        <v>0</v>
      </c>
      <c r="BJ315" s="299" t="n">
        <v>0.36</v>
      </c>
      <c r="BL315" s="299" t="n">
        <v>0</v>
      </c>
      <c r="BM315" s="299" t="n">
        <v>0</v>
      </c>
      <c r="BO315" s="299" t="n">
        <v>0</v>
      </c>
      <c r="BP315" s="299" t="n">
        <v>0</v>
      </c>
      <c r="BQ315" s="299" t="n">
        <v>0</v>
      </c>
      <c r="BR315" s="299" t="n">
        <v>0.01</v>
      </c>
      <c r="BS315" s="0"/>
      <c r="BT315" s="0" t="n">
        <v>0</v>
      </c>
      <c r="BU315" s="0" t="n">
        <v>0</v>
      </c>
      <c r="BV315" s="0" t="n">
        <v>0</v>
      </c>
    </row>
    <row r="316" customFormat="false" ht="12.75" hidden="false" customHeight="false" outlineLevel="0" collapsed="false">
      <c r="C316" s="308" t="n">
        <f aca="false">EOMONTH(C315,0)+1</f>
        <v>46692</v>
      </c>
      <c r="F316" s="301" t="n">
        <v>0.0639155955134756</v>
      </c>
      <c r="V316" s="299" t="n">
        <v>0</v>
      </c>
      <c r="W316" s="310" t="n">
        <v>0.195</v>
      </c>
      <c r="X316" s="299" t="n">
        <v>0.21</v>
      </c>
      <c r="AM316" s="299" t="n">
        <v>0.65</v>
      </c>
      <c r="AN316" s="299" t="n">
        <v>-0.0225</v>
      </c>
      <c r="AO316" s="299" t="n">
        <v>0</v>
      </c>
      <c r="AP316" s="299" t="n">
        <v>-0.07</v>
      </c>
      <c r="AQ316" s="299" t="n">
        <v>0</v>
      </c>
      <c r="AS316" s="299" t="n">
        <v>0</v>
      </c>
      <c r="AT316" s="299" t="n">
        <v>0</v>
      </c>
      <c r="AU316" s="299" t="n">
        <v>0</v>
      </c>
      <c r="AV316" s="299" t="n">
        <v>0</v>
      </c>
      <c r="AW316" s="299" t="n">
        <v>-0.0525</v>
      </c>
      <c r="AX316" s="299" t="n">
        <v>-0.06</v>
      </c>
      <c r="BD316" s="299" t="n">
        <v>-0.0525</v>
      </c>
      <c r="BF316" s="299" t="n">
        <v>0</v>
      </c>
      <c r="BJ316" s="299" t="n">
        <v>0.46</v>
      </c>
      <c r="BL316" s="299" t="n">
        <v>0</v>
      </c>
      <c r="BM316" s="299" t="n">
        <v>0</v>
      </c>
      <c r="BO316" s="299" t="n">
        <v>0</v>
      </c>
      <c r="BP316" s="299" t="n">
        <v>0</v>
      </c>
      <c r="BQ316" s="299" t="n">
        <v>0</v>
      </c>
      <c r="BR316" s="299" t="n">
        <v>0.055</v>
      </c>
      <c r="BS316" s="0"/>
      <c r="BT316" s="0" t="n">
        <v>0</v>
      </c>
      <c r="BU316" s="0" t="n">
        <v>0</v>
      </c>
      <c r="BV316" s="0" t="n">
        <v>0</v>
      </c>
    </row>
    <row r="317" customFormat="false" ht="12.75" hidden="false" customHeight="false" outlineLevel="0" collapsed="false">
      <c r="C317" s="308" t="n">
        <f aca="false">EOMONTH(C316,0)+1</f>
        <v>46722</v>
      </c>
      <c r="F317" s="301" t="n">
        <v>0.0639089741454244</v>
      </c>
      <c r="V317" s="299" t="n">
        <v>0</v>
      </c>
      <c r="W317" s="310" t="n">
        <v>0.215</v>
      </c>
      <c r="X317" s="299" t="n">
        <v>0.29</v>
      </c>
      <c r="AM317" s="299" t="n">
        <v>0.98</v>
      </c>
      <c r="AN317" s="299" t="n">
        <v>-0.045</v>
      </c>
      <c r="AO317" s="299" t="n">
        <v>0</v>
      </c>
      <c r="AP317" s="299" t="n">
        <v>-0.07</v>
      </c>
      <c r="AQ317" s="299" t="n">
        <v>0</v>
      </c>
      <c r="AS317" s="299" t="n">
        <v>0</v>
      </c>
      <c r="AT317" s="299" t="n">
        <v>0</v>
      </c>
      <c r="AU317" s="299" t="n">
        <v>0</v>
      </c>
      <c r="AV317" s="299" t="n">
        <v>0</v>
      </c>
      <c r="AW317" s="299" t="n">
        <v>-0.075</v>
      </c>
      <c r="AX317" s="299" t="n">
        <v>-0.06</v>
      </c>
      <c r="BD317" s="299" t="n">
        <v>-0.075</v>
      </c>
      <c r="BF317" s="299" t="n">
        <v>0</v>
      </c>
      <c r="BJ317" s="299" t="n">
        <v>0.77</v>
      </c>
      <c r="BL317" s="299" t="n">
        <v>0</v>
      </c>
      <c r="BM317" s="299" t="n">
        <v>0</v>
      </c>
      <c r="BO317" s="299" t="n">
        <v>0</v>
      </c>
      <c r="BP317" s="299" t="n">
        <v>0</v>
      </c>
      <c r="BQ317" s="299" t="n">
        <v>0</v>
      </c>
      <c r="BR317" s="299" t="n">
        <v>0.25</v>
      </c>
      <c r="BS317" s="0"/>
      <c r="BT317" s="0" t="n">
        <v>0</v>
      </c>
      <c r="BU317" s="0" t="n">
        <v>0</v>
      </c>
      <c r="BV317" s="0" t="n">
        <v>0</v>
      </c>
    </row>
    <row r="318" customFormat="false" ht="12.75" hidden="false" customHeight="false" outlineLevel="0" collapsed="false">
      <c r="C318" s="308" t="n">
        <f aca="false">EOMONTH(C317,0)+1</f>
        <v>46753</v>
      </c>
      <c r="F318" s="301" t="n">
        <v>0.0639021320651198</v>
      </c>
      <c r="V318" s="299" t="n">
        <v>0</v>
      </c>
      <c r="W318" s="310" t="n">
        <v>0.235</v>
      </c>
      <c r="X318" s="299" t="n">
        <v>0.34</v>
      </c>
      <c r="AM318" s="299" t="n">
        <v>1.6</v>
      </c>
      <c r="AN318" s="299" t="n">
        <v>-0.0475</v>
      </c>
      <c r="AO318" s="299" t="n">
        <v>0</v>
      </c>
      <c r="AP318" s="299" t="n">
        <v>-0.07</v>
      </c>
      <c r="AQ318" s="299" t="n">
        <v>0</v>
      </c>
      <c r="AS318" s="299" t="n">
        <v>0</v>
      </c>
      <c r="AT318" s="299" t="n">
        <v>0</v>
      </c>
      <c r="AU318" s="299" t="n">
        <v>0</v>
      </c>
      <c r="AV318" s="299" t="n">
        <v>0</v>
      </c>
      <c r="AW318" s="299" t="n">
        <v>-0.0775</v>
      </c>
      <c r="AX318" s="299" t="n">
        <v>-0.06</v>
      </c>
      <c r="BD318" s="299" t="n">
        <v>-0.0775</v>
      </c>
      <c r="BF318" s="299" t="n">
        <v>0</v>
      </c>
      <c r="BJ318" s="299" t="n">
        <v>1.04</v>
      </c>
      <c r="BL318" s="299" t="n">
        <v>0</v>
      </c>
      <c r="BM318" s="299" t="n">
        <v>0</v>
      </c>
      <c r="BO318" s="299" t="n">
        <v>0</v>
      </c>
      <c r="BP318" s="299" t="n">
        <v>0</v>
      </c>
      <c r="BQ318" s="299" t="n">
        <v>0</v>
      </c>
      <c r="BR318" s="299" t="n">
        <v>0.45</v>
      </c>
      <c r="BS318" s="0"/>
      <c r="BT318" s="0" t="n">
        <v>0</v>
      </c>
      <c r="BU318" s="0" t="n">
        <v>0</v>
      </c>
      <c r="BV318" s="0" t="n">
        <v>0</v>
      </c>
    </row>
    <row r="319" customFormat="false" ht="12.75" hidden="false" customHeight="false" outlineLevel="0" collapsed="false">
      <c r="C319" s="308" t="n">
        <f aca="false">EOMONTH(C318,0)+1</f>
        <v>46784</v>
      </c>
      <c r="F319" s="301" t="n">
        <v>0.0638952899848308</v>
      </c>
      <c r="V319" s="299" t="n">
        <v>0</v>
      </c>
      <c r="W319" s="310" t="n">
        <v>0.235</v>
      </c>
      <c r="X319" s="299" t="n">
        <v>0.34</v>
      </c>
      <c r="AM319" s="299" t="n">
        <v>1.6</v>
      </c>
      <c r="AN319" s="299" t="n">
        <v>-0.03</v>
      </c>
      <c r="AO319" s="299" t="n">
        <v>0</v>
      </c>
      <c r="AP319" s="299" t="n">
        <v>-0.07</v>
      </c>
      <c r="AQ319" s="299" t="n">
        <v>0</v>
      </c>
      <c r="AS319" s="299" t="n">
        <v>0</v>
      </c>
      <c r="AT319" s="299" t="n">
        <v>0</v>
      </c>
      <c r="AU319" s="299" t="n">
        <v>0</v>
      </c>
      <c r="AV319" s="299" t="n">
        <v>0</v>
      </c>
      <c r="AW319" s="299" t="n">
        <v>-0.06</v>
      </c>
      <c r="AX319" s="299" t="n">
        <v>-0.06</v>
      </c>
      <c r="BD319" s="299" t="n">
        <v>-0.06</v>
      </c>
      <c r="BF319" s="299" t="n">
        <v>0</v>
      </c>
      <c r="BJ319" s="299" t="n">
        <v>1.04</v>
      </c>
      <c r="BL319" s="299" t="n">
        <v>0</v>
      </c>
      <c r="BM319" s="299" t="n">
        <v>0</v>
      </c>
      <c r="BO319" s="299" t="n">
        <v>0</v>
      </c>
      <c r="BP319" s="299" t="n">
        <v>0</v>
      </c>
      <c r="BQ319" s="299" t="n">
        <v>0</v>
      </c>
      <c r="BR319" s="299" t="n">
        <v>0.45</v>
      </c>
      <c r="BS319" s="0"/>
      <c r="BT319" s="0" t="n">
        <v>0</v>
      </c>
      <c r="BU319" s="0" t="n">
        <v>0</v>
      </c>
      <c r="BV319" s="0" t="n">
        <v>0</v>
      </c>
    </row>
    <row r="320" customFormat="false" ht="12.75" hidden="false" customHeight="false" outlineLevel="0" collapsed="false">
      <c r="C320" s="308" t="n">
        <f aca="false">EOMONTH(C319,0)+1</f>
        <v>46813</v>
      </c>
      <c r="F320" s="301" t="n">
        <v>0.0638888893290908</v>
      </c>
      <c r="V320" s="299" t="n">
        <v>0</v>
      </c>
      <c r="W320" s="310" t="n">
        <v>0.195</v>
      </c>
      <c r="X320" s="299" t="n">
        <v>0.29</v>
      </c>
      <c r="AM320" s="299" t="n">
        <v>0.64</v>
      </c>
      <c r="AN320" s="299" t="n">
        <v>-0.0175</v>
      </c>
      <c r="AO320" s="299" t="n">
        <v>0</v>
      </c>
      <c r="AP320" s="299" t="n">
        <v>-0.07</v>
      </c>
      <c r="AQ320" s="299" t="n">
        <v>0</v>
      </c>
      <c r="AS320" s="299" t="n">
        <v>0</v>
      </c>
      <c r="AT320" s="299" t="n">
        <v>0</v>
      </c>
      <c r="AU320" s="299" t="n">
        <v>0</v>
      </c>
      <c r="AV320" s="299" t="n">
        <v>0</v>
      </c>
      <c r="AW320" s="299" t="n">
        <v>-0.0475</v>
      </c>
      <c r="AX320" s="299" t="n">
        <v>-0.06</v>
      </c>
      <c r="BD320" s="299" t="n">
        <v>-0.0475</v>
      </c>
      <c r="BF320" s="299" t="n">
        <v>0</v>
      </c>
      <c r="BJ320" s="299" t="n">
        <v>0.54</v>
      </c>
      <c r="BL320" s="299" t="n">
        <v>0</v>
      </c>
      <c r="BM320" s="299" t="n">
        <v>0</v>
      </c>
      <c r="BO320" s="299" t="n">
        <v>0</v>
      </c>
      <c r="BP320" s="299" t="n">
        <v>0</v>
      </c>
      <c r="BQ320" s="299" t="n">
        <v>0</v>
      </c>
      <c r="BR320" s="299" t="n">
        <v>0.1</v>
      </c>
      <c r="BS320" s="0"/>
      <c r="BT320" s="0" t="n">
        <v>0</v>
      </c>
      <c r="BU320" s="0" t="n">
        <v>0</v>
      </c>
      <c r="BV320" s="0" t="n">
        <v>0</v>
      </c>
    </row>
    <row r="321" customFormat="false" ht="12.75" hidden="false" customHeight="false" outlineLevel="0" collapsed="false">
      <c r="C321" s="308" t="n">
        <f aca="false">EOMONTH(C320,0)+1</f>
        <v>46844</v>
      </c>
      <c r="F321" s="301" t="n">
        <v>0.0638820472488315</v>
      </c>
      <c r="V321" s="299" t="n">
        <v>0</v>
      </c>
      <c r="W321" s="310" t="n">
        <v>0.145</v>
      </c>
      <c r="X321" s="299" t="n">
        <v>0.195</v>
      </c>
      <c r="AM321" s="299" t="n">
        <v>0.38</v>
      </c>
      <c r="AN321" s="299" t="n">
        <v>0.02</v>
      </c>
      <c r="AO321" s="299" t="n">
        <v>0</v>
      </c>
      <c r="AP321" s="299" t="n">
        <v>-0.07</v>
      </c>
      <c r="AQ321" s="299" t="n">
        <v>0</v>
      </c>
      <c r="AS321" s="299" t="n">
        <v>0</v>
      </c>
      <c r="AT321" s="299" t="n">
        <v>0</v>
      </c>
      <c r="AU321" s="299" t="n">
        <v>0</v>
      </c>
      <c r="AV321" s="299" t="n">
        <v>0</v>
      </c>
      <c r="AW321" s="299" t="n">
        <v>-0.01</v>
      </c>
      <c r="AX321" s="299" t="n">
        <v>-0.06</v>
      </c>
      <c r="BD321" s="299" t="n">
        <v>-0.01</v>
      </c>
      <c r="BF321" s="299" t="n">
        <v>0</v>
      </c>
      <c r="BJ321" s="299" t="n">
        <v>0.36</v>
      </c>
      <c r="BL321" s="299" t="n">
        <v>0</v>
      </c>
      <c r="BM321" s="299" t="n">
        <v>0</v>
      </c>
      <c r="BO321" s="299" t="n">
        <v>0</v>
      </c>
      <c r="BP321" s="299" t="n">
        <v>0</v>
      </c>
      <c r="BQ321" s="299" t="n">
        <v>0</v>
      </c>
      <c r="BR321" s="299" t="n">
        <v>0.02</v>
      </c>
      <c r="BS321" s="0"/>
      <c r="BT321" s="0" t="n">
        <v>0</v>
      </c>
      <c r="BU321" s="0" t="n">
        <v>0</v>
      </c>
      <c r="BV321" s="0" t="n">
        <v>0</v>
      </c>
    </row>
    <row r="322" customFormat="false" ht="12.75" hidden="false" customHeight="false" outlineLevel="0" collapsed="false">
      <c r="C322" s="308" t="n">
        <f aca="false">EOMONTH(C321,0)+1</f>
        <v>46874</v>
      </c>
      <c r="F322" s="301" t="n">
        <v>0.0638754258808536</v>
      </c>
      <c r="V322" s="299" t="n">
        <v>0</v>
      </c>
      <c r="W322" s="310" t="n">
        <v>0.125</v>
      </c>
      <c r="X322" s="299" t="n">
        <v>0.135</v>
      </c>
      <c r="AM322" s="299" t="n">
        <v>0.33</v>
      </c>
      <c r="AN322" s="299" t="n">
        <v>0.02</v>
      </c>
      <c r="AO322" s="299" t="n">
        <v>0</v>
      </c>
      <c r="AP322" s="299" t="n">
        <v>-0.07</v>
      </c>
      <c r="AQ322" s="299" t="n">
        <v>0</v>
      </c>
      <c r="AS322" s="299" t="n">
        <v>0</v>
      </c>
      <c r="AT322" s="299" t="n">
        <v>0</v>
      </c>
      <c r="AU322" s="299" t="n">
        <v>0</v>
      </c>
      <c r="AV322" s="299" t="n">
        <v>0</v>
      </c>
      <c r="AW322" s="299" t="n">
        <v>-0.01</v>
      </c>
      <c r="AX322" s="299" t="n">
        <v>-0.06</v>
      </c>
      <c r="BD322" s="299" t="n">
        <v>-0.01</v>
      </c>
      <c r="BF322" s="299" t="n">
        <v>0</v>
      </c>
      <c r="BJ322" s="299" t="n">
        <v>0.325</v>
      </c>
      <c r="BL322" s="299" t="n">
        <v>0</v>
      </c>
      <c r="BM322" s="299" t="n">
        <v>0</v>
      </c>
      <c r="BO322" s="299" t="n">
        <v>0</v>
      </c>
      <c r="BP322" s="299" t="n">
        <v>0</v>
      </c>
      <c r="BQ322" s="299" t="n">
        <v>0</v>
      </c>
      <c r="BR322" s="299" t="n">
        <v>0.02</v>
      </c>
      <c r="BS322" s="0"/>
      <c r="BT322" s="0" t="n">
        <v>0</v>
      </c>
      <c r="BU322" s="0" t="n">
        <v>0</v>
      </c>
      <c r="BV322" s="0" t="n">
        <v>0</v>
      </c>
    </row>
    <row r="323" customFormat="false" ht="12.75" hidden="false" customHeight="false" outlineLevel="0" collapsed="false">
      <c r="C323" s="308" t="n">
        <f aca="false">EOMONTH(C322,0)+1</f>
        <v>46905</v>
      </c>
      <c r="F323" s="301" t="n">
        <v>0.0638685838006254</v>
      </c>
      <c r="V323" s="299" t="n">
        <v>0</v>
      </c>
      <c r="W323" s="310" t="n">
        <v>0.145</v>
      </c>
      <c r="X323" s="299" t="n">
        <v>0.165</v>
      </c>
      <c r="AM323" s="299" t="n">
        <v>0.37</v>
      </c>
      <c r="AN323" s="299" t="n">
        <v>0.025</v>
      </c>
      <c r="AO323" s="299" t="n">
        <v>0</v>
      </c>
      <c r="AP323" s="299" t="n">
        <v>-0.07</v>
      </c>
      <c r="AQ323" s="299" t="n">
        <v>0</v>
      </c>
      <c r="AS323" s="299" t="n">
        <v>0</v>
      </c>
      <c r="AT323" s="299" t="n">
        <v>0</v>
      </c>
      <c r="AU323" s="299" t="n">
        <v>0</v>
      </c>
      <c r="AV323" s="299" t="n">
        <v>0</v>
      </c>
      <c r="AW323" s="299" t="n">
        <v>-0.005</v>
      </c>
      <c r="AX323" s="299" t="n">
        <v>-0.06</v>
      </c>
      <c r="BD323" s="299" t="n">
        <v>-0.005</v>
      </c>
      <c r="BF323" s="299" t="n">
        <v>0</v>
      </c>
      <c r="BJ323" s="299" t="n">
        <v>0.335</v>
      </c>
      <c r="BL323" s="299" t="n">
        <v>0</v>
      </c>
      <c r="BM323" s="299" t="n">
        <v>0</v>
      </c>
      <c r="BO323" s="299" t="n">
        <v>0</v>
      </c>
      <c r="BP323" s="299" t="n">
        <v>0</v>
      </c>
      <c r="BQ323" s="299" t="n">
        <v>0</v>
      </c>
      <c r="BR323" s="299" t="n">
        <v>0.035</v>
      </c>
      <c r="BS323" s="0"/>
      <c r="BT323" s="0" t="n">
        <v>0</v>
      </c>
      <c r="BU323" s="0" t="n">
        <v>0</v>
      </c>
      <c r="BV323" s="0" t="n">
        <v>0</v>
      </c>
    </row>
    <row r="324" customFormat="false" ht="12.75" hidden="false" customHeight="false" outlineLevel="0" collapsed="false">
      <c r="C324" s="308" t="n">
        <f aca="false">EOMONTH(C323,0)+1</f>
        <v>46935</v>
      </c>
      <c r="F324" s="301" t="n">
        <v>0.0638619624326773</v>
      </c>
      <c r="V324" s="299" t="n">
        <v>0</v>
      </c>
      <c r="W324" s="310" t="n">
        <v>0.15</v>
      </c>
      <c r="X324" s="299" t="n">
        <v>0.205</v>
      </c>
      <c r="AM324" s="299" t="n">
        <v>0.41</v>
      </c>
      <c r="AN324" s="299" t="n">
        <v>0.0275</v>
      </c>
      <c r="AO324" s="299" t="n">
        <v>0</v>
      </c>
      <c r="AP324" s="299" t="n">
        <v>-0.07</v>
      </c>
      <c r="AQ324" s="299" t="n">
        <v>0</v>
      </c>
      <c r="AS324" s="299" t="n">
        <v>0</v>
      </c>
      <c r="AT324" s="299" t="n">
        <v>0</v>
      </c>
      <c r="AU324" s="299" t="n">
        <v>0</v>
      </c>
      <c r="AV324" s="299" t="n">
        <v>0</v>
      </c>
      <c r="AW324" s="299" t="n">
        <v>-0.0025</v>
      </c>
      <c r="AX324" s="299" t="n">
        <v>-0.06</v>
      </c>
      <c r="BD324" s="299" t="n">
        <v>-0.0025</v>
      </c>
      <c r="BF324" s="299" t="n">
        <v>0</v>
      </c>
      <c r="BJ324" s="299" t="n">
        <v>0.35</v>
      </c>
      <c r="BL324" s="299" t="n">
        <v>0</v>
      </c>
      <c r="BM324" s="299" t="n">
        <v>0</v>
      </c>
      <c r="BO324" s="299" t="n">
        <v>0</v>
      </c>
      <c r="BP324" s="299" t="n">
        <v>0</v>
      </c>
      <c r="BQ324" s="299" t="n">
        <v>0</v>
      </c>
      <c r="BR324" s="299" t="n">
        <v>0.035</v>
      </c>
      <c r="BS324" s="0"/>
      <c r="BT324" s="0" t="n">
        <v>0</v>
      </c>
      <c r="BU324" s="0" t="n">
        <v>0</v>
      </c>
      <c r="BV324" s="0" t="n">
        <v>0</v>
      </c>
    </row>
    <row r="325" customFormat="false" ht="12.75" hidden="false" customHeight="false" outlineLevel="0" collapsed="false">
      <c r="C325" s="308" t="n">
        <f aca="false">EOMONTH(C324,0)+1</f>
        <v>46966</v>
      </c>
      <c r="F325" s="301" t="n">
        <v>0.0638551203524793</v>
      </c>
      <c r="V325" s="299" t="n">
        <v>0</v>
      </c>
      <c r="W325" s="310" t="n">
        <v>0.15</v>
      </c>
      <c r="X325" s="299" t="n">
        <v>0.205</v>
      </c>
      <c r="AM325" s="299" t="n">
        <v>0.41</v>
      </c>
      <c r="AN325" s="299" t="n">
        <v>0.03</v>
      </c>
      <c r="AO325" s="299" t="n">
        <v>0</v>
      </c>
      <c r="AP325" s="299" t="n">
        <v>-0.07</v>
      </c>
      <c r="AQ325" s="299" t="n">
        <v>0</v>
      </c>
      <c r="AS325" s="299" t="n">
        <v>0</v>
      </c>
      <c r="AT325" s="299" t="n">
        <v>0</v>
      </c>
      <c r="AU325" s="299" t="n">
        <v>0</v>
      </c>
      <c r="AV325" s="299" t="n">
        <v>0</v>
      </c>
      <c r="AW325" s="299" t="n">
        <v>0</v>
      </c>
      <c r="AX325" s="299" t="n">
        <v>-0.06</v>
      </c>
      <c r="BD325" s="299" t="n">
        <v>0</v>
      </c>
      <c r="BF325" s="299" t="n">
        <v>0</v>
      </c>
      <c r="BJ325" s="299" t="n">
        <v>0.35</v>
      </c>
      <c r="BL325" s="299" t="n">
        <v>0</v>
      </c>
      <c r="BM325" s="299" t="n">
        <v>0</v>
      </c>
      <c r="BO325" s="299" t="n">
        <v>0</v>
      </c>
      <c r="BP325" s="299" t="n">
        <v>0</v>
      </c>
      <c r="BQ325" s="299" t="n">
        <v>0</v>
      </c>
      <c r="BR325" s="299" t="n">
        <v>0.01</v>
      </c>
      <c r="BS325" s="0"/>
      <c r="BT325" s="0" t="n">
        <v>0</v>
      </c>
      <c r="BU325" s="0" t="n">
        <v>0</v>
      </c>
      <c r="BV325" s="0" t="n">
        <v>0</v>
      </c>
    </row>
    <row r="326" customFormat="false" ht="12.75" hidden="false" customHeight="false" outlineLevel="0" collapsed="false">
      <c r="C326" s="308" t="n">
        <f aca="false">EOMONTH(C325,0)+1</f>
        <v>46997</v>
      </c>
      <c r="F326" s="301" t="n">
        <v>0.0638482782722964</v>
      </c>
      <c r="V326" s="299" t="n">
        <v>0</v>
      </c>
      <c r="W326" s="310" t="n">
        <v>0.125</v>
      </c>
      <c r="X326" s="299" t="n">
        <v>0.145</v>
      </c>
      <c r="AM326" s="299" t="n">
        <v>0.36</v>
      </c>
      <c r="AN326" s="299" t="n">
        <v>0.0225</v>
      </c>
      <c r="AO326" s="299" t="n">
        <v>0</v>
      </c>
      <c r="AP326" s="299" t="n">
        <v>-0.07</v>
      </c>
      <c r="AQ326" s="299" t="n">
        <v>0</v>
      </c>
      <c r="AS326" s="299" t="n">
        <v>0</v>
      </c>
      <c r="AT326" s="299" t="n">
        <v>0</v>
      </c>
      <c r="AU326" s="299" t="n">
        <v>0</v>
      </c>
      <c r="AV326" s="299" t="n">
        <v>0</v>
      </c>
      <c r="AW326" s="299" t="n">
        <v>-0.0075</v>
      </c>
      <c r="AX326" s="299" t="n">
        <v>-0.06</v>
      </c>
      <c r="BD326" s="299" t="n">
        <v>-0.0075</v>
      </c>
      <c r="BF326" s="299" t="n">
        <v>0</v>
      </c>
      <c r="BJ326" s="299" t="n">
        <v>0.315</v>
      </c>
      <c r="BL326" s="299" t="n">
        <v>0</v>
      </c>
      <c r="BM326" s="299" t="n">
        <v>0</v>
      </c>
      <c r="BO326" s="299" t="n">
        <v>0</v>
      </c>
      <c r="BP326" s="299" t="n">
        <v>0</v>
      </c>
      <c r="BQ326" s="299" t="n">
        <v>0</v>
      </c>
      <c r="BR326" s="299" t="n">
        <v>0.01</v>
      </c>
      <c r="BS326" s="0"/>
      <c r="BT326" s="0" t="n">
        <v>0</v>
      </c>
      <c r="BU326" s="0" t="n">
        <v>0</v>
      </c>
      <c r="BV326" s="0" t="n">
        <v>0</v>
      </c>
    </row>
    <row r="327" customFormat="false" ht="12.75" hidden="false" customHeight="false" outlineLevel="0" collapsed="false">
      <c r="C327" s="308" t="n">
        <f aca="false">EOMONTH(C326,0)+1</f>
        <v>47027</v>
      </c>
      <c r="F327" s="301" t="n">
        <v>0.0638416569043931</v>
      </c>
      <c r="V327" s="299" t="n">
        <v>0</v>
      </c>
      <c r="W327" s="310" t="n">
        <v>0.145</v>
      </c>
      <c r="X327" s="299" t="n">
        <v>0.175</v>
      </c>
      <c r="AM327" s="299" t="n">
        <v>0.4</v>
      </c>
      <c r="AN327" s="299" t="n">
        <v>0.0125</v>
      </c>
      <c r="AO327" s="299" t="n">
        <v>0</v>
      </c>
      <c r="AP327" s="299" t="n">
        <v>-0.07</v>
      </c>
      <c r="AQ327" s="299" t="n">
        <v>0</v>
      </c>
      <c r="AS327" s="299" t="n">
        <v>0</v>
      </c>
      <c r="AT327" s="299" t="n">
        <v>0</v>
      </c>
      <c r="AU327" s="299" t="n">
        <v>0</v>
      </c>
      <c r="AV327" s="299" t="n">
        <v>0</v>
      </c>
      <c r="AW327" s="299" t="n">
        <v>-0.0175</v>
      </c>
      <c r="AX327" s="299" t="n">
        <v>-0.06</v>
      </c>
      <c r="BD327" s="299" t="n">
        <v>-0.0175</v>
      </c>
      <c r="BF327" s="299" t="n">
        <v>0</v>
      </c>
      <c r="BJ327" s="299" t="n">
        <v>0.36</v>
      </c>
      <c r="BL327" s="299" t="n">
        <v>0</v>
      </c>
      <c r="BM327" s="299" t="n">
        <v>0</v>
      </c>
      <c r="BO327" s="299" t="n">
        <v>0</v>
      </c>
      <c r="BP327" s="299" t="n">
        <v>0</v>
      </c>
      <c r="BQ327" s="299" t="n">
        <v>0</v>
      </c>
      <c r="BR327" s="299" t="n">
        <v>0.01</v>
      </c>
      <c r="BS327" s="0"/>
      <c r="BT327" s="0" t="n">
        <v>0</v>
      </c>
      <c r="BU327" s="0" t="n">
        <v>0</v>
      </c>
      <c r="BV327" s="0" t="n">
        <v>0</v>
      </c>
    </row>
    <row r="328" customFormat="false" ht="12.75" hidden="false" customHeight="false" outlineLevel="0" collapsed="false">
      <c r="C328" s="308" t="n">
        <f aca="false">EOMONTH(C327,0)+1</f>
        <v>47058</v>
      </c>
      <c r="F328" s="301" t="n">
        <v>0.0638348148242414</v>
      </c>
      <c r="V328" s="299" t="n">
        <v>0</v>
      </c>
      <c r="W328" s="310" t="n">
        <v>0.195</v>
      </c>
      <c r="X328" s="299" t="n">
        <v>0.21</v>
      </c>
      <c r="AM328" s="299" t="n">
        <v>0.65</v>
      </c>
      <c r="AN328" s="299" t="n">
        <v>-0.0225</v>
      </c>
      <c r="AO328" s="299" t="n">
        <v>0</v>
      </c>
      <c r="AP328" s="299" t="n">
        <v>-0.07</v>
      </c>
      <c r="AQ328" s="299" t="n">
        <v>0</v>
      </c>
      <c r="AS328" s="299" t="n">
        <v>0</v>
      </c>
      <c r="AT328" s="299" t="n">
        <v>0</v>
      </c>
      <c r="AU328" s="299" t="n">
        <v>0</v>
      </c>
      <c r="AV328" s="299" t="n">
        <v>0</v>
      </c>
      <c r="AW328" s="299" t="n">
        <v>-0.0525</v>
      </c>
      <c r="AX328" s="299" t="n">
        <v>-0.06</v>
      </c>
      <c r="BD328" s="299" t="n">
        <v>-0.0525</v>
      </c>
      <c r="BF328" s="299" t="n">
        <v>0</v>
      </c>
      <c r="BJ328" s="299" t="n">
        <v>0.46</v>
      </c>
      <c r="BL328" s="299" t="n">
        <v>0</v>
      </c>
      <c r="BM328" s="299" t="n">
        <v>0</v>
      </c>
      <c r="BO328" s="299" t="n">
        <v>0</v>
      </c>
      <c r="BP328" s="299" t="n">
        <v>0</v>
      </c>
      <c r="BQ328" s="299" t="n">
        <v>0</v>
      </c>
      <c r="BR328" s="299" t="n">
        <v>0.055</v>
      </c>
      <c r="BS328" s="0"/>
      <c r="BT328" s="0" t="n">
        <v>0</v>
      </c>
      <c r="BU328" s="0" t="n">
        <v>0</v>
      </c>
      <c r="BV328" s="0" t="n">
        <v>0</v>
      </c>
    </row>
    <row r="329" customFormat="false" ht="12.75" hidden="false" customHeight="false" outlineLevel="0" collapsed="false">
      <c r="C329" s="308" t="n">
        <f aca="false">EOMONTH(C328,0)+1</f>
        <v>47088</v>
      </c>
      <c r="F329" s="301" t="n">
        <v>0.0638281934563669</v>
      </c>
      <c r="V329" s="299" t="n">
        <v>0</v>
      </c>
      <c r="W329" s="310" t="n">
        <v>0.215</v>
      </c>
      <c r="X329" s="299" t="n">
        <v>0.29</v>
      </c>
      <c r="AM329" s="299" t="n">
        <v>0.98</v>
      </c>
      <c r="AN329" s="299" t="n">
        <v>-0.045</v>
      </c>
      <c r="AO329" s="299" t="n">
        <v>0</v>
      </c>
      <c r="AP329" s="299" t="n">
        <v>-0.07</v>
      </c>
      <c r="AQ329" s="299" t="n">
        <v>0</v>
      </c>
      <c r="AS329" s="299" t="n">
        <v>0</v>
      </c>
      <c r="AT329" s="299" t="n">
        <v>0</v>
      </c>
      <c r="AU329" s="299" t="n">
        <v>0</v>
      </c>
      <c r="AV329" s="299" t="n">
        <v>0</v>
      </c>
      <c r="AW329" s="299" t="n">
        <v>-0.075</v>
      </c>
      <c r="AX329" s="299" t="n">
        <v>-0.06</v>
      </c>
      <c r="BD329" s="299" t="n">
        <v>-0.075</v>
      </c>
      <c r="BF329" s="299" t="n">
        <v>0</v>
      </c>
      <c r="BJ329" s="299" t="n">
        <v>0.77</v>
      </c>
      <c r="BL329" s="299" t="n">
        <v>0</v>
      </c>
      <c r="BM329" s="299" t="n">
        <v>0</v>
      </c>
      <c r="BO329" s="299" t="n">
        <v>0</v>
      </c>
      <c r="BP329" s="299" t="n">
        <v>0</v>
      </c>
      <c r="BQ329" s="299" t="n">
        <v>0</v>
      </c>
      <c r="BR329" s="299" t="n">
        <v>0.25</v>
      </c>
      <c r="BS329" s="0"/>
      <c r="BT329" s="0" t="n">
        <v>0</v>
      </c>
      <c r="BU329" s="0" t="n">
        <v>0</v>
      </c>
      <c r="BV329" s="0" t="n">
        <v>0</v>
      </c>
    </row>
    <row r="330" customFormat="false" ht="12.75" hidden="false" customHeight="false" outlineLevel="0" collapsed="false">
      <c r="C330" s="308" t="n">
        <f aca="false">EOMONTH(C329,0)+1</f>
        <v>47119</v>
      </c>
      <c r="F330" s="301" t="n">
        <v>0.0638213513762458</v>
      </c>
      <c r="V330" s="299" t="n">
        <v>0</v>
      </c>
      <c r="W330" s="310" t="n">
        <v>0.235</v>
      </c>
      <c r="X330" s="299" t="n">
        <v>0.34</v>
      </c>
      <c r="AM330" s="299" t="n">
        <v>1.6</v>
      </c>
      <c r="AN330" s="299" t="n">
        <v>-0.0475</v>
      </c>
      <c r="AO330" s="299" t="n">
        <v>0</v>
      </c>
      <c r="AP330" s="299" t="n">
        <v>-0.07</v>
      </c>
      <c r="AQ330" s="299" t="n">
        <v>0</v>
      </c>
      <c r="AS330" s="299" t="n">
        <v>0</v>
      </c>
      <c r="AT330" s="299" t="n">
        <v>0</v>
      </c>
      <c r="AU330" s="299" t="n">
        <v>0</v>
      </c>
      <c r="AV330" s="299" t="n">
        <v>0</v>
      </c>
      <c r="AW330" s="299" t="n">
        <v>-0.0775</v>
      </c>
      <c r="AX330" s="299" t="n">
        <v>-0.06</v>
      </c>
      <c r="BD330" s="299" t="n">
        <v>-0.0775</v>
      </c>
      <c r="BF330" s="299" t="n">
        <v>0</v>
      </c>
      <c r="BJ330" s="299" t="n">
        <v>1.04</v>
      </c>
      <c r="BL330" s="299" t="n">
        <v>0</v>
      </c>
      <c r="BM330" s="299" t="n">
        <v>0</v>
      </c>
      <c r="BO330" s="299" t="n">
        <v>0</v>
      </c>
      <c r="BP330" s="299" t="n">
        <v>0</v>
      </c>
      <c r="BQ330" s="299" t="n">
        <v>0</v>
      </c>
      <c r="BR330" s="299" t="n">
        <v>0.45</v>
      </c>
      <c r="BS330" s="0"/>
      <c r="BT330" s="0" t="n">
        <v>0</v>
      </c>
      <c r="BU330" s="0" t="n">
        <v>0</v>
      </c>
      <c r="BV330" s="0" t="n">
        <v>0</v>
      </c>
    </row>
    <row r="331" customFormat="false" ht="12.75" hidden="false" customHeight="false" outlineLevel="0" collapsed="false">
      <c r="C331" s="308" t="n">
        <f aca="false">EOMONTH(C330,0)+1</f>
        <v>47150</v>
      </c>
      <c r="F331" s="301" t="n">
        <v>0.0638145092961402</v>
      </c>
      <c r="V331" s="299" t="n">
        <v>0</v>
      </c>
      <c r="W331" s="310" t="n">
        <v>0.235</v>
      </c>
      <c r="X331" s="299" t="n">
        <v>0.34</v>
      </c>
      <c r="AM331" s="299" t="n">
        <v>1.6</v>
      </c>
      <c r="AN331" s="299" t="n">
        <v>-0.03</v>
      </c>
      <c r="AO331" s="299" t="n">
        <v>0</v>
      </c>
      <c r="AP331" s="299" t="n">
        <v>-0.07</v>
      </c>
      <c r="AQ331" s="299" t="n">
        <v>0</v>
      </c>
      <c r="AS331" s="299" t="n">
        <v>0</v>
      </c>
      <c r="AT331" s="299" t="n">
        <v>0</v>
      </c>
      <c r="AU331" s="299" t="n">
        <v>0</v>
      </c>
      <c r="AV331" s="299" t="n">
        <v>0</v>
      </c>
      <c r="AW331" s="299" t="n">
        <v>-0.06</v>
      </c>
      <c r="AX331" s="299" t="n">
        <v>-0.06</v>
      </c>
      <c r="BD331" s="299" t="n">
        <v>-0.06</v>
      </c>
      <c r="BF331" s="299" t="n">
        <v>0</v>
      </c>
      <c r="BJ331" s="299" t="n">
        <v>1.04</v>
      </c>
      <c r="BL331" s="299" t="n">
        <v>0</v>
      </c>
      <c r="BM331" s="299" t="n">
        <v>0</v>
      </c>
      <c r="BO331" s="299" t="n">
        <v>0</v>
      </c>
      <c r="BP331" s="299" t="n">
        <v>0</v>
      </c>
      <c r="BQ331" s="299" t="n">
        <v>0</v>
      </c>
      <c r="BR331" s="299" t="n">
        <v>0.45</v>
      </c>
      <c r="BS331" s="0"/>
      <c r="BT331" s="0" t="n">
        <v>0</v>
      </c>
      <c r="BU331" s="0" t="n">
        <v>0</v>
      </c>
      <c r="BV331" s="0" t="n">
        <v>0</v>
      </c>
    </row>
    <row r="332" customFormat="false" ht="12.75" hidden="false" customHeight="false" outlineLevel="0" collapsed="false">
      <c r="C332" s="308" t="n">
        <f aca="false">EOMONTH(C331,0)+1</f>
        <v>47178</v>
      </c>
      <c r="F332" s="301" t="n">
        <v>0.0638083293528324</v>
      </c>
      <c r="V332" s="299" t="n">
        <v>0</v>
      </c>
      <c r="W332" s="310" t="n">
        <v>0.195</v>
      </c>
      <c r="X332" s="299" t="n">
        <v>0.29</v>
      </c>
      <c r="AM332" s="299" t="n">
        <v>0.64</v>
      </c>
      <c r="AN332" s="299" t="n">
        <v>-0.0175</v>
      </c>
      <c r="AO332" s="299" t="n">
        <v>0</v>
      </c>
      <c r="AP332" s="299" t="n">
        <v>-0.07</v>
      </c>
      <c r="AQ332" s="299" t="n">
        <v>0</v>
      </c>
      <c r="AS332" s="299" t="n">
        <v>0</v>
      </c>
      <c r="AT332" s="299" t="n">
        <v>0</v>
      </c>
      <c r="AU332" s="299" t="n">
        <v>0</v>
      </c>
      <c r="AV332" s="299" t="n">
        <v>0</v>
      </c>
      <c r="AW332" s="299" t="n">
        <v>-0.0475</v>
      </c>
      <c r="AX332" s="299" t="n">
        <v>-0.06</v>
      </c>
      <c r="BD332" s="299" t="n">
        <v>-0.0475</v>
      </c>
      <c r="BF332" s="299" t="n">
        <v>0</v>
      </c>
      <c r="BJ332" s="299" t="n">
        <v>0.54</v>
      </c>
      <c r="BL332" s="299" t="n">
        <v>0</v>
      </c>
      <c r="BM332" s="299" t="n">
        <v>0</v>
      </c>
      <c r="BO332" s="299" t="n">
        <v>0</v>
      </c>
      <c r="BP332" s="299" t="n">
        <v>0</v>
      </c>
      <c r="BQ332" s="299" t="n">
        <v>0</v>
      </c>
      <c r="BR332" s="299" t="n">
        <v>0.1</v>
      </c>
      <c r="BS332" s="0"/>
      <c r="BT332" s="0" t="n">
        <v>0</v>
      </c>
      <c r="BU332" s="0" t="n">
        <v>0</v>
      </c>
      <c r="BV332" s="0" t="n">
        <v>0</v>
      </c>
    </row>
    <row r="333" customFormat="false" ht="12.75" hidden="false" customHeight="false" outlineLevel="0" collapsed="false">
      <c r="C333" s="308" t="n">
        <f aca="false">EOMONTH(C332,0)+1</f>
        <v>47209</v>
      </c>
      <c r="F333" s="301" t="n">
        <v>0.0638014872727561</v>
      </c>
      <c r="V333" s="299" t="n">
        <v>0</v>
      </c>
      <c r="W333" s="310" t="n">
        <v>0.145</v>
      </c>
      <c r="X333" s="299" t="n">
        <v>0.195</v>
      </c>
      <c r="AM333" s="299" t="n">
        <v>0.38</v>
      </c>
      <c r="AN333" s="299" t="n">
        <v>0.02</v>
      </c>
      <c r="AO333" s="299" t="n">
        <v>0</v>
      </c>
      <c r="AP333" s="299" t="n">
        <v>-0.07</v>
      </c>
      <c r="AQ333" s="299" t="n">
        <v>0</v>
      </c>
      <c r="AS333" s="299" t="n">
        <v>0</v>
      </c>
      <c r="AT333" s="299" t="n">
        <v>0</v>
      </c>
      <c r="AU333" s="299" t="n">
        <v>0</v>
      </c>
      <c r="AV333" s="299" t="n">
        <v>0</v>
      </c>
      <c r="AW333" s="299" t="n">
        <v>-0.01</v>
      </c>
      <c r="AX333" s="299" t="n">
        <v>-0.06</v>
      </c>
      <c r="BD333" s="299" t="n">
        <v>-0.01</v>
      </c>
      <c r="BF333" s="299" t="n">
        <v>0</v>
      </c>
      <c r="BJ333" s="299" t="n">
        <v>0.36</v>
      </c>
      <c r="BL333" s="299" t="n">
        <v>0</v>
      </c>
      <c r="BM333" s="299" t="n">
        <v>0</v>
      </c>
      <c r="BO333" s="299" t="n">
        <v>0</v>
      </c>
      <c r="BP333" s="299" t="n">
        <v>0</v>
      </c>
      <c r="BQ333" s="299" t="n">
        <v>0</v>
      </c>
      <c r="BR333" s="299" t="n">
        <v>0.02</v>
      </c>
      <c r="BS333" s="0"/>
      <c r="BT333" s="0" t="n">
        <v>0</v>
      </c>
      <c r="BU333" s="0" t="n">
        <v>0</v>
      </c>
      <c r="BV333" s="0" t="n">
        <v>0</v>
      </c>
    </row>
    <row r="334" customFormat="false" ht="12.75" hidden="false" customHeight="false" outlineLevel="0" collapsed="false">
      <c r="C334" s="308" t="n">
        <f aca="false">EOMONTH(C333,0)+1</f>
        <v>47239</v>
      </c>
      <c r="F334" s="301" t="n">
        <v>0.063794865904955</v>
      </c>
      <c r="V334" s="299" t="n">
        <v>0</v>
      </c>
      <c r="W334" s="310" t="n">
        <v>0.125</v>
      </c>
      <c r="X334" s="299" t="n">
        <v>0.135</v>
      </c>
      <c r="AM334" s="299" t="n">
        <v>0.33</v>
      </c>
      <c r="AN334" s="299" t="n">
        <v>0.02</v>
      </c>
      <c r="AO334" s="299" t="n">
        <v>0</v>
      </c>
      <c r="AP334" s="299" t="n">
        <v>-0.07</v>
      </c>
      <c r="AQ334" s="299" t="n">
        <v>0</v>
      </c>
      <c r="AS334" s="299" t="n">
        <v>0</v>
      </c>
      <c r="AT334" s="299" t="n">
        <v>0</v>
      </c>
      <c r="AU334" s="299" t="n">
        <v>0</v>
      </c>
      <c r="AV334" s="299" t="n">
        <v>0</v>
      </c>
      <c r="AW334" s="299" t="n">
        <v>-0.01</v>
      </c>
      <c r="AX334" s="299" t="n">
        <v>-0.06</v>
      </c>
      <c r="BD334" s="299" t="n">
        <v>-0.01</v>
      </c>
      <c r="BF334" s="299" t="n">
        <v>0</v>
      </c>
      <c r="BJ334" s="299" t="n">
        <v>0.325</v>
      </c>
      <c r="BL334" s="299" t="n">
        <v>0</v>
      </c>
      <c r="BM334" s="299" t="n">
        <v>0</v>
      </c>
      <c r="BO334" s="299" t="n">
        <v>0</v>
      </c>
      <c r="BP334" s="299" t="n">
        <v>0</v>
      </c>
      <c r="BQ334" s="299" t="n">
        <v>0</v>
      </c>
      <c r="BR334" s="299" t="n">
        <v>0.02</v>
      </c>
      <c r="BS334" s="0"/>
      <c r="BT334" s="0" t="n">
        <v>0</v>
      </c>
      <c r="BU334" s="0" t="n">
        <v>0</v>
      </c>
      <c r="BV334" s="0" t="n">
        <v>0</v>
      </c>
    </row>
    <row r="335" customFormat="false" ht="12.75" hidden="false" customHeight="false" outlineLevel="0" collapsed="false">
      <c r="C335" s="308" t="n">
        <f aca="false">EOMONTH(C334,0)+1</f>
        <v>47270</v>
      </c>
      <c r="F335" s="301" t="n">
        <v>0.0637880238249093</v>
      </c>
      <c r="V335" s="299" t="n">
        <v>0</v>
      </c>
      <c r="W335" s="310" t="n">
        <v>0.145</v>
      </c>
      <c r="X335" s="299" t="n">
        <v>0.165</v>
      </c>
      <c r="AM335" s="299" t="n">
        <v>0.37</v>
      </c>
      <c r="AN335" s="299" t="n">
        <v>0.025</v>
      </c>
      <c r="AO335" s="299" t="n">
        <v>0</v>
      </c>
      <c r="AP335" s="299" t="n">
        <v>-0.07</v>
      </c>
      <c r="AQ335" s="299" t="n">
        <v>0</v>
      </c>
      <c r="AS335" s="299" t="n">
        <v>0</v>
      </c>
      <c r="AT335" s="299" t="n">
        <v>0</v>
      </c>
      <c r="AU335" s="299" t="n">
        <v>0</v>
      </c>
      <c r="AV335" s="299" t="n">
        <v>0</v>
      </c>
      <c r="AW335" s="299" t="n">
        <v>-0.005</v>
      </c>
      <c r="AX335" s="299" t="n">
        <v>-0.06</v>
      </c>
      <c r="BD335" s="299" t="n">
        <v>-0.005</v>
      </c>
      <c r="BF335" s="299" t="n">
        <v>0</v>
      </c>
      <c r="BJ335" s="299" t="n">
        <v>0.335</v>
      </c>
      <c r="BL335" s="299" t="n">
        <v>0</v>
      </c>
      <c r="BM335" s="299" t="n">
        <v>0</v>
      </c>
      <c r="BO335" s="299" t="n">
        <v>0</v>
      </c>
      <c r="BP335" s="299" t="n">
        <v>0</v>
      </c>
      <c r="BQ335" s="299" t="n">
        <v>0</v>
      </c>
      <c r="BR335" s="299" t="n">
        <v>0.035</v>
      </c>
      <c r="BS335" s="0"/>
      <c r="BT335" s="0" t="n">
        <v>0</v>
      </c>
      <c r="BU335" s="0" t="n">
        <v>0</v>
      </c>
      <c r="BV335" s="0" t="n">
        <v>0</v>
      </c>
    </row>
    <row r="336" customFormat="false" ht="12.75" hidden="false" customHeight="false" outlineLevel="0" collapsed="false">
      <c r="C336" s="308" t="n">
        <f aca="false">EOMONTH(C335,0)+1</f>
        <v>47300</v>
      </c>
      <c r="F336" s="301" t="n">
        <v>0.0637814024571384</v>
      </c>
      <c r="V336" s="299" t="n">
        <v>0</v>
      </c>
      <c r="W336" s="310" t="n">
        <v>0.15</v>
      </c>
      <c r="X336" s="299" t="n">
        <v>0.205</v>
      </c>
      <c r="AM336" s="299" t="n">
        <v>0.41</v>
      </c>
      <c r="AN336" s="299" t="n">
        <v>0.0275</v>
      </c>
      <c r="AO336" s="299" t="n">
        <v>0</v>
      </c>
      <c r="AP336" s="299" t="n">
        <v>-0.07</v>
      </c>
      <c r="AQ336" s="299" t="n">
        <v>0</v>
      </c>
      <c r="AS336" s="299" t="n">
        <v>0</v>
      </c>
      <c r="AT336" s="299" t="n">
        <v>0</v>
      </c>
      <c r="AU336" s="299" t="n">
        <v>0</v>
      </c>
      <c r="AV336" s="299" t="n">
        <v>0</v>
      </c>
      <c r="AW336" s="299" t="n">
        <v>-0.0025</v>
      </c>
      <c r="AX336" s="299" t="n">
        <v>-0.06</v>
      </c>
      <c r="BD336" s="299" t="n">
        <v>-0.0025</v>
      </c>
      <c r="BF336" s="299" t="n">
        <v>0</v>
      </c>
      <c r="BJ336" s="299" t="n">
        <v>0.35</v>
      </c>
      <c r="BL336" s="299" t="n">
        <v>0</v>
      </c>
      <c r="BM336" s="299" t="n">
        <v>0</v>
      </c>
      <c r="BO336" s="299" t="n">
        <v>0</v>
      </c>
      <c r="BP336" s="299" t="n">
        <v>0</v>
      </c>
      <c r="BQ336" s="299" t="n">
        <v>0</v>
      </c>
      <c r="BR336" s="299" t="n">
        <v>0.035</v>
      </c>
      <c r="BS336" s="0"/>
      <c r="BT336" s="0" t="n">
        <v>0</v>
      </c>
      <c r="BU336" s="0" t="n">
        <v>0</v>
      </c>
      <c r="BV336" s="0" t="n">
        <v>0</v>
      </c>
    </row>
    <row r="337" customFormat="false" ht="12.75" hidden="false" customHeight="false" outlineLevel="0" collapsed="false">
      <c r="C337" s="308" t="n">
        <f aca="false">EOMONTH(C336,0)+1</f>
        <v>47331</v>
      </c>
      <c r="F337" s="301" t="n">
        <v>0.0637745603771234</v>
      </c>
      <c r="V337" s="299" t="n">
        <v>0</v>
      </c>
      <c r="W337" s="310" t="n">
        <v>0.15</v>
      </c>
      <c r="X337" s="299" t="n">
        <v>0.205</v>
      </c>
      <c r="AM337" s="299" t="n">
        <v>0.41</v>
      </c>
      <c r="AN337" s="299" t="n">
        <v>0.03</v>
      </c>
      <c r="AO337" s="299" t="n">
        <v>0</v>
      </c>
      <c r="AP337" s="299" t="n">
        <v>-0.07</v>
      </c>
      <c r="AQ337" s="299" t="n">
        <v>0</v>
      </c>
      <c r="AS337" s="299" t="n">
        <v>0</v>
      </c>
      <c r="AT337" s="299" t="n">
        <v>0</v>
      </c>
      <c r="AU337" s="299" t="n">
        <v>0</v>
      </c>
      <c r="AV337" s="299" t="n">
        <v>0</v>
      </c>
      <c r="AW337" s="299" t="n">
        <v>0</v>
      </c>
      <c r="AX337" s="299" t="n">
        <v>-0.06</v>
      </c>
      <c r="BD337" s="299" t="n">
        <v>0</v>
      </c>
      <c r="BF337" s="299" t="n">
        <v>0</v>
      </c>
      <c r="BJ337" s="299" t="n">
        <v>0.35</v>
      </c>
      <c r="BL337" s="299" t="n">
        <v>0</v>
      </c>
      <c r="BM337" s="299" t="n">
        <v>0</v>
      </c>
      <c r="BO337" s="299" t="n">
        <v>0</v>
      </c>
      <c r="BP337" s="299" t="n">
        <v>0</v>
      </c>
      <c r="BQ337" s="299" t="n">
        <v>0</v>
      </c>
      <c r="BR337" s="299" t="n">
        <v>0.01</v>
      </c>
      <c r="BS337" s="0"/>
      <c r="BT337" s="0" t="n">
        <v>0</v>
      </c>
      <c r="BU337" s="0" t="n">
        <v>0</v>
      </c>
      <c r="BV337" s="0" t="n">
        <v>0</v>
      </c>
    </row>
    <row r="338" customFormat="false" ht="12.75" hidden="false" customHeight="false" outlineLevel="0" collapsed="false">
      <c r="C338" s="308" t="n">
        <f aca="false">EOMONTH(C337,0)+1</f>
        <v>47362</v>
      </c>
      <c r="F338" s="301" t="n">
        <v>0.0637677182971239</v>
      </c>
      <c r="V338" s="299" t="n">
        <v>0</v>
      </c>
      <c r="W338" s="310" t="n">
        <v>0.125</v>
      </c>
      <c r="X338" s="299" t="n">
        <v>0.145</v>
      </c>
      <c r="AM338" s="299" t="n">
        <v>0.36</v>
      </c>
      <c r="AN338" s="299" t="n">
        <v>0.0225</v>
      </c>
      <c r="AO338" s="299" t="n">
        <v>0</v>
      </c>
      <c r="AP338" s="299" t="n">
        <v>-0.07</v>
      </c>
      <c r="AQ338" s="299" t="n">
        <v>0</v>
      </c>
      <c r="AS338" s="299" t="n">
        <v>0</v>
      </c>
      <c r="AT338" s="299" t="n">
        <v>0</v>
      </c>
      <c r="AU338" s="299" t="n">
        <v>0</v>
      </c>
      <c r="AV338" s="299" t="n">
        <v>0</v>
      </c>
      <c r="AW338" s="299" t="n">
        <v>-0.0075</v>
      </c>
      <c r="AX338" s="299" t="n">
        <v>-0.06</v>
      </c>
      <c r="BD338" s="299" t="n">
        <v>-0.0075</v>
      </c>
      <c r="BF338" s="299" t="n">
        <v>0</v>
      </c>
      <c r="BJ338" s="299" t="n">
        <v>0.315</v>
      </c>
      <c r="BL338" s="299" t="n">
        <v>0</v>
      </c>
      <c r="BM338" s="299" t="n">
        <v>0</v>
      </c>
      <c r="BO338" s="299" t="n">
        <v>0</v>
      </c>
      <c r="BP338" s="299" t="n">
        <v>0</v>
      </c>
      <c r="BQ338" s="299" t="n">
        <v>0</v>
      </c>
      <c r="BR338" s="299" t="n">
        <v>0.01</v>
      </c>
      <c r="BS338" s="0"/>
      <c r="BT338" s="0" t="n">
        <v>0</v>
      </c>
      <c r="BU338" s="0" t="n">
        <v>0</v>
      </c>
      <c r="BV338" s="0" t="n">
        <v>0</v>
      </c>
    </row>
    <row r="339" customFormat="false" ht="12.75" hidden="false" customHeight="false" outlineLevel="0" collapsed="false">
      <c r="C339" s="308" t="n">
        <f aca="false">EOMONTH(C338,0)+1</f>
        <v>47392</v>
      </c>
      <c r="F339" s="301" t="n">
        <v>0.0637610969293969</v>
      </c>
      <c r="V339" s="299" t="n">
        <v>0</v>
      </c>
      <c r="W339" s="310" t="n">
        <v>0.145</v>
      </c>
      <c r="X339" s="299" t="n">
        <v>0.175</v>
      </c>
      <c r="AM339" s="299" t="n">
        <v>0.4</v>
      </c>
      <c r="AN339" s="299" t="n">
        <v>0.0125</v>
      </c>
      <c r="AO339" s="299" t="n">
        <v>0</v>
      </c>
      <c r="AP339" s="299" t="n">
        <v>-0.07</v>
      </c>
      <c r="AQ339" s="299" t="n">
        <v>0</v>
      </c>
      <c r="AS339" s="299" t="n">
        <v>0</v>
      </c>
      <c r="AT339" s="299" t="n">
        <v>0</v>
      </c>
      <c r="AU339" s="299" t="n">
        <v>0</v>
      </c>
      <c r="AV339" s="299" t="n">
        <v>0</v>
      </c>
      <c r="AW339" s="299" t="n">
        <v>-0.0175</v>
      </c>
      <c r="AX339" s="299" t="n">
        <v>-0.06</v>
      </c>
      <c r="BD339" s="299" t="n">
        <v>-0.0175</v>
      </c>
      <c r="BF339" s="299" t="n">
        <v>0</v>
      </c>
      <c r="BJ339" s="299" t="n">
        <v>0.36</v>
      </c>
      <c r="BL339" s="299" t="n">
        <v>0</v>
      </c>
      <c r="BM339" s="299" t="n">
        <v>0</v>
      </c>
      <c r="BO339" s="299" t="n">
        <v>0</v>
      </c>
      <c r="BP339" s="299" t="n">
        <v>0</v>
      </c>
      <c r="BQ339" s="299" t="n">
        <v>0</v>
      </c>
      <c r="BR339" s="299" t="n">
        <v>0.01</v>
      </c>
      <c r="BS339" s="0"/>
      <c r="BT339" s="0" t="n">
        <v>0</v>
      </c>
      <c r="BU339" s="0" t="n">
        <v>0</v>
      </c>
      <c r="BV339" s="0" t="n">
        <v>0</v>
      </c>
    </row>
    <row r="340" customFormat="false" ht="12.75" hidden="false" customHeight="false" outlineLevel="0" collapsed="false">
      <c r="C340" s="308" t="n">
        <f aca="false">EOMONTH(C339,0)+1</f>
        <v>47423</v>
      </c>
      <c r="F340" s="301" t="n">
        <v>0.0637542548494276</v>
      </c>
      <c r="V340" s="299" t="n">
        <v>0</v>
      </c>
      <c r="W340" s="310" t="n">
        <v>0.195</v>
      </c>
      <c r="X340" s="299" t="n">
        <v>0.21</v>
      </c>
      <c r="AM340" s="299" t="n">
        <v>0.65</v>
      </c>
      <c r="AN340" s="299" t="n">
        <v>-0.0225</v>
      </c>
      <c r="AO340" s="299" t="n">
        <v>0</v>
      </c>
      <c r="AP340" s="299" t="n">
        <v>-0.07</v>
      </c>
      <c r="AQ340" s="299" t="n">
        <v>0</v>
      </c>
      <c r="AS340" s="299" t="n">
        <v>0</v>
      </c>
      <c r="AT340" s="299" t="n">
        <v>0</v>
      </c>
      <c r="AU340" s="299" t="n">
        <v>0</v>
      </c>
      <c r="AV340" s="299" t="n">
        <v>0</v>
      </c>
      <c r="AW340" s="299" t="n">
        <v>-0.0525</v>
      </c>
      <c r="AX340" s="299" t="n">
        <v>-0.06</v>
      </c>
      <c r="BD340" s="299" t="n">
        <v>-0.0525</v>
      </c>
      <c r="BF340" s="299" t="n">
        <v>0</v>
      </c>
      <c r="BJ340" s="299" t="n">
        <v>0.46</v>
      </c>
      <c r="BL340" s="299" t="n">
        <v>0</v>
      </c>
      <c r="BM340" s="299" t="n">
        <v>0</v>
      </c>
      <c r="BO340" s="299" t="n">
        <v>0</v>
      </c>
      <c r="BP340" s="299" t="n">
        <v>0</v>
      </c>
      <c r="BQ340" s="299" t="n">
        <v>0</v>
      </c>
      <c r="BR340" s="299" t="n">
        <v>0.055</v>
      </c>
      <c r="BS340" s="0"/>
      <c r="BT340" s="0" t="n">
        <v>0</v>
      </c>
      <c r="BU340" s="0" t="n">
        <v>0</v>
      </c>
      <c r="BV340" s="0" t="n">
        <v>0</v>
      </c>
    </row>
    <row r="341" customFormat="false" ht="12.75" hidden="false" customHeight="false" outlineLevel="0" collapsed="false">
      <c r="C341" s="308" t="n">
        <f aca="false">EOMONTH(C340,0)+1</f>
        <v>47453</v>
      </c>
      <c r="F341" s="301" t="n">
        <v>0.0637476334817308</v>
      </c>
      <c r="V341" s="299" t="n">
        <v>0</v>
      </c>
      <c r="W341" s="310" t="n">
        <v>0.215</v>
      </c>
      <c r="X341" s="299" t="n">
        <v>0.29</v>
      </c>
      <c r="AM341" s="299" t="n">
        <v>0.98</v>
      </c>
      <c r="AN341" s="299" t="n">
        <v>-0.045</v>
      </c>
      <c r="AO341" s="299" t="n">
        <v>0</v>
      </c>
      <c r="AP341" s="299" t="n">
        <v>-0.07</v>
      </c>
      <c r="AQ341" s="299" t="n">
        <v>0</v>
      </c>
      <c r="AS341" s="299" t="n">
        <v>0</v>
      </c>
      <c r="AT341" s="299" t="n">
        <v>0</v>
      </c>
      <c r="AU341" s="299" t="n">
        <v>0</v>
      </c>
      <c r="AV341" s="299" t="n">
        <v>0</v>
      </c>
      <c r="AW341" s="299" t="n">
        <v>-0.075</v>
      </c>
      <c r="AX341" s="299" t="n">
        <v>-0.06</v>
      </c>
      <c r="BD341" s="299" t="n">
        <v>-0.075</v>
      </c>
      <c r="BF341" s="299" t="n">
        <v>0</v>
      </c>
      <c r="BJ341" s="299" t="n">
        <v>0.77</v>
      </c>
      <c r="BL341" s="299" t="n">
        <v>0</v>
      </c>
      <c r="BM341" s="299" t="n">
        <v>0</v>
      </c>
      <c r="BO341" s="299" t="n">
        <v>0</v>
      </c>
      <c r="BP341" s="299" t="n">
        <v>0</v>
      </c>
      <c r="BQ341" s="299" t="n">
        <v>0</v>
      </c>
      <c r="BR341" s="299" t="n">
        <v>0.25</v>
      </c>
      <c r="BS341" s="0"/>
      <c r="BT341" s="0" t="n">
        <v>0</v>
      </c>
      <c r="BU341" s="0" t="n">
        <v>0</v>
      </c>
      <c r="BV341" s="0" t="n">
        <v>0</v>
      </c>
    </row>
    <row r="342" customFormat="false" ht="12.75" hidden="false" customHeight="false" outlineLevel="0" collapsed="false">
      <c r="C342" s="308" t="n">
        <f aca="false">EOMONTH(C341,0)+1</f>
        <v>47484</v>
      </c>
      <c r="F342" s="301" t="n">
        <v>0.0637407914017918</v>
      </c>
      <c r="W342" s="310"/>
      <c r="BS342" s="0"/>
      <c r="BT342" s="0"/>
      <c r="BU342" s="0"/>
      <c r="BV342" s="0"/>
    </row>
    <row r="343" customFormat="false" ht="12.75" hidden="false" customHeight="false" outlineLevel="0" collapsed="false">
      <c r="C343" s="308" t="n">
        <f aca="false">EOMONTH(C342,0)+1</f>
        <v>47515</v>
      </c>
      <c r="F343" s="301" t="n">
        <v>0.0637339493218692</v>
      </c>
      <c r="W343" s="310"/>
      <c r="BS343" s="0"/>
      <c r="BT343" s="0"/>
      <c r="BU343" s="0"/>
      <c r="BV343" s="0"/>
    </row>
    <row r="344" customFormat="false" ht="12.75" hidden="false" customHeight="false" outlineLevel="0" collapsed="false">
      <c r="C344" s="308" t="n">
        <f aca="false">EOMONTH(C343,0)+1</f>
        <v>47543</v>
      </c>
      <c r="F344" s="301" t="n">
        <v>0.0637277693787262</v>
      </c>
      <c r="W344" s="310"/>
      <c r="BS344" s="0"/>
      <c r="BT344" s="0"/>
      <c r="BU344" s="0"/>
      <c r="BV344" s="0"/>
    </row>
    <row r="345" customFormat="false" ht="12.75" hidden="false" customHeight="false" outlineLevel="0" collapsed="false">
      <c r="C345" s="308" t="n">
        <f aca="false">EOMONTH(C344,0)+1</f>
        <v>47574</v>
      </c>
      <c r="F345" s="301" t="n">
        <v>0.0637209272988328</v>
      </c>
      <c r="W345" s="310"/>
      <c r="BS345" s="0"/>
      <c r="BT345" s="0"/>
      <c r="BU345" s="0"/>
      <c r="BV345" s="0"/>
    </row>
    <row r="346" customFormat="false" ht="12.75" hidden="false" customHeight="false" outlineLevel="0" collapsed="false">
      <c r="C346" s="308" t="n">
        <f aca="false">EOMONTH(C345,0)+1</f>
        <v>47604</v>
      </c>
      <c r="F346" s="301" t="n">
        <v>0.0637143059312093</v>
      </c>
      <c r="W346" s="310"/>
      <c r="BS346" s="0"/>
      <c r="BT346" s="0"/>
      <c r="BU346" s="0"/>
      <c r="BV346" s="0"/>
    </row>
    <row r="347" customFormat="false" ht="12.75" hidden="false" customHeight="false" outlineLevel="0" collapsed="false">
      <c r="C347" s="308" t="n">
        <f aca="false">EOMONTH(C346,0)+1</f>
        <v>47635</v>
      </c>
      <c r="F347" s="301" t="n">
        <v>0.0637074638513462</v>
      </c>
      <c r="W347" s="310"/>
      <c r="BS347" s="0"/>
      <c r="BT347" s="0"/>
      <c r="BU347" s="0"/>
      <c r="BV347" s="0"/>
    </row>
    <row r="348" customFormat="false" ht="12.75" hidden="false" customHeight="false" outlineLevel="0" collapsed="false">
      <c r="C348" s="308" t="n">
        <f aca="false">EOMONTH(C347,0)+1</f>
        <v>47665</v>
      </c>
      <c r="F348" s="301" t="n">
        <v>0.0637008424837515</v>
      </c>
      <c r="W348" s="310"/>
      <c r="BS348" s="0"/>
      <c r="BT348" s="0"/>
      <c r="BU348" s="0"/>
      <c r="BV348" s="0"/>
    </row>
    <row r="349" customFormat="false" ht="12.75" hidden="false" customHeight="false" outlineLevel="0" collapsed="false">
      <c r="C349" s="308" t="n">
        <f aca="false">EOMONTH(C348,0)+1</f>
        <v>47696</v>
      </c>
      <c r="F349" s="301" t="n">
        <v>0.0636940004039195</v>
      </c>
      <c r="W349" s="310"/>
      <c r="BS349" s="0"/>
      <c r="BT349" s="0"/>
      <c r="BU349" s="0"/>
      <c r="BV349" s="0"/>
    </row>
    <row r="350" customFormat="false" ht="12.75" hidden="false" customHeight="false" outlineLevel="0" collapsed="false">
      <c r="C350" s="308" t="n">
        <f aca="false">EOMONTH(C349,0)+1</f>
        <v>47727</v>
      </c>
      <c r="F350" s="301" t="n">
        <v>0.063687158324103</v>
      </c>
      <c r="W350" s="310"/>
      <c r="BS350" s="0"/>
      <c r="BT350" s="0"/>
      <c r="BU350" s="0"/>
      <c r="BV350" s="0"/>
    </row>
    <row r="351" customFormat="false" ht="12.75" hidden="false" customHeight="false" outlineLevel="0" collapsed="false">
      <c r="C351" s="308" t="n">
        <f aca="false">EOMONTH(C350,0)+1</f>
        <v>47757</v>
      </c>
      <c r="F351" s="301" t="n">
        <v>0.0636805369565527</v>
      </c>
      <c r="W351" s="310"/>
      <c r="BS351" s="0"/>
      <c r="BT351" s="0"/>
      <c r="BU351" s="0"/>
      <c r="BV351" s="0"/>
    </row>
    <row r="352" customFormat="false" ht="12.75" hidden="false" customHeight="false" outlineLevel="0" collapsed="false">
      <c r="C352" s="308" t="n">
        <f aca="false">EOMONTH(C351,0)+1</f>
        <v>47788</v>
      </c>
      <c r="F352" s="301" t="n">
        <v>0.0636736948767664</v>
      </c>
      <c r="W352" s="310"/>
      <c r="BS352" s="0"/>
      <c r="BT352" s="0"/>
      <c r="BU352" s="0"/>
      <c r="BV352" s="0"/>
    </row>
    <row r="353" customFormat="false" ht="12.75" hidden="false" customHeight="false" outlineLevel="0" collapsed="false">
      <c r="C353" s="308" t="n">
        <f aca="false">EOMONTH(C352,0)+1</f>
        <v>47818</v>
      </c>
      <c r="D353" s="0"/>
      <c r="E353" s="0"/>
      <c r="F353" s="301" t="n">
        <v>0.0636670735092464</v>
      </c>
      <c r="W353" s="310"/>
      <c r="X353" s="0"/>
      <c r="Y353" s="0"/>
      <c r="Z353" s="0"/>
      <c r="AA353" s="0"/>
      <c r="AB353" s="0"/>
      <c r="AC353" s="0"/>
      <c r="AD353" s="0"/>
      <c r="AE353" s="0"/>
      <c r="AF353" s="0"/>
      <c r="AG353" s="0"/>
      <c r="AH353" s="0"/>
      <c r="AI353" s="0"/>
      <c r="AJ353" s="0"/>
      <c r="AK353" s="0"/>
      <c r="AL353" s="0"/>
      <c r="AM353" s="0"/>
      <c r="AN353" s="0"/>
      <c r="AO353" s="0"/>
      <c r="AP353" s="0"/>
      <c r="AQ353" s="0"/>
      <c r="AR353" s="0"/>
      <c r="AS353" s="0"/>
      <c r="AT353" s="0"/>
      <c r="AU353" s="0"/>
      <c r="AV353" s="0"/>
      <c r="AW353" s="0"/>
      <c r="AX353" s="0"/>
      <c r="AY353" s="0"/>
      <c r="AZ353" s="0"/>
      <c r="BA353" s="0"/>
      <c r="BB353" s="0"/>
      <c r="BC353" s="0"/>
      <c r="BD353" s="0"/>
      <c r="BE353" s="0"/>
      <c r="BF353" s="0"/>
      <c r="BG353" s="0"/>
      <c r="BH353" s="0"/>
      <c r="BI353" s="0"/>
      <c r="BJ353" s="0"/>
      <c r="BK353" s="0"/>
      <c r="BL353" s="0"/>
      <c r="BM353" s="0"/>
      <c r="BN353" s="0"/>
      <c r="BO353" s="0"/>
      <c r="BP353" s="0"/>
      <c r="BQ353" s="0"/>
      <c r="BR353" s="0"/>
      <c r="BS353" s="0"/>
      <c r="BT353" s="0"/>
      <c r="BU353" s="0"/>
      <c r="BV353" s="0"/>
    </row>
    <row r="354" customFormat="false" ht="12.75" hidden="false" customHeight="false" outlineLevel="0" collapsed="false">
      <c r="C354" s="308" t="n">
        <f aca="false">EOMONTH(C353,0)+1</f>
        <v>47849</v>
      </c>
      <c r="D354" s="0"/>
      <c r="E354" s="0"/>
      <c r="F354" s="301" t="n">
        <v>0.0636602314294907</v>
      </c>
      <c r="W354" s="310"/>
      <c r="X354" s="0"/>
      <c r="Y354" s="0"/>
      <c r="Z354" s="0"/>
      <c r="AA354" s="0"/>
      <c r="AB354" s="0"/>
      <c r="AC354" s="0"/>
      <c r="AD354" s="0"/>
      <c r="AE354" s="0"/>
      <c r="AF354" s="0"/>
      <c r="AG354" s="0"/>
      <c r="AH354" s="0"/>
      <c r="AI354" s="0"/>
      <c r="AJ354" s="0"/>
      <c r="AK354" s="0"/>
      <c r="AL354" s="0"/>
      <c r="AM354" s="0"/>
      <c r="AN354" s="0"/>
      <c r="AO354" s="0"/>
      <c r="AP354" s="0"/>
      <c r="AQ354" s="0"/>
      <c r="AR354" s="0"/>
      <c r="AS354" s="0"/>
      <c r="AT354" s="0"/>
      <c r="AU354" s="0"/>
      <c r="AV354" s="0"/>
      <c r="AW354" s="0"/>
      <c r="AX354" s="0"/>
      <c r="AY354" s="0"/>
      <c r="AZ354" s="0"/>
      <c r="BA354" s="0"/>
      <c r="BB354" s="0"/>
      <c r="BC354" s="0"/>
      <c r="BD354" s="0"/>
      <c r="BE354" s="0"/>
      <c r="BF354" s="0"/>
      <c r="BG354" s="0"/>
      <c r="BH354" s="0"/>
      <c r="BI354" s="0"/>
      <c r="BJ354" s="0"/>
      <c r="BK354" s="0"/>
      <c r="BL354" s="0"/>
      <c r="BM354" s="0"/>
      <c r="BN354" s="0"/>
      <c r="BO354" s="0"/>
      <c r="BP354" s="0"/>
      <c r="BQ354" s="0"/>
      <c r="BR354" s="0"/>
      <c r="BS354" s="0"/>
      <c r="BT354" s="0"/>
      <c r="BU354" s="0"/>
      <c r="BV354" s="0"/>
    </row>
    <row r="355" customFormat="false" ht="12.75" hidden="false" customHeight="false" outlineLevel="0" collapsed="false">
      <c r="C355" s="308" t="n">
        <f aca="false">EOMONTH(C354,0)+1</f>
        <v>47880</v>
      </c>
      <c r="D355" s="0"/>
      <c r="E355" s="0"/>
      <c r="F355" s="301" t="n">
        <v>0.0636533893497506</v>
      </c>
      <c r="W355" s="310"/>
      <c r="X355" s="0"/>
      <c r="Y355" s="0"/>
      <c r="Z355" s="0"/>
      <c r="AA355" s="0"/>
      <c r="AB355" s="0"/>
      <c r="AC355" s="0"/>
      <c r="AD355" s="0"/>
      <c r="AE355" s="0"/>
      <c r="AF355" s="0"/>
      <c r="AG355" s="0"/>
      <c r="AH355" s="0"/>
      <c r="AI355" s="0"/>
      <c r="AJ355" s="0"/>
      <c r="AK355" s="0"/>
      <c r="AL355" s="0"/>
      <c r="AM355" s="0"/>
      <c r="AN355" s="0"/>
      <c r="AO355" s="0"/>
      <c r="AP355" s="0"/>
      <c r="AQ355" s="0"/>
      <c r="AR355" s="0"/>
      <c r="AS355" s="0"/>
      <c r="AT355" s="0"/>
      <c r="AU355" s="0"/>
      <c r="AV355" s="0"/>
      <c r="AW355" s="0"/>
      <c r="AX355" s="0"/>
      <c r="AY355" s="0"/>
      <c r="AZ355" s="0"/>
      <c r="BA355" s="0"/>
      <c r="BB355" s="0"/>
      <c r="BC355" s="0"/>
      <c r="BD355" s="0"/>
      <c r="BE355" s="0"/>
      <c r="BF355" s="0"/>
      <c r="BG355" s="0"/>
      <c r="BH355" s="0"/>
      <c r="BI355" s="0"/>
      <c r="BJ355" s="0"/>
      <c r="BK355" s="0"/>
      <c r="BL355" s="0"/>
      <c r="BM355" s="0"/>
      <c r="BN355" s="0"/>
      <c r="BO355" s="0"/>
      <c r="BP355" s="0"/>
      <c r="BQ355" s="0"/>
      <c r="BR355" s="0"/>
      <c r="BS355" s="0"/>
      <c r="BT355" s="0"/>
      <c r="BU355" s="0"/>
      <c r="BV355" s="0"/>
    </row>
    <row r="356" customFormat="false" ht="12.75" hidden="false" customHeight="false" outlineLevel="0" collapsed="false">
      <c r="C356" s="308" t="n">
        <f aca="false">EOMONTH(C355,0)+1</f>
        <v>47908</v>
      </c>
      <c r="D356" s="0"/>
      <c r="E356" s="0"/>
      <c r="F356" s="301" t="n">
        <v>0.0636472094067728</v>
      </c>
      <c r="W356" s="310"/>
      <c r="X356" s="0"/>
      <c r="Y356" s="0"/>
      <c r="Z356" s="0"/>
      <c r="AA356" s="0"/>
      <c r="AB356" s="0"/>
      <c r="AC356" s="0"/>
      <c r="AD356" s="0"/>
      <c r="AE356" s="0"/>
      <c r="AF356" s="0"/>
      <c r="AG356" s="0"/>
      <c r="AH356" s="0"/>
      <c r="AI356" s="0"/>
      <c r="AJ356" s="0"/>
      <c r="AK356" s="0"/>
      <c r="AL356" s="0"/>
      <c r="AM356" s="0"/>
      <c r="AN356" s="0"/>
      <c r="AO356" s="0"/>
      <c r="AP356" s="0"/>
      <c r="AQ356" s="0"/>
      <c r="AR356" s="0"/>
      <c r="AS356" s="0"/>
      <c r="AT356" s="0"/>
      <c r="AU356" s="0"/>
      <c r="AV356" s="0"/>
      <c r="AW356" s="0"/>
      <c r="AX356" s="0"/>
      <c r="AY356" s="0"/>
      <c r="AZ356" s="0"/>
      <c r="BA356" s="0"/>
      <c r="BB356" s="0"/>
      <c r="BC356" s="0"/>
      <c r="BD356" s="0"/>
      <c r="BE356" s="0"/>
      <c r="BF356" s="0"/>
      <c r="BG356" s="0"/>
      <c r="BH356" s="0"/>
      <c r="BI356" s="0"/>
      <c r="BJ356" s="0"/>
      <c r="BK356" s="0"/>
      <c r="BL356" s="0"/>
      <c r="BM356" s="0"/>
      <c r="BN356" s="0"/>
      <c r="BO356" s="0"/>
      <c r="BP356" s="0"/>
      <c r="BQ356" s="0"/>
      <c r="BR356" s="0"/>
      <c r="BS356" s="0"/>
      <c r="BT356" s="0"/>
      <c r="BU356" s="0"/>
      <c r="BV356" s="0"/>
    </row>
    <row r="357" customFormat="false" ht="12.75" hidden="false" customHeight="false" outlineLevel="0" collapsed="false">
      <c r="C357" s="308" t="n">
        <f aca="false">EOMONTH(C356,0)+1</f>
        <v>47939</v>
      </c>
      <c r="D357" s="0"/>
      <c r="E357" s="0"/>
      <c r="F357" s="301" t="n">
        <v>0.063640367327062</v>
      </c>
      <c r="W357" s="310"/>
      <c r="X357" s="0"/>
      <c r="Y357" s="0"/>
      <c r="Z357" s="0"/>
      <c r="AA357" s="0"/>
      <c r="AB357" s="0"/>
      <c r="AC357" s="0"/>
      <c r="AD357" s="0"/>
      <c r="AE357" s="0"/>
      <c r="AF357" s="0"/>
      <c r="AG357" s="0"/>
      <c r="AH357" s="0"/>
      <c r="AI357" s="0"/>
      <c r="AJ357" s="0"/>
      <c r="AK357" s="0"/>
      <c r="AL357" s="0"/>
      <c r="AM357" s="0"/>
      <c r="AN357" s="0"/>
      <c r="AO357" s="0"/>
      <c r="AP357" s="0"/>
      <c r="AQ357" s="0"/>
      <c r="AR357" s="0"/>
      <c r="AS357" s="0"/>
      <c r="AT357" s="0"/>
      <c r="AU357" s="0"/>
      <c r="AV357" s="0"/>
      <c r="AW357" s="0"/>
      <c r="AX357" s="0"/>
      <c r="AY357" s="0"/>
      <c r="AZ357" s="0"/>
      <c r="BA357" s="0"/>
      <c r="BB357" s="0"/>
      <c r="BC357" s="0"/>
      <c r="BD357" s="0"/>
      <c r="BE357" s="0"/>
      <c r="BF357" s="0"/>
      <c r="BG357" s="0"/>
      <c r="BH357" s="0"/>
      <c r="BI357" s="0"/>
      <c r="BJ357" s="0"/>
      <c r="BK357" s="0"/>
      <c r="BL357" s="0"/>
      <c r="BM357" s="0"/>
      <c r="BN357" s="0"/>
      <c r="BO357" s="0"/>
      <c r="BP357" s="0"/>
      <c r="BQ357" s="0"/>
      <c r="BR357" s="0"/>
      <c r="BS357" s="0"/>
      <c r="BT357" s="0"/>
      <c r="BU357" s="0"/>
      <c r="BV357" s="0"/>
    </row>
    <row r="358" customFormat="false" ht="12.75" hidden="false" customHeight="false" outlineLevel="0" collapsed="false">
      <c r="C358" s="308" t="n">
        <f aca="false">EOMONTH(C357,0)+1</f>
        <v>47969</v>
      </c>
      <c r="D358" s="0"/>
      <c r="E358" s="0"/>
      <c r="F358" s="301" t="n">
        <v>0.0636337459596152</v>
      </c>
      <c r="W358" s="310"/>
      <c r="X358" s="0"/>
      <c r="Y358" s="0"/>
      <c r="Z358" s="0"/>
      <c r="AA358" s="0"/>
      <c r="AB358" s="0"/>
      <c r="AC358" s="0"/>
      <c r="AD358" s="0"/>
      <c r="AE358" s="0"/>
      <c r="AF358" s="0"/>
      <c r="AG358" s="0"/>
      <c r="AH358" s="0"/>
      <c r="AI358" s="0"/>
      <c r="AJ358" s="0"/>
      <c r="AK358" s="0"/>
      <c r="AL358" s="0"/>
      <c r="AM358" s="0"/>
      <c r="AN358" s="0"/>
      <c r="AO358" s="0"/>
      <c r="AP358" s="0"/>
      <c r="AQ358" s="0"/>
      <c r="AR358" s="0"/>
      <c r="AS358" s="0"/>
      <c r="AT358" s="0"/>
      <c r="AU358" s="0"/>
      <c r="AV358" s="0"/>
      <c r="AW358" s="0"/>
      <c r="AX358" s="0"/>
      <c r="AY358" s="0"/>
      <c r="AZ358" s="0"/>
      <c r="BA358" s="0"/>
      <c r="BB358" s="0"/>
      <c r="BC358" s="0"/>
      <c r="BD358" s="0"/>
      <c r="BE358" s="0"/>
      <c r="BF358" s="0"/>
      <c r="BG358" s="0"/>
      <c r="BH358" s="0"/>
      <c r="BI358" s="0"/>
      <c r="BJ358" s="0"/>
      <c r="BK358" s="0"/>
      <c r="BL358" s="0"/>
      <c r="BM358" s="0"/>
      <c r="BN358" s="0"/>
      <c r="BO358" s="0"/>
      <c r="BP358" s="0"/>
      <c r="BQ358" s="0"/>
      <c r="BR358" s="0"/>
      <c r="BS358" s="0"/>
      <c r="BT358" s="0"/>
      <c r="BU358" s="0"/>
      <c r="BV358" s="0"/>
    </row>
    <row r="359" customFormat="false" ht="12.75" hidden="false" customHeight="false" outlineLevel="0" collapsed="false">
      <c r="C359" s="308" t="n">
        <f aca="false">EOMONTH(C358,0)+1</f>
        <v>48000</v>
      </c>
      <c r="D359" s="0"/>
      <c r="E359" s="0"/>
      <c r="F359" s="301" t="n">
        <v>0.0636269038799355</v>
      </c>
      <c r="W359" s="310"/>
      <c r="X359" s="0"/>
      <c r="Y359" s="0"/>
      <c r="Z359" s="0"/>
      <c r="AA359" s="0"/>
      <c r="AB359" s="0"/>
      <c r="AC359" s="0"/>
      <c r="AD359" s="0"/>
      <c r="AE359" s="0"/>
      <c r="AF359" s="0"/>
      <c r="AG359" s="0"/>
      <c r="AH359" s="0"/>
      <c r="AI359" s="0"/>
      <c r="AJ359" s="0"/>
      <c r="AK359" s="0"/>
      <c r="AL359" s="0"/>
      <c r="AM359" s="0"/>
      <c r="AN359" s="0"/>
      <c r="AO359" s="0"/>
      <c r="AP359" s="0"/>
      <c r="AQ359" s="0"/>
      <c r="AR359" s="0"/>
      <c r="AS359" s="0"/>
      <c r="AT359" s="0"/>
      <c r="AU359" s="0"/>
      <c r="AV359" s="0"/>
      <c r="AW359" s="0"/>
      <c r="AX359" s="0"/>
      <c r="AY359" s="0"/>
      <c r="AZ359" s="0"/>
      <c r="BA359" s="0"/>
      <c r="BB359" s="0"/>
      <c r="BC359" s="0"/>
      <c r="BD359" s="0"/>
      <c r="BE359" s="0"/>
      <c r="BF359" s="0"/>
      <c r="BG359" s="0"/>
      <c r="BH359" s="0"/>
      <c r="BI359" s="0"/>
      <c r="BJ359" s="0"/>
      <c r="BK359" s="0"/>
      <c r="BL359" s="0"/>
      <c r="BM359" s="0"/>
      <c r="BN359" s="0"/>
      <c r="BO359" s="0"/>
      <c r="BP359" s="0"/>
      <c r="BQ359" s="0"/>
      <c r="BR359" s="0"/>
      <c r="BS359" s="0"/>
      <c r="BT359" s="0"/>
      <c r="BU359" s="0"/>
      <c r="BV359" s="0"/>
    </row>
    <row r="360" customFormat="false" ht="12.75" hidden="false" customHeight="false" outlineLevel="0" collapsed="false">
      <c r="C360" s="308" t="n">
        <f aca="false">EOMONTH(C359,0)+1</f>
        <v>48030</v>
      </c>
      <c r="D360" s="0"/>
      <c r="E360" s="0"/>
      <c r="F360" s="301" t="n">
        <v>0.0636202825125176</v>
      </c>
      <c r="W360" s="310"/>
      <c r="X360" s="0"/>
      <c r="Y360" s="0"/>
      <c r="Z360" s="0"/>
      <c r="AA360" s="0"/>
      <c r="AB360" s="0"/>
      <c r="AC360" s="0"/>
      <c r="AD360" s="0"/>
      <c r="AE360" s="0"/>
      <c r="AF360" s="0"/>
      <c r="AG360" s="0"/>
      <c r="AH360" s="0"/>
      <c r="AI360" s="0"/>
      <c r="AJ360" s="0"/>
      <c r="AK360" s="0"/>
      <c r="AL360" s="0"/>
      <c r="AM360" s="0"/>
      <c r="AN360" s="0"/>
      <c r="AO360" s="0"/>
      <c r="AP360" s="0"/>
      <c r="AQ360" s="0"/>
      <c r="AR360" s="0"/>
      <c r="AS360" s="0"/>
      <c r="AT360" s="0"/>
      <c r="AU360" s="0"/>
      <c r="AV360" s="0"/>
      <c r="AW360" s="0"/>
      <c r="AX360" s="0"/>
      <c r="AY360" s="0"/>
      <c r="AZ360" s="0"/>
      <c r="BA360" s="0"/>
      <c r="BB360" s="0"/>
      <c r="BC360" s="0"/>
      <c r="BD360" s="0"/>
      <c r="BE360" s="0"/>
      <c r="BF360" s="0"/>
      <c r="BG360" s="0"/>
      <c r="BH360" s="0"/>
      <c r="BI360" s="0"/>
      <c r="BJ360" s="0"/>
      <c r="BK360" s="0"/>
      <c r="BL360" s="0"/>
      <c r="BM360" s="0"/>
      <c r="BN360" s="0"/>
      <c r="BO360" s="0"/>
      <c r="BP360" s="0"/>
      <c r="BQ360" s="0"/>
      <c r="BR360" s="0"/>
      <c r="BS360" s="0"/>
      <c r="BT360" s="0"/>
      <c r="BU360" s="0"/>
      <c r="BV360" s="0"/>
    </row>
    <row r="361" customFormat="false" ht="12.75" hidden="false" customHeight="false" outlineLevel="0" collapsed="false">
      <c r="C361" s="308" t="n">
        <f aca="false">EOMONTH(C360,0)+1</f>
        <v>48061</v>
      </c>
      <c r="D361" s="0"/>
      <c r="E361" s="0"/>
      <c r="F361" s="301" t="n">
        <v>0.0636134404328681</v>
      </c>
      <c r="W361" s="310"/>
      <c r="X361" s="0"/>
      <c r="Y361" s="0"/>
      <c r="Z361" s="0"/>
      <c r="AA361" s="0"/>
      <c r="AB361" s="0"/>
      <c r="AC361" s="0"/>
      <c r="AD361" s="0"/>
      <c r="AE361" s="0"/>
      <c r="AF361" s="0"/>
      <c r="AG361" s="0"/>
      <c r="AH361" s="0"/>
      <c r="AI361" s="0"/>
      <c r="AJ361" s="0"/>
      <c r="AK361" s="0"/>
      <c r="AL361" s="0"/>
      <c r="AM361" s="0"/>
      <c r="AN361" s="0"/>
      <c r="AO361" s="0"/>
      <c r="AP361" s="0"/>
      <c r="AQ361" s="0"/>
      <c r="AR361" s="0"/>
      <c r="AS361" s="0"/>
      <c r="AT361" s="0"/>
      <c r="AU361" s="0"/>
      <c r="AV361" s="0"/>
      <c r="AW361" s="0"/>
      <c r="AX361" s="0"/>
      <c r="AY361" s="0"/>
      <c r="AZ361" s="0"/>
      <c r="BA361" s="0"/>
      <c r="BB361" s="0"/>
      <c r="BC361" s="0"/>
      <c r="BD361" s="0"/>
      <c r="BE361" s="0"/>
      <c r="BF361" s="0"/>
      <c r="BG361" s="0"/>
      <c r="BH361" s="0"/>
      <c r="BI361" s="0"/>
      <c r="BJ361" s="0"/>
      <c r="BK361" s="0"/>
      <c r="BL361" s="0"/>
      <c r="BM361" s="0"/>
      <c r="BN361" s="0"/>
      <c r="BO361" s="0"/>
      <c r="BP361" s="0"/>
      <c r="BQ361" s="0"/>
      <c r="BR361" s="0"/>
      <c r="BS361" s="0"/>
      <c r="BT361" s="0"/>
      <c r="BU361" s="0"/>
      <c r="BV361" s="0"/>
    </row>
    <row r="362" customFormat="false" ht="12.75" hidden="false" customHeight="false" outlineLevel="0" collapsed="false">
      <c r="C362" s="308" t="n">
        <f aca="false">EOMONTH(C361,0)+1</f>
        <v>48092</v>
      </c>
      <c r="D362" s="0"/>
      <c r="E362" s="0"/>
      <c r="F362" s="301" t="n">
        <v>0.0636065983532341</v>
      </c>
      <c r="X362" s="0"/>
      <c r="Y362" s="0"/>
      <c r="Z362" s="0"/>
      <c r="AA362" s="0"/>
      <c r="AB362" s="0"/>
      <c r="AC362" s="0"/>
      <c r="AD362" s="0"/>
      <c r="AE362" s="0"/>
      <c r="AF362" s="0"/>
      <c r="AG362" s="0"/>
      <c r="AH362" s="0"/>
      <c r="AI362" s="0"/>
      <c r="AJ362" s="0"/>
      <c r="AK362" s="0"/>
      <c r="AL362" s="0"/>
      <c r="AM362" s="0"/>
      <c r="AN362" s="0"/>
      <c r="AO362" s="0"/>
      <c r="AP362" s="0"/>
      <c r="AQ362" s="0"/>
      <c r="AR362" s="0"/>
      <c r="AS362" s="0"/>
      <c r="AT362" s="0"/>
      <c r="AU362" s="0"/>
      <c r="AV362" s="0"/>
      <c r="AW362" s="0"/>
      <c r="AX362" s="0"/>
      <c r="AY362" s="0"/>
      <c r="AZ362" s="0"/>
      <c r="BA362" s="0"/>
      <c r="BB362" s="0"/>
      <c r="BC362" s="0"/>
      <c r="BD362" s="0"/>
      <c r="BE362" s="0"/>
      <c r="BF362" s="0"/>
      <c r="BG362" s="0"/>
      <c r="BH362" s="0"/>
      <c r="BI362" s="0"/>
      <c r="BJ362" s="0"/>
      <c r="BK362" s="0"/>
      <c r="BL362" s="0"/>
      <c r="BM362" s="0"/>
      <c r="BN362" s="0"/>
      <c r="BO362" s="0"/>
      <c r="BP362" s="0"/>
      <c r="BQ362" s="0"/>
      <c r="BR362" s="0"/>
      <c r="BS362" s="0"/>
      <c r="BT362" s="0"/>
      <c r="BU362" s="0"/>
      <c r="BV362" s="0"/>
    </row>
    <row r="363" customFormat="false" ht="12.75" hidden="false" customHeight="false" outlineLevel="0" collapsed="false">
      <c r="C363" s="308" t="n">
        <f aca="false">EOMONTH(C362,0)+1</f>
        <v>48122</v>
      </c>
      <c r="D363" s="0"/>
      <c r="E363" s="0"/>
      <c r="F363" s="301" t="n">
        <v>0.0635999769858615</v>
      </c>
      <c r="X363" s="0"/>
      <c r="Y363" s="0"/>
      <c r="Z363" s="0"/>
      <c r="AA363" s="0"/>
      <c r="AB363" s="0"/>
      <c r="AC363" s="0"/>
      <c r="AD363" s="0"/>
      <c r="AE363" s="0"/>
      <c r="AF363" s="0"/>
      <c r="AG363" s="0"/>
      <c r="AH363" s="0"/>
      <c r="AI363" s="0"/>
      <c r="AJ363" s="0"/>
      <c r="AK363" s="0"/>
      <c r="AL363" s="0"/>
      <c r="AM363" s="0"/>
      <c r="AN363" s="0"/>
      <c r="AO363" s="0"/>
      <c r="AP363" s="0"/>
      <c r="AQ363" s="0"/>
      <c r="AR363" s="0"/>
      <c r="AS363" s="0"/>
      <c r="AT363" s="0"/>
      <c r="AU363" s="0"/>
      <c r="AV363" s="0"/>
      <c r="AW363" s="0"/>
      <c r="AX363" s="0"/>
      <c r="AY363" s="0"/>
      <c r="AZ363" s="0"/>
      <c r="BA363" s="0"/>
      <c r="BB363" s="0"/>
      <c r="BC363" s="0"/>
      <c r="BD363" s="0"/>
      <c r="BE363" s="0"/>
      <c r="BF363" s="0"/>
      <c r="BG363" s="0"/>
      <c r="BH363" s="0"/>
      <c r="BI363" s="0"/>
      <c r="BJ363" s="0"/>
      <c r="BK363" s="0"/>
      <c r="BL363" s="0"/>
      <c r="BM363" s="0"/>
      <c r="BN363" s="0"/>
      <c r="BO363" s="0"/>
      <c r="BP363" s="0"/>
      <c r="BQ363" s="0"/>
      <c r="BR363" s="0"/>
      <c r="BS363" s="0"/>
      <c r="BT363" s="0"/>
      <c r="BU363" s="0"/>
      <c r="BV363" s="0"/>
    </row>
    <row r="364" customFormat="false" ht="12.75" hidden="false" customHeight="false" outlineLevel="0" collapsed="false">
      <c r="C364" s="308" t="n">
        <f aca="false">EOMONTH(C363,0)+1</f>
        <v>48153</v>
      </c>
      <c r="D364" s="0"/>
      <c r="E364" s="0"/>
      <c r="F364" s="301" t="n">
        <v>0.0635931349062577</v>
      </c>
      <c r="X364" s="0"/>
      <c r="Y364" s="0"/>
      <c r="Z364" s="0"/>
      <c r="AA364" s="0"/>
      <c r="AB364" s="0"/>
      <c r="AC364" s="0"/>
      <c r="AD364" s="0"/>
      <c r="AE364" s="0"/>
      <c r="AF364" s="0"/>
      <c r="AG364" s="0"/>
      <c r="AH364" s="0"/>
      <c r="AI364" s="0"/>
      <c r="AJ364" s="0"/>
      <c r="AK364" s="0"/>
      <c r="AL364" s="0"/>
      <c r="AM364" s="0"/>
      <c r="AN364" s="0"/>
      <c r="AO364" s="0"/>
      <c r="AP364" s="0"/>
      <c r="AQ364" s="0"/>
      <c r="AR364" s="0"/>
      <c r="AS364" s="0"/>
      <c r="AT364" s="0"/>
      <c r="AU364" s="0"/>
      <c r="AV364" s="0"/>
      <c r="AW364" s="0"/>
      <c r="AX364" s="0"/>
      <c r="AY364" s="0"/>
      <c r="AZ364" s="0"/>
      <c r="BA364" s="0"/>
      <c r="BB364" s="0"/>
      <c r="BC364" s="0"/>
      <c r="BD364" s="0"/>
      <c r="BE364" s="0"/>
      <c r="BF364" s="0"/>
      <c r="BG364" s="0"/>
      <c r="BH364" s="0"/>
      <c r="BI364" s="0"/>
      <c r="BJ364" s="0"/>
      <c r="BK364" s="0"/>
      <c r="BL364" s="0"/>
      <c r="BM364" s="0"/>
      <c r="BN364" s="0"/>
      <c r="BO364" s="0"/>
      <c r="BP364" s="0"/>
      <c r="BQ364" s="0"/>
      <c r="BR364" s="0"/>
      <c r="BS364" s="0"/>
      <c r="BT364" s="0"/>
      <c r="BU364" s="0"/>
      <c r="BV364" s="0"/>
    </row>
    <row r="365" customFormat="false" ht="12.75" hidden="false" customHeight="false" outlineLevel="0" collapsed="false">
      <c r="D365" s="0"/>
      <c r="E365" s="0"/>
      <c r="F365" s="301" t="n">
        <v>0.0635865135389149</v>
      </c>
      <c r="X365" s="0"/>
      <c r="Y365" s="0"/>
      <c r="Z365" s="0"/>
      <c r="AA365" s="0"/>
      <c r="AB365" s="0"/>
      <c r="AC365" s="0"/>
      <c r="AD365" s="0"/>
      <c r="AE365" s="0"/>
      <c r="AF365" s="0"/>
      <c r="AG365" s="0"/>
      <c r="AH365" s="0"/>
      <c r="AI365" s="0"/>
      <c r="AJ365" s="0"/>
      <c r="AK365" s="0"/>
      <c r="AL365" s="0"/>
      <c r="AM365" s="0"/>
      <c r="AN365" s="0"/>
      <c r="AO365" s="0"/>
      <c r="AP365" s="0"/>
      <c r="AQ365" s="0"/>
      <c r="AR365" s="0"/>
      <c r="AS365" s="0"/>
      <c r="AT365" s="0"/>
      <c r="AU365" s="0"/>
      <c r="AV365" s="0"/>
      <c r="AW365" s="0"/>
      <c r="AX365" s="0"/>
      <c r="AY365" s="0"/>
      <c r="AZ365" s="0"/>
      <c r="BA365" s="0"/>
      <c r="BB365" s="0"/>
      <c r="BC365" s="0"/>
      <c r="BD365" s="0"/>
      <c r="BE365" s="0"/>
      <c r="BF365" s="0"/>
      <c r="BG365" s="0"/>
      <c r="BH365" s="0"/>
      <c r="BI365" s="0"/>
      <c r="BJ365" s="0"/>
      <c r="BK365" s="0"/>
      <c r="BL365" s="0"/>
      <c r="BM365" s="0"/>
      <c r="BN365" s="0"/>
      <c r="BO365" s="0"/>
      <c r="BP365" s="0"/>
      <c r="BQ365" s="0"/>
      <c r="BR365" s="0"/>
      <c r="BS365" s="0"/>
      <c r="BT365" s="0"/>
      <c r="BU365" s="0"/>
      <c r="BV365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1999-08-13T11:32:41Z</dcterms:created>
  <dc:creator>Kayvan "Big Dog" Malek. . .ps Martin Sucks</dc:creator>
  <dc:description>- Oracle 8i ODBC QueryFix Applied</dc:description>
  <dc:language>en-US</dc:language>
  <cp:lastModifiedBy>lmay2</cp:lastModifiedBy>
  <cp:lastPrinted>2001-06-22T12:42:17Z</cp:lastPrinted>
  <dcterms:modified xsi:type="dcterms:W3CDTF">2002-01-17T12:54:38Z</dcterms:modified>
  <cp:revision>0</cp:revision>
  <dc:subject/>
  <dc:title/>
</cp:coreProperties>
</file>