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7 Power Cost Forecast" sheetId="1" state="visible" r:id="rId3"/>
    <sheet name="June 7 deferral" sheetId="2" state="visible" r:id="rId4"/>
    <sheet name="Budget Deferral" sheetId="3" state="visible" r:id="rId5"/>
    <sheet name="Sheet1" sheetId="4" state="visible" r:id="rId6"/>
    <sheet name="Sheet2" sheetId="5" state="visible" r:id="rId7"/>
    <sheet name="Sheet3" sheetId="6" state="visible" r:id="rId8"/>
  </sheets>
  <externalReferences>
    <externalReference r:id="rId9"/>
    <externalReference r:id="rId10"/>
  </externalReferences>
  <definedNames>
    <definedName function="false" hidden="false" localSheetId="2" name="_xlnm.Print_Area" vbProcedure="false">'Budget Deferral'!$A$1:$O$35</definedName>
    <definedName function="false" hidden="false" localSheetId="1" name="_xlnm.Print_Area" vbProcedure="false">'June 7 deferral'!$A$1:$O$35</definedName>
    <definedName function="false" hidden="false" name="all" vbProcedure="false">#REF!</definedName>
    <definedName function="false" hidden="false" name="AnnualCapTable" vbProcedure="false">#REF!</definedName>
    <definedName function="false" hidden="false" name="BegResources" vbProcedure="false">#REF!</definedName>
    <definedName function="false" hidden="false" name="CapAddTable" vbProcedure="false">#REF!</definedName>
    <definedName function="false" hidden="false" name="dayBegin" vbProcedure="false">#REF!</definedName>
    <definedName function="false" hidden="false" name="Dialog_Button_click" vbProcedure="false">Dialog_Button_click</definedName>
    <definedName function="false" hidden="false" name="dontcare" vbProcedure="false">dontcare</definedName>
    <definedName function="false" hidden="false" name="EconTable" vbProcedure="false">#REF!</definedName>
    <definedName function="false" hidden="false" name="ExpRegControl3" vbProcedure="false">ExpRegControl3</definedName>
    <definedName function="false" hidden="false" name="FuelTable" vbProcedure="false">#REF!</definedName>
    <definedName function="false" hidden="false" name="GasPriceAdjust" vbProcedure="false">#REF!</definedName>
    <definedName function="false" hidden="false" name="GetCaseData" vbProcedure="false">GetCaseData</definedName>
    <definedName function="false" hidden="false" name="GetHydroCaseData" vbProcedure="false">GetHydroCaseData</definedName>
    <definedName function="false" hidden="false" name="HTML1_1" vbProcedure="false">"'[MONET71.xls]Market Hubs by Condition'!$A$1:$F$44"</definedName>
    <definedName function="false" hidden="false" name="HTML1_10" vbProcedure="false">"Dave_LeVee"</definedName>
    <definedName function="false" hidden="false" name="HTML1_11" vbProcedure="false">1</definedName>
    <definedName function="false" hidden="false" name="HTML1_12" vbProcedure="false">"G:\MONET\WEB\FORECAST\hub71.htm"</definedName>
    <definedName function="false" hidden="false" name="HTML1_2" vbProcedure="false">1</definedName>
    <definedName function="false" hidden="false" name="HTML1_3" vbProcedure="false">"MONET71"</definedName>
    <definedName function="false" hidden="false" name="HTML1_4" vbProcedure="false">"Market Hubs by Condition"</definedName>
    <definedName function="false" hidden="false" name="HTML1_5" vbProcedure="false">""</definedName>
    <definedName function="false" hidden="false" name="HTML1_6" vbProcedure="false">1</definedName>
    <definedName function="false" hidden="false" name="HTML1_7" vbProcedure="false">1</definedName>
    <definedName function="false" hidden="false" name="HTML1_8" vbProcedure="false">"4/10/96"</definedName>
    <definedName function="false" hidden="false" name="HTML1_9" vbProcedure="false">"Resource Forecasting Department"</definedName>
    <definedName function="false" hidden="false" name="HTML2_1" vbProcedure="false">"[MONET71.xls]FlatMarginalCost!$A$1:$E$132"</definedName>
    <definedName function="false" hidden="false" name="HTML2_10" vbProcedure="false">"Dave_LeVee"</definedName>
    <definedName function="false" hidden="false" name="HTML2_11" vbProcedure="false">1</definedName>
    <definedName function="false" hidden="false" name="HTML2_12" vbProcedure="false">"G:\MONET\WEB\FORECAST\mc71.htm"</definedName>
    <definedName function="false" hidden="false" name="HTML2_2" vbProcedure="false">1</definedName>
    <definedName function="false" hidden="false" name="HTML2_3" vbProcedure="false">"MONET71"</definedName>
    <definedName function="false" hidden="false" name="HTML2_4" vbProcedure="false">"FlatMarginalCost"</definedName>
    <definedName function="false" hidden="false" name="HTML2_5" vbProcedure="false">""</definedName>
    <definedName function="false" hidden="false" name="HTML2_6" vbProcedure="false">1</definedName>
    <definedName function="false" hidden="false" name="HTML2_7" vbProcedure="false">1</definedName>
    <definedName function="false" hidden="false" name="HTML2_8" vbProcedure="false">"4/10/96"</definedName>
    <definedName function="false" hidden="false" name="HTML2_9" vbProcedure="false">"Resource Forecasting Department"</definedName>
    <definedName function="false" hidden="false" name="HTML3_1" vbProcedure="false">"'[MONET84.XLS]Market Hubs by Condition'!$A$1:$F$36"</definedName>
    <definedName function="false" hidden="false" name="HTML3_10" vbProcedure="false">"dave_levee@pgn.com"</definedName>
    <definedName function="false" hidden="false" name="HTML3_11" vbProcedure="false">1</definedName>
    <definedName function="false" hidden="false" name="HTML3_12" vbProcedure="false">"G:\MONET\WEB\FORECAST\Hub84.htm"</definedName>
    <definedName function="false" hidden="false" name="HTML3_2" vbProcedure="false">1</definedName>
    <definedName function="false" hidden="false" name="HTML3_3" vbProcedure="false">"MONET84"</definedName>
    <definedName function="false" hidden="false" name="HTML3_4" vbProcedure="false">"Market Hubs by Condition"</definedName>
    <definedName function="false" hidden="false" name="HTML3_5" vbProcedure="false">""</definedName>
    <definedName function="false" hidden="false" name="HTML3_6" vbProcedure="false">1</definedName>
    <definedName function="false" hidden="false" name="HTML3_7" vbProcedure="false">1</definedName>
    <definedName function="false" hidden="false" name="HTML3_8" vbProcedure="false">"4/15/96"</definedName>
    <definedName function="false" hidden="false" name="HTML3_9" vbProcedure="false">"Resource Forecasting Department"</definedName>
    <definedName function="false" hidden="false" name="HTML4_1" vbProcedure="false">"[MONET84.XLS]ConditionMarginalCost!$A$1:$E$286"</definedName>
    <definedName function="false" hidden="false" name="HTML4_10" vbProcedure="false">"dave_levee@pgn.com"</definedName>
    <definedName function="false" hidden="false" name="HTML4_11" vbProcedure="false">1</definedName>
    <definedName function="false" hidden="false" name="HTML4_12" vbProcedure="false">"G:\MONET\WEB\FORECAST\mc84.htm"</definedName>
    <definedName function="false" hidden="false" name="HTML4_2" vbProcedure="false">1</definedName>
    <definedName function="false" hidden="false" name="HTML4_3" vbProcedure="false">"MONET84"</definedName>
    <definedName function="false" hidden="false" name="HTML4_4" vbProcedure="false">"ConditionMarginalCost"</definedName>
    <definedName function="false" hidden="false" name="HTML4_5" vbProcedure="false">""</definedName>
    <definedName function="false" hidden="false" name="HTML4_6" vbProcedure="false">1</definedName>
    <definedName function="false" hidden="false" name="HTML4_7" vbProcedure="false">1</definedName>
    <definedName function="false" hidden="false" name="HTML4_8" vbProcedure="false">"4/15/96"</definedName>
    <definedName function="false" hidden="false" name="HTML4_9" vbProcedure="false">"Resource Forecasting Department"</definedName>
    <definedName function="false" hidden="false" name="HTML5_1" vbProcedure="false">"[MONET84.XLS]ConditionMarginalCost!$A$1:$E$177"</definedName>
    <definedName function="false" hidden="false" name="HTML5_10" vbProcedure="false">"dave_levee@pgn.com"</definedName>
    <definedName function="false" hidden="false" name="HTML5_11" vbProcedure="false">1</definedName>
    <definedName function="false" hidden="false" name="HTML5_12" vbProcedure="false">"G:\MONET\WEB\FORECAST\mc84.htm"</definedName>
    <definedName function="false" hidden="false" name="HTML5_2" vbProcedure="false">1</definedName>
    <definedName function="false" hidden="false" name="HTML5_3" vbProcedure="false">"MONET84"</definedName>
    <definedName function="false" hidden="false" name="HTML5_4" vbProcedure="false">"ConditionMarginalCost"</definedName>
    <definedName function="false" hidden="false" name="HTML5_5" vbProcedure="false">""</definedName>
    <definedName function="false" hidden="false" name="HTML5_6" vbProcedure="false">1</definedName>
    <definedName function="false" hidden="false" name="HTML5_7" vbProcedure="false">1</definedName>
    <definedName function="false" hidden="false" name="HTML5_8" vbProcedure="false">"4/15/96"</definedName>
    <definedName function="false" hidden="false" name="HTML5_9" vbProcedure="false">"Resource Forecasting Department"</definedName>
    <definedName function="false" hidden="false" name="HTMLCount" vbProcedure="false">5</definedName>
    <definedName function="false" hidden="false" name="Hydro_Condition_Cell" vbProcedure="false">#REF!</definedName>
    <definedName function="false" hidden="false" name="List1" vbProcedure="false">"List Box 14"</definedName>
    <definedName function="false" hidden="false" name="LocateCaseDialog" vbProcedure="false">LocateCaseDialog</definedName>
    <definedName function="false" hidden="false" name="monthbeg" vbProcedure="false">#REF!</definedName>
    <definedName function="false" hidden="false" name="newname" vbProcedure="false">[2]![Power_MWa_Output_Table9 ]_PrintMWaSummaryPrint</definedName>
    <definedName function="false" hidden="false" name="NEWNAME1" vbProcedure="false">NEWNAME1</definedName>
    <definedName function="false" hidden="false" name="Onpeak" vbProcedure="false">#REF!</definedName>
    <definedName function="false" hidden="false" name="OptionAvailTable" vbProcedure="false">#REF!</definedName>
    <definedName function="false" hidden="false" name="OptionDescTable" vbProcedure="false">#REF!</definedName>
    <definedName function="false" hidden="false" name="PickACase" vbProcedure="false">PickACase</definedName>
    <definedName function="false" hidden="false" name="PickACaseGas" vbProcedure="false">PickACaseGas</definedName>
    <definedName function="false" hidden="false" name="PickACaseHydro" vbProcedure="false">PickACaseHydro</definedName>
    <definedName function="false" hidden="false" name="PickACaseWeather" vbProcedure="false">PickACaseWeather</definedName>
    <definedName function="false" hidden="false" name="Power_Cost_Output_Table9_PrintPowerCostsSummaryPrint" vbProcedure="false">Power_Cost_Output_Table9.PrintPowerCostsSummaryPrint</definedName>
    <definedName function="false" hidden="false" name="Power_Cost_Output_Table9.PrintPowerCostsSummaryPrint" vbProcedure="false"/>
    <definedName function="false" hidden="false" name="PrintMWaSummaryPrint" vbProcedure="false">PrintMWaSummaryPrint</definedName>
    <definedName function="false" hidden="false" name="PrintPowerCostsSummaryPrint" vbProcedure="false">PrintPowerCostsSummaryPrint</definedName>
    <definedName function="false" hidden="false" name="SaveOutput" vbProcedure="false">SaveOutput</definedName>
    <definedName function="false" hidden="false" name="SelectSheetFromList" vbProcedure="false">SelectSheetFromList</definedName>
    <definedName function="false" hidden="false" name="SheetsInBook" vbProcedure="false">SheetsInBook</definedName>
    <definedName function="false" hidden="false" name="z" vbProcedure="false">[2]![Power_Cost_Output_Table9]_PrintPowerCostsSummaryPrint</definedName>
    <definedName function="false" hidden="false" name="[Power_Cost_Output_Table9]_PrintPowerCostsSummaryPrint" vbProcedure="false">[2]![Power_Cost_Output_Table9]_PrintPowerCostsSummaryPrint</definedName>
    <definedName function="false" hidden="false" name="[Power_MWa_Output_Table9 ]_PrintMWaSummaryPrint" vbProcedure="false">[2]![Power_MWa_Output_Table9 ]_PrintMWaSummaryPrint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<sst xmlns="http://schemas.openxmlformats.org/spreadsheetml/2006/main" count="168" uniqueCount="102">
  <si>
    <t xml:space="preserve">2001 POWER COST</t>
  </si>
  <si>
    <t xml:space="preserve">JANUARY - MAY ACTUALS</t>
  </si>
  <si>
    <t xml:space="preserve">WITH MTM</t>
  </si>
  <si>
    <t xml:space="preserve">JUNE 7, 2001 FORECAST  -  F.O.R</t>
  </si>
  <si>
    <t xml:space="preserve">$1000</t>
  </si>
  <si>
    <t xml:space="preserve">JUNE NEAR TERM FORECAST</t>
  </si>
  <si>
    <t xml:space="preserve">JUL-DEC BASED ON MONET FORECAST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</si>
  <si>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</si>
  <si>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</si>
  <si>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</si>
  <si>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</si>
  <si>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</si>
  <si>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</si>
  <si>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</si>
  <si>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</si>
  <si>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</si>
  <si>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</si>
  <si>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</si>
  <si>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</si>
  <si>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ANNUAL</t>
  </si>
  <si>
    <t xml:space="preserve">SEP YTD</t>
  </si>
  <si>
    <t xml:space="preserve">PURCHASE POWER</t>
  </si>
  <si>
    <t xml:space="preserve">FIRM PURCHASES</t>
  </si>
  <si>
    <t xml:space="preserve">INTERCHANGE/STORAGE</t>
  </si>
  <si>
    <t xml:space="preserve">ELEC FINANCIALS</t>
  </si>
  <si>
    <t xml:space="preserve">FAS 133 - SPEC -ELEC</t>
  </si>
  <si>
    <t xml:space="preserve">SECONDARY PURCHASES</t>
  </si>
  <si>
    <t xml:space="preserve">TOTAL PURCHASES</t>
  </si>
  <si>
    <t xml:space="preserve">WHEELING</t>
  </si>
  <si>
    <t xml:space="preserve">GENERATION</t>
  </si>
  <si>
    <t xml:space="preserve">STEAM FUEL</t>
  </si>
  <si>
    <t xml:space="preserve">CENTRALIA</t>
  </si>
  <si>
    <t xml:space="preserve">COLSTRIP</t>
  </si>
  <si>
    <t xml:space="preserve">BOARDMAN</t>
  </si>
  <si>
    <t xml:space="preserve">TOTAL STEAM</t>
  </si>
  <si>
    <t xml:space="preserve">HYDRO PRODUCTION</t>
  </si>
  <si>
    <t xml:space="preserve">OTHER PRODUCTION</t>
  </si>
  <si>
    <t xml:space="preserve">BEAVER &amp; BEAVER PEAKER</t>
  </si>
  <si>
    <t xml:space="preserve">COYOTE</t>
  </si>
  <si>
    <t xml:space="preserve">BEAVER/COYOTE GAS TRANS, ETC</t>
  </si>
  <si>
    <t xml:space="preserve">GAS  FINANCIALS</t>
  </si>
  <si>
    <t xml:space="preserve">FAS 133 - SPEC- GAS</t>
  </si>
  <si>
    <t xml:space="preserve">FAS 133 - NONSPEC - GAS</t>
  </si>
  <si>
    <t xml:space="preserve">TOTAL OTHER PRODUCTION</t>
  </si>
  <si>
    <t xml:space="preserve">TOTAL GENERATION</t>
  </si>
  <si>
    <t xml:space="preserve">TOTAL SYSTEM LOAD</t>
  </si>
  <si>
    <t xml:space="preserve">SALES FOR RESALE</t>
  </si>
  <si>
    <t xml:space="preserve">GAS FOR RESALE</t>
  </si>
  <si>
    <t xml:space="preserve">NET VARIABLE POWER COSTS</t>
  </si>
  <si>
    <t xml:space="preserve">PCA Adjustments:</t>
  </si>
  <si>
    <t xml:space="preserve">Remove prior period adj</t>
  </si>
  <si>
    <t xml:space="preserve">Remove Bad Debt provisions</t>
  </si>
  <si>
    <t xml:space="preserve">Add back lost Demand Buyback revenues</t>
  </si>
  <si>
    <t xml:space="preserve">Remove Boise impact</t>
  </si>
  <si>
    <t xml:space="preserve">FAS 133 - GAS - NON SPEC</t>
  </si>
  <si>
    <t xml:space="preserve">N24236</t>
  </si>
  <si>
    <t xml:space="preserve">Subtotal</t>
  </si>
  <si>
    <t xml:space="preserve">SPEC BOOK</t>
  </si>
  <si>
    <t xml:space="preserve">FAS 133 - ELEC - SPEC</t>
  </si>
  <si>
    <t xml:space="preserve">N15007</t>
  </si>
  <si>
    <t xml:space="preserve">FAS 133 - GAS - SPEC</t>
  </si>
  <si>
    <t xml:space="preserve">   Realized SPEC Margin </t>
  </si>
  <si>
    <t xml:space="preserve">N11119,N24238,M22118</t>
  </si>
  <si>
    <t xml:space="preserve">Subtotal Spec Book</t>
  </si>
  <si>
    <t xml:space="preserve">NVPC SUBJECT TO PCA DEFERRAL</t>
  </si>
  <si>
    <t xml:space="preserve">PCA (PGE collects)/PGE refunds to customers</t>
  </si>
  <si>
    <t xml:space="preserve">NVPC BUDGET</t>
  </si>
  <si>
    <t xml:space="preserve">NVPC Forecast over (under) Budget</t>
  </si>
  <si>
    <t xml:space="preserve">2002 FORECAST - BUDGET</t>
  </si>
  <si>
    <t xml:space="preserve">2002 FORECAST - CURRENT</t>
  </si>
  <si>
    <t xml:space="preserve">Current fcst over (under) budget</t>
  </si>
  <si>
    <t xml:space="preserve">Stipulated Power Cost Adjustment Mechanism (250 BP Dead Band, 150 BP 1st Tier with 50/50 Sharing, 90/10 Sharing Outside First Tier)</t>
  </si>
  <si>
    <t xml:space="preserve">9 month Base = $176 MM</t>
  </si>
  <si>
    <t xml:space="preserve">1st Tier Sharing</t>
  </si>
  <si>
    <t xml:space="preserve">NVPC 1999 (Adjusted)</t>
  </si>
  <si>
    <t xml:space="preserve">PGE Share = </t>
  </si>
  <si>
    <t xml:space="preserve">2001 Load Forecast (Mwa)</t>
  </si>
  <si>
    <t xml:space="preserve">Customer Share = </t>
  </si>
  <si>
    <t xml:space="preserve">1999 Load (Mwa)</t>
  </si>
  <si>
    <t xml:space="preserve">Base NVPC 2001 (Load Adjusted)</t>
  </si>
  <si>
    <t xml:space="preserve">2nd Tier Sharing</t>
  </si>
  <si>
    <t xml:space="preserve">NVPC 2001 (Monet)</t>
  </si>
  <si>
    <t xml:space="preserve">Monthly Adder</t>
  </si>
  <si>
    <t xml:space="preserve">Monthly Dead Band</t>
  </si>
  <si>
    <t xml:space="preserve">250 Basis Points</t>
  </si>
  <si>
    <t xml:space="preserve">1st Tier Monthly Band</t>
  </si>
  <si>
    <t xml:space="preserve">150 Basis Points</t>
  </si>
  <si>
    <t xml:space="preserve">MAR </t>
  </si>
  <si>
    <t xml:space="preserve">MAY </t>
  </si>
  <si>
    <t xml:space="preserve">TOTAL</t>
  </si>
  <si>
    <t xml:space="preserve">NVPC (2001 Monet)</t>
  </si>
  <si>
    <t xml:space="preserve">Base NVPC 2001</t>
  </si>
  <si>
    <t xml:space="preserve">Upper Limit of 50/50 Sharing</t>
  </si>
  <si>
    <t xml:space="preserve">Upper Band</t>
  </si>
  <si>
    <t xml:space="preserve">Lower Band</t>
  </si>
  <si>
    <t xml:space="preserve">90/10 Sharing on all below dead band</t>
  </si>
  <si>
    <t xml:space="preserve">Cumulative Totals</t>
  </si>
  <si>
    <t xml:space="preserve">June 8 forecast</t>
  </si>
  <si>
    <t xml:space="preserve">Cumulative</t>
  </si>
  <si>
    <t xml:space="preserve">Deferral</t>
  </si>
  <si>
    <t xml:space="preserve">Change in the Deferral each month</t>
  </si>
  <si>
    <t xml:space="preserve">Budget (no Overview)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</si>
</sst>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%"/>
    <numFmt numFmtId="166" formatCode="[$-409]#,##0_);\(#,##0\)"/>
    <numFmt numFmtId="167" formatCode="_(\$* #,##0.00_);_(\$* \(#,##0.00\);_(\$* \-??_);_(@_)"/>
    <numFmt numFmtId="168" formatCode="_(\$* #,##0_);_(\$* \(#,##0\);_(\$* \-??_);_(@_)"/>
    <numFmt numFmtId="169" formatCode="0%"/>
    <numFmt numFmtId="170" formatCode="_(* #,##0.00_);_(* \(#,##0.00\);_(* \-??_);_(@_)"/>
    <numFmt numFmtId="171" formatCode="_(* #,##0_);_(* \(#,##0\);_(* \-??_);_(@_)"/>
    <numFmt numFmtId="172" formatCode="#,##0"/>
    <numFmt numFmtId="173" formatCode="#,##0.00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name val="Times New Roman"/>
      <family val="0"/>
    </font>
    <font>
      <sz val="10"/>
      <name val="Geneva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1"/>
      <name val="Times New Roman"/>
      <family val="0"/>
    </font>
    <font>
      <sz val="10"/>
      <name val="CG Times (W1)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10"/>
      <color rgb="FFFFFF00"/>
      <name val="Arial"/>
      <family val="2"/>
    </font>
    <font>
      <b val="true"/>
      <u val="single"/>
      <sz val="10"/>
      <name val="Arial"/>
      <family val="2"/>
    </font>
    <font>
      <sz val="12"/>
      <name val="Arial"/>
      <family val="2"/>
    </font>
    <font>
      <u val="single"/>
      <sz val="10"/>
      <name val="Arial"/>
      <family val="2"/>
    </font>
    <font>
      <sz val="11"/>
      <name val="Times New Roman"/>
      <family val="1"/>
    </font>
    <font>
      <b val="true"/>
      <sz val="11"/>
      <name val="Times New Roman"/>
      <family val="1"/>
    </font>
    <font>
      <u val="single"/>
      <sz val="11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/>
      <bottom style="medium"/>
      <diagonal/>
    </border>
  </borders>
  <cellStyleXfs count="13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1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72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7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7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7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7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7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0" xfId="7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72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7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7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7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7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72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2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tRsk" xfId="20"/>
    <cellStyle name="Normal_AtRsk_1" xfId="21"/>
    <cellStyle name="Normal_AtRskHist" xfId="22"/>
    <cellStyle name="Normal_AtRskHst" xfId="23"/>
    <cellStyle name="Normal_AtRskHst_HrlyPC" xfId="24"/>
    <cellStyle name="Normal_AtRskHst_Mon0601" xfId="25"/>
    <cellStyle name="Normal_AtRskHst_Mon0713" xfId="26"/>
    <cellStyle name="Normal_AtRskHst_WHL0807" xfId="27"/>
    <cellStyle name="Normal_AtRskInp" xfId="28"/>
    <cellStyle name="Normal_AtRskInp_HrlyPC" xfId="29"/>
    <cellStyle name="Normal_AtRskInp_Mon0601" xfId="30"/>
    <cellStyle name="Normal_AtRskInp_Mon0713" xfId="31"/>
    <cellStyle name="Normal_AtRskInp_WHL0807" xfId="32"/>
    <cellStyle name="Normal_Book1" xfId="33"/>
    <cellStyle name="Normal_BPA" xfId="34"/>
    <cellStyle name="Normal_COMBO" xfId="35"/>
    <cellStyle name="Normal_CondMC" xfId="36"/>
    <cellStyle name="Normal_CondMC_1" xfId="37"/>
    <cellStyle name="Normal_Contracts 1" xfId="38"/>
    <cellStyle name="Normal_Create Contract Test Data" xfId="39"/>
    <cellStyle name="Normal_DiffBetASk&amp;Bid" xfId="40"/>
    <cellStyle name="Normal_Dispatch_Engine" xfId="41"/>
    <cellStyle name="Normal_DJ INDEX AND CASH" xfId="42"/>
    <cellStyle name="Normal_FlatMC" xfId="43"/>
    <cellStyle name="Normal_FlatMC_1" xfId="44"/>
    <cellStyle name="Normal_HrHub" xfId="45"/>
    <cellStyle name="Normal_HrHub_1" xfId="46"/>
    <cellStyle name="Normal_HrlyPCPr" xfId="47"/>
    <cellStyle name="Normal_HrlyPCPr_HrlyPC" xfId="48"/>
    <cellStyle name="Normal_HrlyPCPr_Mon0601" xfId="49"/>
    <cellStyle name="Normal_HrlyPCPr_Mon0713" xfId="50"/>
    <cellStyle name="Normal_HrlyPCPr_WHL0807" xfId="51"/>
    <cellStyle name="Normal_HubPrice" xfId="52"/>
    <cellStyle name="Normal_HubPrice_1" xfId="53"/>
    <cellStyle name="Normal_IncState" xfId="54"/>
    <cellStyle name="Normal_IncState_HrlyPC" xfId="55"/>
    <cellStyle name="Normal_IncState_Mon0601" xfId="56"/>
    <cellStyle name="Normal_IncState_Mon0713" xfId="57"/>
    <cellStyle name="Normal_IncState_WHL0807" xfId="58"/>
    <cellStyle name="Normal_LinkCns" xfId="59"/>
    <cellStyle name="Normal_LinkCns_1" xfId="60"/>
    <cellStyle name="Normal_Maintenance" xfId="61"/>
    <cellStyle name="Normal_MarCst" xfId="62"/>
    <cellStyle name="Normal_MarCst_1" xfId="63"/>
    <cellStyle name="Normal_MCCurve" xfId="64"/>
    <cellStyle name="Normal_MCCurve_1" xfId="65"/>
    <cellStyle name="Normal_Midpoint" xfId="66"/>
    <cellStyle name="Normal_MON1112" xfId="67"/>
    <cellStyle name="Normal_MstResCk" xfId="68"/>
    <cellStyle name="Normal_MstResCk_1" xfId="69"/>
    <cellStyle name="Normal_NYMEX" xfId="70"/>
    <cellStyle name="Normal_Population weights" xfId="71"/>
    <cellStyle name="Normal_power cost deferral-june 7" xfId="72"/>
    <cellStyle name="Normal_PRICES" xfId="73"/>
    <cellStyle name="Normal_PwrAEOut" xfId="74"/>
    <cellStyle name="Normal_PwrAEOut_1" xfId="75"/>
    <cellStyle name="Normal_PwrAEOut_HrlyPC" xfId="76"/>
    <cellStyle name="Normal_PwrAEOut_Mon0601" xfId="77"/>
    <cellStyle name="Normal_PwrAEOut_Mon0713" xfId="78"/>
    <cellStyle name="Normal_PwrAEOut_WHL0807" xfId="79"/>
    <cellStyle name="Normal_PwrCsOut" xfId="80"/>
    <cellStyle name="Normal_PwrCsOut_1" xfId="81"/>
    <cellStyle name="Normal_PwrCsOut_HrlyPC" xfId="82"/>
    <cellStyle name="Normal_PwrCsOut_Mon0601" xfId="83"/>
    <cellStyle name="Normal_PwrCsOut_Mon0713" xfId="84"/>
    <cellStyle name="Normal_PwrCsOut_WHL0807" xfId="85"/>
    <cellStyle name="Normal_PwrEnOut" xfId="86"/>
    <cellStyle name="Normal_PwrEnOut_1" xfId="87"/>
    <cellStyle name="Normal_PwrEnOut_HrlyPC" xfId="88"/>
    <cellStyle name="Normal_PwrEnOut_Mon0601" xfId="89"/>
    <cellStyle name="Normal_PwrEnOut_Mon0713" xfId="90"/>
    <cellStyle name="Normal_PwrEnOut_WHL0807" xfId="91"/>
    <cellStyle name="Normal_Ratechng" xfId="92"/>
    <cellStyle name="Normal_RawResRp" xfId="93"/>
    <cellStyle name="Normal_RawResRp_1" xfId="94"/>
    <cellStyle name="Normal_ResCase" xfId="95"/>
    <cellStyle name="Normal_ResCase_HrlyPC" xfId="96"/>
    <cellStyle name="Normal_ResCase_Mon0601" xfId="97"/>
    <cellStyle name="Normal_ResCase_Mon0713" xfId="98"/>
    <cellStyle name="Normal_ResCase_WHL0807" xfId="99"/>
    <cellStyle name="Normal_ResReprt" xfId="100"/>
    <cellStyle name="Normal_ResReprt_1" xfId="101"/>
    <cellStyle name="Normal_ROO with PCA" xfId="102"/>
    <cellStyle name="Normal_Sheet1" xfId="103"/>
    <cellStyle name="Normal_Sheet1_1" xfId="104"/>
    <cellStyle name="Normal_Sheet1_HourlyPrices" xfId="105"/>
    <cellStyle name="Normal_Sheet1_Monet701x" xfId="106"/>
    <cellStyle name="Normal_Sheet2" xfId="107"/>
    <cellStyle name="Normal_Sheet2_HourlyPrices" xfId="108"/>
    <cellStyle name="Normal_Sheet2_Monet701x" xfId="109"/>
    <cellStyle name="Normal_Sheet3" xfId="110"/>
    <cellStyle name="Normal_Sheet4" xfId="111"/>
    <cellStyle name="Normal_Sheet5" xfId="112"/>
    <cellStyle name="Normal_Sheet6" xfId="113"/>
    <cellStyle name="Normal_SUMMARY" xfId="114"/>
    <cellStyle name="Normal_TranCns" xfId="115"/>
    <cellStyle name="Normal_TranCns_1" xfId="116"/>
    <cellStyle name="Normal_TURKEYS 1" xfId="117"/>
    <cellStyle name="Normal_TURKEYS 2" xfId="118"/>
    <cellStyle name="Normal_TURKEYS 3" xfId="119"/>
    <cellStyle name="Normal_ValReport" xfId="120"/>
    <cellStyle name="Normal_ValReport_HrlyPC" xfId="121"/>
    <cellStyle name="Normal_ValReport_Mon0601" xfId="122"/>
    <cellStyle name="Normal_ValReport_Mon0713" xfId="123"/>
    <cellStyle name="Normal_ValReport_WHL0807" xfId="124"/>
    <cellStyle name="Normal_VBA_CentreDialog" xfId="125"/>
    <cellStyle name="Normal_WSCC Input - Fuel Costs" xfId="126"/>
    <cellStyle name="Normal_WSCC Input - Fuel Costs 2" xfId="127"/>
    <cellStyle name="Normal_WSCC Input - Hydro Cond. 1" xfId="128"/>
    <cellStyle name="Normal_WSCC Input - Loads" xfId="129"/>
    <cellStyle name="Normal_WSCC Input - Resources" xfId="130"/>
    <cellStyle name="Normal_WSCC Input - System Info" xfId="131"/>
    <cellStyle name="Normal_WSCC Input - Transmission" xfId="132"/>
    <cellStyle name="Percent_disag303" xfId="13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MONET/PCOST/J2798C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WINDOWS/TEMP/T90607M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definedNames>
      <definedName name="[Power_MWa_Output_Table9 ]_PrintMWaSummaryPrint"/>
      <definedName name="[Power_Cost_Output_Table9]_PrintPowerCostsSummaryPrint"/>
    </definedNames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Summary"/>
      <sheetName val="FORECAST $1000"/>
      <sheetName val=" FORECAST MWH"/>
      <sheetName val="FORECAST MWA"/>
      <sheetName val="FORECAST MILL PER KWH"/>
      <sheetName val="PwrCsOut"/>
      <sheetName val="PwrEnOut"/>
      <sheetName val="PwrAEOut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H20">
            <v>2900.84225</v>
          </cell>
          <cell r="I20">
            <v>2900.84225</v>
          </cell>
          <cell r="J20">
            <v>2807.26625</v>
          </cell>
          <cell r="K20">
            <v>2900.84225</v>
          </cell>
          <cell r="L20">
            <v>2807.26625</v>
          </cell>
          <cell r="M20">
            <v>2900.84225</v>
          </cell>
        </row>
        <row r="23">
          <cell r="H23">
            <v>455.26490625</v>
          </cell>
          <cell r="I23">
            <v>455.26490625</v>
          </cell>
          <cell r="J23">
            <v>440.57915625</v>
          </cell>
          <cell r="K23">
            <v>455.26490625</v>
          </cell>
          <cell r="L23">
            <v>440.57915625</v>
          </cell>
          <cell r="M23">
            <v>455.26490625</v>
          </cell>
        </row>
        <row r="24">
          <cell r="H24">
            <v>455.26490625</v>
          </cell>
          <cell r="I24">
            <v>455.26490625</v>
          </cell>
          <cell r="J24">
            <v>440.57915625</v>
          </cell>
          <cell r="K24">
            <v>455.26490625</v>
          </cell>
          <cell r="L24">
            <v>440.57915625</v>
          </cell>
          <cell r="M24">
            <v>455.26490625</v>
          </cell>
        </row>
        <row r="27">
          <cell r="H27">
            <v>10603.266</v>
          </cell>
          <cell r="I27">
            <v>10911.789</v>
          </cell>
          <cell r="J27">
            <v>10713.105</v>
          </cell>
          <cell r="K27">
            <v>12901.751</v>
          </cell>
          <cell r="L27">
            <v>18385.11</v>
          </cell>
          <cell r="M27">
            <v>20335.194</v>
          </cell>
        </row>
        <row r="28">
          <cell r="H28">
            <v>0</v>
          </cell>
          <cell r="I28">
            <v>675.552875</v>
          </cell>
          <cell r="J28">
            <v>347.8804375</v>
          </cell>
          <cell r="K28">
            <v>839.0934375</v>
          </cell>
          <cell r="L28">
            <v>1077.976</v>
          </cell>
          <cell r="M28">
            <v>1254.220125</v>
          </cell>
        </row>
        <row r="29">
          <cell r="H29">
            <v>3990.434</v>
          </cell>
          <cell r="I29">
            <v>4098.74125</v>
          </cell>
          <cell r="J29">
            <v>4045.46475</v>
          </cell>
          <cell r="K29">
            <v>4259.26</v>
          </cell>
          <cell r="L29">
            <v>4607.9485</v>
          </cell>
          <cell r="M29">
            <v>5051.2355</v>
          </cell>
        </row>
        <row r="39">
          <cell r="H39">
            <v>2187.845</v>
          </cell>
          <cell r="I39">
            <v>2097.788</v>
          </cell>
          <cell r="J39">
            <v>2116.869</v>
          </cell>
          <cell r="K39">
            <v>2128.85</v>
          </cell>
          <cell r="L39">
            <v>2177.461</v>
          </cell>
          <cell r="M39">
            <v>3702.356</v>
          </cell>
        </row>
        <row r="46">
          <cell r="H46">
            <v>1580.267</v>
          </cell>
          <cell r="I46">
            <v>1580.267</v>
          </cell>
          <cell r="J46">
            <v>1580.263</v>
          </cell>
          <cell r="K46">
            <v>1580.267</v>
          </cell>
          <cell r="L46">
            <v>1580.263</v>
          </cell>
          <cell r="M46">
            <v>1580.267</v>
          </cell>
        </row>
        <row r="50">
          <cell r="G50">
            <v>16.6667421875</v>
          </cell>
          <cell r="H50">
            <v>16.666638671875</v>
          </cell>
          <cell r="I50">
            <v>16.666638671875</v>
          </cell>
          <cell r="J50">
            <v>16.6667421875</v>
          </cell>
          <cell r="K50">
            <v>16.666638671875</v>
          </cell>
          <cell r="L50">
            <v>16.6667421875</v>
          </cell>
          <cell r="M50">
            <v>16.666638671875</v>
          </cell>
        </row>
        <row r="51">
          <cell r="G51">
            <v>9.16664453125</v>
          </cell>
          <cell r="H51">
            <v>9.16663671875</v>
          </cell>
          <cell r="I51">
            <v>9.16663671875</v>
          </cell>
          <cell r="J51">
            <v>9.16664453125</v>
          </cell>
          <cell r="K51">
            <v>9.16663671875</v>
          </cell>
          <cell r="L51">
            <v>9.16664453125</v>
          </cell>
          <cell r="M51">
            <v>9.16663671875</v>
          </cell>
        </row>
        <row r="58">
          <cell r="G58">
            <v>766.124</v>
          </cell>
          <cell r="H58">
            <v>766.1218125</v>
          </cell>
          <cell r="I58">
            <v>766.1218125</v>
          </cell>
          <cell r="J58">
            <v>766.124</v>
          </cell>
          <cell r="K58">
            <v>766.1218125</v>
          </cell>
          <cell r="L58">
            <v>766.124</v>
          </cell>
          <cell r="M58">
            <v>766.1218125</v>
          </cell>
        </row>
        <row r="59">
          <cell r="G59">
            <v>514.890375</v>
          </cell>
          <cell r="H59">
            <v>514.89421875</v>
          </cell>
          <cell r="I59">
            <v>514.89421875</v>
          </cell>
          <cell r="J59">
            <v>514.890375</v>
          </cell>
          <cell r="K59">
            <v>514.89421875</v>
          </cell>
          <cell r="L59">
            <v>514.890375</v>
          </cell>
          <cell r="M59">
            <v>514.89421875</v>
          </cell>
        </row>
        <row r="60">
          <cell r="H60">
            <v>-285.40884375</v>
          </cell>
          <cell r="I60">
            <v>-530.3310625</v>
          </cell>
          <cell r="J60">
            <v>-593.9710625</v>
          </cell>
          <cell r="K60">
            <v>-2125.516</v>
          </cell>
          <cell r="L60">
            <v>-1795.95</v>
          </cell>
          <cell r="M60">
            <v>-2055.765</v>
          </cell>
        </row>
        <row r="61">
          <cell r="H61">
            <v>-1281.197125</v>
          </cell>
          <cell r="I61">
            <v>-1376.5015</v>
          </cell>
          <cell r="J61">
            <v>-1374.201875</v>
          </cell>
          <cell r="K61">
            <v>-1459.94725</v>
          </cell>
          <cell r="L61">
            <v>-43.19074609375</v>
          </cell>
          <cell r="M61">
            <v>-165.830921875</v>
          </cell>
        </row>
        <row r="62">
          <cell r="H62">
            <v>-3492.525</v>
          </cell>
          <cell r="I62">
            <v>-3611.616</v>
          </cell>
          <cell r="J62">
            <v>-3738.6475</v>
          </cell>
          <cell r="K62">
            <v>-4458.19</v>
          </cell>
          <cell r="L62">
            <v>-2910.07525</v>
          </cell>
          <cell r="M62">
            <v>-3309.442</v>
          </cell>
        </row>
        <row r="267">
          <cell r="H267">
            <v>221362.3</v>
          </cell>
          <cell r="I267">
            <v>202038</v>
          </cell>
          <cell r="J267">
            <v>188018.8</v>
          </cell>
          <cell r="K267">
            <v>117976.7</v>
          </cell>
          <cell r="L267">
            <v>114470</v>
          </cell>
          <cell r="M267">
            <v>128300.4</v>
          </cell>
        </row>
        <row r="428">
          <cell r="H428">
            <v>-172007.3</v>
          </cell>
          <cell r="I428">
            <v>-153833.4</v>
          </cell>
          <cell r="J428">
            <v>-156068.9</v>
          </cell>
          <cell r="K428">
            <v>-75496.63</v>
          </cell>
          <cell r="L428">
            <v>-62335.96</v>
          </cell>
          <cell r="M428">
            <v>-63855.61</v>
          </cell>
        </row>
        <row r="430">
          <cell r="H430">
            <v>248.4588125</v>
          </cell>
          <cell r="I430">
            <v>248.4588125</v>
          </cell>
          <cell r="J430">
            <v>248.456828125</v>
          </cell>
          <cell r="K430">
            <v>248.4588125</v>
          </cell>
          <cell r="L430">
            <v>248.456828125</v>
          </cell>
          <cell r="M430">
            <v>248.4588125</v>
          </cell>
        </row>
        <row r="431">
          <cell r="H431">
            <v>79.99978125</v>
          </cell>
          <cell r="I431">
            <v>79.99978125</v>
          </cell>
          <cell r="J431">
            <v>79.9993203125</v>
          </cell>
          <cell r="K431">
            <v>79.99978125</v>
          </cell>
          <cell r="L431">
            <v>79.9993203125</v>
          </cell>
          <cell r="M431">
            <v>79.99978125</v>
          </cell>
        </row>
        <row r="432">
          <cell r="H432">
            <v>88.2455078125</v>
          </cell>
          <cell r="I432">
            <v>88.2455078125</v>
          </cell>
          <cell r="J432">
            <v>88.245421875</v>
          </cell>
          <cell r="K432">
            <v>88.2455078125</v>
          </cell>
          <cell r="L432">
            <v>88.245421875</v>
          </cell>
          <cell r="M432">
            <v>88.2455078125</v>
          </cell>
        </row>
        <row r="433">
          <cell r="H433">
            <v>20.533228515625</v>
          </cell>
          <cell r="I433">
            <v>20.533228515625</v>
          </cell>
          <cell r="J433">
            <v>20.53321484375</v>
          </cell>
          <cell r="K433">
            <v>20.533228515625</v>
          </cell>
          <cell r="L433">
            <v>20.53321484375</v>
          </cell>
          <cell r="M433">
            <v>20.533228515625</v>
          </cell>
        </row>
        <row r="436">
          <cell r="H436">
            <v>25.3770234375</v>
          </cell>
          <cell r="I436">
            <v>25.3770234375</v>
          </cell>
          <cell r="J436">
            <v>25.3771015625</v>
          </cell>
          <cell r="K436">
            <v>25.3770234375</v>
          </cell>
          <cell r="L436">
            <v>25.3771015625</v>
          </cell>
          <cell r="M436">
            <v>25.3770234375</v>
          </cell>
        </row>
        <row r="437">
          <cell r="H437">
            <v>29.238001953125</v>
          </cell>
          <cell r="I437">
            <v>29.238001953125</v>
          </cell>
          <cell r="J437">
            <v>29.237662109375</v>
          </cell>
          <cell r="K437">
            <v>29.238001953125</v>
          </cell>
          <cell r="L437">
            <v>29.237662109375</v>
          </cell>
          <cell r="M437">
            <v>29.238001953125</v>
          </cell>
        </row>
        <row r="438">
          <cell r="H438">
            <v>207.668140625</v>
          </cell>
          <cell r="I438">
            <v>207.668140625</v>
          </cell>
          <cell r="J438">
            <v>207.666421875</v>
          </cell>
          <cell r="K438">
            <v>207.668140625</v>
          </cell>
          <cell r="L438">
            <v>207.666421875</v>
          </cell>
          <cell r="M438">
            <v>207.668140625</v>
          </cell>
        </row>
        <row r="443">
          <cell r="H443">
            <v>3197.84925</v>
          </cell>
          <cell r="I443">
            <v>3197.84925</v>
          </cell>
          <cell r="J443">
            <v>3195.7645</v>
          </cell>
          <cell r="K443">
            <v>4830.832</v>
          </cell>
          <cell r="L443">
            <v>4828.8065</v>
          </cell>
          <cell r="M443">
            <v>4614.871</v>
          </cell>
        </row>
        <row r="446">
          <cell r="H446">
            <v>6074.51</v>
          </cell>
          <cell r="I446">
            <v>6220.497</v>
          </cell>
          <cell r="J446">
            <v>2896.229</v>
          </cell>
          <cell r="K446">
            <v>36.8524921875</v>
          </cell>
          <cell r="L446">
            <v>313.65978125</v>
          </cell>
          <cell r="M446">
            <v>1070.262375</v>
          </cell>
        </row>
        <row r="447">
          <cell r="H447">
            <v>-28819.358</v>
          </cell>
          <cell r="I447">
            <v>-37610.64</v>
          </cell>
          <cell r="J447">
            <v>-17613.836</v>
          </cell>
          <cell r="K447">
            <v>-29681.356</v>
          </cell>
          <cell r="L447">
            <v>-26708.988</v>
          </cell>
          <cell r="M447">
            <v>-23587.48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4.99"/>
    <col collapsed="false" customWidth="false" hidden="false" outlineLevel="0" max="5" min="3" style="1" width="9.14"/>
    <col collapsed="false" customWidth="true" hidden="false" outlineLevel="0" max="6" min="6" style="1" width="12.42"/>
    <col collapsed="false" customWidth="true" hidden="false" outlineLevel="0" max="7" min="7" style="1" width="13.41"/>
    <col collapsed="false" customWidth="true" hidden="false" outlineLevel="0" max="8" min="8" style="1" width="10.85"/>
    <col collapsed="false" customWidth="true" hidden="false" outlineLevel="0" max="9" min="9" style="1" width="10.28"/>
    <col collapsed="false" customWidth="true" hidden="false" outlineLevel="0" max="10" min="10" style="1" width="11.42"/>
    <col collapsed="false" customWidth="true" hidden="false" outlineLevel="0" max="11" min="11" style="1" width="10.28"/>
    <col collapsed="false" customWidth="true" hidden="false" outlineLevel="0" max="12" min="12" style="1" width="10.71"/>
    <col collapsed="false" customWidth="true" hidden="false" outlineLevel="0" max="14" min="13" style="1" width="10.13"/>
    <col collapsed="false" customWidth="true" hidden="false" outlineLevel="0" max="15" min="15" style="1" width="10.28"/>
    <col collapsed="false" customWidth="true" hidden="false" outlineLevel="0" max="17" min="16" style="1" width="9.7"/>
    <col collapsed="false" customWidth="true" hidden="false" outlineLevel="0" max="18" min="18" style="1" width="13.7"/>
    <col collapsed="false" customWidth="false" hidden="false" outlineLevel="0" max="19" min="19" style="1" width="9.14"/>
    <col collapsed="false" customWidth="true" hidden="false" outlineLevel="0" max="20" min="20" style="1" width="11.99"/>
    <col collapsed="false" customWidth="false" hidden="false" outlineLevel="0" max="257" min="21" style="1" width="9.14"/>
  </cols>
  <sheetData>
    <row r="1" customFormat="false" ht="26.25" hidden="false" customHeight="false" outlineLevel="0" collapsed="false">
      <c r="A1" s="2" t="s">
        <v>0</v>
      </c>
      <c r="B1" s="2"/>
      <c r="C1" s="2"/>
      <c r="F1" s="3" t="s">
        <v>1</v>
      </c>
      <c r="G1" s="4"/>
      <c r="H1" s="4"/>
      <c r="I1" s="5"/>
      <c r="J1" s="6" t="s">
        <v>2</v>
      </c>
      <c r="K1" s="7"/>
      <c r="L1" s="8" t="s">
        <v>3</v>
      </c>
    </row>
    <row r="2" customFormat="false" ht="12.75" hidden="false" customHeight="false" outlineLevel="0" collapsed="false">
      <c r="A2" s="2" t="s">
        <v>4</v>
      </c>
      <c r="B2" s="2"/>
      <c r="C2" s="2"/>
      <c r="F2" s="9" t="s">
        <v>5</v>
      </c>
      <c r="G2" s="7"/>
      <c r="H2" s="7"/>
      <c r="I2" s="10"/>
      <c r="J2" s="6"/>
      <c r="K2" s="7"/>
      <c r="N2" s="11"/>
    </row>
    <row r="3" customFormat="false" ht="13.5" hidden="false" customHeight="false" outlineLevel="0" collapsed="false">
      <c r="F3" s="12" t="s">
        <v>6</v>
      </c>
      <c r="G3" s="13"/>
      <c r="H3" s="14"/>
      <c r="I3" s="15"/>
      <c r="J3" s="7"/>
      <c r="K3" s="7"/>
      <c r="L3" s="16"/>
      <c r="M3" s="16"/>
      <c r="N3" s="6"/>
      <c r="O3" s="17"/>
      <c r="P3" s="16"/>
    </row>
    <row r="4" customFormat="false" ht="12.75" hidden="false" customHeight="false" outlineLevel="0" collapsed="false">
      <c r="N4" s="18"/>
    </row>
    <row r="5" customFormat="false" ht="12.75" hidden="false" customHeight="false" outlineLevel="0" collapsed="false">
      <c r="F5" s="19" t="s">
        <v>7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  <c r="N5" s="20" t="s">
        <v>15</v>
      </c>
      <c r="O5" s="19" t="s">
        <v>16</v>
      </c>
      <c r="P5" s="19" t="s">
        <v>17</v>
      </c>
      <c r="Q5" s="19" t="s">
        <v>18</v>
      </c>
      <c r="R5" s="19" t="s">
        <v>19</v>
      </c>
      <c r="T5" s="21" t="s">
        <v>20</v>
      </c>
    </row>
    <row r="6" customFormat="false" ht="12.75" hidden="false" customHeight="false" outlineLevel="0" collapsed="false">
      <c r="N6" s="18"/>
    </row>
    <row r="7" customFormat="false" ht="12.75" hidden="false" customHeight="false" outlineLevel="0" collapsed="false">
      <c r="A7" s="1" t="s">
        <v>21</v>
      </c>
      <c r="N7" s="18"/>
    </row>
    <row r="8" customFormat="false" ht="12.75" hidden="false" customHeight="false" outlineLevel="0" collapsed="false">
      <c r="B8" s="1" t="s">
        <v>22</v>
      </c>
      <c r="F8" s="1" t="n">
        <v>150083</v>
      </c>
      <c r="G8" s="1" t="n">
        <v>127850</v>
      </c>
      <c r="H8" s="1" t="n">
        <v>115264</v>
      </c>
      <c r="I8" s="1" t="n">
        <v>157783</v>
      </c>
      <c r="J8" s="1" t="n">
        <v>158516</v>
      </c>
      <c r="K8" s="1" t="n">
        <v>167744</v>
      </c>
      <c r="L8" s="1" t="n">
        <f aca="false">[2]PwrCsOut!H39+[2]PwrCsOut!H46+[2]PwrCsOut!H267-[2]PwrCsOut!H50-[2]PwrCsOut!H51-[2]PwrCsOut!H58-[2]PwrCsOut!H59-[2]PwrCsOut!H60-[2]PwrCsOut!H61-[2]PwrCsOut!H62</f>
        <v>228882.693662109</v>
      </c>
      <c r="M8" s="1" t="n">
        <f aca="false">[2]PwrCsOut!I39+[2]PwrCsOut!I46+[2]PwrCsOut!I267-[2]PwrCsOut!I50-[2]PwrCsOut!I51-[2]PwrCsOut!I58-[2]PwrCsOut!I59-[2]PwrCsOut!I60-[2]PwrCsOut!I61-[2]PwrCsOut!I62</f>
        <v>209927.654255859</v>
      </c>
      <c r="N8" s="18" t="n">
        <f aca="false">[2]PwrCsOut!J39+[2]PwrCsOut!J46+[2]PwrCsOut!J267-[2]PwrCsOut!J50-[2]PwrCsOut!J51-[2]PwrCsOut!J58-[2]PwrCsOut!J59-[2]PwrCsOut!J60-[2]PwrCsOut!J61-[2]PwrCsOut!J62</f>
        <v>196115.904675781</v>
      </c>
      <c r="O8" s="1" t="n">
        <f aca="false">[2]PwrCsOut!K39+[2]PwrCsOut!K46+[2]PwrCsOut!K267-[2]PwrCsOut!K50-[2]PwrCsOut!K51-[2]PwrCsOut!K58-[2]PwrCsOut!K59-[2]PwrCsOut!K60-[2]PwrCsOut!K61-[2]PwrCsOut!K62</f>
        <v>128422.620943359</v>
      </c>
      <c r="P8" s="1" t="n">
        <f aca="false">[2]PwrCsOut!L39+[2]PwrCsOut!L46+[2]PwrCsOut!L267-[2]PwrCsOut!L50-[2]PwrCsOut!L51-[2]PwrCsOut!L58-[2]PwrCsOut!L59-[2]PwrCsOut!L60-[2]PwrCsOut!L61-[2]PwrCsOut!L62</f>
        <v>121670.092234375</v>
      </c>
      <c r="Q8" s="1" t="n">
        <f aca="false">[2]PwrCsOut!M39+[2]PwrCsOut!M46+[2]PwrCsOut!M267-[2]PwrCsOut!M50-[2]PwrCsOut!M51-[2]PwrCsOut!M58-[2]PwrCsOut!M59-[2]PwrCsOut!M60-[2]PwrCsOut!M61-[2]PwrCsOut!M62</f>
        <v>137807.211615234</v>
      </c>
      <c r="R8" s="1" t="n">
        <f aca="false">SUM(F8:Q8)</f>
        <v>1900066.17738672</v>
      </c>
      <c r="T8" s="1" t="n">
        <f aca="false">SUM(F8:N8)</f>
        <v>1512166.25259375</v>
      </c>
    </row>
    <row r="9" customFormat="false" ht="12.75" hidden="false" customHeight="false" outlineLevel="0" collapsed="false">
      <c r="B9" s="1" t="s">
        <v>23</v>
      </c>
      <c r="F9" s="1" t="n">
        <v>2778</v>
      </c>
      <c r="G9" s="1" t="n">
        <v>-6816</v>
      </c>
      <c r="H9" s="1" t="n">
        <v>2750</v>
      </c>
      <c r="I9" s="1" t="n">
        <v>-1255</v>
      </c>
      <c r="J9" s="1" t="n">
        <v>2720</v>
      </c>
      <c r="N9" s="18"/>
      <c r="R9" s="1" t="n">
        <f aca="false">SUM(F9:Q9)</f>
        <v>177</v>
      </c>
      <c r="T9" s="1" t="n">
        <f aca="false">SUM(F9:N9)</f>
        <v>177</v>
      </c>
    </row>
    <row r="10" customFormat="false" ht="12.75" hidden="false" customHeight="false" outlineLevel="0" collapsed="false">
      <c r="A10" s="7"/>
      <c r="B10" s="7" t="s">
        <v>24</v>
      </c>
      <c r="C10" s="7"/>
      <c r="D10" s="7"/>
      <c r="E10" s="7"/>
      <c r="F10" s="7" t="n">
        <v>1851</v>
      </c>
      <c r="G10" s="7" t="n">
        <v>699</v>
      </c>
      <c r="H10" s="7" t="n">
        <v>1054</v>
      </c>
      <c r="I10" s="7" t="n">
        <v>4081</v>
      </c>
      <c r="J10" s="7" t="n">
        <v>6268</v>
      </c>
      <c r="K10" s="7" t="n">
        <v>5800</v>
      </c>
      <c r="L10" s="7"/>
      <c r="M10" s="7"/>
      <c r="N10" s="18"/>
      <c r="O10" s="7"/>
      <c r="P10" s="7"/>
      <c r="Q10" s="7"/>
      <c r="R10" s="7" t="n">
        <f aca="false">SUM(F10:Q10)</f>
        <v>19753</v>
      </c>
      <c r="S10" s="7"/>
      <c r="T10" s="1" t="n">
        <f aca="false">SUM(F10:N10)</f>
        <v>19753</v>
      </c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</row>
    <row r="11" customFormat="false" ht="12.75" hidden="false" customHeight="false" outlineLevel="0" collapsed="false">
      <c r="A11" s="7"/>
      <c r="B11" s="22" t="s">
        <v>25</v>
      </c>
      <c r="C11" s="23"/>
      <c r="D11" s="23"/>
      <c r="E11" s="23"/>
      <c r="F11" s="23" t="n">
        <v>8135</v>
      </c>
      <c r="G11" s="23" t="n">
        <v>-5059</v>
      </c>
      <c r="H11" s="23" t="n">
        <v>-12505</v>
      </c>
      <c r="I11" s="23" t="n">
        <v>-2611</v>
      </c>
      <c r="J11" s="23" t="n">
        <v>-2008</v>
      </c>
      <c r="K11" s="23" t="n">
        <v>-10724</v>
      </c>
      <c r="L11" s="23" t="n">
        <v>15163</v>
      </c>
      <c r="M11" s="23" t="n">
        <v>17630</v>
      </c>
      <c r="N11" s="24" t="n">
        <v>15985</v>
      </c>
      <c r="O11" s="23" t="n">
        <v>-2840</v>
      </c>
      <c r="P11" s="23" t="n">
        <v>-3594</v>
      </c>
      <c r="Q11" s="23" t="n">
        <f aca="false">-3673+1</f>
        <v>-3672</v>
      </c>
      <c r="R11" s="23" t="n">
        <f aca="false">SUM(F11:Q11)</f>
        <v>13900</v>
      </c>
      <c r="S11" s="23"/>
      <c r="T11" s="25" t="n">
        <f aca="false">SUM(F11:N11)</f>
        <v>24006</v>
      </c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</row>
    <row r="12" customFormat="false" ht="14.25" hidden="false" customHeight="true" outlineLevel="0" collapsed="false">
      <c r="B12" s="1" t="s">
        <v>26</v>
      </c>
      <c r="F12" s="26" t="n">
        <v>43404</v>
      </c>
      <c r="G12" s="26" t="n">
        <v>20602</v>
      </c>
      <c r="H12" s="26" t="n">
        <v>45124</v>
      </c>
      <c r="I12" s="26" t="n">
        <v>38634</v>
      </c>
      <c r="J12" s="26" t="n">
        <v>36516</v>
      </c>
      <c r="K12" s="26" t="n">
        <v>7094</v>
      </c>
      <c r="L12" s="26" t="n">
        <f aca="false">[2]PwrCsOut!H446</f>
        <v>6074.51</v>
      </c>
      <c r="M12" s="26" t="n">
        <f aca="false">[2]PwrCsOut!I446</f>
        <v>6220.497</v>
      </c>
      <c r="N12" s="27" t="n">
        <f aca="false">[2]PwrCsOut!J446</f>
        <v>2896.229</v>
      </c>
      <c r="O12" s="26" t="n">
        <f aca="false">[2]PwrCsOut!K446</f>
        <v>36.8524921875</v>
      </c>
      <c r="P12" s="26" t="n">
        <f aca="false">[2]PwrCsOut!L446</f>
        <v>313.65978125</v>
      </c>
      <c r="Q12" s="26" t="n">
        <f aca="false">[2]PwrCsOut!M446</f>
        <v>1070.262375</v>
      </c>
      <c r="R12" s="26" t="n">
        <f aca="false">SUM(F12:Q12)</f>
        <v>207986.010648437</v>
      </c>
      <c r="T12" s="26" t="n">
        <f aca="false">SUM(F12:N12)</f>
        <v>206565.236</v>
      </c>
    </row>
    <row r="13" customFormat="false" ht="12.75" hidden="false" customHeight="false" outlineLevel="0" collapsed="false">
      <c r="N13" s="18"/>
    </row>
    <row r="14" customFormat="false" ht="12.75" hidden="false" customHeight="false" outlineLevel="0" collapsed="false">
      <c r="C14" s="1" t="s">
        <v>27</v>
      </c>
      <c r="F14" s="26" t="n">
        <f aca="false">SUM(F8:F12)</f>
        <v>206251</v>
      </c>
      <c r="G14" s="26" t="n">
        <f aca="false">SUM(G8:G12)</f>
        <v>137276</v>
      </c>
      <c r="H14" s="26" t="n">
        <f aca="false">SUM(H8:H12)</f>
        <v>151687</v>
      </c>
      <c r="I14" s="26" t="n">
        <f aca="false">SUM(I8:I12)</f>
        <v>196632</v>
      </c>
      <c r="J14" s="26" t="n">
        <f aca="false">SUM(J8:J12)</f>
        <v>202012</v>
      </c>
      <c r="K14" s="26" t="n">
        <f aca="false">SUM(K8:K12)</f>
        <v>169914</v>
      </c>
      <c r="L14" s="26" t="n">
        <f aca="false">SUM(L8:L12)</f>
        <v>250120.203662109</v>
      </c>
      <c r="M14" s="26" t="n">
        <f aca="false">SUM(M8:M12)</f>
        <v>233778.151255859</v>
      </c>
      <c r="N14" s="27" t="n">
        <f aca="false">SUM(N8:N12)</f>
        <v>214997.133675781</v>
      </c>
      <c r="O14" s="26" t="n">
        <f aca="false">SUM(O8:O12)</f>
        <v>125619.473435547</v>
      </c>
      <c r="P14" s="26" t="n">
        <f aca="false">SUM(P8:P12)</f>
        <v>118389.752015625</v>
      </c>
      <c r="Q14" s="26" t="n">
        <f aca="false">SUM(Q8:Q12)</f>
        <v>135205.473990234</v>
      </c>
      <c r="R14" s="26" t="n">
        <f aca="false">SUM(R8:R12)</f>
        <v>2141882.18803516</v>
      </c>
      <c r="T14" s="26" t="n">
        <f aca="false">SUM(T8:T12)</f>
        <v>1762667.48859375</v>
      </c>
    </row>
    <row r="15" customFormat="false" ht="12.75" hidden="false" customHeight="false" outlineLevel="0" collapsed="false">
      <c r="N15" s="18"/>
    </row>
    <row r="16" customFormat="false" ht="12.75" hidden="false" customHeight="false" outlineLevel="0" collapsed="false">
      <c r="B16" s="1" t="s">
        <v>28</v>
      </c>
      <c r="F16" s="1" t="n">
        <v>2365</v>
      </c>
      <c r="G16" s="1" t="n">
        <v>2757</v>
      </c>
      <c r="H16" s="1" t="n">
        <v>3165</v>
      </c>
      <c r="I16" s="1" t="n">
        <v>3101</v>
      </c>
      <c r="J16" s="1" t="n">
        <v>3008</v>
      </c>
      <c r="K16" s="1" t="n">
        <v>3079</v>
      </c>
      <c r="L16" s="1" t="n">
        <f aca="false">[2]PwrCsOut!H443</f>
        <v>3197.84925</v>
      </c>
      <c r="M16" s="1" t="n">
        <f aca="false">[2]PwrCsOut!I443</f>
        <v>3197.84925</v>
      </c>
      <c r="N16" s="18" t="n">
        <f aca="false">[2]PwrCsOut!J443</f>
        <v>3195.7645</v>
      </c>
      <c r="O16" s="1" t="n">
        <f aca="false">[2]PwrCsOut!K443</f>
        <v>4830.832</v>
      </c>
      <c r="P16" s="1" t="n">
        <f aca="false">[2]PwrCsOut!L443</f>
        <v>4828.8065</v>
      </c>
      <c r="Q16" s="1" t="n">
        <f aca="false">[2]PwrCsOut!M443</f>
        <v>4614.871</v>
      </c>
      <c r="R16" s="1" t="n">
        <f aca="false">SUM(F16:Q16)</f>
        <v>41340.9725</v>
      </c>
      <c r="T16" s="1" t="n">
        <f aca="false">SUM(F16:N16)</f>
        <v>27066.463</v>
      </c>
    </row>
    <row r="17" customFormat="false" ht="12.75" hidden="false" customHeight="false" outlineLevel="0" collapsed="false">
      <c r="N17" s="18"/>
    </row>
    <row r="18" customFormat="false" ht="12.75" hidden="false" customHeight="false" outlineLevel="0" collapsed="false">
      <c r="A18" s="1" t="s">
        <v>29</v>
      </c>
      <c r="N18" s="18"/>
    </row>
    <row r="19" customFormat="false" ht="12.75" hidden="false" customHeight="false" outlineLevel="0" collapsed="false">
      <c r="B19" s="1" t="s">
        <v>30</v>
      </c>
      <c r="N19" s="18"/>
    </row>
    <row r="20" customFormat="false" ht="12.75" hidden="false" customHeight="false" outlineLevel="0" collapsed="false">
      <c r="C20" s="1" t="s">
        <v>31</v>
      </c>
      <c r="N20" s="18"/>
      <c r="R20" s="1" t="n">
        <f aca="false">SUM(F20:Q20)</f>
        <v>0</v>
      </c>
    </row>
    <row r="21" customFormat="false" ht="12.75" hidden="false" customHeight="false" outlineLevel="0" collapsed="false">
      <c r="C21" s="1" t="s">
        <v>32</v>
      </c>
      <c r="F21" s="1" t="n">
        <v>957</v>
      </c>
      <c r="G21" s="1" t="n">
        <v>1470</v>
      </c>
      <c r="H21" s="1" t="n">
        <v>1037</v>
      </c>
      <c r="I21" s="1" t="n">
        <v>722</v>
      </c>
      <c r="J21" s="1" t="n">
        <v>728</v>
      </c>
      <c r="K21" s="1" t="n">
        <v>1056</v>
      </c>
      <c r="L21" s="1" t="n">
        <f aca="false">[2]PwrCsOut!H24+[2]PwrCsOut!H23+[2]PwrCsOut!H430+[2]PwrCsOut!H437</f>
        <v>1188.22662695312</v>
      </c>
      <c r="M21" s="1" t="n">
        <f aca="false">[2]PwrCsOut!I24+[2]PwrCsOut!I23+[2]PwrCsOut!I430+[2]PwrCsOut!I437</f>
        <v>1188.22662695312</v>
      </c>
      <c r="N21" s="18" t="n">
        <f aca="false">[2]PwrCsOut!J24+[2]PwrCsOut!J23+[2]PwrCsOut!J430+[2]PwrCsOut!J437</f>
        <v>1158.85280273437</v>
      </c>
      <c r="O21" s="1" t="n">
        <f aca="false">[2]PwrCsOut!K24+[2]PwrCsOut!K23+[2]PwrCsOut!K430+[2]PwrCsOut!K437</f>
        <v>1188.22662695312</v>
      </c>
      <c r="P21" s="1" t="n">
        <f aca="false">[2]PwrCsOut!L24+[2]PwrCsOut!L23+[2]PwrCsOut!L430+[2]PwrCsOut!L437</f>
        <v>1158.85280273437</v>
      </c>
      <c r="Q21" s="1" t="n">
        <f aca="false">[2]PwrCsOut!M24+[2]PwrCsOut!M23+[2]PwrCsOut!M430+[2]PwrCsOut!M437</f>
        <v>1188.22662695312</v>
      </c>
      <c r="R21" s="1" t="n">
        <f aca="false">SUM(F21:Q21)</f>
        <v>13040.6121132813</v>
      </c>
      <c r="T21" s="1" t="n">
        <f aca="false">SUM(F21:N21)</f>
        <v>9505.30605664062</v>
      </c>
    </row>
    <row r="22" customFormat="false" ht="12.75" hidden="false" customHeight="false" outlineLevel="0" collapsed="false">
      <c r="C22" s="1" t="s">
        <v>33</v>
      </c>
      <c r="F22" s="26" t="n">
        <v>2555</v>
      </c>
      <c r="G22" s="26" t="n">
        <v>2746</v>
      </c>
      <c r="H22" s="26" t="n">
        <v>3155</v>
      </c>
      <c r="I22" s="26" t="n">
        <v>2750</v>
      </c>
      <c r="J22" s="26" t="n">
        <v>1578</v>
      </c>
      <c r="K22" s="26" t="n">
        <v>1719</v>
      </c>
      <c r="L22" s="26" t="n">
        <f aca="false">[2]PwrCsOut!H20+[2]PwrCsOut!H431+[2]PwrCsOut!H432+[2]PwrCsOut!H433+[2]PwrCsOut!H436</f>
        <v>3114.99779101563</v>
      </c>
      <c r="M22" s="26" t="n">
        <f aca="false">[2]PwrCsOut!I20+[2]PwrCsOut!I431+[2]PwrCsOut!I432+[2]PwrCsOut!I433+[2]PwrCsOut!I436</f>
        <v>3114.99779101563</v>
      </c>
      <c r="N22" s="27" t="n">
        <f aca="false">[2]PwrCsOut!J20+[2]PwrCsOut!J431+[2]PwrCsOut!J432+[2]PwrCsOut!J433+[2]PwrCsOut!J436</f>
        <v>3021.42130859375</v>
      </c>
      <c r="O22" s="26" t="n">
        <f aca="false">[2]PwrCsOut!K20+[2]PwrCsOut!K431+[2]PwrCsOut!K432+[2]PwrCsOut!K433+[2]PwrCsOut!K436</f>
        <v>3114.99779101563</v>
      </c>
      <c r="P22" s="26" t="n">
        <f aca="false">[2]PwrCsOut!L20+[2]PwrCsOut!L431+[2]PwrCsOut!L432+[2]PwrCsOut!L433+[2]PwrCsOut!L436</f>
        <v>3021.42130859375</v>
      </c>
      <c r="Q22" s="26" t="n">
        <f aca="false">[2]PwrCsOut!M20+[2]PwrCsOut!M431+[2]PwrCsOut!M432+[2]PwrCsOut!M433+[2]PwrCsOut!M436</f>
        <v>3114.99779101563</v>
      </c>
      <c r="R22" s="26" t="n">
        <f aca="false">SUM(F22:Q22)</f>
        <v>33005.83378125</v>
      </c>
      <c r="T22" s="26" t="n">
        <f aca="false">SUM(F22:N22)</f>
        <v>23754.416890625</v>
      </c>
    </row>
    <row r="23" customFormat="false" ht="12.75" hidden="false" customHeight="false" outlineLevel="0" collapsed="false">
      <c r="N23" s="18"/>
    </row>
    <row r="24" customFormat="false" ht="12.75" hidden="false" customHeight="false" outlineLevel="0" collapsed="false">
      <c r="C24" s="1" t="s">
        <v>34</v>
      </c>
      <c r="F24" s="1" t="n">
        <f aca="false">SUM(F20:F23)</f>
        <v>3512</v>
      </c>
      <c r="G24" s="1" t="n">
        <f aca="false">SUM(G20:G23)</f>
        <v>4216</v>
      </c>
      <c r="H24" s="1" t="n">
        <f aca="false">SUM(H20:H23)</f>
        <v>4192</v>
      </c>
      <c r="I24" s="1" t="n">
        <f aca="false">SUM(I20:I23)</f>
        <v>3472</v>
      </c>
      <c r="J24" s="1" t="n">
        <f aca="false">SUM(J20:J23)</f>
        <v>2306</v>
      </c>
      <c r="K24" s="1" t="n">
        <f aca="false">SUM(K20:K23)</f>
        <v>2775</v>
      </c>
      <c r="L24" s="1" t="n">
        <f aca="false">SUM(L20:L23)</f>
        <v>4303.22441796875</v>
      </c>
      <c r="M24" s="1" t="n">
        <f aca="false">SUM(M20:M23)</f>
        <v>4303.22441796875</v>
      </c>
      <c r="N24" s="18" t="n">
        <f aca="false">SUM(N20:N23)</f>
        <v>4180.27411132812</v>
      </c>
      <c r="O24" s="1" t="n">
        <f aca="false">SUM(O20:O23)</f>
        <v>4303.22441796875</v>
      </c>
      <c r="P24" s="1" t="n">
        <f aca="false">SUM(P20:P23)</f>
        <v>4180.27411132812</v>
      </c>
      <c r="Q24" s="1" t="n">
        <f aca="false">SUM(Q20:Q23)</f>
        <v>4303.22441796875</v>
      </c>
      <c r="R24" s="1" t="n">
        <f aca="false">SUM(F24:Q24)</f>
        <v>46046.4458945313</v>
      </c>
      <c r="T24" s="1" t="n">
        <f aca="false">SUM(T20:T23)</f>
        <v>33259.7229472656</v>
      </c>
    </row>
    <row r="25" customFormat="false" ht="12.75" hidden="false" customHeight="false" outlineLevel="0" collapsed="false">
      <c r="N25" s="18"/>
    </row>
    <row r="26" customFormat="false" ht="12.75" hidden="false" customHeight="false" outlineLevel="0" collapsed="false">
      <c r="B26" s="1" t="s">
        <v>35</v>
      </c>
      <c r="N26" s="18"/>
    </row>
    <row r="27" customFormat="false" ht="12.75" hidden="false" customHeight="false" outlineLevel="0" collapsed="false">
      <c r="N27" s="18"/>
    </row>
    <row r="28" customFormat="false" ht="12.75" hidden="false" customHeight="false" outlineLevel="0" collapsed="false">
      <c r="B28" s="1" t="s">
        <v>36</v>
      </c>
      <c r="N28" s="18"/>
    </row>
    <row r="29" customFormat="false" ht="12.75" hidden="false" customHeight="false" outlineLevel="0" collapsed="false">
      <c r="C29" s="1" t="s">
        <v>37</v>
      </c>
      <c r="F29" s="1" t="n">
        <v>23277</v>
      </c>
      <c r="G29" s="1" t="n">
        <v>14193</v>
      </c>
      <c r="H29" s="1" t="n">
        <v>16472</v>
      </c>
      <c r="I29" s="1" t="n">
        <v>11705</v>
      </c>
      <c r="J29" s="1" t="n">
        <v>9693</v>
      </c>
      <c r="K29" s="1" t="n">
        <v>10196</v>
      </c>
      <c r="L29" s="1" t="n">
        <f aca="false">[2]PwrCsOut!H27+[2]PwrCsOut!H28+[2]PwrCsOut!H438+[2]PwrCsOut!H60</f>
        <v>10525.525296875</v>
      </c>
      <c r="M29" s="1" t="n">
        <f aca="false">[2]PwrCsOut!I27+[2]PwrCsOut!I28+[2]PwrCsOut!I438+[2]PwrCsOut!I60</f>
        <v>11264.678953125</v>
      </c>
      <c r="N29" s="18" t="n">
        <f aca="false">[2]PwrCsOut!J27+[2]PwrCsOut!J28+[2]PwrCsOut!J438+[2]PwrCsOut!J60</f>
        <v>10674.680796875</v>
      </c>
      <c r="O29" s="1" t="n">
        <f aca="false">[2]PwrCsOut!K27+[2]PwrCsOut!K28+[2]PwrCsOut!K438+[2]PwrCsOut!K60</f>
        <v>11822.996578125</v>
      </c>
      <c r="P29" s="1" t="n">
        <f aca="false">[2]PwrCsOut!L27+[2]PwrCsOut!L28+[2]PwrCsOut!L438+[2]PwrCsOut!L60</f>
        <v>17874.802421875</v>
      </c>
      <c r="Q29" s="1" t="n">
        <f aca="false">[2]PwrCsOut!M27+[2]PwrCsOut!M28+[2]PwrCsOut!M438+[2]PwrCsOut!M60</f>
        <v>19741.317265625</v>
      </c>
      <c r="R29" s="1" t="n">
        <f aca="false">SUM(F29:Q29)</f>
        <v>167440.0013125</v>
      </c>
      <c r="T29" s="1" t="n">
        <f aca="false">SUM(F29:N29)</f>
        <v>118000.885046875</v>
      </c>
    </row>
    <row r="30" customFormat="false" ht="12.75" hidden="false" customHeight="false" outlineLevel="0" collapsed="false">
      <c r="C30" s="1" t="s">
        <v>38</v>
      </c>
      <c r="F30" s="1" t="n">
        <v>5167</v>
      </c>
      <c r="G30" s="1" t="n">
        <v>4626</v>
      </c>
      <c r="H30" s="1" t="n">
        <v>4783</v>
      </c>
      <c r="I30" s="1" t="n">
        <v>3562</v>
      </c>
      <c r="J30" s="1" t="n">
        <v>4649</v>
      </c>
      <c r="K30" s="1" t="n">
        <v>3607</v>
      </c>
      <c r="L30" s="1" t="n">
        <f aca="false">[2]PwrCsOut!H29+[2]PwrCsOut!H61</f>
        <v>2709.236875</v>
      </c>
      <c r="M30" s="1" t="n">
        <f aca="false">[2]PwrCsOut!I29+[2]PwrCsOut!I61</f>
        <v>2722.23975</v>
      </c>
      <c r="N30" s="18" t="n">
        <f aca="false">[2]PwrCsOut!J29+[2]PwrCsOut!J61</f>
        <v>2671.262875</v>
      </c>
      <c r="O30" s="1" t="n">
        <f aca="false">[2]PwrCsOut!K29+[2]PwrCsOut!K61</f>
        <v>2799.31275</v>
      </c>
      <c r="P30" s="1" t="n">
        <f aca="false">[2]PwrCsOut!L29+[2]PwrCsOut!L61</f>
        <v>4564.75775390625</v>
      </c>
      <c r="Q30" s="1" t="n">
        <f aca="false">[2]PwrCsOut!M29+[2]PwrCsOut!M61</f>
        <v>4885.404578125</v>
      </c>
      <c r="R30" s="1" t="n">
        <f aca="false">SUM(F30:Q30)</f>
        <v>46746.2145820313</v>
      </c>
      <c r="T30" s="1" t="n">
        <f aca="false">SUM(F30:N30)</f>
        <v>34496.7395</v>
      </c>
    </row>
    <row r="31" customFormat="false" ht="12.75" hidden="false" customHeight="false" outlineLevel="0" collapsed="false">
      <c r="C31" s="1" t="s">
        <v>39</v>
      </c>
      <c r="F31" s="1" t="n">
        <v>1386</v>
      </c>
      <c r="G31" s="1" t="n">
        <v>1241</v>
      </c>
      <c r="H31" s="1" t="n">
        <v>1527</v>
      </c>
      <c r="I31" s="1" t="n">
        <v>1403</v>
      </c>
      <c r="J31" s="1" t="n">
        <v>1325</v>
      </c>
      <c r="K31" s="1" t="n">
        <f aca="false">[2]PwrCsOut!G58+[2]PwrCsOut!G59+[2]PwrCsOut!G50+[2]PwrCsOut!G51</f>
        <v>1306.84776171875</v>
      </c>
      <c r="L31" s="1" t="n">
        <f aca="false">[2]PwrCsOut!H58+[2]PwrCsOut!H59+[2]PwrCsOut!H50+[2]PwrCsOut!H51</f>
        <v>1306.84930664063</v>
      </c>
      <c r="M31" s="1" t="n">
        <f aca="false">[2]PwrCsOut!I58+[2]PwrCsOut!I59+[2]PwrCsOut!I50+[2]PwrCsOut!I51</f>
        <v>1306.84930664063</v>
      </c>
      <c r="N31" s="18" t="n">
        <f aca="false">[2]PwrCsOut!J58+[2]PwrCsOut!J59+[2]PwrCsOut!J50+[2]PwrCsOut!J51</f>
        <v>1306.84776171875</v>
      </c>
      <c r="O31" s="1" t="n">
        <f aca="false">[2]PwrCsOut!K58+[2]PwrCsOut!K59+[2]PwrCsOut!K50+[2]PwrCsOut!K51</f>
        <v>1306.84930664063</v>
      </c>
      <c r="P31" s="1" t="n">
        <f aca="false">[2]PwrCsOut!L58+[2]PwrCsOut!L59+[2]PwrCsOut!L50+[2]PwrCsOut!L51</f>
        <v>1306.84776171875</v>
      </c>
      <c r="Q31" s="1" t="n">
        <f aca="false">[2]PwrCsOut!M58+[2]PwrCsOut!M59+[2]PwrCsOut!M50+[2]PwrCsOut!M51</f>
        <v>1306.84930664063</v>
      </c>
      <c r="R31" s="1" t="n">
        <f aca="false">SUM(F31:Q31)</f>
        <v>16029.9405117188</v>
      </c>
      <c r="T31" s="1" t="n">
        <f aca="false">SUM(F31:N31)</f>
        <v>12109.3941367188</v>
      </c>
    </row>
    <row r="32" customFormat="false" ht="12.75" hidden="false" customHeight="false" outlineLevel="0" collapsed="false">
      <c r="C32" s="1" t="s">
        <v>40</v>
      </c>
      <c r="F32" s="1" t="n">
        <v>-5879</v>
      </c>
      <c r="G32" s="1" t="n">
        <v>-149</v>
      </c>
      <c r="H32" s="1" t="n">
        <v>1837</v>
      </c>
      <c r="I32" s="1" t="n">
        <v>-1265</v>
      </c>
      <c r="J32" s="1" t="n">
        <v>-978</v>
      </c>
      <c r="K32" s="1" t="n">
        <v>-1134</v>
      </c>
      <c r="L32" s="1" t="n">
        <f aca="false">[2]PwrCsOut!H62</f>
        <v>-3492.525</v>
      </c>
      <c r="M32" s="1" t="n">
        <f aca="false">[2]PwrCsOut!I62</f>
        <v>-3611.616</v>
      </c>
      <c r="N32" s="18" t="n">
        <f aca="false">[2]PwrCsOut!J62</f>
        <v>-3738.6475</v>
      </c>
      <c r="O32" s="1" t="n">
        <f aca="false">[2]PwrCsOut!K62</f>
        <v>-4458.19</v>
      </c>
      <c r="P32" s="1" t="n">
        <f aca="false">[2]PwrCsOut!L62</f>
        <v>-2910.07525</v>
      </c>
      <c r="Q32" s="1" t="n">
        <f aca="false">[2]PwrCsOut!M62</f>
        <v>-3309.442</v>
      </c>
      <c r="R32" s="1" t="n">
        <f aca="false">SUM(F32:Q32)</f>
        <v>-29088.49575</v>
      </c>
      <c r="T32" s="1" t="n">
        <f aca="false">SUM(F32:N32)</f>
        <v>-18410.7885</v>
      </c>
    </row>
    <row r="33" customFormat="false" ht="12.75" hidden="false" customHeight="false" outlineLevel="0" collapsed="false">
      <c r="C33" s="28" t="s">
        <v>41</v>
      </c>
      <c r="D33" s="25"/>
      <c r="E33" s="25"/>
      <c r="F33" s="25" t="n">
        <v>-711</v>
      </c>
      <c r="G33" s="25" t="n">
        <v>-2289</v>
      </c>
      <c r="H33" s="25" t="n">
        <v>-289</v>
      </c>
      <c r="I33" s="25" t="n">
        <v>1243</v>
      </c>
      <c r="J33" s="25" t="n">
        <v>-707</v>
      </c>
      <c r="K33" s="25" t="n">
        <v>74</v>
      </c>
      <c r="L33" s="25" t="n">
        <v>113</v>
      </c>
      <c r="M33" s="25" t="n">
        <v>100</v>
      </c>
      <c r="N33" s="24" t="n">
        <v>93</v>
      </c>
      <c r="O33" s="25" t="n">
        <v>7</v>
      </c>
      <c r="P33" s="25" t="n">
        <v>-51</v>
      </c>
      <c r="Q33" s="25" t="n">
        <v>-52</v>
      </c>
      <c r="R33" s="25" t="n">
        <f aca="false">SUM(F33:Q33)</f>
        <v>-2469</v>
      </c>
      <c r="S33" s="25"/>
      <c r="T33" s="25" t="n">
        <f aca="false">SUM(F33:N33)</f>
        <v>-2373</v>
      </c>
    </row>
    <row r="34" customFormat="false" ht="12.75" hidden="false" customHeight="false" outlineLevel="0" collapsed="false">
      <c r="C34" s="28" t="s">
        <v>42</v>
      </c>
      <c r="D34" s="25"/>
      <c r="E34" s="25"/>
      <c r="F34" s="25" t="n">
        <v>2249</v>
      </c>
      <c r="G34" s="25" t="n">
        <v>1515</v>
      </c>
      <c r="H34" s="25" t="n">
        <v>-2736</v>
      </c>
      <c r="I34" s="25" t="n">
        <v>-1906</v>
      </c>
      <c r="J34" s="25" t="n">
        <v>-4350</v>
      </c>
      <c r="K34" s="25" t="n">
        <v>793</v>
      </c>
      <c r="L34" s="25" t="n">
        <v>3590</v>
      </c>
      <c r="M34" s="25" t="n">
        <v>3537</v>
      </c>
      <c r="N34" s="24" t="n">
        <v>3389</v>
      </c>
      <c r="O34" s="25" t="n">
        <v>3186</v>
      </c>
      <c r="P34" s="25" t="n">
        <v>1640</v>
      </c>
      <c r="Q34" s="25" t="n">
        <v>1542</v>
      </c>
      <c r="R34" s="25" t="n">
        <f aca="false">SUM(F34:Q34)</f>
        <v>12449</v>
      </c>
      <c r="S34" s="25"/>
      <c r="T34" s="29" t="n">
        <f aca="false">SUM(F34:N34)</f>
        <v>6081</v>
      </c>
    </row>
    <row r="35" customFormat="false" ht="12.75" hidden="false" customHeight="false" outlineLevel="0" collapsed="false">
      <c r="C35" s="1" t="s">
        <v>43</v>
      </c>
      <c r="F35" s="26" t="n">
        <f aca="false">SUM(F29:F34)</f>
        <v>25489</v>
      </c>
      <c r="G35" s="26" t="n">
        <f aca="false">SUM(G29:G34)</f>
        <v>19137</v>
      </c>
      <c r="H35" s="26" t="n">
        <f aca="false">SUM(H29:H34)</f>
        <v>21594</v>
      </c>
      <c r="I35" s="26" t="n">
        <f aca="false">SUM(I29:I34)</f>
        <v>14742</v>
      </c>
      <c r="J35" s="26" t="n">
        <f aca="false">SUM(J29:J34)</f>
        <v>9632</v>
      </c>
      <c r="K35" s="26" t="n">
        <f aca="false">SUM(K29:K34)</f>
        <v>14842.8477617188</v>
      </c>
      <c r="L35" s="26" t="n">
        <f aca="false">SUM(L29:L34)</f>
        <v>14752.0864785156</v>
      </c>
      <c r="M35" s="26" t="n">
        <f aca="false">SUM(M29:M34)</f>
        <v>15319.1520097656</v>
      </c>
      <c r="N35" s="27" t="n">
        <f aca="false">SUM(N29:N34)</f>
        <v>14396.1439335937</v>
      </c>
      <c r="O35" s="26" t="n">
        <f aca="false">SUM(O29:O34)</f>
        <v>14663.9686347656</v>
      </c>
      <c r="P35" s="26" t="n">
        <f aca="false">SUM(P29:P34)</f>
        <v>22425.3326875</v>
      </c>
      <c r="Q35" s="26" t="n">
        <f aca="false">SUM(Q29:Q34)</f>
        <v>24114.1291503906</v>
      </c>
      <c r="R35" s="26" t="n">
        <f aca="false">SUM(F35:Q35)</f>
        <v>211107.66065625</v>
      </c>
      <c r="T35" s="30" t="n">
        <f aca="false">SUM(F35:N35)</f>
        <v>149904.230183594</v>
      </c>
    </row>
    <row r="36" customFormat="false" ht="12.75" hidden="false" customHeight="false" outlineLevel="0" collapsed="false">
      <c r="N36" s="18"/>
    </row>
    <row r="37" customFormat="false" ht="12.75" hidden="false" customHeight="false" outlineLevel="0" collapsed="false">
      <c r="C37" s="1" t="s">
        <v>44</v>
      </c>
      <c r="F37" s="26" t="n">
        <f aca="false">F24+F26+F35</f>
        <v>29001</v>
      </c>
      <c r="G37" s="26" t="n">
        <f aca="false">G24+G26+G35</f>
        <v>23353</v>
      </c>
      <c r="H37" s="26" t="n">
        <f aca="false">H24+H26+H35</f>
        <v>25786</v>
      </c>
      <c r="I37" s="26" t="n">
        <f aca="false">I24+I26+I35</f>
        <v>18214</v>
      </c>
      <c r="J37" s="26" t="n">
        <f aca="false">J24+J26+J35</f>
        <v>11938</v>
      </c>
      <c r="K37" s="26" t="n">
        <f aca="false">K24+K26+K35</f>
        <v>17617.8477617188</v>
      </c>
      <c r="L37" s="26" t="n">
        <f aca="false">L24+L26+L35</f>
        <v>19055.3108964844</v>
      </c>
      <c r="M37" s="26" t="n">
        <f aca="false">M24+M26+M35</f>
        <v>19622.3764277344</v>
      </c>
      <c r="N37" s="27" t="n">
        <f aca="false">N24+N26+N35</f>
        <v>18576.4180449219</v>
      </c>
      <c r="O37" s="26" t="n">
        <f aca="false">O24+O26+O35</f>
        <v>18967.1930527344</v>
      </c>
      <c r="P37" s="26" t="n">
        <f aca="false">P24+P26+P35</f>
        <v>26605.6067988281</v>
      </c>
      <c r="Q37" s="26" t="n">
        <f aca="false">Q24+Q26+Q35</f>
        <v>28417.3535683594</v>
      </c>
      <c r="R37" s="26" t="n">
        <f aca="false">SUM(F37:Q37)</f>
        <v>257154.106550781</v>
      </c>
      <c r="T37" s="26" t="n">
        <f aca="false">+T24+T35</f>
        <v>183163.953130859</v>
      </c>
    </row>
    <row r="38" customFormat="false" ht="12.75" hidden="false" customHeight="false" outlineLevel="0" collapsed="false">
      <c r="N38" s="18"/>
    </row>
    <row r="39" customFormat="false" ht="12.75" hidden="false" customHeight="false" outlineLevel="0" collapsed="false">
      <c r="A39" s="1" t="s">
        <v>45</v>
      </c>
      <c r="F39" s="1" t="n">
        <f aca="false">F14+F16+F37</f>
        <v>237617</v>
      </c>
      <c r="G39" s="1" t="n">
        <f aca="false">G14+G16+G37</f>
        <v>163386</v>
      </c>
      <c r="H39" s="1" t="n">
        <f aca="false">H14+H16+H37</f>
        <v>180638</v>
      </c>
      <c r="I39" s="1" t="n">
        <f aca="false">I14+I16+I37</f>
        <v>217947</v>
      </c>
      <c r="J39" s="1" t="n">
        <f aca="false">J14+J16+J37</f>
        <v>216958</v>
      </c>
      <c r="K39" s="1" t="n">
        <f aca="false">K14+K16+K37</f>
        <v>190610.847761719</v>
      </c>
      <c r="L39" s="1" t="n">
        <f aca="false">L14+L16+L37</f>
        <v>272373.363808594</v>
      </c>
      <c r="M39" s="1" t="n">
        <f aca="false">M14+M16+M37</f>
        <v>256598.376933594</v>
      </c>
      <c r="N39" s="18" t="n">
        <f aca="false">N14+N16+N37</f>
        <v>236769.316220703</v>
      </c>
      <c r="O39" s="1" t="n">
        <f aca="false">O14+O16+O37</f>
        <v>149417.498488281</v>
      </c>
      <c r="P39" s="1" t="n">
        <f aca="false">P14+P16+P37</f>
        <v>149824.165314453</v>
      </c>
      <c r="Q39" s="1" t="n">
        <f aca="false">Q14+Q16+Q37</f>
        <v>168237.698558594</v>
      </c>
      <c r="R39" s="1" t="n">
        <f aca="false">SUM(F39:Q39)</f>
        <v>2440377.26708594</v>
      </c>
      <c r="T39" s="1" t="n">
        <f aca="false">+T14+T16+T37</f>
        <v>1972897.90472461</v>
      </c>
    </row>
    <row r="40" customFormat="false" ht="12.75" hidden="false" customHeight="false" outlineLevel="0" collapsed="false">
      <c r="N40" s="18"/>
    </row>
    <row r="41" customFormat="false" ht="12.75" hidden="false" customHeight="false" outlineLevel="0" collapsed="false">
      <c r="B41" s="1" t="s">
        <v>46</v>
      </c>
      <c r="F41" s="1" t="n">
        <v>-147729</v>
      </c>
      <c r="G41" s="1" t="n">
        <v>-155832</v>
      </c>
      <c r="H41" s="1" t="n">
        <v>-176370</v>
      </c>
      <c r="I41" s="1" t="n">
        <v>-218190</v>
      </c>
      <c r="J41" s="1" t="n">
        <v>-189150</v>
      </c>
      <c r="K41" s="1" t="n">
        <v>-174897</v>
      </c>
      <c r="L41" s="1" t="n">
        <f aca="false">[2]PwrCsOut!H428+[2]PwrCsOut!H447</f>
        <v>-200826.658</v>
      </c>
      <c r="M41" s="1" t="n">
        <f aca="false">[2]PwrCsOut!I428+[2]PwrCsOut!I447</f>
        <v>-191444.04</v>
      </c>
      <c r="N41" s="18" t="n">
        <f aca="false">[2]PwrCsOut!J428+[2]PwrCsOut!J447</f>
        <v>-173682.736</v>
      </c>
      <c r="O41" s="1" t="n">
        <f aca="false">[2]PwrCsOut!K428+[2]PwrCsOut!K447</f>
        <v>-105177.986</v>
      </c>
      <c r="P41" s="1" t="n">
        <f aca="false">[2]PwrCsOut!L428+[2]PwrCsOut!L447</f>
        <v>-89044.948</v>
      </c>
      <c r="Q41" s="1" t="n">
        <f aca="false">[2]PwrCsOut!M428+[2]PwrCsOut!M447</f>
        <v>-87443.09</v>
      </c>
      <c r="R41" s="1" t="n">
        <f aca="false">SUM(F41:Q41)</f>
        <v>-1909787.458</v>
      </c>
      <c r="T41" s="1" t="n">
        <f aca="false">SUM(F41:N41)</f>
        <v>-1628121.434</v>
      </c>
    </row>
    <row r="42" customFormat="false" ht="12.75" hidden="false" customHeight="false" outlineLevel="0" collapsed="false">
      <c r="B42" s="1" t="s">
        <v>47</v>
      </c>
      <c r="F42" s="26" t="n">
        <v>-2901</v>
      </c>
      <c r="G42" s="26" t="n">
        <v>-1482</v>
      </c>
      <c r="H42" s="26" t="n">
        <v>-844</v>
      </c>
      <c r="I42" s="26" t="n">
        <v>-1561</v>
      </c>
      <c r="J42" s="26" t="n">
        <v>-350</v>
      </c>
      <c r="K42" s="26" t="n">
        <v>-425</v>
      </c>
      <c r="L42" s="26"/>
      <c r="M42" s="26"/>
      <c r="N42" s="27"/>
      <c r="O42" s="26"/>
      <c r="P42" s="26"/>
      <c r="Q42" s="26"/>
      <c r="R42" s="26" t="n">
        <f aca="false">SUM(F42:Q42)</f>
        <v>-7563</v>
      </c>
      <c r="T42" s="26" t="n">
        <f aca="false">SUM(F42:N42)</f>
        <v>-7563</v>
      </c>
    </row>
    <row r="43" customFormat="false" ht="13.5" hidden="false" customHeight="false" outlineLevel="0" collapsed="false">
      <c r="N43" s="18"/>
    </row>
    <row r="44" customFormat="false" ht="13.5" hidden="false" customHeight="false" outlineLevel="0" collapsed="false">
      <c r="A44" s="2" t="s">
        <v>48</v>
      </c>
      <c r="F44" s="1" t="n">
        <f aca="false">F39+F41+F42</f>
        <v>86987</v>
      </c>
      <c r="G44" s="1" t="n">
        <f aca="false">G39+G41+G42</f>
        <v>6072</v>
      </c>
      <c r="H44" s="1" t="n">
        <f aca="false">H39+H41+H42</f>
        <v>3424</v>
      </c>
      <c r="I44" s="1" t="n">
        <f aca="false">I39+I41+I42</f>
        <v>-1804</v>
      </c>
      <c r="J44" s="1" t="n">
        <f aca="false">J39+J41+J42</f>
        <v>27458</v>
      </c>
      <c r="K44" s="1" t="n">
        <f aca="false">K39+K41+K42</f>
        <v>15288.8477617188</v>
      </c>
      <c r="L44" s="1" t="n">
        <f aca="false">L39+L41+L42</f>
        <v>71546.7058085937</v>
      </c>
      <c r="M44" s="1" t="n">
        <f aca="false">M39+M41+M42</f>
        <v>65154.3369335938</v>
      </c>
      <c r="N44" s="18" t="n">
        <f aca="false">N39+N41+N42</f>
        <v>63086.5802207031</v>
      </c>
      <c r="O44" s="1" t="n">
        <f aca="false">O39+O41+O42</f>
        <v>44239.5124882812</v>
      </c>
      <c r="P44" s="1" t="n">
        <f aca="false">P39+P41+P42</f>
        <v>60779.2173144531</v>
      </c>
      <c r="Q44" s="1" t="n">
        <f aca="false">Q39+Q41+Q42</f>
        <v>80794.6085585937</v>
      </c>
      <c r="R44" s="31" t="n">
        <f aca="false">SUM(F44:Q44)</f>
        <v>523026.809085937</v>
      </c>
      <c r="T44" s="2" t="n">
        <f aca="false">T39+T41+T42</f>
        <v>337213.470724609</v>
      </c>
    </row>
    <row r="45" customFormat="false" ht="16.5" hidden="false" customHeight="false" outlineLevel="0" collapsed="false">
      <c r="A45" s="7"/>
      <c r="B45" s="32"/>
      <c r="C45" s="7"/>
      <c r="D45" s="33"/>
      <c r="E45" s="7"/>
      <c r="F45" s="34"/>
      <c r="G45" s="35"/>
      <c r="H45" s="35"/>
      <c r="I45" s="35"/>
      <c r="J45" s="35"/>
      <c r="K45" s="35"/>
      <c r="L45" s="35"/>
      <c r="M45" s="35"/>
      <c r="N45" s="36"/>
      <c r="O45" s="37"/>
      <c r="P45" s="35"/>
      <c r="Q45" s="35"/>
      <c r="R45" s="35"/>
      <c r="S45" s="7"/>
      <c r="T45" s="35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</row>
    <row r="46" customFormat="false" ht="15.75" hidden="false" customHeight="false" outlineLevel="0" collapsed="false">
      <c r="A46" s="38" t="s">
        <v>49</v>
      </c>
      <c r="B46" s="39"/>
      <c r="C46" s="4"/>
      <c r="D46" s="40"/>
      <c r="E46" s="4"/>
      <c r="F46" s="41"/>
      <c r="G46" s="42"/>
      <c r="H46" s="42"/>
      <c r="I46" s="42"/>
      <c r="J46" s="42"/>
      <c r="K46" s="42"/>
      <c r="L46" s="42"/>
      <c r="M46" s="42"/>
      <c r="N46" s="43"/>
      <c r="O46" s="42"/>
      <c r="P46" s="42"/>
      <c r="Q46" s="42"/>
      <c r="R46" s="42"/>
      <c r="S46" s="4"/>
      <c r="T46" s="44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</row>
    <row r="47" customFormat="false" ht="15" hidden="false" customHeight="false" outlineLevel="0" collapsed="false">
      <c r="A47" s="45" t="s">
        <v>50</v>
      </c>
      <c r="B47" s="46"/>
      <c r="C47" s="46"/>
      <c r="D47" s="46"/>
      <c r="E47" s="46"/>
      <c r="F47" s="7" t="n">
        <v>4279</v>
      </c>
      <c r="G47" s="7" t="n">
        <v>0</v>
      </c>
      <c r="H47" s="7" t="n">
        <v>0</v>
      </c>
      <c r="I47" s="7" t="n">
        <v>0</v>
      </c>
      <c r="J47" s="7" t="n">
        <v>0</v>
      </c>
      <c r="K47" s="7" t="n">
        <v>0</v>
      </c>
      <c r="L47" s="7" t="n">
        <v>0</v>
      </c>
      <c r="M47" s="7" t="n">
        <v>0</v>
      </c>
      <c r="N47" s="18" t="n">
        <v>0</v>
      </c>
      <c r="O47" s="7" t="n">
        <v>0</v>
      </c>
      <c r="P47" s="7" t="n">
        <v>0</v>
      </c>
      <c r="Q47" s="7" t="n">
        <v>0</v>
      </c>
      <c r="R47" s="7" t="n">
        <f aca="false">SUM(F47:Q47)</f>
        <v>4279</v>
      </c>
      <c r="S47" s="7"/>
      <c r="T47" s="10" t="n">
        <f aca="false">SUM(F47:N47)</f>
        <v>4279</v>
      </c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</row>
    <row r="48" customFormat="false" ht="15" hidden="false" customHeight="false" outlineLevel="0" collapsed="false">
      <c r="A48" s="45" t="s">
        <v>51</v>
      </c>
      <c r="B48" s="46"/>
      <c r="C48" s="46"/>
      <c r="D48" s="46"/>
      <c r="E48" s="46"/>
      <c r="F48" s="7" t="n">
        <v>424</v>
      </c>
      <c r="G48" s="7" t="n">
        <v>0</v>
      </c>
      <c r="H48" s="7" t="n">
        <f aca="false">2400+6000</f>
        <v>8400</v>
      </c>
      <c r="I48" s="7" t="n">
        <v>0</v>
      </c>
      <c r="J48" s="7" t="n">
        <v>-679</v>
      </c>
      <c r="K48" s="7" t="n">
        <v>0</v>
      </c>
      <c r="L48" s="7" t="n">
        <v>0</v>
      </c>
      <c r="M48" s="7" t="n">
        <v>0</v>
      </c>
      <c r="N48" s="18" t="n">
        <v>0</v>
      </c>
      <c r="O48" s="7" t="n">
        <v>0</v>
      </c>
      <c r="P48" s="7" t="n">
        <v>0</v>
      </c>
      <c r="Q48" s="7" t="n">
        <v>0</v>
      </c>
      <c r="R48" s="7" t="n">
        <f aca="false">SUM(F48:Q48)</f>
        <v>8145</v>
      </c>
      <c r="S48" s="7"/>
      <c r="T48" s="10" t="n">
        <f aca="false">SUM(F48:N48)</f>
        <v>8145</v>
      </c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</row>
    <row r="49" customFormat="false" ht="12.75" hidden="false" customHeight="false" outlineLevel="0" collapsed="false">
      <c r="A49" s="45" t="s">
        <v>52</v>
      </c>
      <c r="B49" s="7"/>
      <c r="C49" s="7"/>
      <c r="D49" s="7"/>
      <c r="E49" s="7"/>
      <c r="F49" s="47" t="n">
        <v>0</v>
      </c>
      <c r="G49" s="47" t="n">
        <v>0</v>
      </c>
      <c r="H49" s="47" t="n">
        <v>0</v>
      </c>
      <c r="I49" s="47" t="n">
        <v>0</v>
      </c>
      <c r="J49" s="47" t="n">
        <v>0</v>
      </c>
      <c r="K49" s="47" t="n">
        <v>0</v>
      </c>
      <c r="L49" s="47" t="n">
        <v>0</v>
      </c>
      <c r="M49" s="47" t="n">
        <v>0</v>
      </c>
      <c r="N49" s="48" t="n">
        <v>6187</v>
      </c>
      <c r="O49" s="7" t="n">
        <v>0</v>
      </c>
      <c r="P49" s="7" t="n">
        <v>0</v>
      </c>
      <c r="Q49" s="7" t="n">
        <v>0</v>
      </c>
      <c r="R49" s="7" t="n">
        <f aca="false">SUM(F49:Q49)</f>
        <v>6187</v>
      </c>
      <c r="S49" s="7"/>
      <c r="T49" s="10" t="n">
        <f aca="false">SUM(F49:N49)</f>
        <v>6187</v>
      </c>
    </row>
    <row r="50" customFormat="false" ht="12.75" hidden="false" customHeight="false" outlineLevel="0" collapsed="false">
      <c r="A50" s="45" t="s">
        <v>53</v>
      </c>
      <c r="B50" s="7"/>
      <c r="C50" s="7"/>
      <c r="D50" s="7"/>
      <c r="E50" s="7"/>
      <c r="F50" s="47" t="n">
        <v>2109.27917555556</v>
      </c>
      <c r="G50" s="47" t="n">
        <v>1962</v>
      </c>
      <c r="H50" s="47" t="n">
        <v>2134</v>
      </c>
      <c r="I50" s="47" t="n">
        <v>2085</v>
      </c>
      <c r="J50" s="47" t="n">
        <v>2178</v>
      </c>
      <c r="K50" s="47" t="n">
        <v>2274.35555555556</v>
      </c>
      <c r="L50" s="47" t="n">
        <v>2249.15555555556</v>
      </c>
      <c r="M50" s="47" t="n">
        <v>2301.23555555556</v>
      </c>
      <c r="N50" s="48" t="n">
        <v>2274.35555555556</v>
      </c>
      <c r="O50" s="7" t="n">
        <v>0</v>
      </c>
      <c r="P50" s="7" t="n">
        <v>0</v>
      </c>
      <c r="Q50" s="7" t="n">
        <v>0</v>
      </c>
      <c r="R50" s="7" t="n">
        <f aca="false">SUM(F50:Q50)</f>
        <v>19567.3813977778</v>
      </c>
      <c r="S50" s="7"/>
      <c r="T50" s="10" t="n">
        <f aca="false">SUM(F50:N50)</f>
        <v>19567.3813977778</v>
      </c>
    </row>
    <row r="51" customFormat="false" ht="12.75" hidden="false" customHeight="false" outlineLevel="0" collapsed="false">
      <c r="A51" s="49" t="s">
        <v>54</v>
      </c>
      <c r="B51" s="23"/>
      <c r="C51" s="23"/>
      <c r="D51" s="23"/>
      <c r="E51" s="23" t="s">
        <v>55</v>
      </c>
      <c r="F51" s="29" t="n">
        <f aca="false">+F34</f>
        <v>2249</v>
      </c>
      <c r="G51" s="29" t="n">
        <f aca="false">+G34</f>
        <v>1515</v>
      </c>
      <c r="H51" s="29" t="n">
        <f aca="false">+H34</f>
        <v>-2736</v>
      </c>
      <c r="I51" s="29" t="n">
        <f aca="false">+I34</f>
        <v>-1906</v>
      </c>
      <c r="J51" s="29" t="n">
        <f aca="false">+J34</f>
        <v>-4350</v>
      </c>
      <c r="K51" s="29" t="n">
        <f aca="false">+K34</f>
        <v>793</v>
      </c>
      <c r="L51" s="29" t="n">
        <f aca="false">+L34</f>
        <v>3590</v>
      </c>
      <c r="M51" s="29" t="n">
        <f aca="false">+M34</f>
        <v>3537</v>
      </c>
      <c r="N51" s="50" t="n">
        <f aca="false">+N34</f>
        <v>3389</v>
      </c>
      <c r="O51" s="29" t="n">
        <f aca="false">+O34</f>
        <v>3186</v>
      </c>
      <c r="P51" s="29" t="n">
        <f aca="false">+P34</f>
        <v>1640</v>
      </c>
      <c r="Q51" s="29" t="n">
        <f aca="false">+Q34</f>
        <v>1542</v>
      </c>
      <c r="R51" s="29" t="n">
        <f aca="false">SUM(F51:Q51)</f>
        <v>12449</v>
      </c>
      <c r="S51" s="23"/>
      <c r="T51" s="51" t="n">
        <f aca="false">SUM(F51:N51)</f>
        <v>6081</v>
      </c>
    </row>
    <row r="52" customFormat="false" ht="12.75" hidden="false" customHeight="false" outlineLevel="0" collapsed="false">
      <c r="A52" s="45"/>
      <c r="B52" s="7" t="s">
        <v>56</v>
      </c>
      <c r="C52" s="7"/>
      <c r="D52" s="7"/>
      <c r="E52" s="7"/>
      <c r="F52" s="7" t="n">
        <f aca="false">SUM(F47:F51)</f>
        <v>9061.27917555556</v>
      </c>
      <c r="G52" s="7" t="n">
        <f aca="false">SUM(G47:G51)</f>
        <v>3477</v>
      </c>
      <c r="H52" s="7" t="n">
        <f aca="false">SUM(H47:H51)</f>
        <v>7798</v>
      </c>
      <c r="I52" s="7" t="n">
        <f aca="false">SUM(I47:I51)</f>
        <v>179</v>
      </c>
      <c r="J52" s="7" t="n">
        <f aca="false">SUM(J47:J51)</f>
        <v>-2851</v>
      </c>
      <c r="K52" s="7" t="n">
        <f aca="false">SUM(K47:K51)</f>
        <v>3067.35555555556</v>
      </c>
      <c r="L52" s="7" t="n">
        <f aca="false">SUM(L47:L51)</f>
        <v>5839.15555555556</v>
      </c>
      <c r="M52" s="7" t="n">
        <f aca="false">SUM(M47:M51)</f>
        <v>5838.23555555556</v>
      </c>
      <c r="N52" s="18" t="n">
        <f aca="false">SUM(N47:N51)</f>
        <v>11850.3555555556</v>
      </c>
      <c r="O52" s="7" t="n">
        <f aca="false">SUM(O47:O51)</f>
        <v>3186</v>
      </c>
      <c r="P52" s="7" t="n">
        <f aca="false">SUM(P47:P51)</f>
        <v>1640</v>
      </c>
      <c r="Q52" s="7" t="n">
        <f aca="false">SUM(Q47:Q51)</f>
        <v>1542</v>
      </c>
      <c r="R52" s="7" t="n">
        <f aca="false">SUM(F52:Q52)</f>
        <v>50627.3813977778</v>
      </c>
      <c r="S52" s="7"/>
      <c r="T52" s="10" t="n">
        <f aca="false">SUM(T47:T51)</f>
        <v>44259.3813977778</v>
      </c>
    </row>
    <row r="53" customFormat="false" ht="12.75" hidden="false" customHeight="false" outlineLevel="0" collapsed="false">
      <c r="A53" s="45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18"/>
      <c r="O53" s="7"/>
      <c r="P53" s="7"/>
      <c r="Q53" s="7"/>
      <c r="R53" s="7"/>
      <c r="S53" s="7"/>
      <c r="T53" s="10"/>
    </row>
    <row r="54" customFormat="false" ht="12.75" hidden="false" customHeight="false" outlineLevel="0" collapsed="false">
      <c r="A54" s="52" t="s">
        <v>57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18"/>
      <c r="O54" s="7"/>
      <c r="P54" s="7"/>
      <c r="Q54" s="7"/>
      <c r="R54" s="7"/>
      <c r="S54" s="7"/>
      <c r="T54" s="10"/>
    </row>
    <row r="55" customFormat="false" ht="12.75" hidden="false" customHeight="false" outlineLevel="0" collapsed="false">
      <c r="A55" s="49" t="s">
        <v>58</v>
      </c>
      <c r="B55" s="23"/>
      <c r="C55" s="23"/>
      <c r="D55" s="23"/>
      <c r="E55" s="23" t="s">
        <v>59</v>
      </c>
      <c r="F55" s="23" t="n">
        <f aca="false">+F11</f>
        <v>8135</v>
      </c>
      <c r="G55" s="23" t="n">
        <f aca="false">+G11</f>
        <v>-5059</v>
      </c>
      <c r="H55" s="23" t="n">
        <f aca="false">+H11</f>
        <v>-12505</v>
      </c>
      <c r="I55" s="23" t="n">
        <f aca="false">+I11</f>
        <v>-2611</v>
      </c>
      <c r="J55" s="23" t="n">
        <f aca="false">+J11</f>
        <v>-2008</v>
      </c>
      <c r="K55" s="23" t="n">
        <f aca="false">+K11</f>
        <v>-10724</v>
      </c>
      <c r="L55" s="23" t="n">
        <f aca="false">+L11</f>
        <v>15163</v>
      </c>
      <c r="M55" s="23" t="n">
        <f aca="false">+M11</f>
        <v>17630</v>
      </c>
      <c r="N55" s="24" t="n">
        <f aca="false">+N11</f>
        <v>15985</v>
      </c>
      <c r="O55" s="23" t="n">
        <f aca="false">+O11</f>
        <v>-2840</v>
      </c>
      <c r="P55" s="23" t="n">
        <f aca="false">+P11</f>
        <v>-3594</v>
      </c>
      <c r="Q55" s="23" t="n">
        <f aca="false">+Q11</f>
        <v>-3672</v>
      </c>
      <c r="R55" s="23" t="n">
        <f aca="false">SUM(F55:Q55)</f>
        <v>13900</v>
      </c>
      <c r="S55" s="23"/>
      <c r="T55" s="53" t="n">
        <f aca="false">SUM(F55:N55)</f>
        <v>24006</v>
      </c>
    </row>
    <row r="56" customFormat="false" ht="12.75" hidden="false" customHeight="false" outlineLevel="0" collapsed="false">
      <c r="A56" s="49" t="s">
        <v>60</v>
      </c>
      <c r="B56" s="23"/>
      <c r="C56" s="23"/>
      <c r="D56" s="23"/>
      <c r="E56" s="23" t="s">
        <v>55</v>
      </c>
      <c r="F56" s="23" t="n">
        <f aca="false">+F33</f>
        <v>-711</v>
      </c>
      <c r="G56" s="23" t="n">
        <f aca="false">+G33</f>
        <v>-2289</v>
      </c>
      <c r="H56" s="23" t="n">
        <f aca="false">+H33</f>
        <v>-289</v>
      </c>
      <c r="I56" s="23" t="n">
        <f aca="false">+I33</f>
        <v>1243</v>
      </c>
      <c r="J56" s="23" t="n">
        <f aca="false">+J33</f>
        <v>-707</v>
      </c>
      <c r="K56" s="23" t="n">
        <f aca="false">+K33</f>
        <v>74</v>
      </c>
      <c r="L56" s="23" t="n">
        <f aca="false">+L33</f>
        <v>113</v>
      </c>
      <c r="M56" s="23" t="n">
        <f aca="false">+M33</f>
        <v>100</v>
      </c>
      <c r="N56" s="24" t="n">
        <f aca="false">+N33</f>
        <v>93</v>
      </c>
      <c r="O56" s="23" t="n">
        <f aca="false">+O33</f>
        <v>7</v>
      </c>
      <c r="P56" s="23" t="n">
        <f aca="false">+P33</f>
        <v>-51</v>
      </c>
      <c r="Q56" s="23" t="n">
        <f aca="false">+Q33</f>
        <v>-52</v>
      </c>
      <c r="R56" s="23" t="n">
        <f aca="false">SUM(F56:Q56)</f>
        <v>-2469</v>
      </c>
      <c r="S56" s="23"/>
      <c r="T56" s="53" t="n">
        <f aca="false">SUM(F56:N56)</f>
        <v>-2373</v>
      </c>
    </row>
    <row r="57" customFormat="false" ht="12.75" hidden="false" customHeight="false" outlineLevel="0" collapsed="false">
      <c r="A57" s="45" t="s">
        <v>61</v>
      </c>
      <c r="B57" s="7"/>
      <c r="C57" s="7"/>
      <c r="D57" s="7"/>
      <c r="E57" s="7" t="s">
        <v>62</v>
      </c>
      <c r="F57" s="54" t="n">
        <v>2007.204</v>
      </c>
      <c r="G57" s="54" t="n">
        <v>2650</v>
      </c>
      <c r="H57" s="54" t="n">
        <v>8148</v>
      </c>
      <c r="I57" s="54" t="n">
        <v>7688</v>
      </c>
      <c r="J57" s="54" t="n">
        <v>7750</v>
      </c>
      <c r="K57" s="54" t="n">
        <v>10649</v>
      </c>
      <c r="L57" s="54" t="n">
        <v>-15276</v>
      </c>
      <c r="M57" s="54" t="n">
        <v>-17730</v>
      </c>
      <c r="N57" s="55" t="n">
        <v>-16078</v>
      </c>
      <c r="O57" s="54" t="n">
        <v>2833</v>
      </c>
      <c r="P57" s="54" t="n">
        <v>3644</v>
      </c>
      <c r="Q57" s="54" t="n">
        <f aca="false">3725-1</f>
        <v>3724</v>
      </c>
      <c r="R57" s="26" t="n">
        <f aca="false">SUM(F57:Q57)</f>
        <v>9.20399999999972</v>
      </c>
      <c r="S57" s="7"/>
      <c r="T57" s="56" t="n">
        <f aca="false">SUM(F57:N57)</f>
        <v>-10191.796</v>
      </c>
    </row>
    <row r="58" customFormat="false" ht="12.75" hidden="false" customHeight="false" outlineLevel="0" collapsed="false">
      <c r="A58" s="45"/>
      <c r="B58" s="7" t="s">
        <v>63</v>
      </c>
      <c r="C58" s="7"/>
      <c r="D58" s="7"/>
      <c r="E58" s="7"/>
      <c r="F58" s="7" t="n">
        <f aca="false">SUM(F55:F57)</f>
        <v>9431.204</v>
      </c>
      <c r="G58" s="7" t="n">
        <f aca="false">SUM(G55:G57)</f>
        <v>-4698</v>
      </c>
      <c r="H58" s="7" t="n">
        <f aca="false">SUM(H55:H57)</f>
        <v>-4646</v>
      </c>
      <c r="I58" s="7" t="n">
        <f aca="false">SUM(I55:I57)</f>
        <v>6320</v>
      </c>
      <c r="J58" s="7" t="n">
        <f aca="false">SUM(J55:J57)</f>
        <v>5035</v>
      </c>
      <c r="K58" s="7" t="n">
        <f aca="false">SUM(K55:K57)</f>
        <v>-1</v>
      </c>
      <c r="L58" s="7" t="n">
        <f aca="false">SUM(L55:L57)</f>
        <v>0</v>
      </c>
      <c r="M58" s="7" t="n">
        <f aca="false">SUM(M55:M57)</f>
        <v>0</v>
      </c>
      <c r="N58" s="18" t="n">
        <f aca="false">SUM(N55:N57)</f>
        <v>0</v>
      </c>
      <c r="O58" s="7" t="n">
        <f aca="false">SUM(O55:O57)</f>
        <v>0</v>
      </c>
      <c r="P58" s="7" t="n">
        <f aca="false">SUM(P55:P57)</f>
        <v>-1</v>
      </c>
      <c r="Q58" s="7" t="n">
        <f aca="false">SUM(Q55:Q57)</f>
        <v>0</v>
      </c>
      <c r="R58" s="7" t="n">
        <f aca="false">SUM(R55:R57)</f>
        <v>11440.204</v>
      </c>
      <c r="S58" s="7"/>
      <c r="T58" s="10" t="n">
        <f aca="false">SUM(T55:T57)</f>
        <v>11441.204</v>
      </c>
    </row>
    <row r="59" customFormat="false" ht="13.5" hidden="false" customHeight="false" outlineLevel="0" collapsed="false">
      <c r="A59" s="45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57"/>
      <c r="P59" s="7"/>
      <c r="Q59" s="7"/>
      <c r="R59" s="7"/>
      <c r="S59" s="7"/>
      <c r="T59" s="10"/>
    </row>
    <row r="60" customFormat="false" ht="13.5" hidden="false" customHeight="false" outlineLevel="0" collapsed="false">
      <c r="A60" s="58" t="s">
        <v>64</v>
      </c>
      <c r="B60" s="7"/>
      <c r="C60" s="7"/>
      <c r="D60" s="7"/>
      <c r="E60" s="7"/>
      <c r="F60" s="7" t="n">
        <f aca="false">+F44-F52-F58</f>
        <v>68494.5168244445</v>
      </c>
      <c r="G60" s="7" t="n">
        <f aca="false">+G44-G52-G58</f>
        <v>7293</v>
      </c>
      <c r="H60" s="7" t="n">
        <f aca="false">+H44-H52-H58</f>
        <v>272</v>
      </c>
      <c r="I60" s="7" t="n">
        <f aca="false">+I44-I52-I58</f>
        <v>-8303</v>
      </c>
      <c r="J60" s="7" t="n">
        <f aca="false">+J44-J52-J58</f>
        <v>25274</v>
      </c>
      <c r="K60" s="7" t="n">
        <f aca="false">+K44-K52-K58</f>
        <v>12222.4922061632</v>
      </c>
      <c r="L60" s="7" t="n">
        <f aca="false">+L44-L52-L58</f>
        <v>65707.5502530382</v>
      </c>
      <c r="M60" s="7" t="n">
        <f aca="false">+M44-M52-M58</f>
        <v>59316.1013780382</v>
      </c>
      <c r="N60" s="7" t="n">
        <f aca="false">+N44-N52-N58</f>
        <v>51236.2246651476</v>
      </c>
      <c r="O60" s="57" t="n">
        <f aca="false">+O44-O52-O58</f>
        <v>41053.5124882812</v>
      </c>
      <c r="P60" s="7" t="n">
        <f aca="false">+P44-P52-P58</f>
        <v>59140.2173144531</v>
      </c>
      <c r="Q60" s="7" t="n">
        <f aca="false">+Q44-Q52-Q58</f>
        <v>79252.6085585937</v>
      </c>
      <c r="R60" s="7" t="n">
        <f aca="false">+R44-R52-R58</f>
        <v>460959.22368816</v>
      </c>
      <c r="S60" s="7"/>
      <c r="T60" s="31" t="n">
        <f aca="false">+T44-T52-T58</f>
        <v>281512.885326832</v>
      </c>
    </row>
    <row r="61" customFormat="false" ht="13.5" hidden="false" customHeight="false" outlineLevel="0" collapsed="false">
      <c r="A61" s="59" t="s">
        <v>65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/>
      <c r="P61" s="60"/>
      <c r="Q61" s="60"/>
      <c r="R61" s="60"/>
      <c r="S61" s="60"/>
      <c r="T61" s="62" t="n">
        <v>-54818</v>
      </c>
    </row>
    <row r="62" customFormat="false" ht="13.5" hidden="false" customHeight="false" outlineLevel="0" collapsed="false">
      <c r="N62" s="7"/>
      <c r="O62" s="57"/>
      <c r="T62" s="63"/>
    </row>
    <row r="63" customFormat="false" ht="13.5" hidden="false" customHeight="false" outlineLevel="0" collapsed="false">
      <c r="A63" s="2" t="s">
        <v>66</v>
      </c>
      <c r="F63" s="26" t="n">
        <v>107837.019692698</v>
      </c>
      <c r="G63" s="26" t="n">
        <v>71459.8325902834</v>
      </c>
      <c r="H63" s="26" t="n">
        <v>50391.6535373594</v>
      </c>
      <c r="I63" s="26" t="n">
        <v>43889.2442994002</v>
      </c>
      <c r="J63" s="26" t="n">
        <v>26960.7229501149</v>
      </c>
      <c r="K63" s="26" t="n">
        <v>-1570.31839308359</v>
      </c>
      <c r="L63" s="26" t="n">
        <v>69882.0274798572</v>
      </c>
      <c r="M63" s="26" t="n">
        <v>46260.9493820718</v>
      </c>
      <c r="N63" s="27" t="n">
        <v>53488.0343791031</v>
      </c>
      <c r="O63" s="26" t="n">
        <v>36290.8726400388</v>
      </c>
      <c r="P63" s="26" t="n">
        <v>64090.7966234889</v>
      </c>
      <c r="Q63" s="26" t="n">
        <v>92988.4239938911</v>
      </c>
      <c r="R63" s="64" t="n">
        <f aca="false">SUM(F63:Q63)</f>
        <v>661969.259175223</v>
      </c>
      <c r="T63" s="63"/>
    </row>
    <row r="64" customFormat="false" ht="13.5" hidden="false" customHeight="false" outlineLevel="0" collapsed="false">
      <c r="A64" s="2" t="s">
        <v>67</v>
      </c>
      <c r="F64" s="1" t="n">
        <f aca="false">+F44-F63</f>
        <v>-20850.0196926979</v>
      </c>
      <c r="G64" s="1" t="n">
        <f aca="false">+G44-G63</f>
        <v>-65387.8325902834</v>
      </c>
      <c r="H64" s="1" t="n">
        <f aca="false">+H44-H63</f>
        <v>-46967.6535373594</v>
      </c>
      <c r="I64" s="1" t="n">
        <f aca="false">+I44-I63</f>
        <v>-45693.2442994002</v>
      </c>
      <c r="J64" s="1" t="n">
        <f aca="false">+J44-J63</f>
        <v>497.277049885146</v>
      </c>
      <c r="K64" s="1" t="n">
        <f aca="false">+K44-K63</f>
        <v>16859.1661548024</v>
      </c>
      <c r="L64" s="1" t="n">
        <f aca="false">+L44-L63</f>
        <v>1664.67832873654</v>
      </c>
      <c r="M64" s="1" t="n">
        <f aca="false">+M44-M63</f>
        <v>18893.3875515219</v>
      </c>
      <c r="N64" s="18" t="n">
        <f aca="false">+N44-N63</f>
        <v>9598.54584160003</v>
      </c>
      <c r="O64" s="7" t="n">
        <f aca="false">+O44-O63</f>
        <v>7948.63984824249</v>
      </c>
      <c r="P64" s="1" t="n">
        <f aca="false">+P44-P63</f>
        <v>-3311.57930903577</v>
      </c>
      <c r="Q64" s="1" t="n">
        <f aca="false">+Q44-Q63</f>
        <v>-12193.8154352974</v>
      </c>
      <c r="R64" s="64" t="n">
        <f aca="false">+R44-R63</f>
        <v>-138942.450089286</v>
      </c>
    </row>
    <row r="65" customFormat="false" ht="12.75" hidden="false" customHeight="false" outlineLevel="0" collapsed="false">
      <c r="T65" s="2"/>
    </row>
    <row r="66" customFormat="false" ht="12.75" hidden="true" customHeight="false" outlineLevel="0" collapsed="false">
      <c r="A66" s="2" t="s">
        <v>68</v>
      </c>
      <c r="F66" s="1" t="n">
        <v>149171.323397656</v>
      </c>
      <c r="G66" s="1" t="n">
        <v>110740.359393359</v>
      </c>
      <c r="H66" s="1" t="n">
        <v>89098.6881851563</v>
      </c>
      <c r="I66" s="1" t="n">
        <v>65141.0715394531</v>
      </c>
      <c r="J66" s="1" t="n">
        <v>74765.5052070313</v>
      </c>
      <c r="K66" s="1" t="n">
        <v>65596.7581550781</v>
      </c>
      <c r="L66" s="1" t="n">
        <v>92722.6313164062</v>
      </c>
      <c r="M66" s="1" t="n">
        <v>93228.5248164063</v>
      </c>
      <c r="N66" s="1" t="n">
        <v>86227.2365800781</v>
      </c>
      <c r="O66" s="1" t="n">
        <v>80088.3628164063</v>
      </c>
      <c r="P66" s="1" t="n">
        <v>86698.9272957031</v>
      </c>
      <c r="Q66" s="1" t="n">
        <v>102782.695066406</v>
      </c>
      <c r="R66" s="65" t="n">
        <v>1096262.08376914</v>
      </c>
    </row>
    <row r="67" customFormat="false" ht="13.5" hidden="true" customHeight="false" outlineLevel="0" collapsed="false">
      <c r="A67" s="2" t="s">
        <v>69</v>
      </c>
      <c r="F67" s="54" t="n">
        <v>134596.803660156</v>
      </c>
      <c r="G67" s="54" t="n">
        <v>105048.417630859</v>
      </c>
      <c r="H67" s="54" t="n">
        <v>80946.6816601563</v>
      </c>
      <c r="I67" s="54" t="n">
        <v>76387.5507675781</v>
      </c>
      <c r="J67" s="54" t="n">
        <v>77618.9749101563</v>
      </c>
      <c r="K67" s="54" t="n">
        <v>54122.0385175781</v>
      </c>
      <c r="L67" s="54" t="n">
        <v>84128.8179414063</v>
      </c>
      <c r="M67" s="54" t="n">
        <v>93289.7934414062</v>
      </c>
      <c r="N67" s="54" t="n">
        <v>78580.3882050781</v>
      </c>
      <c r="O67" s="54" t="n">
        <v>69963.8703164063</v>
      </c>
      <c r="P67" s="54" t="n">
        <v>75571.1339550781</v>
      </c>
      <c r="Q67" s="54" t="n">
        <v>83922.9079414063</v>
      </c>
      <c r="R67" s="66" t="n">
        <v>1014177.37894727</v>
      </c>
    </row>
    <row r="68" customFormat="false" ht="13.5" hidden="true" customHeight="false" outlineLevel="0" collapsed="false">
      <c r="B68" s="2" t="s">
        <v>70</v>
      </c>
      <c r="F68" s="1" t="n">
        <f aca="false">+F67-F66</f>
        <v>-14574.5197375</v>
      </c>
      <c r="G68" s="1" t="n">
        <f aca="false">+G67-G66</f>
        <v>-5691.94176249999</v>
      </c>
      <c r="H68" s="1" t="n">
        <f aca="false">+H67-H66</f>
        <v>-8152.006525</v>
      </c>
      <c r="I68" s="1" t="n">
        <f aca="false">+I67-I66</f>
        <v>11246.479228125</v>
      </c>
      <c r="J68" s="1" t="n">
        <f aca="false">+J67-J66</f>
        <v>2853.469703125</v>
      </c>
      <c r="K68" s="1" t="n">
        <f aca="false">+K67-K66</f>
        <v>-11474.7196375</v>
      </c>
      <c r="L68" s="1" t="n">
        <f aca="false">+L67-L66</f>
        <v>-8593.813375</v>
      </c>
      <c r="M68" s="1" t="n">
        <f aca="false">+M67-M66</f>
        <v>61.2686249999824</v>
      </c>
      <c r="N68" s="1" t="n">
        <f aca="false">+N67-N66</f>
        <v>-7646.848375</v>
      </c>
      <c r="O68" s="1" t="n">
        <f aca="false">+O67-O66</f>
        <v>-10124.4925</v>
      </c>
      <c r="P68" s="1" t="n">
        <f aca="false">+P67-P66</f>
        <v>-11127.793340625</v>
      </c>
      <c r="Q68" s="1" t="n">
        <f aca="false">+Q67-Q66</f>
        <v>-18859.787125</v>
      </c>
      <c r="R68" s="67" t="n">
        <f aca="false">+R67-R66</f>
        <v>-82084.7048218751</v>
      </c>
    </row>
  </sheetData>
  <printOptions headings="false" gridLines="false" gridLinesSet="true" horizontalCentered="false" verticalCentered="false"/>
  <pageMargins left="0.5" right="0.5" top="0.75" bottom="0.770138888888889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&amp;C&amp;F&amp;R&amp;D&amp;T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6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B40" activeCellId="0" sqref="B40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8" width="5.85"/>
    <col collapsed="false" customWidth="true" hidden="false" outlineLevel="0" max="2" min="2" style="69" width="33.85"/>
    <col collapsed="false" customWidth="true" hidden="false" outlineLevel="0" max="3" min="3" style="70" width="11.56"/>
    <col collapsed="false" customWidth="true" hidden="false" outlineLevel="0" max="4" min="4" style="70" width="10.71"/>
    <col collapsed="false" customWidth="true" hidden="false" outlineLevel="0" max="5" min="5" style="70" width="10.41"/>
    <col collapsed="false" customWidth="true" hidden="false" outlineLevel="0" max="7" min="6" style="70" width="10.71"/>
    <col collapsed="false" customWidth="true" hidden="false" outlineLevel="0" max="8" min="8" style="70" width="10.56"/>
    <col collapsed="false" customWidth="true" hidden="false" outlineLevel="0" max="11" min="9" style="70" width="10.71"/>
    <col collapsed="false" customWidth="true" hidden="false" outlineLevel="0" max="14" min="12" style="70" width="10.41"/>
    <col collapsed="false" customWidth="true" hidden="false" outlineLevel="0" max="15" min="15" style="70" width="11.42"/>
    <col collapsed="false" customWidth="true" hidden="false" outlineLevel="0" max="16" min="16" style="69" width="1.7"/>
    <col collapsed="false" customWidth="false" hidden="false" outlineLevel="0" max="257" min="17" style="69" width="9.14"/>
  </cols>
  <sheetData>
    <row r="1" customFormat="false" ht="15" hidden="false" customHeight="false" outlineLevel="0" collapsed="false">
      <c r="A1" s="71" t="n">
        <v>1</v>
      </c>
      <c r="B1" s="72" t="s">
        <v>71</v>
      </c>
    </row>
    <row r="2" customFormat="false" ht="15" hidden="false" customHeight="false" outlineLevel="0" collapsed="false">
      <c r="A2" s="68" t="n">
        <f aca="false">A1+1</f>
        <v>2</v>
      </c>
      <c r="B2" s="73" t="s">
        <v>72</v>
      </c>
      <c r="G2" s="70" t="s">
        <v>73</v>
      </c>
    </row>
    <row r="3" customFormat="false" ht="15" hidden="false" customHeight="false" outlineLevel="0" collapsed="false">
      <c r="A3" s="68" t="n">
        <f aca="false">A2+1</f>
        <v>3</v>
      </c>
      <c r="B3" s="69" t="s">
        <v>74</v>
      </c>
      <c r="C3" s="70" t="n">
        <v>319417</v>
      </c>
      <c r="G3" s="70" t="s">
        <v>75</v>
      </c>
      <c r="I3" s="74" t="n">
        <v>0.5</v>
      </c>
    </row>
    <row r="4" customFormat="false" ht="15" hidden="false" customHeight="false" outlineLevel="0" collapsed="false">
      <c r="A4" s="68" t="n">
        <f aca="false">A3+1</f>
        <v>4</v>
      </c>
      <c r="B4" s="69" t="s">
        <v>76</v>
      </c>
      <c r="C4" s="70" t="n">
        <v>2450</v>
      </c>
      <c r="G4" s="70" t="s">
        <v>77</v>
      </c>
      <c r="I4" s="74" t="n">
        <f aca="false">1-I3</f>
        <v>0.5</v>
      </c>
    </row>
    <row r="5" customFormat="false" ht="15" hidden="false" customHeight="false" outlineLevel="0" collapsed="false">
      <c r="A5" s="68" t="n">
        <f aca="false">A4+1</f>
        <v>5</v>
      </c>
      <c r="B5" s="69" t="s">
        <v>78</v>
      </c>
      <c r="C5" s="70" t="n">
        <f aca="false">20762220/8760</f>
        <v>2370.11643835616</v>
      </c>
      <c r="D5" s="75"/>
      <c r="N5" s="76"/>
      <c r="O5" s="77"/>
    </row>
    <row r="6" customFormat="false" ht="15" hidden="false" customHeight="false" outlineLevel="0" collapsed="false">
      <c r="A6" s="68" t="n">
        <f aca="false">A5+1</f>
        <v>6</v>
      </c>
      <c r="B6" s="69" t="s">
        <v>79</v>
      </c>
      <c r="C6" s="70" t="n">
        <f aca="false">C3*(C4/C5)</f>
        <v>330182.786522828</v>
      </c>
      <c r="G6" s="70" t="s">
        <v>80</v>
      </c>
      <c r="N6" s="76"/>
    </row>
    <row r="7" customFormat="false" ht="15" hidden="false" customHeight="false" outlineLevel="0" collapsed="false">
      <c r="A7" s="68" t="n">
        <f aca="false">A6+1</f>
        <v>7</v>
      </c>
      <c r="B7" s="69" t="s">
        <v>81</v>
      </c>
      <c r="C7" s="70" t="n">
        <f aca="false">O13</f>
        <v>339528.423</v>
      </c>
      <c r="G7" s="70" t="s">
        <v>75</v>
      </c>
      <c r="I7" s="74" t="n">
        <v>0.1</v>
      </c>
      <c r="N7" s="76"/>
    </row>
    <row r="8" customFormat="false" ht="15" hidden="false" customHeight="false" outlineLevel="0" collapsed="false">
      <c r="A8" s="68" t="n">
        <f aca="false">A7+1</f>
        <v>8</v>
      </c>
      <c r="B8" s="69" t="s">
        <v>82</v>
      </c>
      <c r="C8" s="70" t="n">
        <f aca="false">(C6-C7)/12</f>
        <v>-778.803039764297</v>
      </c>
      <c r="G8" s="70" t="s">
        <v>77</v>
      </c>
      <c r="I8" s="74" t="n">
        <f aca="false">1-I7</f>
        <v>0.9</v>
      </c>
      <c r="O8" s="74"/>
    </row>
    <row r="9" customFormat="false" ht="15" hidden="false" customHeight="false" outlineLevel="0" collapsed="false">
      <c r="A9" s="68" t="n">
        <f aca="false">A8+1</f>
        <v>9</v>
      </c>
      <c r="B9" s="69" t="s">
        <v>83</v>
      </c>
      <c r="C9" s="70" t="n">
        <f aca="false">(47000*2)/12*1</f>
        <v>7833.33333333333</v>
      </c>
      <c r="D9" s="70" t="s">
        <v>84</v>
      </c>
    </row>
    <row r="10" customFormat="false" ht="15" hidden="false" customHeight="false" outlineLevel="0" collapsed="false">
      <c r="A10" s="68" t="n">
        <f aca="false">A9+1</f>
        <v>10</v>
      </c>
      <c r="B10" s="69" t="s">
        <v>85</v>
      </c>
      <c r="C10" s="78" t="n">
        <f aca="false">+C9*0.6</f>
        <v>4700</v>
      </c>
      <c r="D10" s="70" t="s">
        <v>86</v>
      </c>
    </row>
    <row r="11" customFormat="false" ht="15" hidden="false" customHeight="false" outlineLevel="0" collapsed="false">
      <c r="A11" s="68" t="n">
        <f aca="false">A10+1</f>
        <v>11</v>
      </c>
    </row>
    <row r="12" customFormat="false" ht="15" hidden="false" customHeight="false" outlineLevel="0" collapsed="false">
      <c r="A12" s="68" t="n">
        <f aca="false">A11+1</f>
        <v>12</v>
      </c>
      <c r="C12" s="79" t="s">
        <v>7</v>
      </c>
      <c r="D12" s="79" t="s">
        <v>8</v>
      </c>
      <c r="E12" s="79" t="s">
        <v>87</v>
      </c>
      <c r="F12" s="79" t="s">
        <v>10</v>
      </c>
      <c r="G12" s="79" t="s">
        <v>88</v>
      </c>
      <c r="H12" s="79" t="s">
        <v>12</v>
      </c>
      <c r="I12" s="79" t="s">
        <v>13</v>
      </c>
      <c r="J12" s="79" t="s">
        <v>14</v>
      </c>
      <c r="K12" s="79" t="s">
        <v>15</v>
      </c>
      <c r="L12" s="79" t="s">
        <v>16</v>
      </c>
      <c r="M12" s="79" t="s">
        <v>17</v>
      </c>
      <c r="N12" s="79" t="s">
        <v>18</v>
      </c>
      <c r="O12" s="79" t="s">
        <v>89</v>
      </c>
    </row>
    <row r="13" customFormat="false" ht="15" hidden="false" customHeight="false" outlineLevel="0" collapsed="false">
      <c r="A13" s="68" t="n">
        <f aca="false">A12+1</f>
        <v>13</v>
      </c>
      <c r="B13" s="69" t="s">
        <v>90</v>
      </c>
      <c r="C13" s="78" t="n">
        <v>57620.79</v>
      </c>
      <c r="D13" s="78" t="n">
        <v>10670.28</v>
      </c>
      <c r="E13" s="78" t="n">
        <v>-8108.806</v>
      </c>
      <c r="F13" s="78" t="n">
        <v>33703.02</v>
      </c>
      <c r="G13" s="78" t="n">
        <v>22859.08</v>
      </c>
      <c r="H13" s="78" t="n">
        <v>-9726.131</v>
      </c>
      <c r="I13" s="78" t="n">
        <v>29567.79</v>
      </c>
      <c r="J13" s="78" t="n">
        <v>10970.53</v>
      </c>
      <c r="K13" s="78" t="n">
        <v>35406.42</v>
      </c>
      <c r="L13" s="78" t="n">
        <v>24257.87</v>
      </c>
      <c r="M13" s="78" t="n">
        <v>56019.41</v>
      </c>
      <c r="N13" s="78" t="n">
        <v>76288.17</v>
      </c>
      <c r="O13" s="70" t="n">
        <f aca="false">SUM(C13:N13)</f>
        <v>339528.423</v>
      </c>
    </row>
    <row r="14" customFormat="false" ht="15" hidden="false" customHeight="false" outlineLevel="0" collapsed="false">
      <c r="A14" s="68" t="n">
        <f aca="false">A13+1</f>
        <v>14</v>
      </c>
      <c r="B14" s="73" t="s">
        <v>91</v>
      </c>
      <c r="C14" s="79" t="n">
        <f aca="false">C13+$C$8</f>
        <v>56841.9869602357</v>
      </c>
      <c r="D14" s="79" t="n">
        <f aca="false">D13+$C$8</f>
        <v>9891.47696023571</v>
      </c>
      <c r="E14" s="79" t="n">
        <f aca="false">E13+$C$8</f>
        <v>-8887.6090397643</v>
      </c>
      <c r="F14" s="79" t="n">
        <f aca="false">F13+$C$8</f>
        <v>32924.2169602357</v>
      </c>
      <c r="G14" s="79" t="n">
        <f aca="false">G13+$C$8</f>
        <v>22080.2769602357</v>
      </c>
      <c r="H14" s="79" t="n">
        <f aca="false">H13+$C$8</f>
        <v>-10504.9340397643</v>
      </c>
      <c r="I14" s="79" t="n">
        <f aca="false">I13+$C$8</f>
        <v>28788.9869602357</v>
      </c>
      <c r="J14" s="79" t="n">
        <f aca="false">J13+$C$8</f>
        <v>10191.7269602357</v>
      </c>
      <c r="K14" s="79" t="n">
        <f aca="false">K13+$C$8</f>
        <v>34627.6169602357</v>
      </c>
      <c r="L14" s="79" t="n">
        <f aca="false">L13+$C$8</f>
        <v>23479.0669602357</v>
      </c>
      <c r="M14" s="79" t="n">
        <f aca="false">M13+$C$8</f>
        <v>55240.6069602357</v>
      </c>
      <c r="N14" s="79" t="n">
        <f aca="false">N13+$C$8</f>
        <v>75509.3669602357</v>
      </c>
      <c r="O14" s="79" t="n">
        <f aca="false">SUM(C14:N14)</f>
        <v>330182.786522828</v>
      </c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3"/>
      <c r="IV14" s="73"/>
      <c r="IW14" s="73"/>
    </row>
    <row r="15" customFormat="false" ht="15" hidden="false" customHeight="false" outlineLevel="0" collapsed="false">
      <c r="A15" s="68" t="n">
        <f aca="false">A14+1</f>
        <v>15</v>
      </c>
    </row>
    <row r="16" customFormat="false" ht="15" hidden="false" customHeight="false" outlineLevel="0" collapsed="false">
      <c r="A16" s="68" t="n">
        <f aca="false">+A15+1</f>
        <v>16</v>
      </c>
    </row>
    <row r="17" customFormat="false" ht="15" hidden="false" customHeight="false" outlineLevel="0" collapsed="false">
      <c r="A17" s="68" t="n">
        <f aca="false">+A16+1</f>
        <v>17</v>
      </c>
      <c r="B17" s="69" t="s">
        <v>92</v>
      </c>
      <c r="C17" s="70" t="n">
        <f aca="false">C18+($C$10/2)</f>
        <v>63108.6536269024</v>
      </c>
      <c r="D17" s="70" t="n">
        <f aca="false">D18+($C$10/2)</f>
        <v>16158.1436269024</v>
      </c>
      <c r="E17" s="70" t="n">
        <f aca="false">E18+($C$10/2)</f>
        <v>-2620.94237309763</v>
      </c>
      <c r="F17" s="70" t="n">
        <f aca="false">F18+($C$10/2)</f>
        <v>39190.8836269024</v>
      </c>
      <c r="G17" s="70" t="n">
        <f aca="false">G18+($C$10/2)</f>
        <v>28346.9436269024</v>
      </c>
      <c r="H17" s="70" t="n">
        <f aca="false">H18+($C$10/2)</f>
        <v>-4238.26737309763</v>
      </c>
      <c r="I17" s="70" t="n">
        <f aca="false">I18+($C$10/2)</f>
        <v>35055.6536269024</v>
      </c>
      <c r="J17" s="70" t="n">
        <f aca="false">J18+($C$10/2)</f>
        <v>16458.3936269024</v>
      </c>
      <c r="K17" s="70" t="n">
        <f aca="false">K18+($C$10/2)</f>
        <v>40894.2836269024</v>
      </c>
      <c r="O17" s="70" t="n">
        <f aca="false">SUM(C17:K17)</f>
        <v>232353.745642121</v>
      </c>
    </row>
    <row r="18" customFormat="false" ht="15" hidden="false" customHeight="false" outlineLevel="0" collapsed="false">
      <c r="A18" s="68" t="n">
        <f aca="false">A17+1</f>
        <v>18</v>
      </c>
      <c r="B18" s="69" t="s">
        <v>93</v>
      </c>
      <c r="C18" s="70" t="n">
        <f aca="false">C19+($C$9/2)</f>
        <v>60758.6536269024</v>
      </c>
      <c r="D18" s="70" t="n">
        <f aca="false">D19+($C$9/2)</f>
        <v>13808.1436269024</v>
      </c>
      <c r="E18" s="70" t="n">
        <f aca="false">E19+($C$9/2)</f>
        <v>-4970.94237309763</v>
      </c>
      <c r="F18" s="70" t="n">
        <f aca="false">F19+($C$9/2)</f>
        <v>36840.8836269024</v>
      </c>
      <c r="G18" s="70" t="n">
        <f aca="false">G19+($C$9/2)</f>
        <v>25996.9436269024</v>
      </c>
      <c r="H18" s="70" t="n">
        <f aca="false">H19+($C$9/2)</f>
        <v>-6588.26737309763</v>
      </c>
      <c r="I18" s="70" t="n">
        <f aca="false">I19+($C$9/2)</f>
        <v>32705.6536269024</v>
      </c>
      <c r="J18" s="70" t="n">
        <f aca="false">J19+($C$9/2)</f>
        <v>14108.3936269024</v>
      </c>
      <c r="K18" s="70" t="n">
        <f aca="false">K19+($C$9/2)</f>
        <v>38544.2836269024</v>
      </c>
      <c r="O18" s="70" t="n">
        <f aca="false">O19+($C$9*(9/2))</f>
        <v>211203.745642121</v>
      </c>
      <c r="Q18" s="70"/>
    </row>
    <row r="19" customFormat="false" ht="15" hidden="false" customHeight="false" outlineLevel="0" collapsed="false">
      <c r="A19" s="68" t="n">
        <f aca="false">A18+1</f>
        <v>19</v>
      </c>
      <c r="B19" s="73" t="s">
        <v>91</v>
      </c>
      <c r="C19" s="79" t="n">
        <f aca="false">C14</f>
        <v>56841.9869602357</v>
      </c>
      <c r="D19" s="79" t="n">
        <f aca="false">D14</f>
        <v>9891.47696023571</v>
      </c>
      <c r="E19" s="79" t="n">
        <f aca="false">E14</f>
        <v>-8887.6090397643</v>
      </c>
      <c r="F19" s="79" t="n">
        <f aca="false">F14</f>
        <v>32924.2169602357</v>
      </c>
      <c r="G19" s="79" t="n">
        <f aca="false">G14</f>
        <v>22080.2769602357</v>
      </c>
      <c r="H19" s="79" t="n">
        <f aca="false">H14</f>
        <v>-10504.9340397643</v>
      </c>
      <c r="I19" s="79" t="n">
        <f aca="false">I14</f>
        <v>28788.9869602357</v>
      </c>
      <c r="J19" s="79" t="n">
        <f aca="false">J14</f>
        <v>10191.7269602357</v>
      </c>
      <c r="K19" s="79" t="n">
        <f aca="false">K14</f>
        <v>34627.6169602357</v>
      </c>
      <c r="L19" s="79"/>
      <c r="M19" s="79"/>
      <c r="N19" s="79"/>
      <c r="O19" s="79" t="n">
        <f aca="false">SUM(C19:N19)</f>
        <v>175953.745642121</v>
      </c>
      <c r="P19" s="73"/>
      <c r="Q19" s="79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3"/>
      <c r="IV19" s="73"/>
      <c r="IW19" s="73"/>
    </row>
    <row r="20" customFormat="false" ht="15" hidden="false" customHeight="false" outlineLevel="0" collapsed="false">
      <c r="A20" s="68" t="n">
        <f aca="false">A19+1</f>
        <v>20</v>
      </c>
      <c r="B20" s="69" t="s">
        <v>94</v>
      </c>
      <c r="C20" s="70" t="n">
        <f aca="false">C19-($C$9/2)</f>
        <v>52925.320293569</v>
      </c>
      <c r="D20" s="70" t="n">
        <f aca="false">D19-($C$9/2)</f>
        <v>5974.81029356904</v>
      </c>
      <c r="E20" s="70" t="n">
        <f aca="false">E19-($C$9/2)</f>
        <v>-12804.275706431</v>
      </c>
      <c r="F20" s="70" t="n">
        <f aca="false">F19-($C$9/2)</f>
        <v>29007.550293569</v>
      </c>
      <c r="G20" s="70" t="n">
        <f aca="false">G19-($C$9/2)</f>
        <v>18163.610293569</v>
      </c>
      <c r="H20" s="70" t="n">
        <f aca="false">H19-($C$9/2)</f>
        <v>-14421.600706431</v>
      </c>
      <c r="I20" s="70" t="n">
        <f aca="false">I19-($C$9/2)</f>
        <v>24872.320293569</v>
      </c>
      <c r="J20" s="70" t="n">
        <f aca="false">J19-($C$9/2)</f>
        <v>6275.06029356904</v>
      </c>
      <c r="K20" s="70" t="n">
        <f aca="false">K19-($C$9/2)</f>
        <v>30710.950293569</v>
      </c>
      <c r="O20" s="70" t="n">
        <f aca="false">O19-($C$9*(9/2))</f>
        <v>140703.745642121</v>
      </c>
    </row>
    <row r="21" customFormat="false" ht="15" hidden="false" customHeight="false" outlineLevel="0" collapsed="false">
      <c r="A21" s="68" t="n">
        <f aca="false">A20+1</f>
        <v>21</v>
      </c>
      <c r="B21" s="69" t="s">
        <v>95</v>
      </c>
      <c r="C21" s="70" t="n">
        <f aca="false">C20-($C$10/2)</f>
        <v>50575.320293569</v>
      </c>
      <c r="D21" s="70" t="n">
        <f aca="false">D20-($C$10/2)</f>
        <v>3624.81029356904</v>
      </c>
      <c r="E21" s="70" t="n">
        <f aca="false">E20-($C$10/2)</f>
        <v>-15154.275706431</v>
      </c>
      <c r="F21" s="70" t="n">
        <f aca="false">F20-($C$10/2)</f>
        <v>26657.550293569</v>
      </c>
      <c r="G21" s="70" t="n">
        <f aca="false">G20-($C$10/2)</f>
        <v>15813.610293569</v>
      </c>
      <c r="H21" s="70" t="n">
        <f aca="false">H20-($C$10/2)</f>
        <v>-16771.600706431</v>
      </c>
      <c r="I21" s="70" t="n">
        <f aca="false">I20-($C$10/2)</f>
        <v>22522.320293569</v>
      </c>
      <c r="J21" s="70" t="n">
        <f aca="false">J20-($C$10/2)</f>
        <v>3925.06029356904</v>
      </c>
      <c r="K21" s="70" t="n">
        <f aca="false">K20-($C$10/2)</f>
        <v>28360.950293569</v>
      </c>
      <c r="O21" s="80" t="n">
        <f aca="false">SUM(C21:N21)</f>
        <v>119553.745642121</v>
      </c>
    </row>
    <row r="22" customFormat="false" ht="15" hidden="false" customHeight="false" outlineLevel="0" collapsed="false">
      <c r="O22" s="80"/>
    </row>
    <row r="23" customFormat="false" ht="15" hidden="false" customHeight="false" outlineLevel="0" collapsed="false">
      <c r="B23" s="81" t="s">
        <v>96</v>
      </c>
      <c r="O23" s="80"/>
    </row>
    <row r="24" customFormat="false" ht="15" hidden="false" customHeight="false" outlineLevel="0" collapsed="false">
      <c r="A24" s="68" t="n">
        <f aca="false">+A21+1</f>
        <v>22</v>
      </c>
      <c r="B24" s="69" t="s">
        <v>92</v>
      </c>
      <c r="C24" s="70" t="n">
        <f aca="false">+C17</f>
        <v>63108.6536269024</v>
      </c>
      <c r="D24" s="70" t="n">
        <f aca="false">+C24+D17</f>
        <v>79266.7972538048</v>
      </c>
      <c r="E24" s="70" t="n">
        <f aca="false">+D24+E17</f>
        <v>76645.8548807071</v>
      </c>
      <c r="F24" s="70" t="n">
        <f aca="false">+E24+F17</f>
        <v>115836.73850761</v>
      </c>
      <c r="G24" s="70" t="n">
        <f aca="false">+F24+G17</f>
        <v>144183.682134512</v>
      </c>
      <c r="H24" s="70" t="n">
        <f aca="false">+G24+H17</f>
        <v>139945.414761414</v>
      </c>
      <c r="I24" s="70" t="n">
        <f aca="false">+H24+I17</f>
        <v>175001.068388317</v>
      </c>
      <c r="J24" s="70" t="n">
        <f aca="false">+I24+J17</f>
        <v>191459.462015219</v>
      </c>
      <c r="K24" s="70" t="n">
        <f aca="false">+J24+K17</f>
        <v>232353.745642121</v>
      </c>
      <c r="O24" s="80"/>
    </row>
    <row r="25" customFormat="false" ht="15" hidden="false" customHeight="false" outlineLevel="0" collapsed="false">
      <c r="A25" s="68" t="n">
        <f aca="false">+A24+1</f>
        <v>23</v>
      </c>
      <c r="B25" s="69" t="s">
        <v>93</v>
      </c>
      <c r="C25" s="70" t="n">
        <f aca="false">+C18</f>
        <v>60758.6536269024</v>
      </c>
      <c r="D25" s="70" t="n">
        <f aca="false">+C25+D18</f>
        <v>74566.7972538048</v>
      </c>
      <c r="E25" s="70" t="n">
        <f aca="false">+D25+E18</f>
        <v>69595.8548807071</v>
      </c>
      <c r="F25" s="70" t="n">
        <f aca="false">+E25+F18</f>
        <v>106436.73850761</v>
      </c>
      <c r="G25" s="70" t="n">
        <f aca="false">+F25+G18</f>
        <v>132433.682134512</v>
      </c>
      <c r="H25" s="70" t="n">
        <f aca="false">+G25+H18</f>
        <v>125845.414761414</v>
      </c>
      <c r="I25" s="70" t="n">
        <f aca="false">+H25+I18</f>
        <v>158551.068388317</v>
      </c>
      <c r="J25" s="70" t="n">
        <f aca="false">+I25+J18</f>
        <v>172659.462015219</v>
      </c>
      <c r="K25" s="70" t="n">
        <f aca="false">+J25+K18</f>
        <v>211203.745642121</v>
      </c>
      <c r="O25" s="80"/>
      <c r="Q25" s="70"/>
    </row>
    <row r="26" customFormat="false" ht="15" hidden="false" customHeight="false" outlineLevel="0" collapsed="false">
      <c r="A26" s="68" t="n">
        <f aca="false">+A25+1</f>
        <v>24</v>
      </c>
      <c r="B26" s="73" t="s">
        <v>91</v>
      </c>
      <c r="C26" s="79" t="n">
        <f aca="false">+C19</f>
        <v>56841.9869602357</v>
      </c>
      <c r="D26" s="79" t="n">
        <f aca="false">+C26+D19</f>
        <v>66733.4639204714</v>
      </c>
      <c r="E26" s="79" t="n">
        <f aca="false">+D26+E19</f>
        <v>57845.8548807071</v>
      </c>
      <c r="F26" s="79" t="n">
        <f aca="false">+E26+F19</f>
        <v>90770.0718409428</v>
      </c>
      <c r="G26" s="79" t="n">
        <f aca="false">+F26+G19</f>
        <v>112850.348801179</v>
      </c>
      <c r="H26" s="79" t="n">
        <f aca="false">+G26+H19</f>
        <v>102345.414761414</v>
      </c>
      <c r="I26" s="79" t="n">
        <f aca="false">+H26+I19</f>
        <v>131134.40172165</v>
      </c>
      <c r="J26" s="79" t="n">
        <f aca="false">+I26+J19</f>
        <v>141326.128681886</v>
      </c>
      <c r="K26" s="79" t="n">
        <f aca="false">+J26+K19</f>
        <v>175953.745642121</v>
      </c>
      <c r="L26" s="79"/>
      <c r="M26" s="79"/>
      <c r="N26" s="79"/>
      <c r="O26" s="79"/>
      <c r="Q26" s="70"/>
    </row>
    <row r="27" customFormat="false" ht="15" hidden="false" customHeight="false" outlineLevel="0" collapsed="false">
      <c r="A27" s="68" t="n">
        <f aca="false">+A26+1</f>
        <v>25</v>
      </c>
      <c r="B27" s="69" t="s">
        <v>94</v>
      </c>
      <c r="C27" s="70" t="n">
        <f aca="false">+C20</f>
        <v>52925.320293569</v>
      </c>
      <c r="D27" s="70" t="n">
        <f aca="false">+C27+D20</f>
        <v>58900.1305871381</v>
      </c>
      <c r="E27" s="70" t="n">
        <f aca="false">+D27+E20</f>
        <v>46095.8548807071</v>
      </c>
      <c r="F27" s="70" t="n">
        <f aca="false">+E27+F20</f>
        <v>75103.4051742762</v>
      </c>
      <c r="G27" s="70" t="n">
        <f aca="false">+F27+G20</f>
        <v>93267.0154678452</v>
      </c>
      <c r="H27" s="70" t="n">
        <f aca="false">+G27+H20</f>
        <v>78845.4147614142</v>
      </c>
      <c r="I27" s="70" t="n">
        <f aca="false">+H27+I20</f>
        <v>103717.735054983</v>
      </c>
      <c r="J27" s="70" t="n">
        <f aca="false">+I27+J20</f>
        <v>109992.795348552</v>
      </c>
      <c r="K27" s="70" t="n">
        <f aca="false">+J27+K20</f>
        <v>140703.745642121</v>
      </c>
      <c r="O27" s="80"/>
    </row>
    <row r="28" customFormat="false" ht="15" hidden="false" customHeight="false" outlineLevel="0" collapsed="false">
      <c r="A28" s="68" t="n">
        <f aca="false">+A27+1</f>
        <v>26</v>
      </c>
      <c r="B28" s="69" t="s">
        <v>95</v>
      </c>
      <c r="C28" s="70" t="n">
        <f aca="false">+C21</f>
        <v>50575.320293569</v>
      </c>
      <c r="D28" s="70" t="n">
        <f aca="false">+C28+D21</f>
        <v>54200.1305871381</v>
      </c>
      <c r="E28" s="70" t="n">
        <f aca="false">+D28+E21</f>
        <v>39045.8548807071</v>
      </c>
      <c r="F28" s="70" t="n">
        <f aca="false">+E28+F21</f>
        <v>65703.4051742762</v>
      </c>
      <c r="G28" s="70" t="n">
        <f aca="false">+F28+G21</f>
        <v>81517.0154678452</v>
      </c>
      <c r="H28" s="70" t="n">
        <f aca="false">+G28+H21</f>
        <v>64745.4147614142</v>
      </c>
      <c r="I28" s="70" t="n">
        <f aca="false">+H28+I21</f>
        <v>87267.7350549833</v>
      </c>
      <c r="J28" s="70" t="n">
        <f aca="false">+I28+J21</f>
        <v>91192.7953485523</v>
      </c>
      <c r="K28" s="70" t="n">
        <f aca="false">+J28+K21</f>
        <v>119553.745642121</v>
      </c>
      <c r="O28" s="80"/>
    </row>
    <row r="32" customFormat="false" ht="15" hidden="false" customHeight="false" outlineLevel="0" collapsed="false">
      <c r="A32" s="69"/>
      <c r="B32" s="69" t="s">
        <v>97</v>
      </c>
      <c r="C32" s="78" t="n">
        <v>68494.5168244445</v>
      </c>
      <c r="D32" s="78" t="n">
        <v>7293</v>
      </c>
      <c r="E32" s="78" t="n">
        <v>272</v>
      </c>
      <c r="F32" s="78" t="n">
        <v>-8303</v>
      </c>
      <c r="G32" s="78" t="n">
        <v>25274</v>
      </c>
      <c r="H32" s="78" t="n">
        <v>12222.4922061632</v>
      </c>
      <c r="I32" s="78" t="n">
        <v>65707.5502530382</v>
      </c>
      <c r="J32" s="78" t="n">
        <v>59316.1013780382</v>
      </c>
      <c r="K32" s="78" t="n">
        <v>51236.2246651476</v>
      </c>
      <c r="L32" s="69"/>
      <c r="M32" s="69"/>
      <c r="N32" s="69"/>
      <c r="O32" s="69"/>
    </row>
    <row r="33" customFormat="false" ht="15" hidden="false" customHeight="false" outlineLevel="0" collapsed="false">
      <c r="A33" s="69"/>
      <c r="B33" s="69" t="s">
        <v>98</v>
      </c>
      <c r="C33" s="82" t="n">
        <f aca="false">+C32</f>
        <v>68494.5168244445</v>
      </c>
      <c r="D33" s="82" t="n">
        <f aca="false">+C33+D32</f>
        <v>75787.5168244445</v>
      </c>
      <c r="E33" s="82" t="n">
        <f aca="false">+D33+E32</f>
        <v>76059.5168244445</v>
      </c>
      <c r="F33" s="82" t="n">
        <f aca="false">+E33+F32</f>
        <v>67756.5168244445</v>
      </c>
      <c r="G33" s="82" t="n">
        <f aca="false">+F33+G32</f>
        <v>93030.5168244445</v>
      </c>
      <c r="H33" s="82" t="n">
        <f aca="false">+G33+H32</f>
        <v>105253.009030608</v>
      </c>
      <c r="I33" s="82" t="n">
        <f aca="false">+H33+I32</f>
        <v>170960.559283646</v>
      </c>
      <c r="J33" s="82" t="n">
        <f aca="false">+I33+J32</f>
        <v>230276.660661684</v>
      </c>
      <c r="K33" s="82" t="n">
        <f aca="false">+J33+K32</f>
        <v>281512.885326832</v>
      </c>
      <c r="L33" s="69"/>
      <c r="M33" s="69"/>
      <c r="N33" s="69"/>
      <c r="O33" s="69"/>
    </row>
    <row r="34" customFormat="false" ht="15" hidden="false" customHeight="false" outlineLevel="0" collapsed="false">
      <c r="A34" s="69"/>
      <c r="B34" s="69" t="s">
        <v>99</v>
      </c>
      <c r="C34" s="78" t="n">
        <f aca="false">IF(C33&gt;C24,(C33-C24)*0.9+(C24-C25)*0.5,IF(C33&gt;C25,(C33-C25)*0.5,IF(C33&lt;C27,(C27-C33)*0.5,IF(C33&lt;C28,(C28-C33)*0.9+(C28-C27)*0.5,0))))</f>
        <v>6022.27687778787</v>
      </c>
      <c r="D34" s="78" t="n">
        <f aca="false">IF(D33&gt;D24,(D33-D24)*0.9+(D24-D25)*0.5,IF(D33&gt;D25,(D33-D25)*0.5,IF(D33&lt;D27,(D27-D33)*0.5,IF(D33&lt;D28,(D28-D33)*0.9+(D28-D27)*0.5,0))))</f>
        <v>610.359785319852</v>
      </c>
      <c r="E34" s="78" t="n">
        <f aca="false">IF(E33&gt;E24,(E33-E24)*0.9+(E24-E25)*0.5,IF(E33&gt;E25,(E33-E25)*0.5,IF(E33&lt;E27,(E27-E33)*0.5,IF(E33&lt;E28,(E28-E33)*0.9+(E28-E27)*0.5,0))))</f>
        <v>3231.83097186867</v>
      </c>
      <c r="F34" s="78" t="n">
        <f aca="false">IF(F33&gt;F24,(F33-F24)*0.9+(F24-F25)*0.5,IF(F33&gt;F25,(F33-F25)*0.5,IF(F33&lt;F27,(F27-F33)*0.5,IF(F33&lt;F28,(F28-F33)*0.9+(F28-F27)*0.5,0))))</f>
        <v>3673.44417491585</v>
      </c>
      <c r="G34" s="78" t="n">
        <f aca="false">IF(G33&gt;G24,(G33-G24)*0.9+(G24-G25)*0.5,IF(G33&gt;G25,(G33-G25)*0.5,IF(G33&lt;G27,(G27-G33)*0.5,IF(G33&lt;G28,(G28-G33)*0.9+(G28-G27)*0.5,0))))</f>
        <v>118.249321700372</v>
      </c>
      <c r="H34" s="78" t="n">
        <f aca="false">IF(H33&gt;H24,(H33-H24)*0.9+(H24-H25)*0.5,IF(H33&gt;H25,(H33-H25)*0.5,IF(H33&lt;H27,(H27-H33)*0.5,IF(H33&lt;H28,(H28-H33)*0.9+(H28-H27)*0.5,0))))</f>
        <v>0</v>
      </c>
      <c r="I34" s="78" t="n">
        <f aca="false">IF(I33&gt;I24,(I33-I24)*0.9+(I24-I25)*0.5,IF(I33&gt;I25,(I33-I25)*0.5,IF(I33&lt;I27,(I27-I33)*0.5,IF(I33&lt;I28,(I28-I33)*0.9+(I28-I27)*0.5,0))))</f>
        <v>6204.74544766459</v>
      </c>
      <c r="J34" s="78" t="n">
        <f aca="false">IF(J33&gt;J24,(J33-J24)*0.9+(J24-J25)*0.5,IF(J33&gt;J25,(J33-J25)*0.5,IF(J33&lt;J27,(J27-J33)*0.5,IF(J33&lt;J28,(J28-J33)*0.9+(J28-J27)*0.5,0))))</f>
        <v>44335.4787818185</v>
      </c>
      <c r="K34" s="78" t="n">
        <f aca="false">IF(K33&gt;K24,(K33-K24)*0.9+(K24-K25)*0.5,IF(K33&gt;K25,(K33-K25)*0.5,IF(K33&lt;K27,(K27-K33)*0.5,IF(K33&lt;K28,(K28-K33)*0.9+(K28-K27)*0.5,0))))</f>
        <v>54818.2257162392</v>
      </c>
      <c r="L34" s="69"/>
      <c r="M34" s="69"/>
      <c r="N34" s="69"/>
      <c r="O34" s="69"/>
    </row>
    <row r="35" customFormat="false" ht="15" hidden="false" customHeight="false" outlineLevel="0" collapsed="false">
      <c r="A35" s="69"/>
      <c r="B35" s="69" t="s">
        <v>100</v>
      </c>
      <c r="C35" s="82"/>
      <c r="D35" s="82" t="n">
        <f aca="false">+D34-C34</f>
        <v>-5411.91709246802</v>
      </c>
      <c r="E35" s="82" t="n">
        <f aca="false">+E34-D34</f>
        <v>2621.47118654881</v>
      </c>
      <c r="F35" s="82" t="n">
        <f aca="false">+F34-E34</f>
        <v>441.613203047185</v>
      </c>
      <c r="G35" s="82" t="n">
        <f aca="false">+G34-F34</f>
        <v>-3555.19485321548</v>
      </c>
      <c r="H35" s="82" t="n">
        <f aca="false">+H34-G34</f>
        <v>-118.249321700372</v>
      </c>
      <c r="I35" s="82" t="n">
        <f aca="false">+I34-H34</f>
        <v>6204.74544766459</v>
      </c>
      <c r="J35" s="82" t="n">
        <f aca="false">+J34-I34</f>
        <v>38130.7333341539</v>
      </c>
      <c r="K35" s="82" t="n">
        <f aca="false">+K34-J34</f>
        <v>10482.7469344207</v>
      </c>
      <c r="L35" s="69"/>
      <c r="M35" s="69"/>
      <c r="N35" s="69"/>
      <c r="O35" s="69"/>
    </row>
    <row r="36" customFormat="false" ht="15" hidden="false" customHeight="false" outlineLevel="0" collapsed="false">
      <c r="A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</row>
    <row r="37" customFormat="false" ht="15" hidden="false" customHeight="false" outlineLevel="0" collapsed="false">
      <c r="A37" s="69"/>
      <c r="B37" s="83" t="str">
        <f aca="true">CELL("filename")</f>
        <v>'file:///mnt/12tb/@roms/datasets/enron/EDRM Enron Email Data Set v2 XML/filtered-attachments/xls/june_7_power_cost.xls'#$June 7 deferral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</row>
    <row r="38" customFormat="false" ht="15" hidden="false" customHeight="false" outlineLevel="0" collapsed="false">
      <c r="A38" s="69"/>
      <c r="C38" s="78"/>
      <c r="D38" s="78"/>
      <c r="E38" s="78"/>
      <c r="F38" s="78"/>
      <c r="G38" s="78"/>
      <c r="H38" s="78"/>
      <c r="I38" s="78"/>
      <c r="J38" s="78"/>
      <c r="K38" s="78"/>
      <c r="L38" s="69"/>
      <c r="M38" s="69"/>
      <c r="N38" s="69"/>
      <c r="O38" s="69"/>
    </row>
    <row r="39" customFormat="false" ht="15" hidden="false" customHeight="false" outlineLevel="0" collapsed="false">
      <c r="A39" s="69"/>
      <c r="C39" s="78"/>
      <c r="D39" s="78"/>
      <c r="E39" s="78"/>
      <c r="F39" s="78"/>
      <c r="G39" s="78"/>
      <c r="H39" s="78"/>
      <c r="I39" s="78"/>
      <c r="J39" s="78"/>
      <c r="K39" s="78"/>
      <c r="L39" s="69"/>
      <c r="M39" s="69"/>
      <c r="N39" s="69"/>
      <c r="O39" s="69"/>
    </row>
    <row r="40" customFormat="false" ht="15" hidden="false" customHeight="false" outlineLevel="0" collapsed="false">
      <c r="A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</row>
    <row r="41" customFormat="false" ht="15" hidden="false" customHeight="false" outlineLevel="0" collapsed="false">
      <c r="A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</row>
    <row r="42" customFormat="false" ht="15" hidden="false" customHeight="false" outlineLevel="0" collapsed="false">
      <c r="A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</row>
    <row r="43" customFormat="false" ht="15" hidden="false" customHeight="false" outlineLevel="0" collapsed="false">
      <c r="A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</row>
    <row r="44" customFormat="false" ht="15" hidden="false" customHeight="false" outlineLevel="0" collapsed="false">
      <c r="A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</row>
    <row r="45" customFormat="false" ht="15" hidden="false" customHeight="false" outlineLevel="0" collapsed="false">
      <c r="A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</row>
    <row r="46" customFormat="false" ht="15" hidden="false" customHeight="false" outlineLevel="0" collapsed="false">
      <c r="A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</row>
    <row r="47" customFormat="false" ht="15" hidden="false" customHeight="false" outlineLevel="0" collapsed="false">
      <c r="A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</row>
    <row r="48" customFormat="false" ht="15" hidden="false" customHeight="false" outlineLevel="0" collapsed="false">
      <c r="A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</row>
    <row r="49" customFormat="false" ht="15" hidden="false" customHeight="false" outlineLevel="0" collapsed="false">
      <c r="A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</row>
    <row r="50" customFormat="false" ht="15" hidden="false" customHeight="false" outlineLevel="0" collapsed="false">
      <c r="A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</row>
    <row r="51" customFormat="false" ht="15" hidden="false" customHeight="false" outlineLevel="0" collapsed="false">
      <c r="A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</row>
    <row r="52" customFormat="false" ht="15" hidden="false" customHeight="false" outlineLevel="0" collapsed="false">
      <c r="A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</row>
    <row r="53" customFormat="false" ht="15" hidden="false" customHeight="false" outlineLevel="0" collapsed="false">
      <c r="A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</row>
    <row r="54" customFormat="false" ht="15" hidden="false" customHeight="false" outlineLevel="0" collapsed="false">
      <c r="A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</row>
    <row r="55" customFormat="false" ht="15" hidden="false" customHeight="false" outlineLevel="0" collapsed="false">
      <c r="A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</row>
    <row r="56" customFormat="false" ht="15" hidden="false" customHeight="false" outlineLevel="0" collapsed="false">
      <c r="A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&amp;T</oddHeader>
    <oddFooter/>
  </headerFooter>
  <rowBreaks count="1" manualBreakCount="1">
    <brk id="30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6"/>
  <sheetViews>
    <sheetView showFormulas="false" showGridLines="true" showRowColHeaders="true" showZeros="true" rightToLeft="false" tabSelected="false" showOutlineSymbols="true" defaultGridColor="true" view="normal" topLeftCell="D21" colorId="64" zoomScale="100" zoomScaleNormal="100" zoomScalePageLayoutView="100" workbookViewId="0">
      <selection pane="topLeft" activeCell="G32" activeCellId="0" sqref="G32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8" width="5.85"/>
    <col collapsed="false" customWidth="true" hidden="false" outlineLevel="0" max="2" min="2" style="69" width="33.85"/>
    <col collapsed="false" customWidth="true" hidden="false" outlineLevel="0" max="3" min="3" style="70" width="11.56"/>
    <col collapsed="false" customWidth="true" hidden="false" outlineLevel="0" max="4" min="4" style="70" width="10.71"/>
    <col collapsed="false" customWidth="true" hidden="false" outlineLevel="0" max="5" min="5" style="70" width="10.41"/>
    <col collapsed="false" customWidth="true" hidden="false" outlineLevel="0" max="7" min="6" style="70" width="10.71"/>
    <col collapsed="false" customWidth="true" hidden="false" outlineLevel="0" max="8" min="8" style="70" width="10.56"/>
    <col collapsed="false" customWidth="true" hidden="false" outlineLevel="0" max="11" min="9" style="70" width="10.71"/>
    <col collapsed="false" customWidth="true" hidden="false" outlineLevel="0" max="14" min="12" style="70" width="10.41"/>
    <col collapsed="false" customWidth="true" hidden="false" outlineLevel="0" max="15" min="15" style="70" width="11.42"/>
    <col collapsed="false" customWidth="true" hidden="false" outlineLevel="0" max="16" min="16" style="69" width="1.7"/>
    <col collapsed="false" customWidth="false" hidden="false" outlineLevel="0" max="257" min="17" style="69" width="9.14"/>
  </cols>
  <sheetData>
    <row r="1" customFormat="false" ht="15" hidden="false" customHeight="false" outlineLevel="0" collapsed="false">
      <c r="A1" s="71" t="n">
        <v>1</v>
      </c>
      <c r="B1" s="72" t="s">
        <v>71</v>
      </c>
    </row>
    <row r="2" customFormat="false" ht="15" hidden="false" customHeight="false" outlineLevel="0" collapsed="false">
      <c r="A2" s="68" t="n">
        <f aca="false">A1+1</f>
        <v>2</v>
      </c>
      <c r="B2" s="73" t="s">
        <v>72</v>
      </c>
      <c r="G2" s="70" t="s">
        <v>73</v>
      </c>
    </row>
    <row r="3" customFormat="false" ht="15" hidden="false" customHeight="false" outlineLevel="0" collapsed="false">
      <c r="A3" s="68" t="n">
        <f aca="false">A2+1</f>
        <v>3</v>
      </c>
      <c r="B3" s="69" t="s">
        <v>74</v>
      </c>
      <c r="C3" s="70" t="n">
        <v>319417</v>
      </c>
      <c r="G3" s="70" t="s">
        <v>75</v>
      </c>
      <c r="I3" s="74" t="n">
        <v>0.5</v>
      </c>
    </row>
    <row r="4" customFormat="false" ht="15" hidden="false" customHeight="false" outlineLevel="0" collapsed="false">
      <c r="A4" s="68" t="n">
        <f aca="false">A3+1</f>
        <v>4</v>
      </c>
      <c r="B4" s="69" t="s">
        <v>76</v>
      </c>
      <c r="C4" s="70" t="n">
        <v>2450</v>
      </c>
      <c r="G4" s="70" t="s">
        <v>77</v>
      </c>
      <c r="I4" s="74" t="n">
        <f aca="false">1-I3</f>
        <v>0.5</v>
      </c>
    </row>
    <row r="5" customFormat="false" ht="15" hidden="false" customHeight="false" outlineLevel="0" collapsed="false">
      <c r="A5" s="68" t="n">
        <f aca="false">A4+1</f>
        <v>5</v>
      </c>
      <c r="B5" s="69" t="s">
        <v>78</v>
      </c>
      <c r="C5" s="70" t="n">
        <f aca="false">20762220/8760</f>
        <v>2370.11643835616</v>
      </c>
      <c r="D5" s="75"/>
      <c r="N5" s="76"/>
      <c r="O5" s="77"/>
    </row>
    <row r="6" customFormat="false" ht="15" hidden="false" customHeight="false" outlineLevel="0" collapsed="false">
      <c r="A6" s="68" t="n">
        <f aca="false">A5+1</f>
        <v>6</v>
      </c>
      <c r="B6" s="69" t="s">
        <v>79</v>
      </c>
      <c r="C6" s="70" t="n">
        <f aca="false">C3*(C4/C5)</f>
        <v>330182.786522828</v>
      </c>
      <c r="G6" s="70" t="s">
        <v>80</v>
      </c>
      <c r="N6" s="76"/>
    </row>
    <row r="7" customFormat="false" ht="15" hidden="false" customHeight="false" outlineLevel="0" collapsed="false">
      <c r="A7" s="68" t="n">
        <f aca="false">A6+1</f>
        <v>7</v>
      </c>
      <c r="B7" s="69" t="s">
        <v>81</v>
      </c>
      <c r="C7" s="70" t="n">
        <f aca="false">O13</f>
        <v>339528.423</v>
      </c>
      <c r="G7" s="70" t="s">
        <v>75</v>
      </c>
      <c r="I7" s="74" t="n">
        <v>0.1</v>
      </c>
      <c r="N7" s="76"/>
    </row>
    <row r="8" customFormat="false" ht="15" hidden="false" customHeight="false" outlineLevel="0" collapsed="false">
      <c r="A8" s="68" t="n">
        <f aca="false">A7+1</f>
        <v>8</v>
      </c>
      <c r="B8" s="69" t="s">
        <v>82</v>
      </c>
      <c r="C8" s="70" t="n">
        <f aca="false">(C6-C7)/12</f>
        <v>-778.803039764297</v>
      </c>
      <c r="G8" s="70" t="s">
        <v>77</v>
      </c>
      <c r="I8" s="74" t="n">
        <f aca="false">1-I7</f>
        <v>0.9</v>
      </c>
      <c r="O8" s="74"/>
    </row>
    <row r="9" customFormat="false" ht="15" hidden="false" customHeight="false" outlineLevel="0" collapsed="false">
      <c r="A9" s="68" t="n">
        <f aca="false">A8+1</f>
        <v>9</v>
      </c>
      <c r="B9" s="69" t="s">
        <v>83</v>
      </c>
      <c r="C9" s="70" t="n">
        <f aca="false">(47000*2)/12*1</f>
        <v>7833.33333333333</v>
      </c>
      <c r="D9" s="70" t="s">
        <v>84</v>
      </c>
    </row>
    <row r="10" customFormat="false" ht="15" hidden="false" customHeight="false" outlineLevel="0" collapsed="false">
      <c r="A10" s="68" t="n">
        <f aca="false">A9+1</f>
        <v>10</v>
      </c>
      <c r="B10" s="69" t="s">
        <v>85</v>
      </c>
      <c r="C10" s="78" t="n">
        <f aca="false">+C9*0.6</f>
        <v>4700</v>
      </c>
      <c r="D10" s="70" t="s">
        <v>86</v>
      </c>
    </row>
    <row r="11" customFormat="false" ht="15" hidden="false" customHeight="false" outlineLevel="0" collapsed="false">
      <c r="A11" s="68" t="n">
        <f aca="false">A10+1</f>
        <v>11</v>
      </c>
    </row>
    <row r="12" customFormat="false" ht="15" hidden="false" customHeight="false" outlineLevel="0" collapsed="false">
      <c r="A12" s="68" t="n">
        <f aca="false">A11+1</f>
        <v>12</v>
      </c>
      <c r="C12" s="79" t="s">
        <v>7</v>
      </c>
      <c r="D12" s="79" t="s">
        <v>8</v>
      </c>
      <c r="E12" s="79" t="s">
        <v>87</v>
      </c>
      <c r="F12" s="79" t="s">
        <v>10</v>
      </c>
      <c r="G12" s="79" t="s">
        <v>88</v>
      </c>
      <c r="H12" s="79" t="s">
        <v>12</v>
      </c>
      <c r="I12" s="79" t="s">
        <v>13</v>
      </c>
      <c r="J12" s="79" t="s">
        <v>14</v>
      </c>
      <c r="K12" s="79" t="s">
        <v>15</v>
      </c>
      <c r="L12" s="79" t="s">
        <v>16</v>
      </c>
      <c r="M12" s="79" t="s">
        <v>17</v>
      </c>
      <c r="N12" s="79" t="s">
        <v>18</v>
      </c>
      <c r="O12" s="79" t="s">
        <v>89</v>
      </c>
    </row>
    <row r="13" customFormat="false" ht="15" hidden="false" customHeight="false" outlineLevel="0" collapsed="false">
      <c r="A13" s="68" t="n">
        <f aca="false">A12+1</f>
        <v>13</v>
      </c>
      <c r="B13" s="69" t="s">
        <v>90</v>
      </c>
      <c r="C13" s="78" t="n">
        <v>57620.79</v>
      </c>
      <c r="D13" s="78" t="n">
        <v>10670.28</v>
      </c>
      <c r="E13" s="78" t="n">
        <v>-8108.806</v>
      </c>
      <c r="F13" s="78" t="n">
        <v>33703.02</v>
      </c>
      <c r="G13" s="78" t="n">
        <v>22859.08</v>
      </c>
      <c r="H13" s="78" t="n">
        <v>-9726.131</v>
      </c>
      <c r="I13" s="78" t="n">
        <v>29567.79</v>
      </c>
      <c r="J13" s="78" t="n">
        <v>10970.53</v>
      </c>
      <c r="K13" s="78" t="n">
        <v>35406.42</v>
      </c>
      <c r="L13" s="78" t="n">
        <v>24257.87</v>
      </c>
      <c r="M13" s="78" t="n">
        <v>56019.41</v>
      </c>
      <c r="N13" s="78" t="n">
        <v>76288.17</v>
      </c>
      <c r="O13" s="70" t="n">
        <f aca="false">SUM(C13:N13)</f>
        <v>339528.423</v>
      </c>
    </row>
    <row r="14" customFormat="false" ht="15" hidden="false" customHeight="false" outlineLevel="0" collapsed="false">
      <c r="A14" s="68" t="n">
        <f aca="false">A13+1</f>
        <v>14</v>
      </c>
      <c r="B14" s="73" t="s">
        <v>91</v>
      </c>
      <c r="C14" s="79" t="n">
        <f aca="false">C13+$C$8</f>
        <v>56841.9869602357</v>
      </c>
      <c r="D14" s="79" t="n">
        <f aca="false">D13+$C$8</f>
        <v>9891.47696023571</v>
      </c>
      <c r="E14" s="79" t="n">
        <f aca="false">E13+$C$8</f>
        <v>-8887.6090397643</v>
      </c>
      <c r="F14" s="79" t="n">
        <f aca="false">F13+$C$8</f>
        <v>32924.2169602357</v>
      </c>
      <c r="G14" s="79" t="n">
        <f aca="false">G13+$C$8</f>
        <v>22080.2769602357</v>
      </c>
      <c r="H14" s="79" t="n">
        <f aca="false">H13+$C$8</f>
        <v>-10504.9340397643</v>
      </c>
      <c r="I14" s="79" t="n">
        <f aca="false">I13+$C$8</f>
        <v>28788.9869602357</v>
      </c>
      <c r="J14" s="79" t="n">
        <f aca="false">J13+$C$8</f>
        <v>10191.7269602357</v>
      </c>
      <c r="K14" s="79" t="n">
        <f aca="false">K13+$C$8</f>
        <v>34627.6169602357</v>
      </c>
      <c r="L14" s="79" t="n">
        <f aca="false">L13+$C$8</f>
        <v>23479.0669602357</v>
      </c>
      <c r="M14" s="79" t="n">
        <f aca="false">M13+$C$8</f>
        <v>55240.6069602357</v>
      </c>
      <c r="N14" s="79" t="n">
        <f aca="false">N13+$C$8</f>
        <v>75509.3669602357</v>
      </c>
      <c r="O14" s="79" t="n">
        <f aca="false">SUM(C14:N14)</f>
        <v>330182.786522828</v>
      </c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3"/>
      <c r="IV14" s="73"/>
      <c r="IW14" s="73"/>
    </row>
    <row r="15" customFormat="false" ht="15" hidden="false" customHeight="false" outlineLevel="0" collapsed="false">
      <c r="A15" s="68" t="n">
        <f aca="false">A14+1</f>
        <v>15</v>
      </c>
    </row>
    <row r="16" customFormat="false" ht="15" hidden="false" customHeight="false" outlineLevel="0" collapsed="false">
      <c r="A16" s="68" t="n">
        <f aca="false">+A15+1</f>
        <v>16</v>
      </c>
    </row>
    <row r="17" customFormat="false" ht="15" hidden="false" customHeight="false" outlineLevel="0" collapsed="false">
      <c r="A17" s="68" t="n">
        <f aca="false">+A16+1</f>
        <v>17</v>
      </c>
      <c r="B17" s="69" t="s">
        <v>92</v>
      </c>
      <c r="C17" s="70" t="n">
        <f aca="false">C18+($C$10/2)</f>
        <v>63108.6536269024</v>
      </c>
      <c r="D17" s="70" t="n">
        <f aca="false">D18+($C$10/2)</f>
        <v>16158.1436269024</v>
      </c>
      <c r="E17" s="70" t="n">
        <f aca="false">E18+($C$10/2)</f>
        <v>-2620.94237309763</v>
      </c>
      <c r="F17" s="70" t="n">
        <f aca="false">F18+($C$10/2)</f>
        <v>39190.8836269024</v>
      </c>
      <c r="G17" s="70" t="n">
        <f aca="false">G18+($C$10/2)</f>
        <v>28346.9436269024</v>
      </c>
      <c r="H17" s="70" t="n">
        <f aca="false">H18+($C$10/2)</f>
        <v>-4238.26737309763</v>
      </c>
      <c r="I17" s="70" t="n">
        <f aca="false">I18+($C$10/2)</f>
        <v>35055.6536269024</v>
      </c>
      <c r="J17" s="70" t="n">
        <f aca="false">J18+($C$10/2)</f>
        <v>16458.3936269024</v>
      </c>
      <c r="K17" s="70" t="n">
        <f aca="false">K18+($C$10/2)</f>
        <v>40894.2836269024</v>
      </c>
      <c r="O17" s="70" t="n">
        <f aca="false">SUM(C17:K17)</f>
        <v>232353.745642121</v>
      </c>
    </row>
    <row r="18" customFormat="false" ht="15" hidden="false" customHeight="false" outlineLevel="0" collapsed="false">
      <c r="A18" s="68" t="n">
        <f aca="false">A17+1</f>
        <v>18</v>
      </c>
      <c r="B18" s="69" t="s">
        <v>93</v>
      </c>
      <c r="C18" s="70" t="n">
        <f aca="false">C19+($C$9/2)</f>
        <v>60758.6536269024</v>
      </c>
      <c r="D18" s="70" t="n">
        <f aca="false">D19+($C$9/2)</f>
        <v>13808.1436269024</v>
      </c>
      <c r="E18" s="70" t="n">
        <f aca="false">E19+($C$9/2)</f>
        <v>-4970.94237309763</v>
      </c>
      <c r="F18" s="70" t="n">
        <f aca="false">F19+($C$9/2)</f>
        <v>36840.8836269024</v>
      </c>
      <c r="G18" s="70" t="n">
        <f aca="false">G19+($C$9/2)</f>
        <v>25996.9436269024</v>
      </c>
      <c r="H18" s="70" t="n">
        <f aca="false">H19+($C$9/2)</f>
        <v>-6588.26737309763</v>
      </c>
      <c r="I18" s="70" t="n">
        <f aca="false">I19+($C$9/2)</f>
        <v>32705.6536269024</v>
      </c>
      <c r="J18" s="70" t="n">
        <f aca="false">J19+($C$9/2)</f>
        <v>14108.3936269024</v>
      </c>
      <c r="K18" s="70" t="n">
        <f aca="false">K19+($C$9/2)</f>
        <v>38544.2836269024</v>
      </c>
      <c r="O18" s="70" t="n">
        <f aca="false">O19+($C$9*(9/2))</f>
        <v>211203.745642121</v>
      </c>
      <c r="Q18" s="70"/>
    </row>
    <row r="19" customFormat="false" ht="15" hidden="false" customHeight="false" outlineLevel="0" collapsed="false">
      <c r="A19" s="68" t="n">
        <f aca="false">A18+1</f>
        <v>19</v>
      </c>
      <c r="B19" s="73" t="s">
        <v>91</v>
      </c>
      <c r="C19" s="79" t="n">
        <f aca="false">C14</f>
        <v>56841.9869602357</v>
      </c>
      <c r="D19" s="79" t="n">
        <f aca="false">D14</f>
        <v>9891.47696023571</v>
      </c>
      <c r="E19" s="79" t="n">
        <f aca="false">E14</f>
        <v>-8887.6090397643</v>
      </c>
      <c r="F19" s="79" t="n">
        <f aca="false">F14</f>
        <v>32924.2169602357</v>
      </c>
      <c r="G19" s="79" t="n">
        <f aca="false">G14</f>
        <v>22080.2769602357</v>
      </c>
      <c r="H19" s="79" t="n">
        <f aca="false">H14</f>
        <v>-10504.9340397643</v>
      </c>
      <c r="I19" s="79" t="n">
        <f aca="false">I14</f>
        <v>28788.9869602357</v>
      </c>
      <c r="J19" s="79" t="n">
        <f aca="false">J14</f>
        <v>10191.7269602357</v>
      </c>
      <c r="K19" s="79" t="n">
        <f aca="false">K14</f>
        <v>34627.6169602357</v>
      </c>
      <c r="L19" s="79"/>
      <c r="M19" s="79"/>
      <c r="N19" s="79"/>
      <c r="O19" s="79" t="n">
        <f aca="false">SUM(C19:N19)</f>
        <v>175953.745642121</v>
      </c>
      <c r="P19" s="73"/>
      <c r="Q19" s="79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3"/>
      <c r="IV19" s="73"/>
      <c r="IW19" s="73"/>
    </row>
    <row r="20" customFormat="false" ht="15" hidden="false" customHeight="false" outlineLevel="0" collapsed="false">
      <c r="A20" s="68" t="n">
        <f aca="false">A19+1</f>
        <v>20</v>
      </c>
      <c r="B20" s="69" t="s">
        <v>94</v>
      </c>
      <c r="C20" s="70" t="n">
        <f aca="false">C19-($C$9/2)</f>
        <v>52925.320293569</v>
      </c>
      <c r="D20" s="70" t="n">
        <f aca="false">D19-($C$9/2)</f>
        <v>5974.81029356904</v>
      </c>
      <c r="E20" s="70" t="n">
        <f aca="false">E19-($C$9/2)</f>
        <v>-12804.275706431</v>
      </c>
      <c r="F20" s="70" t="n">
        <f aca="false">F19-($C$9/2)</f>
        <v>29007.550293569</v>
      </c>
      <c r="G20" s="70" t="n">
        <f aca="false">G19-($C$9/2)</f>
        <v>18163.610293569</v>
      </c>
      <c r="H20" s="70" t="n">
        <f aca="false">H19-($C$9/2)</f>
        <v>-14421.600706431</v>
      </c>
      <c r="I20" s="70" t="n">
        <f aca="false">I19-($C$9/2)</f>
        <v>24872.320293569</v>
      </c>
      <c r="J20" s="70" t="n">
        <f aca="false">J19-($C$9/2)</f>
        <v>6275.06029356904</v>
      </c>
      <c r="K20" s="70" t="n">
        <f aca="false">K19-($C$9/2)</f>
        <v>30710.950293569</v>
      </c>
      <c r="O20" s="70" t="n">
        <f aca="false">O19-($C$9*(9/2))</f>
        <v>140703.745642121</v>
      </c>
    </row>
    <row r="21" customFormat="false" ht="15" hidden="false" customHeight="false" outlineLevel="0" collapsed="false">
      <c r="A21" s="68" t="n">
        <f aca="false">A20+1</f>
        <v>21</v>
      </c>
      <c r="B21" s="69" t="s">
        <v>95</v>
      </c>
      <c r="C21" s="70" t="n">
        <f aca="false">C20-($C$10/2)</f>
        <v>50575.320293569</v>
      </c>
      <c r="D21" s="70" t="n">
        <f aca="false">D20-($C$10/2)</f>
        <v>3624.81029356904</v>
      </c>
      <c r="E21" s="70" t="n">
        <f aca="false">E20-($C$10/2)</f>
        <v>-15154.275706431</v>
      </c>
      <c r="F21" s="70" t="n">
        <f aca="false">F20-($C$10/2)</f>
        <v>26657.550293569</v>
      </c>
      <c r="G21" s="70" t="n">
        <f aca="false">G20-($C$10/2)</f>
        <v>15813.610293569</v>
      </c>
      <c r="H21" s="70" t="n">
        <f aca="false">H20-($C$10/2)</f>
        <v>-16771.600706431</v>
      </c>
      <c r="I21" s="70" t="n">
        <f aca="false">I20-($C$10/2)</f>
        <v>22522.320293569</v>
      </c>
      <c r="J21" s="70" t="n">
        <f aca="false">J20-($C$10/2)</f>
        <v>3925.06029356904</v>
      </c>
      <c r="K21" s="70" t="n">
        <f aca="false">K20-($C$10/2)</f>
        <v>28360.950293569</v>
      </c>
      <c r="O21" s="80" t="n">
        <f aca="false">SUM(C21:N21)</f>
        <v>119553.745642121</v>
      </c>
    </row>
    <row r="22" customFormat="false" ht="15" hidden="false" customHeight="false" outlineLevel="0" collapsed="false">
      <c r="O22" s="80"/>
    </row>
    <row r="23" customFormat="false" ht="15" hidden="false" customHeight="false" outlineLevel="0" collapsed="false">
      <c r="B23" s="81" t="s">
        <v>96</v>
      </c>
      <c r="O23" s="80"/>
    </row>
    <row r="24" customFormat="false" ht="15" hidden="false" customHeight="false" outlineLevel="0" collapsed="false">
      <c r="A24" s="68" t="n">
        <f aca="false">+A21+1</f>
        <v>22</v>
      </c>
      <c r="B24" s="69" t="s">
        <v>92</v>
      </c>
      <c r="C24" s="70" t="n">
        <f aca="false">+C17</f>
        <v>63108.6536269024</v>
      </c>
      <c r="D24" s="70" t="n">
        <f aca="false">+C24+D17</f>
        <v>79266.7972538048</v>
      </c>
      <c r="E24" s="70" t="n">
        <f aca="false">+D24+E17</f>
        <v>76645.8548807071</v>
      </c>
      <c r="F24" s="70" t="n">
        <f aca="false">+E24+F17</f>
        <v>115836.73850761</v>
      </c>
      <c r="G24" s="70" t="n">
        <f aca="false">+F24+G17</f>
        <v>144183.682134512</v>
      </c>
      <c r="H24" s="70" t="n">
        <f aca="false">+G24+H17</f>
        <v>139945.414761414</v>
      </c>
      <c r="I24" s="70" t="n">
        <f aca="false">+H24+I17</f>
        <v>175001.068388317</v>
      </c>
      <c r="J24" s="70" t="n">
        <f aca="false">+I24+J17</f>
        <v>191459.462015219</v>
      </c>
      <c r="K24" s="70" t="n">
        <f aca="false">+J24+K17</f>
        <v>232353.745642121</v>
      </c>
      <c r="O24" s="80"/>
    </row>
    <row r="25" customFormat="false" ht="15" hidden="false" customHeight="false" outlineLevel="0" collapsed="false">
      <c r="A25" s="68" t="n">
        <f aca="false">+A24+1</f>
        <v>23</v>
      </c>
      <c r="B25" s="69" t="s">
        <v>93</v>
      </c>
      <c r="C25" s="70" t="n">
        <f aca="false">+C18</f>
        <v>60758.6536269024</v>
      </c>
      <c r="D25" s="70" t="n">
        <f aca="false">+C25+D18</f>
        <v>74566.7972538048</v>
      </c>
      <c r="E25" s="70" t="n">
        <f aca="false">+D25+E18</f>
        <v>69595.8548807071</v>
      </c>
      <c r="F25" s="70" t="n">
        <f aca="false">+E25+F18</f>
        <v>106436.73850761</v>
      </c>
      <c r="G25" s="70" t="n">
        <f aca="false">+F25+G18</f>
        <v>132433.682134512</v>
      </c>
      <c r="H25" s="70" t="n">
        <f aca="false">+G25+H18</f>
        <v>125845.414761414</v>
      </c>
      <c r="I25" s="70" t="n">
        <f aca="false">+H25+I18</f>
        <v>158551.068388317</v>
      </c>
      <c r="J25" s="70" t="n">
        <f aca="false">+I25+J18</f>
        <v>172659.462015219</v>
      </c>
      <c r="K25" s="70" t="n">
        <f aca="false">+J25+K18</f>
        <v>211203.745642121</v>
      </c>
      <c r="O25" s="80"/>
      <c r="Q25" s="70"/>
    </row>
    <row r="26" customFormat="false" ht="15" hidden="false" customHeight="false" outlineLevel="0" collapsed="false">
      <c r="A26" s="68" t="n">
        <f aca="false">+A25+1</f>
        <v>24</v>
      </c>
      <c r="B26" s="73" t="s">
        <v>91</v>
      </c>
      <c r="C26" s="79" t="n">
        <f aca="false">+C19</f>
        <v>56841.9869602357</v>
      </c>
      <c r="D26" s="79" t="n">
        <f aca="false">+C26+D19</f>
        <v>66733.4639204714</v>
      </c>
      <c r="E26" s="79" t="n">
        <f aca="false">+D26+E19</f>
        <v>57845.8548807071</v>
      </c>
      <c r="F26" s="79" t="n">
        <f aca="false">+E26+F19</f>
        <v>90770.0718409428</v>
      </c>
      <c r="G26" s="79" t="n">
        <f aca="false">+F26+G19</f>
        <v>112850.348801179</v>
      </c>
      <c r="H26" s="79" t="n">
        <f aca="false">+G26+H19</f>
        <v>102345.414761414</v>
      </c>
      <c r="I26" s="79" t="n">
        <f aca="false">+H26+I19</f>
        <v>131134.40172165</v>
      </c>
      <c r="J26" s="79" t="n">
        <f aca="false">+I26+J19</f>
        <v>141326.128681886</v>
      </c>
      <c r="K26" s="79" t="n">
        <f aca="false">+J26+K19</f>
        <v>175953.745642121</v>
      </c>
      <c r="L26" s="79"/>
      <c r="M26" s="79"/>
      <c r="N26" s="79"/>
      <c r="O26" s="79"/>
      <c r="Q26" s="70"/>
    </row>
    <row r="27" customFormat="false" ht="15" hidden="false" customHeight="false" outlineLevel="0" collapsed="false">
      <c r="A27" s="68" t="n">
        <f aca="false">+A26+1</f>
        <v>25</v>
      </c>
      <c r="B27" s="69" t="s">
        <v>94</v>
      </c>
      <c r="C27" s="70" t="n">
        <f aca="false">+C20</f>
        <v>52925.320293569</v>
      </c>
      <c r="D27" s="70" t="n">
        <f aca="false">+C27+D20</f>
        <v>58900.1305871381</v>
      </c>
      <c r="E27" s="70" t="n">
        <f aca="false">+D27+E20</f>
        <v>46095.8548807071</v>
      </c>
      <c r="F27" s="70" t="n">
        <f aca="false">+E27+F20</f>
        <v>75103.4051742762</v>
      </c>
      <c r="G27" s="70" t="n">
        <f aca="false">+F27+G20</f>
        <v>93267.0154678452</v>
      </c>
      <c r="H27" s="70" t="n">
        <f aca="false">+G27+H20</f>
        <v>78845.4147614142</v>
      </c>
      <c r="I27" s="70" t="n">
        <f aca="false">+H27+I20</f>
        <v>103717.735054983</v>
      </c>
      <c r="J27" s="70" t="n">
        <f aca="false">+I27+J20</f>
        <v>109992.795348552</v>
      </c>
      <c r="K27" s="70" t="n">
        <f aca="false">+J27+K20</f>
        <v>140703.745642121</v>
      </c>
      <c r="O27" s="80"/>
    </row>
    <row r="28" customFormat="false" ht="15" hidden="false" customHeight="false" outlineLevel="0" collapsed="false">
      <c r="A28" s="68" t="n">
        <f aca="false">+A27+1</f>
        <v>26</v>
      </c>
      <c r="B28" s="69" t="s">
        <v>95</v>
      </c>
      <c r="C28" s="70" t="n">
        <f aca="false">+C21</f>
        <v>50575.320293569</v>
      </c>
      <c r="D28" s="70" t="n">
        <f aca="false">+C28+D21</f>
        <v>54200.1305871381</v>
      </c>
      <c r="E28" s="70" t="n">
        <f aca="false">+D28+E21</f>
        <v>39045.8548807071</v>
      </c>
      <c r="F28" s="70" t="n">
        <f aca="false">+E28+F21</f>
        <v>65703.4051742762</v>
      </c>
      <c r="G28" s="70" t="n">
        <f aca="false">+F28+G21</f>
        <v>81517.0154678452</v>
      </c>
      <c r="H28" s="70" t="n">
        <f aca="false">+G28+H21</f>
        <v>64745.4147614142</v>
      </c>
      <c r="I28" s="70" t="n">
        <f aca="false">+H28+I21</f>
        <v>87267.7350549833</v>
      </c>
      <c r="J28" s="70" t="n">
        <f aca="false">+I28+J21</f>
        <v>91192.7953485523</v>
      </c>
      <c r="K28" s="70" t="n">
        <f aca="false">+J28+K21</f>
        <v>119553.745642121</v>
      </c>
      <c r="O28" s="80"/>
    </row>
    <row r="32" customFormat="false" ht="15" hidden="false" customHeight="false" outlineLevel="0" collapsed="false">
      <c r="A32" s="69"/>
      <c r="B32" s="69" t="s">
        <v>101</v>
      </c>
      <c r="C32" s="1" t="n">
        <v>99200</v>
      </c>
      <c r="D32" s="1" t="n">
        <v>65949</v>
      </c>
      <c r="E32" s="1" t="n">
        <v>48478</v>
      </c>
      <c r="F32" s="1" t="n">
        <v>41502</v>
      </c>
      <c r="G32" s="1" t="n">
        <v>25115</v>
      </c>
      <c r="H32" s="1" t="n">
        <v>-3841</v>
      </c>
      <c r="I32" s="1" t="n">
        <v>65183</v>
      </c>
      <c r="J32" s="1" t="n">
        <v>41519</v>
      </c>
      <c r="K32" s="1" t="n">
        <v>48854</v>
      </c>
      <c r="L32" s="69"/>
      <c r="M32" s="69"/>
      <c r="N32" s="69"/>
      <c r="O32" s="69"/>
    </row>
    <row r="33" customFormat="false" ht="15" hidden="false" customHeight="false" outlineLevel="0" collapsed="false">
      <c r="A33" s="69"/>
      <c r="B33" s="69" t="s">
        <v>98</v>
      </c>
      <c r="C33" s="82" t="n">
        <f aca="false">+C32</f>
        <v>99200</v>
      </c>
      <c r="D33" s="82" t="n">
        <f aca="false">+C33+D32</f>
        <v>165149</v>
      </c>
      <c r="E33" s="82" t="n">
        <f aca="false">+D33+E32</f>
        <v>213627</v>
      </c>
      <c r="F33" s="82" t="n">
        <f aca="false">+E33+F32</f>
        <v>255129</v>
      </c>
      <c r="G33" s="82" t="n">
        <f aca="false">+F33+G32</f>
        <v>280244</v>
      </c>
      <c r="H33" s="82" t="n">
        <f aca="false">+G33+H32</f>
        <v>276403</v>
      </c>
      <c r="I33" s="82" t="n">
        <f aca="false">+H33+I32</f>
        <v>341586</v>
      </c>
      <c r="J33" s="82" t="n">
        <f aca="false">+I33+J32</f>
        <v>383105</v>
      </c>
      <c r="K33" s="82" t="n">
        <f aca="false">+J33+K32</f>
        <v>431959</v>
      </c>
      <c r="L33" s="69"/>
      <c r="M33" s="69"/>
      <c r="N33" s="69"/>
      <c r="O33" s="69"/>
    </row>
    <row r="34" customFormat="false" ht="15" hidden="false" customHeight="false" outlineLevel="0" collapsed="false">
      <c r="A34" s="69"/>
      <c r="B34" s="69" t="s">
        <v>99</v>
      </c>
      <c r="C34" s="78" t="n">
        <f aca="false">IF(C33&gt;C24,(C33-C24)*0.9+(C24-C25)*0.5,IF(C33&gt;C25,(C33-C25)*0.5,IF(C33&lt;C27,(C27-C33)*0.5,IF(C33&lt;C28,(C28-C33)*0.9+(C28-C27)*0.5,0))))</f>
        <v>33657.2117357879</v>
      </c>
      <c r="D34" s="78" t="n">
        <f aca="false">IF(D33&gt;D24,(D33-D24)*0.9+(D24-D25)*0.5,IF(D33&gt;D25,(D33-D25)*0.5,IF(D33&lt;D27,(D27-D33)*0.5,IF(D33&lt;D28,(D28-D33)*0.9+(D28-D27)*0.5,0))))</f>
        <v>79643.9824715757</v>
      </c>
      <c r="E34" s="78" t="n">
        <f aca="false">IF(E33&gt;E24,(E33-E24)*0.9+(E24-E25)*0.5,IF(E33&gt;E25,(E33-E25)*0.5,IF(E33&lt;E27,(E27-E33)*0.5,IF(E33&lt;E28,(E28-E33)*0.9+(E28-E27)*0.5,0))))</f>
        <v>126808.030607364</v>
      </c>
      <c r="F34" s="78" t="n">
        <f aca="false">IF(F33&gt;F24,(F33-F24)*0.9+(F24-F25)*0.5,IF(F33&gt;F25,(F33-F25)*0.5,IF(F33&lt;F27,(F27-F33)*0.5,IF(F33&lt;F28,(F28-F33)*0.9+(F28-F27)*0.5,0))))</f>
        <v>130063.035343151</v>
      </c>
      <c r="G34" s="78" t="n">
        <f aca="false">IF(G33&gt;G24,(G33-G24)*0.9+(G24-G25)*0.5,IF(G33&gt;G25,(G33-G25)*0.5,IF(G33&lt;G27,(G27-G33)*0.5,IF(G33&lt;G28,(G28-G33)*0.9+(G28-G27)*0.5,0))))</f>
        <v>128329.286078939</v>
      </c>
      <c r="H34" s="78" t="n">
        <f aca="false">IF(H33&gt;H24,(H33-H24)*0.9+(H24-H25)*0.5,IF(H33&gt;H25,(H33-H25)*0.5,IF(H33&lt;H27,(H27-H33)*0.5,IF(H33&lt;H28,(H28-H33)*0.9+(H28-H27)*0.5,0))))</f>
        <v>129861.826714727</v>
      </c>
      <c r="I34" s="78" t="n">
        <f aca="false">IF(I33&gt;I24,(I33-I24)*0.9+(I24-I25)*0.5,IF(I33&gt;I25,(I33-I25)*0.5,IF(I33&lt;I27,(I27-I33)*0.5,IF(I33&lt;I28,(I28-I33)*0.9+(I28-I27)*0.5,0))))</f>
        <v>158151.438450515</v>
      </c>
      <c r="J34" s="78" t="n">
        <f aca="false">IF(J33&gt;J24,(J33-J24)*0.9+(J24-J25)*0.5,IF(J33&gt;J25,(J33-J25)*0.5,IF(J33&lt;J27,(J27-J33)*0.5,IF(J33&lt;J28,(J28-J33)*0.9+(J28-J27)*0.5,0))))</f>
        <v>181880.984186303</v>
      </c>
      <c r="K34" s="78" t="n">
        <f aca="false">IF(K33&gt;K24,(K33-K24)*0.9+(K24-K25)*0.5,IF(K33&gt;K25,(K33-K25)*0.5,IF(K33&lt;K27,(K27-K33)*0.5,IF(K33&lt;K28,(K28-K33)*0.9+(K28-K27)*0.5,0))))</f>
        <v>190219.728922091</v>
      </c>
      <c r="L34" s="69"/>
      <c r="M34" s="69"/>
      <c r="N34" s="69"/>
      <c r="O34" s="69"/>
    </row>
    <row r="35" customFormat="false" ht="15" hidden="false" customHeight="false" outlineLevel="0" collapsed="false">
      <c r="A35" s="69"/>
      <c r="B35" s="69" t="s">
        <v>100</v>
      </c>
      <c r="C35" s="82"/>
      <c r="D35" s="82" t="n">
        <f aca="false">+D34-C34</f>
        <v>45986.7707357879</v>
      </c>
      <c r="E35" s="82" t="n">
        <f aca="false">+E34-D34</f>
        <v>47164.0481357879</v>
      </c>
      <c r="F35" s="82" t="n">
        <f aca="false">+F34-E34</f>
        <v>3255.00473578785</v>
      </c>
      <c r="G35" s="82" t="n">
        <f aca="false">+G34-F34</f>
        <v>-1733.74926421214</v>
      </c>
      <c r="H35" s="82" t="n">
        <f aca="false">+H34-G34</f>
        <v>1532.54063578785</v>
      </c>
      <c r="I35" s="82" t="n">
        <f aca="false">+I34-H34</f>
        <v>28289.6117357879</v>
      </c>
      <c r="J35" s="82" t="n">
        <f aca="false">+J34-I34</f>
        <v>23729.5457357879</v>
      </c>
      <c r="K35" s="82" t="n">
        <f aca="false">+K34-J34</f>
        <v>8338.74473578789</v>
      </c>
      <c r="L35" s="69"/>
      <c r="M35" s="69"/>
      <c r="N35" s="69"/>
      <c r="O35" s="69"/>
    </row>
    <row r="36" customFormat="false" ht="15" hidden="false" customHeight="false" outlineLevel="0" collapsed="false">
      <c r="A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</row>
    <row r="37" customFormat="false" ht="15" hidden="false" customHeight="false" outlineLevel="0" collapsed="false">
      <c r="A37" s="69"/>
      <c r="B37" s="83" t="str">
        <f aca="true">CELL("filename")</f>
        <v>'file:///mnt/12tb/@roms/datasets/enron/EDRM Enron Email Data Set v2 XML/filtered-attachments/xls/june_7_power_cost.xls'#$Budget Deferral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</row>
    <row r="38" customFormat="false" ht="15" hidden="false" customHeight="false" outlineLevel="0" collapsed="false">
      <c r="A38" s="69"/>
      <c r="C38" s="78"/>
      <c r="D38" s="78"/>
      <c r="E38" s="78"/>
      <c r="F38" s="78"/>
      <c r="G38" s="78"/>
      <c r="H38" s="78"/>
      <c r="I38" s="78"/>
      <c r="J38" s="78"/>
      <c r="K38" s="78"/>
      <c r="L38" s="69"/>
      <c r="M38" s="69"/>
      <c r="N38" s="69"/>
      <c r="O38" s="69"/>
    </row>
    <row r="39" customFormat="false" ht="15" hidden="false" customHeight="false" outlineLevel="0" collapsed="false">
      <c r="A39" s="69"/>
      <c r="C39" s="78"/>
      <c r="D39" s="78"/>
      <c r="E39" s="78"/>
      <c r="F39" s="78"/>
      <c r="G39" s="78"/>
      <c r="H39" s="78"/>
      <c r="I39" s="78"/>
      <c r="J39" s="78"/>
      <c r="K39" s="78"/>
      <c r="L39" s="69"/>
      <c r="M39" s="69"/>
      <c r="N39" s="69"/>
      <c r="O39" s="69"/>
    </row>
    <row r="40" customFormat="false" ht="15" hidden="false" customHeight="false" outlineLevel="0" collapsed="false">
      <c r="A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</row>
    <row r="41" customFormat="false" ht="15" hidden="false" customHeight="false" outlineLevel="0" collapsed="false">
      <c r="A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</row>
    <row r="42" customFormat="false" ht="15" hidden="false" customHeight="false" outlineLevel="0" collapsed="false">
      <c r="A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</row>
    <row r="43" customFormat="false" ht="15" hidden="false" customHeight="false" outlineLevel="0" collapsed="false">
      <c r="A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</row>
    <row r="44" customFormat="false" ht="15" hidden="false" customHeight="false" outlineLevel="0" collapsed="false">
      <c r="A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</row>
    <row r="45" customFormat="false" ht="15" hidden="false" customHeight="false" outlineLevel="0" collapsed="false">
      <c r="A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</row>
    <row r="46" customFormat="false" ht="15" hidden="false" customHeight="false" outlineLevel="0" collapsed="false">
      <c r="A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</row>
    <row r="47" customFormat="false" ht="15" hidden="false" customHeight="false" outlineLevel="0" collapsed="false">
      <c r="A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</row>
    <row r="48" customFormat="false" ht="15" hidden="false" customHeight="false" outlineLevel="0" collapsed="false">
      <c r="A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</row>
    <row r="49" customFormat="false" ht="15" hidden="false" customHeight="false" outlineLevel="0" collapsed="false">
      <c r="A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</row>
    <row r="50" customFormat="false" ht="15" hidden="false" customHeight="false" outlineLevel="0" collapsed="false">
      <c r="A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</row>
    <row r="51" customFormat="false" ht="15" hidden="false" customHeight="false" outlineLevel="0" collapsed="false">
      <c r="A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</row>
    <row r="52" customFormat="false" ht="15" hidden="false" customHeight="false" outlineLevel="0" collapsed="false">
      <c r="A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</row>
    <row r="53" customFormat="false" ht="15" hidden="false" customHeight="false" outlineLevel="0" collapsed="false">
      <c r="A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</row>
    <row r="54" customFormat="false" ht="15" hidden="false" customHeight="false" outlineLevel="0" collapsed="false">
      <c r="A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</row>
    <row r="55" customFormat="false" ht="15" hidden="false" customHeight="false" outlineLevel="0" collapsed="false">
      <c r="A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</row>
    <row r="56" customFormat="false" ht="15" hidden="false" customHeight="false" outlineLevel="0" collapsed="false">
      <c r="A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&amp;T</oddHeader>
    <oddFooter/>
  </headerFooter>
  <rowBreaks count="1" manualBreakCount="1">
    <brk id="30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2001-06-11T18:51:25Z</dcterms:created>
  <dc:creator>Jim Piro</dc:creator>
  <dc:description/>
  <dc:language>en-US</dc:language>
  <cp:lastModifiedBy>Jim Piro</cp:lastModifiedBy>
  <cp:revision>0</cp:revision>
  <dc:subject/>
  <dc:title/>
</cp:coreProperties>
</file>